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ent\Documents\4-Social\Verity Security\ESPM\"/>
    </mc:Choice>
  </mc:AlternateContent>
  <xr:revisionPtr revIDLastSave="0" documentId="13_ncr:1_{05596467-7C1F-4187-82D0-E5F8DD19C4F7}" xr6:coauthVersionLast="46" xr6:coauthVersionMax="46" xr10:uidLastSave="{00000000-0000-0000-0000-000000000000}"/>
  <bookViews>
    <workbookView xWindow="-38350" yWindow="-6780" windowWidth="19250" windowHeight="9110" xr2:uid="{5A56C7AA-256C-479B-923D-294C85D03BCF}"/>
  </bookViews>
  <sheets>
    <sheet name="Dashboard" sheetId="1" r:id="rId1"/>
    <sheet name="Key" sheetId="4" r:id="rId2"/>
    <sheet name="Descriptions" sheetId="2" r:id="rId3"/>
    <sheet name="License" sheetId="5" r:id="rId4"/>
    <sheet name="Scale" sheetId="6" r:id="rId5"/>
  </sheets>
  <definedNames>
    <definedName name="_xlnm._FilterDatabase" localSheetId="2" hidden="1">Descriptions!$A$1:$DL$4338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34" i="2" l="1"/>
  <c r="F1134" i="2"/>
  <c r="D1134" i="2"/>
  <c r="B1134" i="2"/>
  <c r="P2287" i="2"/>
  <c r="F2287" i="2"/>
  <c r="D2287" i="2"/>
  <c r="B2287" i="2"/>
  <c r="P1501" i="2"/>
  <c r="F1501" i="2"/>
  <c r="D1501" i="2"/>
  <c r="B1501" i="2"/>
  <c r="D2669" i="2"/>
  <c r="P412" i="2"/>
  <c r="F412" i="2"/>
  <c r="D412" i="2"/>
  <c r="B412" i="2"/>
  <c r="P138" i="2"/>
  <c r="F138" i="2"/>
  <c r="D138" i="2"/>
  <c r="B138" i="2"/>
  <c r="P768" i="2"/>
  <c r="F768" i="2"/>
  <c r="D768" i="2"/>
  <c r="B768" i="2"/>
  <c r="P2340" i="2"/>
  <c r="F2340" i="2"/>
  <c r="D2340" i="2"/>
  <c r="B2340" i="2"/>
  <c r="P2880" i="2"/>
  <c r="F2880" i="2"/>
  <c r="D2880" i="2"/>
  <c r="B2880" i="2"/>
  <c r="P3696" i="2"/>
  <c r="F3696" i="2"/>
  <c r="D3696" i="2"/>
  <c r="B3696" i="2"/>
  <c r="P721" i="2"/>
  <c r="F721" i="2"/>
  <c r="D721" i="2"/>
  <c r="B721" i="2"/>
  <c r="P2268" i="2"/>
  <c r="F2268" i="2"/>
  <c r="D2268" i="2"/>
  <c r="B2268" i="2"/>
  <c r="P1319" i="2"/>
  <c r="F1319" i="2"/>
  <c r="D1319" i="2"/>
  <c r="B1319" i="2"/>
  <c r="F2145" i="2"/>
  <c r="D2145" i="2"/>
  <c r="P4074" i="2"/>
  <c r="F4074" i="2"/>
  <c r="D4074" i="2"/>
  <c r="B4074" i="2"/>
  <c r="P2452" i="2"/>
  <c r="F2452" i="2"/>
  <c r="D2452" i="2"/>
  <c r="B2452" i="2"/>
  <c r="F2276" i="2"/>
  <c r="D2276" i="2"/>
  <c r="F4272" i="2"/>
  <c r="D4272" i="2"/>
  <c r="D2562" i="2"/>
  <c r="F2562" i="2"/>
  <c r="P3557" i="2"/>
  <c r="F3557" i="2"/>
  <c r="D3557" i="2"/>
  <c r="B3557" i="2"/>
  <c r="B4016" i="2"/>
  <c r="D4016" i="2"/>
  <c r="F4016" i="2"/>
  <c r="P4016" i="2"/>
  <c r="P2274" i="2"/>
  <c r="F2274" i="2"/>
  <c r="D2274" i="2"/>
  <c r="B2274" i="2"/>
  <c r="P3983" i="2"/>
  <c r="F3983" i="2"/>
  <c r="D3983" i="2"/>
  <c r="B3983" i="2"/>
  <c r="F3489" i="2"/>
  <c r="D3489" i="2"/>
  <c r="P310" i="2"/>
  <c r="F310" i="2"/>
  <c r="D310" i="2"/>
  <c r="B310" i="2"/>
  <c r="P2158" i="2"/>
  <c r="F2158" i="2"/>
  <c r="D2158" i="2"/>
  <c r="B2158" i="2"/>
  <c r="B3982" i="2"/>
  <c r="D3982" i="2"/>
  <c r="F3982" i="2"/>
  <c r="P3982" i="2"/>
  <c r="F311" i="2"/>
  <c r="D311" i="2"/>
  <c r="P677" i="2"/>
  <c r="F677" i="2"/>
  <c r="D677" i="2"/>
  <c r="B677" i="2"/>
  <c r="F743" i="2"/>
  <c r="D743" i="2"/>
  <c r="F2169" i="2"/>
  <c r="D2169" i="2"/>
  <c r="F2270" i="2"/>
  <c r="D2270" i="2"/>
  <c r="F4292" i="2"/>
  <c r="D4292" i="2"/>
  <c r="F2261" i="2"/>
  <c r="D2261" i="2"/>
  <c r="F2042" i="2"/>
  <c r="D2042" i="2"/>
  <c r="F2150" i="2"/>
  <c r="D2150" i="2"/>
  <c r="F2159" i="2"/>
  <c r="D2159" i="2"/>
  <c r="F2170" i="2"/>
  <c r="D2170" i="2"/>
  <c r="F2495" i="2"/>
  <c r="D2495" i="2"/>
  <c r="F2162" i="2"/>
  <c r="D2162" i="2"/>
  <c r="F1199" i="2"/>
  <c r="D1199" i="2"/>
  <c r="A1134" i="2" l="1"/>
  <c r="A2287" i="2"/>
  <c r="A1501" i="2"/>
  <c r="A412" i="2"/>
  <c r="A138" i="2"/>
  <c r="A768" i="2"/>
  <c r="A2340" i="2"/>
  <c r="A2880" i="2"/>
  <c r="A3696" i="2"/>
  <c r="A721" i="2"/>
  <c r="A2268" i="2"/>
  <c r="A1319" i="2"/>
  <c r="A4074" i="2"/>
  <c r="A2452" i="2"/>
  <c r="A3557" i="2"/>
  <c r="A4016" i="2"/>
  <c r="A3983" i="2"/>
  <c r="A2274" i="2"/>
  <c r="A310" i="2"/>
  <c r="A2158" i="2"/>
  <c r="A3982" i="2"/>
  <c r="A677" i="2"/>
  <c r="D4320" i="2"/>
  <c r="D4319" i="2"/>
  <c r="D4338" i="2"/>
  <c r="D4333" i="2"/>
  <c r="D4334" i="2"/>
  <c r="D4335" i="2"/>
  <c r="D4329" i="2"/>
  <c r="D4337" i="2"/>
  <c r="D4330" i="2"/>
  <c r="D4331" i="2"/>
  <c r="D4336" i="2"/>
  <c r="D4332" i="2"/>
  <c r="D4318" i="2"/>
  <c r="D4317" i="2"/>
  <c r="D4316" i="2"/>
  <c r="D4315" i="2"/>
  <c r="D4328" i="2"/>
  <c r="D4327" i="2"/>
  <c r="D4326" i="2"/>
  <c r="D4325" i="2"/>
  <c r="D4324" i="2"/>
  <c r="D4323" i="2"/>
  <c r="D4322" i="2"/>
  <c r="D4321" i="2"/>
  <c r="D4314" i="2"/>
  <c r="D4313" i="2"/>
  <c r="D4312" i="2"/>
  <c r="D4308" i="2"/>
  <c r="D4307" i="2"/>
  <c r="D4310" i="2"/>
  <c r="D4309" i="2"/>
  <c r="D4301" i="2"/>
  <c r="D4306" i="2"/>
  <c r="D4305" i="2"/>
  <c r="D4304" i="2"/>
  <c r="D4303" i="2"/>
  <c r="D4302" i="2"/>
  <c r="D4300" i="2"/>
  <c r="D4290" i="2"/>
  <c r="D4293" i="2"/>
  <c r="D4291" i="2"/>
  <c r="D4294" i="2"/>
  <c r="D4299" i="2"/>
  <c r="D4298" i="2"/>
  <c r="D4297" i="2"/>
  <c r="D4296" i="2"/>
  <c r="D4295" i="2"/>
  <c r="D4284" i="2"/>
  <c r="D4289" i="2"/>
  <c r="D4288" i="2"/>
  <c r="D4287" i="2"/>
  <c r="D4286" i="2"/>
  <c r="D4285" i="2"/>
  <c r="D4283" i="2"/>
  <c r="D4311" i="2"/>
  <c r="D4282" i="2"/>
  <c r="D4281" i="2"/>
  <c r="D4280" i="2"/>
  <c r="D4279" i="2"/>
  <c r="D4278" i="2"/>
  <c r="D4277" i="2"/>
  <c r="D4276" i="2"/>
  <c r="D4275" i="2"/>
  <c r="D4274" i="2"/>
  <c r="D4273" i="2"/>
  <c r="D4271" i="2"/>
  <c r="D4270" i="2"/>
  <c r="D4269" i="2"/>
  <c r="D4268" i="2"/>
  <c r="D4267" i="2"/>
  <c r="D3490" i="2"/>
  <c r="D4266" i="2"/>
  <c r="D4265" i="2"/>
  <c r="D4264" i="2"/>
  <c r="D4263" i="2"/>
  <c r="D4262" i="2"/>
  <c r="D4261" i="2"/>
  <c r="D4260" i="2"/>
  <c r="D4224" i="2"/>
  <c r="D4216" i="2"/>
  <c r="D4215" i="2"/>
  <c r="D4227" i="2"/>
  <c r="D4248" i="2"/>
  <c r="D4253" i="2"/>
  <c r="D4258" i="2"/>
  <c r="D4251" i="2"/>
  <c r="D4247" i="2"/>
  <c r="D4245" i="2"/>
  <c r="D4249" i="2"/>
  <c r="D4252" i="2"/>
  <c r="D4244" i="2"/>
  <c r="D4256" i="2"/>
  <c r="D4250" i="2"/>
  <c r="D4246" i="2"/>
  <c r="D4254" i="2"/>
  <c r="D4259" i="2"/>
  <c r="D4257" i="2"/>
  <c r="D4226" i="2"/>
  <c r="D4225" i="2"/>
  <c r="D4223" i="2"/>
  <c r="D4222" i="2"/>
  <c r="D4221" i="2"/>
  <c r="D4220" i="2"/>
  <c r="D4219" i="2"/>
  <c r="D4218" i="2"/>
  <c r="D4217" i="2"/>
  <c r="D4243" i="2"/>
  <c r="D4242" i="2"/>
  <c r="D4241" i="2"/>
  <c r="D4240" i="2"/>
  <c r="D4239" i="2"/>
  <c r="D4238" i="2"/>
  <c r="D4237" i="2"/>
  <c r="D4236" i="2"/>
  <c r="D4235" i="2"/>
  <c r="D4234" i="2"/>
  <c r="D4233" i="2"/>
  <c r="D4232" i="2"/>
  <c r="D4231" i="2"/>
  <c r="D4230" i="2"/>
  <c r="D4229" i="2"/>
  <c r="D4228" i="2"/>
  <c r="D4214" i="2"/>
  <c r="D4213" i="2"/>
  <c r="D4212" i="2"/>
  <c r="D4196" i="2"/>
  <c r="D4195" i="2"/>
  <c r="D4194" i="2"/>
  <c r="D4206" i="2"/>
  <c r="D4205" i="2"/>
  <c r="D4204" i="2"/>
  <c r="D4203" i="2"/>
  <c r="D4202" i="2"/>
  <c r="D4201" i="2"/>
  <c r="D4211" i="2"/>
  <c r="D4210" i="2"/>
  <c r="D4209" i="2"/>
  <c r="D4208" i="2"/>
  <c r="D4207" i="2"/>
  <c r="D4199" i="2"/>
  <c r="D4198" i="2"/>
  <c r="D4200" i="2"/>
  <c r="D4197" i="2"/>
  <c r="D4193" i="2"/>
  <c r="D4189" i="2"/>
  <c r="D4188" i="2"/>
  <c r="D4192" i="2"/>
  <c r="D4191" i="2"/>
  <c r="D4187" i="2"/>
  <c r="D4186" i="2"/>
  <c r="D4185" i="2"/>
  <c r="D4184" i="2"/>
  <c r="D4190" i="2"/>
  <c r="D4183" i="2"/>
  <c r="D4180" i="2"/>
  <c r="D4179" i="2"/>
  <c r="D4182" i="2"/>
  <c r="D4178" i="2"/>
  <c r="D4177" i="2"/>
  <c r="D4176" i="2"/>
  <c r="D4181" i="2"/>
  <c r="D4175" i="2"/>
  <c r="D4174" i="2"/>
  <c r="D4173" i="2"/>
  <c r="D4166" i="2"/>
  <c r="D4170" i="2"/>
  <c r="D4172" i="2"/>
  <c r="D4171" i="2"/>
  <c r="D4169" i="2"/>
  <c r="D4168" i="2"/>
  <c r="D4167" i="2"/>
  <c r="D4165" i="2"/>
  <c r="D4158" i="2"/>
  <c r="D4162" i="2"/>
  <c r="D4161" i="2"/>
  <c r="D4164" i="2"/>
  <c r="D4160" i="2"/>
  <c r="D4159" i="2"/>
  <c r="D4157" i="2"/>
  <c r="D4156" i="2"/>
  <c r="D4155" i="2"/>
  <c r="D4152" i="2"/>
  <c r="D4154" i="2"/>
  <c r="D4151" i="2"/>
  <c r="D4150" i="2"/>
  <c r="D4148" i="2"/>
  <c r="D4149" i="2"/>
  <c r="D4147" i="2"/>
  <c r="D4146" i="2"/>
  <c r="D4145" i="2"/>
  <c r="D4135" i="2"/>
  <c r="D4144" i="2"/>
  <c r="D4143" i="2"/>
  <c r="D4141" i="2"/>
  <c r="D4140" i="2"/>
  <c r="D4138" i="2"/>
  <c r="D4137" i="2"/>
  <c r="D4136" i="2"/>
  <c r="D4134" i="2"/>
  <c r="D4115" i="2"/>
  <c r="D4114" i="2"/>
  <c r="D4113" i="2"/>
  <c r="D4120" i="2"/>
  <c r="D4133" i="2"/>
  <c r="D4132" i="2"/>
  <c r="D4131" i="2"/>
  <c r="D4129" i="2"/>
  <c r="D4130" i="2"/>
  <c r="D4126" i="2"/>
  <c r="D4127" i="2"/>
  <c r="D2039" i="2"/>
  <c r="D4119" i="2"/>
  <c r="D4118" i="2"/>
  <c r="D4117" i="2"/>
  <c r="D4116" i="2"/>
  <c r="D4125" i="2"/>
  <c r="D4124" i="2"/>
  <c r="D4123" i="2"/>
  <c r="D4122" i="2"/>
  <c r="D4121" i="2"/>
  <c r="D4112" i="2"/>
  <c r="D4100" i="2"/>
  <c r="D4111" i="2"/>
  <c r="D4110" i="2"/>
  <c r="D4108" i="2"/>
  <c r="D4109" i="2"/>
  <c r="D4106" i="2"/>
  <c r="D4099" i="2"/>
  <c r="D4098" i="2"/>
  <c r="D4097" i="2"/>
  <c r="D4096" i="2"/>
  <c r="D4095" i="2"/>
  <c r="D4094" i="2"/>
  <c r="D4093" i="2"/>
  <c r="D4092" i="2"/>
  <c r="D4091" i="2"/>
  <c r="D4090" i="2"/>
  <c r="D4089" i="2"/>
  <c r="D4088" i="2"/>
  <c r="D4087" i="2"/>
  <c r="D4086" i="2"/>
  <c r="D4103" i="2"/>
  <c r="D4102" i="2"/>
  <c r="D4101" i="2"/>
  <c r="D4085" i="2"/>
  <c r="D4084" i="2"/>
  <c r="D4083" i="2"/>
  <c r="D4081" i="2"/>
  <c r="D4078" i="2"/>
  <c r="D4077" i="2"/>
  <c r="D4080" i="2"/>
  <c r="D4076" i="2"/>
  <c r="D4079" i="2"/>
  <c r="D4075" i="2"/>
  <c r="D4072" i="2"/>
  <c r="D4071" i="2"/>
  <c r="D4073" i="2"/>
  <c r="D4070" i="2"/>
  <c r="D4059" i="2"/>
  <c r="D4067" i="2"/>
  <c r="D4069" i="2"/>
  <c r="D4066" i="2"/>
  <c r="D4065" i="2"/>
  <c r="D4064" i="2"/>
  <c r="D4063" i="2"/>
  <c r="D4062" i="2"/>
  <c r="D4061" i="2"/>
  <c r="D4060" i="2"/>
  <c r="D4058" i="2"/>
  <c r="D4068" i="2"/>
  <c r="D4056" i="2"/>
  <c r="D989" i="2"/>
  <c r="D854" i="2"/>
  <c r="D4042" i="2"/>
  <c r="D911" i="2"/>
  <c r="D4039" i="2"/>
  <c r="D4038" i="2"/>
  <c r="D4037" i="2"/>
  <c r="D4055" i="2"/>
  <c r="D4054" i="2"/>
  <c r="D4053" i="2"/>
  <c r="D4052" i="2"/>
  <c r="D4051" i="2"/>
  <c r="D4050" i="2"/>
  <c r="D4049" i="2"/>
  <c r="D4048" i="2"/>
  <c r="D4047" i="2"/>
  <c r="D4046" i="2"/>
  <c r="D4045" i="2"/>
  <c r="D4044" i="2"/>
  <c r="D4043" i="2"/>
  <c r="D4036" i="2"/>
  <c r="D4035" i="2"/>
  <c r="D4034" i="2"/>
  <c r="D4033" i="2"/>
  <c r="D4032" i="2"/>
  <c r="D4031" i="2"/>
  <c r="D4030" i="2"/>
  <c r="D4029" i="2"/>
  <c r="D4028" i="2"/>
  <c r="D4027" i="2"/>
  <c r="D4040" i="2"/>
  <c r="D4024" i="2"/>
  <c r="D4026" i="2"/>
  <c r="D4025" i="2"/>
  <c r="D4023" i="2"/>
  <c r="D4022" i="2"/>
  <c r="D4021" i="2"/>
  <c r="D3517" i="2"/>
  <c r="D3955" i="2"/>
  <c r="D4008" i="2"/>
  <c r="D4019" i="2"/>
  <c r="D4018" i="2"/>
  <c r="D4017" i="2"/>
  <c r="D4014" i="2"/>
  <c r="D4013" i="2"/>
  <c r="D4012" i="2"/>
  <c r="D4011" i="2"/>
  <c r="D4010" i="2"/>
  <c r="D4015" i="2"/>
  <c r="D4007" i="2"/>
  <c r="D4001" i="2"/>
  <c r="D4006" i="2"/>
  <c r="D4005" i="2"/>
  <c r="D4004" i="2"/>
  <c r="D4003" i="2"/>
  <c r="D4000" i="2"/>
  <c r="D4002" i="2"/>
  <c r="D3999" i="2"/>
  <c r="D3998" i="2"/>
  <c r="D3996" i="2"/>
  <c r="D3990" i="2"/>
  <c r="D3989" i="2"/>
  <c r="D3994" i="2"/>
  <c r="D3993" i="2"/>
  <c r="D3992" i="2"/>
  <c r="D3995" i="2"/>
  <c r="D3991" i="2"/>
  <c r="D3988" i="2"/>
  <c r="D3981" i="2"/>
  <c r="D3980" i="2"/>
  <c r="D3979" i="2"/>
  <c r="D3978" i="2"/>
  <c r="D3987" i="2"/>
  <c r="D3986" i="2"/>
  <c r="D3985" i="2"/>
  <c r="D3984" i="2"/>
  <c r="D3977" i="2"/>
  <c r="D3975" i="2"/>
  <c r="D3976" i="2"/>
  <c r="D3974" i="2"/>
  <c r="D3973" i="2"/>
  <c r="D3972" i="2"/>
  <c r="D3970" i="2"/>
  <c r="D3971" i="2"/>
  <c r="D3969" i="2"/>
  <c r="D3968" i="2"/>
  <c r="D3967" i="2"/>
  <c r="D3965" i="2"/>
  <c r="D3962" i="2"/>
  <c r="D3961" i="2"/>
  <c r="D3964" i="2"/>
  <c r="D3963" i="2"/>
  <c r="D3960" i="2"/>
  <c r="D3959" i="2"/>
  <c r="D3958" i="2"/>
  <c r="D3957" i="2"/>
  <c r="D3956" i="2"/>
  <c r="D3966" i="2"/>
  <c r="D3954" i="2"/>
  <c r="D2179" i="2"/>
  <c r="D3953" i="2"/>
  <c r="D3952" i="2"/>
  <c r="D802" i="2"/>
  <c r="D3911" i="2"/>
  <c r="D3937" i="2"/>
  <c r="D3951" i="2"/>
  <c r="D3950" i="2"/>
  <c r="D3949" i="2"/>
  <c r="D3948" i="2"/>
  <c r="D3947" i="2"/>
  <c r="D3946" i="2"/>
  <c r="D3945" i="2"/>
  <c r="D3944" i="2"/>
  <c r="D3943" i="2"/>
  <c r="D3942" i="2"/>
  <c r="D3941" i="2"/>
  <c r="D3940" i="2"/>
  <c r="D3936" i="2"/>
  <c r="D3935" i="2"/>
  <c r="D3934" i="2"/>
  <c r="D3933" i="2"/>
  <c r="D3932" i="2"/>
  <c r="D3931" i="2"/>
  <c r="D3930" i="2"/>
  <c r="D3929" i="2"/>
  <c r="D3928" i="2"/>
  <c r="D3925" i="2"/>
  <c r="D3923" i="2"/>
  <c r="D3927" i="2"/>
  <c r="D3926" i="2"/>
  <c r="D3924" i="2"/>
  <c r="D3920" i="2"/>
  <c r="D3919" i="2"/>
  <c r="D3918" i="2"/>
  <c r="D3917" i="2"/>
  <c r="D3916" i="2"/>
  <c r="D3915" i="2"/>
  <c r="D3914" i="2"/>
  <c r="D3913" i="2"/>
  <c r="D3922" i="2"/>
  <c r="D3912" i="2"/>
  <c r="D3939" i="2"/>
  <c r="D3938" i="2"/>
  <c r="D3910" i="2"/>
  <c r="D3921" i="2"/>
  <c r="D3847" i="2"/>
  <c r="D3846" i="2"/>
  <c r="D3845" i="2"/>
  <c r="D3844" i="2"/>
  <c r="D3843" i="2"/>
  <c r="D3842" i="2"/>
  <c r="D3841" i="2"/>
  <c r="D3856" i="2"/>
  <c r="D3859" i="2"/>
  <c r="D3876" i="2"/>
  <c r="D3875" i="2"/>
  <c r="D3874" i="2"/>
  <c r="D3873" i="2"/>
  <c r="D3877" i="2"/>
  <c r="D3872" i="2"/>
  <c r="D3909" i="2"/>
  <c r="D3908" i="2"/>
  <c r="D3907" i="2"/>
  <c r="D3906" i="2"/>
  <c r="D3905" i="2"/>
  <c r="D3904" i="2"/>
  <c r="D3892" i="2"/>
  <c r="D3903" i="2"/>
  <c r="D3898" i="2"/>
  <c r="D3899" i="2"/>
  <c r="D3902" i="2"/>
  <c r="D3901" i="2"/>
  <c r="D3896" i="2"/>
  <c r="D3895" i="2"/>
  <c r="D3894" i="2"/>
  <c r="D3893" i="2"/>
  <c r="D3897" i="2"/>
  <c r="D3871" i="2"/>
  <c r="D3870" i="2"/>
  <c r="D3867" i="2"/>
  <c r="D3869" i="2"/>
  <c r="D3868" i="2"/>
  <c r="D3866" i="2"/>
  <c r="D3865" i="2"/>
  <c r="D3864" i="2"/>
  <c r="D3863" i="2"/>
  <c r="D3862" i="2"/>
  <c r="D3861" i="2"/>
  <c r="D3860" i="2"/>
  <c r="D3852" i="2"/>
  <c r="D3858" i="2"/>
  <c r="D3857" i="2"/>
  <c r="D3851" i="2"/>
  <c r="D3850" i="2"/>
  <c r="D3889" i="2"/>
  <c r="D3888" i="2"/>
  <c r="D3887" i="2"/>
  <c r="D3886" i="2"/>
  <c r="D3885" i="2"/>
  <c r="D3884" i="2"/>
  <c r="D3883" i="2"/>
  <c r="D3882" i="2"/>
  <c r="D3881" i="2"/>
  <c r="D3880" i="2"/>
  <c r="D3879" i="2"/>
  <c r="D3878" i="2"/>
  <c r="D3840" i="2"/>
  <c r="D3855" i="2"/>
  <c r="D3854" i="2"/>
  <c r="D3853" i="2"/>
  <c r="D3834" i="2"/>
  <c r="D3833" i="2"/>
  <c r="D3821" i="2"/>
  <c r="D3828" i="2"/>
  <c r="D3827" i="2"/>
  <c r="D3839" i="2"/>
  <c r="D3838" i="2"/>
  <c r="D3837" i="2"/>
  <c r="D3836" i="2"/>
  <c r="D3835" i="2"/>
  <c r="D3826" i="2"/>
  <c r="D3825" i="2"/>
  <c r="D3824" i="2"/>
  <c r="D3823" i="2"/>
  <c r="D3822" i="2"/>
  <c r="D3831" i="2"/>
  <c r="D3830" i="2"/>
  <c r="D3829" i="2"/>
  <c r="D3832" i="2"/>
  <c r="D3820" i="2"/>
  <c r="D3801" i="2"/>
  <c r="D3800" i="2"/>
  <c r="D3799" i="2"/>
  <c r="D3798" i="2"/>
  <c r="D3819" i="2"/>
  <c r="D3814" i="2"/>
  <c r="D3813" i="2"/>
  <c r="D3817" i="2"/>
  <c r="D3818" i="2"/>
  <c r="D3812" i="2"/>
  <c r="D3815" i="2"/>
  <c r="D3816" i="2"/>
  <c r="D3804" i="2"/>
  <c r="D3803" i="2"/>
  <c r="D3802" i="2"/>
  <c r="D3811" i="2"/>
  <c r="D3810" i="2"/>
  <c r="D3809" i="2"/>
  <c r="D3808" i="2"/>
  <c r="D3807" i="2"/>
  <c r="D3806" i="2"/>
  <c r="D3805" i="2"/>
  <c r="D3797" i="2"/>
  <c r="D3796" i="2"/>
  <c r="D3754" i="2"/>
  <c r="D3753" i="2"/>
  <c r="D3752" i="2"/>
  <c r="D3751" i="2"/>
  <c r="D3783" i="2"/>
  <c r="D3782" i="2"/>
  <c r="D3781" i="2"/>
  <c r="D3780" i="2"/>
  <c r="D3779" i="2"/>
  <c r="D3778" i="2"/>
  <c r="D3777" i="2"/>
  <c r="D3776" i="2"/>
  <c r="D3775" i="2"/>
  <c r="D3764" i="2"/>
  <c r="D3772" i="2"/>
  <c r="D3771" i="2"/>
  <c r="D3770" i="2"/>
  <c r="D3795" i="2"/>
  <c r="D3794" i="2"/>
  <c r="D3793" i="2"/>
  <c r="D3792" i="2"/>
  <c r="D3791" i="2"/>
  <c r="D3785" i="2"/>
  <c r="D3789" i="2"/>
  <c r="D3790" i="2"/>
  <c r="D3786" i="2"/>
  <c r="D3788" i="2"/>
  <c r="D3774" i="2"/>
  <c r="D3773" i="2"/>
  <c r="D3768" i="2"/>
  <c r="D3769" i="2"/>
  <c r="D3767" i="2"/>
  <c r="D3766" i="2"/>
  <c r="D3765" i="2"/>
  <c r="D3763" i="2"/>
  <c r="D3762" i="2"/>
  <c r="D3761" i="2"/>
  <c r="D3760" i="2"/>
  <c r="D3756" i="2"/>
  <c r="D3750" i="2"/>
  <c r="D3759" i="2"/>
  <c r="D3758" i="2"/>
  <c r="D3757" i="2"/>
  <c r="D3755" i="2"/>
  <c r="D3705" i="2"/>
  <c r="D3704" i="2"/>
  <c r="D3703" i="2"/>
  <c r="D3702" i="2"/>
  <c r="D3701" i="2"/>
  <c r="D3700" i="2"/>
  <c r="D3713" i="2"/>
  <c r="D3725" i="2"/>
  <c r="D3724" i="2"/>
  <c r="D3749" i="2"/>
  <c r="D3748" i="2"/>
  <c r="D3747" i="2"/>
  <c r="D3744" i="2"/>
  <c r="D3746" i="2"/>
  <c r="D3742" i="2"/>
  <c r="D3745" i="2"/>
  <c r="D3740" i="2"/>
  <c r="D3738" i="2"/>
  <c r="D3743" i="2"/>
  <c r="D3741" i="2"/>
  <c r="D3737" i="2"/>
  <c r="D3726" i="2"/>
  <c r="D3723" i="2"/>
  <c r="D3722" i="2"/>
  <c r="D3721" i="2"/>
  <c r="D3720" i="2"/>
  <c r="D3719" i="2"/>
  <c r="D3718" i="2"/>
  <c r="D3717" i="2"/>
  <c r="D3716" i="2"/>
  <c r="D3715" i="2"/>
  <c r="D3714" i="2"/>
  <c r="D3712" i="2"/>
  <c r="D3709" i="2"/>
  <c r="D3711" i="2"/>
  <c r="D3708" i="2"/>
  <c r="D3707" i="2"/>
  <c r="D3736" i="2"/>
  <c r="D3735" i="2"/>
  <c r="D3734" i="2"/>
  <c r="D3733" i="2"/>
  <c r="D3732" i="2"/>
  <c r="D3731" i="2"/>
  <c r="D3730" i="2"/>
  <c r="D3729" i="2"/>
  <c r="D3728" i="2"/>
  <c r="D3727" i="2"/>
  <c r="D3699" i="2"/>
  <c r="D3710" i="2"/>
  <c r="D3706" i="2"/>
  <c r="D3685" i="2"/>
  <c r="D3684" i="2"/>
  <c r="D3691" i="2"/>
  <c r="D3690" i="2"/>
  <c r="D3698" i="2"/>
  <c r="D3697" i="2"/>
  <c r="D3695" i="2"/>
  <c r="D3694" i="2"/>
  <c r="D3689" i="2"/>
  <c r="D3688" i="2"/>
  <c r="D3687" i="2"/>
  <c r="D3686" i="2"/>
  <c r="D3693" i="2"/>
  <c r="D3692" i="2"/>
  <c r="D3683" i="2"/>
  <c r="D3639" i="2"/>
  <c r="D3638" i="2"/>
  <c r="D3682" i="2"/>
  <c r="D3642" i="2"/>
  <c r="D3641" i="2"/>
  <c r="D3640" i="2"/>
  <c r="D3637" i="2"/>
  <c r="D3636" i="2"/>
  <c r="D3635" i="2"/>
  <c r="D3647" i="2"/>
  <c r="D3652" i="2"/>
  <c r="D3651" i="2"/>
  <c r="D3650" i="2"/>
  <c r="D3656" i="2"/>
  <c r="D3653" i="2"/>
  <c r="D3666" i="2"/>
  <c r="D3665" i="2"/>
  <c r="D3663" i="2"/>
  <c r="D3681" i="2"/>
  <c r="D3680" i="2"/>
  <c r="D3679" i="2"/>
  <c r="D3678" i="2"/>
  <c r="D3677" i="2"/>
  <c r="D3676" i="2"/>
  <c r="D3673" i="2"/>
  <c r="D3672" i="2"/>
  <c r="D3674" i="2"/>
  <c r="D3675" i="2"/>
  <c r="D3662" i="2"/>
  <c r="D3660" i="2"/>
  <c r="D3661" i="2"/>
  <c r="D3659" i="2"/>
  <c r="D3658" i="2"/>
  <c r="D3657" i="2"/>
  <c r="D3655" i="2"/>
  <c r="D3646" i="2"/>
  <c r="D3654" i="2"/>
  <c r="D3645" i="2"/>
  <c r="D3649" i="2"/>
  <c r="D3644" i="2"/>
  <c r="D3648" i="2"/>
  <c r="D3643" i="2"/>
  <c r="D3670" i="2"/>
  <c r="D3669" i="2"/>
  <c r="D3668" i="2"/>
  <c r="D3667" i="2"/>
  <c r="D3634" i="2"/>
  <c r="D3891" i="2"/>
  <c r="D1333" i="2"/>
  <c r="D1554" i="2"/>
  <c r="D3633" i="2"/>
  <c r="D3632" i="2"/>
  <c r="D3623" i="2"/>
  <c r="D3627" i="2"/>
  <c r="D3626" i="2"/>
  <c r="D3631" i="2"/>
  <c r="D3629" i="2"/>
  <c r="D3625" i="2"/>
  <c r="D3624" i="2"/>
  <c r="D3628" i="2"/>
  <c r="D3622" i="2"/>
  <c r="D3608" i="2"/>
  <c r="D3609" i="2"/>
  <c r="D3613" i="2"/>
  <c r="D3621" i="2"/>
  <c r="D3617" i="2"/>
  <c r="D3619" i="2"/>
  <c r="D3618" i="2"/>
  <c r="D3612" i="2"/>
  <c r="D3611" i="2"/>
  <c r="D3610" i="2"/>
  <c r="D3616" i="2"/>
  <c r="D3615" i="2"/>
  <c r="D3614" i="2"/>
  <c r="D3607" i="2"/>
  <c r="D4128" i="2"/>
  <c r="D3606" i="2"/>
  <c r="D3573" i="2"/>
  <c r="D3572" i="2"/>
  <c r="D3583" i="2"/>
  <c r="D3590" i="2"/>
  <c r="D3605" i="2"/>
  <c r="D3604" i="2"/>
  <c r="D3603" i="2"/>
  <c r="D3600" i="2"/>
  <c r="D3599" i="2"/>
  <c r="D3601" i="2"/>
  <c r="D3597" i="2"/>
  <c r="D3602" i="2"/>
  <c r="D3589" i="2"/>
  <c r="D3587" i="2"/>
  <c r="D3588" i="2"/>
  <c r="D3586" i="2"/>
  <c r="D3585" i="2"/>
  <c r="D3584" i="2"/>
  <c r="D3582" i="2"/>
  <c r="D3577" i="2"/>
  <c r="D3581" i="2"/>
  <c r="D3576" i="2"/>
  <c r="D3580" i="2"/>
  <c r="D3596" i="2"/>
  <c r="D3595" i="2"/>
  <c r="D3594" i="2"/>
  <c r="D3593" i="2"/>
  <c r="D3592" i="2"/>
  <c r="D3591" i="2"/>
  <c r="D3571" i="2"/>
  <c r="D3579" i="2"/>
  <c r="D3578" i="2"/>
  <c r="D3575" i="2"/>
  <c r="D4057" i="2"/>
  <c r="D3520" i="2"/>
  <c r="D3518" i="2"/>
  <c r="D4009" i="2"/>
  <c r="D3551" i="2"/>
  <c r="D2890" i="2"/>
  <c r="D3570" i="2"/>
  <c r="D3569" i="2"/>
  <c r="D3568" i="2"/>
  <c r="D3567" i="2"/>
  <c r="D3521" i="2"/>
  <c r="D3519" i="2"/>
  <c r="D3547" i="2"/>
  <c r="D3529" i="2"/>
  <c r="D3535" i="2"/>
  <c r="D3534" i="2"/>
  <c r="D3539" i="2"/>
  <c r="D3538" i="2"/>
  <c r="D3537" i="2"/>
  <c r="D3536" i="2"/>
  <c r="D3566" i="2"/>
  <c r="D3565" i="2"/>
  <c r="D3564" i="2"/>
  <c r="D3563" i="2"/>
  <c r="D3562" i="2"/>
  <c r="D3561" i="2"/>
  <c r="D3560" i="2"/>
  <c r="D3559" i="2"/>
  <c r="D3553" i="2"/>
  <c r="D3550" i="2"/>
  <c r="D3552" i="2"/>
  <c r="D3558" i="2"/>
  <c r="D3548" i="2"/>
  <c r="D3554" i="2"/>
  <c r="D3533" i="2"/>
  <c r="D3532" i="2"/>
  <c r="D3531" i="2"/>
  <c r="D3530" i="2"/>
  <c r="D3524" i="2"/>
  <c r="D3523" i="2"/>
  <c r="D3528" i="2"/>
  <c r="D3527" i="2"/>
  <c r="D3526" i="2"/>
  <c r="D3525" i="2"/>
  <c r="D3522" i="2"/>
  <c r="D3546" i="2"/>
  <c r="D3545" i="2"/>
  <c r="D3544" i="2"/>
  <c r="D3543" i="2"/>
  <c r="D3542" i="2"/>
  <c r="D3541" i="2"/>
  <c r="D3540" i="2"/>
  <c r="D3556" i="2"/>
  <c r="D3516" i="2"/>
  <c r="D3497" i="2"/>
  <c r="D4082" i="2"/>
  <c r="D3506" i="2"/>
  <c r="D980" i="2"/>
  <c r="D3515" i="2"/>
  <c r="D3514" i="2"/>
  <c r="D3500" i="2"/>
  <c r="D3499" i="2"/>
  <c r="D3498" i="2"/>
  <c r="D3496" i="2"/>
  <c r="D3504" i="2"/>
  <c r="D3503" i="2"/>
  <c r="D3502" i="2"/>
  <c r="D3513" i="2"/>
  <c r="D3505" i="2"/>
  <c r="D3501" i="2"/>
  <c r="D3507" i="2"/>
  <c r="D3510" i="2"/>
  <c r="D3512" i="2"/>
  <c r="D3509" i="2"/>
  <c r="D3495" i="2"/>
  <c r="D3549" i="2"/>
  <c r="D3739" i="2"/>
  <c r="D3787" i="2"/>
  <c r="D4107" i="2"/>
  <c r="D3494" i="2"/>
  <c r="D3493" i="2"/>
  <c r="D3848" i="2"/>
  <c r="D4020" i="2"/>
  <c r="D3240" i="2"/>
  <c r="D3574" i="2"/>
  <c r="D3508" i="2"/>
  <c r="D3492" i="2"/>
  <c r="D3488" i="2"/>
  <c r="D3491" i="2"/>
  <c r="D3485" i="2"/>
  <c r="D3487" i="2"/>
  <c r="D3486" i="2"/>
  <c r="D3484" i="2"/>
  <c r="D3483" i="2"/>
  <c r="D3405" i="2"/>
  <c r="D3404" i="2"/>
  <c r="D3403" i="2"/>
  <c r="D3457" i="2"/>
  <c r="D3459" i="2"/>
  <c r="D3449" i="2"/>
  <c r="D3455" i="2"/>
  <c r="D3448" i="2"/>
  <c r="D3461" i="2"/>
  <c r="D3482" i="2"/>
  <c r="D3481" i="2"/>
  <c r="D3480" i="2"/>
  <c r="D3479" i="2"/>
  <c r="D3478" i="2"/>
  <c r="D3477" i="2"/>
  <c r="D3476" i="2"/>
  <c r="D3475" i="2"/>
  <c r="D3402" i="2"/>
  <c r="D3401" i="2"/>
  <c r="D3400" i="2"/>
  <c r="D3399" i="2"/>
  <c r="D3398" i="2"/>
  <c r="D3397" i="2"/>
  <c r="D3396" i="2"/>
  <c r="D3395" i="2"/>
  <c r="D3394" i="2"/>
  <c r="D3393" i="2"/>
  <c r="D3392" i="2"/>
  <c r="D3445" i="2"/>
  <c r="D3444" i="2"/>
  <c r="D3443" i="2"/>
  <c r="D3442" i="2"/>
  <c r="D3415" i="2"/>
  <c r="D3432" i="2"/>
  <c r="D3431" i="2"/>
  <c r="D3430" i="2"/>
  <c r="D3429" i="2"/>
  <c r="D3426" i="2"/>
  <c r="D3425" i="2"/>
  <c r="D3474" i="2"/>
  <c r="D3473" i="2"/>
  <c r="D3472" i="2"/>
  <c r="D3471" i="2"/>
  <c r="D3470" i="2"/>
  <c r="D3469" i="2"/>
  <c r="D3468" i="2"/>
  <c r="D3467" i="2"/>
  <c r="D3466" i="2"/>
  <c r="D3465" i="2"/>
  <c r="D3464" i="2"/>
  <c r="D3463" i="2"/>
  <c r="D3462" i="2"/>
  <c r="D3447" i="2"/>
  <c r="D3456" i="2"/>
  <c r="D3446" i="2"/>
  <c r="D3454" i="2"/>
  <c r="D3458" i="2"/>
  <c r="D3460" i="2"/>
  <c r="D3453" i="2"/>
  <c r="D3451" i="2"/>
  <c r="D3452" i="2"/>
  <c r="D3450" i="2"/>
  <c r="D3441" i="2"/>
  <c r="D3428" i="2"/>
  <c r="D3424" i="2"/>
  <c r="D3423" i="2"/>
  <c r="D3422" i="2"/>
  <c r="D3421" i="2"/>
  <c r="D3419" i="2"/>
  <c r="D3417" i="2"/>
  <c r="D3420" i="2"/>
  <c r="D3418" i="2"/>
  <c r="D3416" i="2"/>
  <c r="D3410" i="2"/>
  <c r="D3414" i="2"/>
  <c r="D3409" i="2"/>
  <c r="D3413" i="2"/>
  <c r="D3408" i="2"/>
  <c r="D3412" i="2"/>
  <c r="D3407" i="2"/>
  <c r="D3440" i="2"/>
  <c r="D3439" i="2"/>
  <c r="D3438" i="2"/>
  <c r="D3437" i="2"/>
  <c r="D3436" i="2"/>
  <c r="D3435" i="2"/>
  <c r="D3434" i="2"/>
  <c r="D3433" i="2"/>
  <c r="D3411" i="2"/>
  <c r="D3406" i="2"/>
  <c r="D3391" i="2"/>
  <c r="D3239" i="2"/>
  <c r="D3238" i="2"/>
  <c r="D3232" i="2"/>
  <c r="D3345" i="2"/>
  <c r="D1332" i="2"/>
  <c r="D3344" i="2"/>
  <c r="D3315" i="2"/>
  <c r="D3336" i="2"/>
  <c r="D3313" i="2"/>
  <c r="D3330" i="2"/>
  <c r="D1553" i="2"/>
  <c r="D3326" i="2"/>
  <c r="D3341" i="2"/>
  <c r="D3329" i="2"/>
  <c r="D1331" i="2"/>
  <c r="D3331" i="2"/>
  <c r="D1552" i="2"/>
  <c r="D3311" i="2"/>
  <c r="D3328" i="2"/>
  <c r="D3309" i="2"/>
  <c r="D3340" i="2"/>
  <c r="D3282" i="2"/>
  <c r="D3281" i="2"/>
  <c r="D3280" i="2"/>
  <c r="D3332" i="2"/>
  <c r="D3390" i="2"/>
  <c r="D3389" i="2"/>
  <c r="D3388" i="2"/>
  <c r="D3387" i="2"/>
  <c r="D3386" i="2"/>
  <c r="D3385" i="2"/>
  <c r="D3384" i="2"/>
  <c r="D3383" i="2"/>
  <c r="D3382" i="2"/>
  <c r="D3381" i="2"/>
  <c r="D3380" i="2"/>
  <c r="D3379" i="2"/>
  <c r="D3378" i="2"/>
  <c r="D3377" i="2"/>
  <c r="D3376" i="2"/>
  <c r="D3375" i="2"/>
  <c r="D3374" i="2"/>
  <c r="D3373" i="2"/>
  <c r="D3372" i="2"/>
  <c r="D3371" i="2"/>
  <c r="D3370" i="2"/>
  <c r="D3237" i="2"/>
  <c r="D3236" i="2"/>
  <c r="D3235" i="2"/>
  <c r="D3234" i="2"/>
  <c r="D3233" i="2"/>
  <c r="D3231" i="2"/>
  <c r="D3230" i="2"/>
  <c r="D3297" i="2"/>
  <c r="D3296" i="2"/>
  <c r="D3295" i="2"/>
  <c r="D3294" i="2"/>
  <c r="D3293" i="2"/>
  <c r="D3267" i="2"/>
  <c r="D3287" i="2"/>
  <c r="D3286" i="2"/>
  <c r="D3285" i="2"/>
  <c r="D3284" i="2"/>
  <c r="D3283"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16" i="2"/>
  <c r="D3318" i="2"/>
  <c r="D3308" i="2"/>
  <c r="D3312" i="2"/>
  <c r="D3334" i="2"/>
  <c r="D3333" i="2"/>
  <c r="D3335" i="2"/>
  <c r="D3324" i="2"/>
  <c r="D3327" i="2"/>
  <c r="D3279" i="2"/>
  <c r="D3278" i="2"/>
  <c r="D3276" i="2"/>
  <c r="D3275" i="2"/>
  <c r="D3277" i="2"/>
  <c r="D3274" i="2"/>
  <c r="D3273" i="2"/>
  <c r="D3272" i="2"/>
  <c r="D3271" i="2"/>
  <c r="D3270" i="2"/>
  <c r="D3269" i="2"/>
  <c r="D3268" i="2"/>
  <c r="D3258" i="2"/>
  <c r="D3266" i="2"/>
  <c r="D3265" i="2"/>
  <c r="D3248" i="2"/>
  <c r="D3247" i="2"/>
  <c r="D3264" i="2"/>
  <c r="D3263" i="2"/>
  <c r="D3246" i="2"/>
  <c r="D3262" i="2"/>
  <c r="D3261" i="2"/>
  <c r="D3245" i="2"/>
  <c r="D3260" i="2"/>
  <c r="D3244" i="2"/>
  <c r="D3243" i="2"/>
  <c r="D3259" i="2"/>
  <c r="D3242" i="2"/>
  <c r="D3257" i="2"/>
  <c r="D3256" i="2"/>
  <c r="D3241" i="2"/>
  <c r="D3292" i="2"/>
  <c r="D3291" i="2"/>
  <c r="D3290" i="2"/>
  <c r="D3289" i="2"/>
  <c r="D3288" i="2"/>
  <c r="D3310" i="2"/>
  <c r="D3339" i="2"/>
  <c r="D3322" i="2"/>
  <c r="D3342" i="2"/>
  <c r="D3314" i="2"/>
  <c r="D3255" i="2"/>
  <c r="D3254" i="2"/>
  <c r="D3253" i="2"/>
  <c r="D3252" i="2"/>
  <c r="D3251" i="2"/>
  <c r="D3250" i="2"/>
  <c r="D3249" i="2"/>
  <c r="D3229" i="2"/>
  <c r="D3175" i="2"/>
  <c r="D3220" i="2"/>
  <c r="D3228" i="2"/>
  <c r="D3227" i="2"/>
  <c r="D3226" i="2"/>
  <c r="D3225" i="2"/>
  <c r="D3224" i="2"/>
  <c r="D3223" i="2"/>
  <c r="D3174" i="2"/>
  <c r="D3173" i="2"/>
  <c r="D3172" i="2"/>
  <c r="D3171" i="2"/>
  <c r="D3170" i="2"/>
  <c r="D3169" i="2"/>
  <c r="D3167" i="2"/>
  <c r="D3180" i="2"/>
  <c r="D3198" i="2"/>
  <c r="D3196" i="2"/>
  <c r="D3195" i="2"/>
  <c r="D3194" i="2"/>
  <c r="D3222" i="2"/>
  <c r="D3221" i="2"/>
  <c r="D3219" i="2"/>
  <c r="D3215" i="2"/>
  <c r="D3201" i="2"/>
  <c r="D3200" i="2"/>
  <c r="D3199" i="2"/>
  <c r="D3197" i="2"/>
  <c r="D3193" i="2"/>
  <c r="D3192" i="2"/>
  <c r="D3191" i="2"/>
  <c r="D3190" i="2"/>
  <c r="D3189" i="2"/>
  <c r="D3188" i="2"/>
  <c r="D3187" i="2"/>
  <c r="D3186" i="2"/>
  <c r="D3185" i="2"/>
  <c r="D3184" i="2"/>
  <c r="D3183" i="2"/>
  <c r="D3182" i="2"/>
  <c r="D3181" i="2"/>
  <c r="D3178" i="2"/>
  <c r="D3179" i="2"/>
  <c r="D3177" i="2"/>
  <c r="D3211" i="2"/>
  <c r="D3210" i="2"/>
  <c r="D3209" i="2"/>
  <c r="D3208" i="2"/>
  <c r="D3207" i="2"/>
  <c r="D3206" i="2"/>
  <c r="D3205" i="2"/>
  <c r="D3204" i="2"/>
  <c r="D3203" i="2"/>
  <c r="D3202" i="2"/>
  <c r="D3218" i="2"/>
  <c r="D3214" i="2"/>
  <c r="D3217" i="2"/>
  <c r="D3216" i="2"/>
  <c r="D3213" i="2"/>
  <c r="D3176" i="2"/>
  <c r="D3166" i="2"/>
  <c r="D3066" i="2"/>
  <c r="D3065" i="2"/>
  <c r="D3064" i="2"/>
  <c r="D3127" i="2"/>
  <c r="D3136" i="2"/>
  <c r="D3164" i="2"/>
  <c r="D3163" i="2"/>
  <c r="D3165" i="2"/>
  <c r="D3162" i="2"/>
  <c r="D3161" i="2"/>
  <c r="D3160" i="2"/>
  <c r="D3159" i="2"/>
  <c r="D3158" i="2"/>
  <c r="D3157" i="2"/>
  <c r="D3156" i="2"/>
  <c r="D3068" i="2"/>
  <c r="D3067" i="2"/>
  <c r="D3063" i="2"/>
  <c r="D3062" i="2"/>
  <c r="D3155" i="2"/>
  <c r="D3154" i="2"/>
  <c r="D3153" i="2"/>
  <c r="D3152" i="2"/>
  <c r="D3151" i="2"/>
  <c r="D3150" i="2"/>
  <c r="D3149" i="2"/>
  <c r="D3148" i="2"/>
  <c r="D3147" i="2"/>
  <c r="D3146" i="2"/>
  <c r="D3145" i="2"/>
  <c r="D3144" i="2"/>
  <c r="D3143" i="2"/>
  <c r="D3142" i="2"/>
  <c r="D3141" i="2"/>
  <c r="D3140" i="2"/>
  <c r="D3126" i="2"/>
  <c r="D3123" i="2"/>
  <c r="D3130" i="2"/>
  <c r="D3133" i="2"/>
  <c r="D3135" i="2"/>
  <c r="D3131" i="2"/>
  <c r="D3134" i="2"/>
  <c r="D3129" i="2"/>
  <c r="D3125" i="2"/>
  <c r="D3124" i="2"/>
  <c r="D3121"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128" i="2"/>
  <c r="D3138" i="2"/>
  <c r="D3137" i="2"/>
  <c r="D3139" i="2"/>
  <c r="D3122" i="2"/>
  <c r="D3061" i="2"/>
  <c r="D3664" i="2"/>
  <c r="D417" i="2"/>
  <c r="D3337" i="2"/>
  <c r="D3343" i="2"/>
  <c r="D3338" i="2"/>
  <c r="D2178" i="2"/>
  <c r="D3598" i="2"/>
  <c r="D3060" i="2"/>
  <c r="D3059" i="2"/>
  <c r="D3031" i="2"/>
  <c r="D3058" i="2"/>
  <c r="D3054" i="2"/>
  <c r="D3053" i="2"/>
  <c r="D3041" i="2"/>
  <c r="D3039" i="2"/>
  <c r="D3038" i="2"/>
  <c r="D3040" i="2"/>
  <c r="D3037" i="2"/>
  <c r="D3036" i="2"/>
  <c r="D3035" i="2"/>
  <c r="D3034" i="2"/>
  <c r="D3033" i="2"/>
  <c r="D3032" i="2"/>
  <c r="D3049" i="2"/>
  <c r="D3048" i="2"/>
  <c r="D3047" i="2"/>
  <c r="D3046" i="2"/>
  <c r="D3045" i="2"/>
  <c r="D3044" i="2"/>
  <c r="D3043" i="2"/>
  <c r="D3042" i="2"/>
  <c r="D3050" i="2"/>
  <c r="D3051" i="2"/>
  <c r="D3052" i="2"/>
  <c r="D3056" i="2"/>
  <c r="D3057" i="2"/>
  <c r="D3030" i="2"/>
  <c r="D3168" i="2"/>
  <c r="D1916" i="2"/>
  <c r="D2980" i="2"/>
  <c r="D3028" i="2"/>
  <c r="D3029" i="2"/>
  <c r="D2979" i="2"/>
  <c r="D2978" i="2"/>
  <c r="D3008" i="2"/>
  <c r="D3027" i="2"/>
  <c r="D3012" i="2"/>
  <c r="D3022" i="2"/>
  <c r="D3024" i="2"/>
  <c r="D3026" i="2"/>
  <c r="D3021" i="2"/>
  <c r="D3015" i="2"/>
  <c r="D3013" i="2"/>
  <c r="D3016" i="2"/>
  <c r="D3019" i="2"/>
  <c r="D3025" i="2"/>
  <c r="D3023" i="2"/>
  <c r="D2991" i="2"/>
  <c r="D2990" i="2"/>
  <c r="D2989" i="2"/>
  <c r="D2988" i="2"/>
  <c r="D2987" i="2"/>
  <c r="D2982" i="2"/>
  <c r="D2986" i="2"/>
  <c r="D2985" i="2"/>
  <c r="D2984" i="2"/>
  <c r="D2983" i="2"/>
  <c r="D2981" i="2"/>
  <c r="D3007" i="2"/>
  <c r="D3006" i="2"/>
  <c r="D3005" i="2"/>
  <c r="D3004" i="2"/>
  <c r="D3003" i="2"/>
  <c r="D3002" i="2"/>
  <c r="D3001" i="2"/>
  <c r="D3000" i="2"/>
  <c r="D2999" i="2"/>
  <c r="D2998" i="2"/>
  <c r="D2997" i="2"/>
  <c r="D2996" i="2"/>
  <c r="D2995" i="2"/>
  <c r="D2994" i="2"/>
  <c r="D2993" i="2"/>
  <c r="D2992" i="2"/>
  <c r="D3017" i="2"/>
  <c r="D3018" i="2"/>
  <c r="D3020" i="2"/>
  <c r="D3011" i="2"/>
  <c r="D3014" i="2"/>
  <c r="D2977" i="2"/>
  <c r="D56" i="2"/>
  <c r="D3055" i="2"/>
  <c r="D2976" i="2"/>
  <c r="D2975" i="2"/>
  <c r="D2940" i="2"/>
  <c r="D2942" i="2"/>
  <c r="D2941" i="2"/>
  <c r="D2974" i="2"/>
  <c r="D2973" i="2"/>
  <c r="D2972" i="2"/>
  <c r="D2971" i="2"/>
  <c r="D2970" i="2"/>
  <c r="D2969" i="2"/>
  <c r="D2968" i="2"/>
  <c r="D2967" i="2"/>
  <c r="D2966" i="2"/>
  <c r="D2965" i="2"/>
  <c r="D2964" i="2"/>
  <c r="D2963" i="2"/>
  <c r="D2961" i="2"/>
  <c r="D2955" i="2"/>
  <c r="D2954" i="2"/>
  <c r="D2952" i="2"/>
  <c r="D2951" i="2"/>
  <c r="D2950" i="2"/>
  <c r="D2949" i="2"/>
  <c r="D2953" i="2"/>
  <c r="D2948" i="2"/>
  <c r="D2947" i="2"/>
  <c r="D2946" i="2"/>
  <c r="D2945" i="2"/>
  <c r="D2944" i="2"/>
  <c r="D2943" i="2"/>
  <c r="D2957" i="2"/>
  <c r="D2956" i="2"/>
  <c r="D2960" i="2"/>
  <c r="D2959" i="2"/>
  <c r="D2962" i="2"/>
  <c r="D2939" i="2"/>
  <c r="D2930" i="2"/>
  <c r="D2931" i="2"/>
  <c r="D2938" i="2"/>
  <c r="D2937" i="2"/>
  <c r="D2936" i="2"/>
  <c r="D2935" i="2"/>
  <c r="D2934" i="2"/>
  <c r="D2933" i="2"/>
  <c r="D2929" i="2"/>
  <c r="D2928" i="2"/>
  <c r="D2932" i="2"/>
  <c r="D2927" i="2"/>
  <c r="D1918" i="2"/>
  <c r="D2864" i="2"/>
  <c r="D2283" i="2"/>
  <c r="D2284" i="2"/>
  <c r="D2285" i="2"/>
  <c r="D1026" i="2"/>
  <c r="D1023" i="2"/>
  <c r="D1024" i="2"/>
  <c r="D2883" i="2"/>
  <c r="D4139" i="2"/>
  <c r="D1027" i="2"/>
  <c r="D1025" i="2"/>
  <c r="D2049" i="2"/>
  <c r="D214" i="2"/>
  <c r="D678" i="2"/>
  <c r="D3784" i="2"/>
  <c r="D2926" i="2"/>
  <c r="D2925" i="2"/>
  <c r="D2924" i="2"/>
  <c r="D2923" i="2"/>
  <c r="D2922" i="2"/>
  <c r="D2921" i="2"/>
  <c r="D2920" i="2"/>
  <c r="D2919" i="2"/>
  <c r="D2918" i="2"/>
  <c r="D2917" i="2"/>
  <c r="D2916" i="2"/>
  <c r="D2915" i="2"/>
  <c r="D2914" i="2"/>
  <c r="D2865" i="2"/>
  <c r="D2863" i="2"/>
  <c r="D2889" i="2"/>
  <c r="D2888" i="2"/>
  <c r="D2870" i="2"/>
  <c r="D2869" i="2"/>
  <c r="D2913" i="2"/>
  <c r="D2912" i="2"/>
  <c r="D2911" i="2"/>
  <c r="D2910" i="2"/>
  <c r="D2909" i="2"/>
  <c r="D2908" i="2"/>
  <c r="D2907" i="2"/>
  <c r="D2906" i="2"/>
  <c r="D2905" i="2"/>
  <c r="D2904" i="2"/>
  <c r="D2903" i="2"/>
  <c r="D2902" i="2"/>
  <c r="D2901" i="2"/>
  <c r="D2900" i="2"/>
  <c r="D2899" i="2"/>
  <c r="D2881" i="2"/>
  <c r="D2879" i="2"/>
  <c r="D2878" i="2"/>
  <c r="D2877" i="2"/>
  <c r="D2882" i="2"/>
  <c r="D2876" i="2"/>
  <c r="D2875" i="2"/>
  <c r="D2874" i="2"/>
  <c r="D2873" i="2"/>
  <c r="D2872" i="2"/>
  <c r="D2871" i="2"/>
  <c r="D2867" i="2"/>
  <c r="D2866" i="2"/>
  <c r="D2887" i="2"/>
  <c r="D2886" i="2"/>
  <c r="D2885" i="2"/>
  <c r="D2884" i="2"/>
  <c r="D2893" i="2"/>
  <c r="D2891" i="2"/>
  <c r="D2892" i="2"/>
  <c r="D2895" i="2"/>
  <c r="D2894" i="2"/>
  <c r="D2868" i="2"/>
  <c r="D2862" i="2"/>
  <c r="D2858" i="2"/>
  <c r="D2856" i="2"/>
  <c r="D2861" i="2"/>
  <c r="D2855" i="2"/>
  <c r="D2854" i="2"/>
  <c r="D2853" i="2"/>
  <c r="D2852" i="2"/>
  <c r="D2851" i="2"/>
  <c r="D2850" i="2"/>
  <c r="D2857" i="2"/>
  <c r="D2859" i="2"/>
  <c r="D2849" i="2"/>
  <c r="D2848" i="2"/>
  <c r="D2803" i="2"/>
  <c r="D2842" i="2"/>
  <c r="D2834" i="2"/>
  <c r="D2846" i="2"/>
  <c r="D2843" i="2"/>
  <c r="D2833" i="2"/>
  <c r="D2838" i="2"/>
  <c r="D2841" i="2"/>
  <c r="D2845" i="2"/>
  <c r="D2835" i="2"/>
  <c r="D2814" i="2"/>
  <c r="D2811" i="2"/>
  <c r="D2810" i="2"/>
  <c r="D2809" i="2"/>
  <c r="D2813" i="2"/>
  <c r="D2812" i="2"/>
  <c r="D2808" i="2"/>
  <c r="D2807" i="2"/>
  <c r="D2806" i="2"/>
  <c r="D2805" i="2"/>
  <c r="D2804" i="2"/>
  <c r="D2802" i="2"/>
  <c r="D2830" i="2"/>
  <c r="D2829" i="2"/>
  <c r="D2828" i="2"/>
  <c r="D2827" i="2"/>
  <c r="D2826" i="2"/>
  <c r="D2825" i="2"/>
  <c r="D2824" i="2"/>
  <c r="D2823" i="2"/>
  <c r="D2822" i="2"/>
  <c r="D2821" i="2"/>
  <c r="D2820" i="2"/>
  <c r="D2819" i="2"/>
  <c r="D2818" i="2"/>
  <c r="D2817" i="2"/>
  <c r="D2816" i="2"/>
  <c r="D2815" i="2"/>
  <c r="D2840" i="2"/>
  <c r="D2839" i="2"/>
  <c r="D2836" i="2"/>
  <c r="D2837" i="2"/>
  <c r="D2844" i="2"/>
  <c r="D2801" i="2"/>
  <c r="D2744" i="2"/>
  <c r="D2743" i="2"/>
  <c r="D2800" i="2"/>
  <c r="D2742" i="2"/>
  <c r="D2751" i="2"/>
  <c r="D2799" i="2"/>
  <c r="D2798" i="2"/>
  <c r="D2787" i="2"/>
  <c r="D2790" i="2"/>
  <c r="D2797" i="2"/>
  <c r="D2791" i="2"/>
  <c r="D2795" i="2"/>
  <c r="D2796" i="2"/>
  <c r="D2794" i="2"/>
  <c r="D2785" i="2"/>
  <c r="D2771" i="2"/>
  <c r="D2770" i="2"/>
  <c r="D2769" i="2"/>
  <c r="D2768" i="2"/>
  <c r="D2767" i="2"/>
  <c r="D2766" i="2"/>
  <c r="D2765" i="2"/>
  <c r="D2764" i="2"/>
  <c r="D2763" i="2"/>
  <c r="D2762" i="2"/>
  <c r="D2761" i="2"/>
  <c r="D2760" i="2"/>
  <c r="D2759" i="2"/>
  <c r="D2758" i="2"/>
  <c r="D2757" i="2"/>
  <c r="D2756" i="2"/>
  <c r="D2755" i="2"/>
  <c r="D2749" i="2"/>
  <c r="D2754" i="2"/>
  <c r="D2753" i="2"/>
  <c r="D2748" i="2"/>
  <c r="D2752" i="2"/>
  <c r="D2747" i="2"/>
  <c r="D2750" i="2"/>
  <c r="D2746" i="2"/>
  <c r="D2745" i="2"/>
  <c r="D2784" i="2"/>
  <c r="D2783" i="2"/>
  <c r="D2782" i="2"/>
  <c r="D2781" i="2"/>
  <c r="D2780" i="2"/>
  <c r="D2779" i="2"/>
  <c r="D2778" i="2"/>
  <c r="D2777" i="2"/>
  <c r="D2776" i="2"/>
  <c r="D2775" i="2"/>
  <c r="D2774" i="2"/>
  <c r="D2773" i="2"/>
  <c r="D2772" i="2"/>
  <c r="D2789" i="2"/>
  <c r="D2792" i="2"/>
  <c r="D2786" i="2"/>
  <c r="D2793" i="2"/>
  <c r="D2788" i="2"/>
  <c r="D2741" i="2"/>
  <c r="D2687" i="2"/>
  <c r="D415" i="2"/>
  <c r="D2740" i="2"/>
  <c r="D2686" i="2"/>
  <c r="D2685" i="2"/>
  <c r="D2717" i="2"/>
  <c r="D2696" i="2"/>
  <c r="D2739" i="2"/>
  <c r="D2738" i="2"/>
  <c r="D2737" i="2"/>
  <c r="D2736" i="2"/>
  <c r="D2735" i="2"/>
  <c r="D2734" i="2"/>
  <c r="D2733" i="2"/>
  <c r="D2732" i="2"/>
  <c r="D2731" i="2"/>
  <c r="D2730" i="2"/>
  <c r="D2729" i="2"/>
  <c r="D2728" i="2"/>
  <c r="D2727" i="2"/>
  <c r="D2726" i="2"/>
  <c r="D2713" i="2"/>
  <c r="D2712" i="2"/>
  <c r="D2711" i="2"/>
  <c r="D2710" i="2"/>
  <c r="D2709" i="2"/>
  <c r="D2708" i="2"/>
  <c r="D2707" i="2"/>
  <c r="D2706" i="2"/>
  <c r="D2705" i="2"/>
  <c r="D2704" i="2"/>
  <c r="D2703" i="2"/>
  <c r="D2702" i="2"/>
  <c r="D2701" i="2"/>
  <c r="D2694" i="2"/>
  <c r="D2693" i="2"/>
  <c r="D2700" i="2"/>
  <c r="D2699" i="2"/>
  <c r="D2698" i="2"/>
  <c r="D2697" i="2"/>
  <c r="D2695" i="2"/>
  <c r="D2692" i="2"/>
  <c r="D2691" i="2"/>
  <c r="D2690" i="2"/>
  <c r="D2689" i="2"/>
  <c r="D2688" i="2"/>
  <c r="D2716" i="2"/>
  <c r="D2715" i="2"/>
  <c r="D2714" i="2"/>
  <c r="D2720" i="2"/>
  <c r="D2718" i="2"/>
  <c r="D2719" i="2"/>
  <c r="D2721" i="2"/>
  <c r="D2722" i="2"/>
  <c r="D2723" i="2"/>
  <c r="D2684" i="2"/>
  <c r="D2570" i="2"/>
  <c r="D2569" i="2"/>
  <c r="D2589" i="2"/>
  <c r="D2636" i="2"/>
  <c r="D2683" i="2"/>
  <c r="D2682" i="2"/>
  <c r="D2681" i="2"/>
  <c r="D256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83" i="2"/>
  <c r="D2581" i="2"/>
  <c r="D2575" i="2"/>
  <c r="D2574" i="2"/>
  <c r="D2580" i="2"/>
  <c r="D2573" i="2"/>
  <c r="D2582" i="2"/>
  <c r="D2680" i="2"/>
  <c r="D2679" i="2"/>
  <c r="D2678" i="2"/>
  <c r="D2677" i="2"/>
  <c r="D2676" i="2"/>
  <c r="D2675" i="2"/>
  <c r="D2657" i="2"/>
  <c r="D2650" i="2"/>
  <c r="D2639" i="2"/>
  <c r="D2654" i="2"/>
  <c r="D2668" i="2"/>
  <c r="D2665" i="2"/>
  <c r="D2644" i="2"/>
  <c r="D2642" i="2"/>
  <c r="D2641" i="2"/>
  <c r="D2664" i="2"/>
  <c r="D2667" i="2"/>
  <c r="D2649" i="2"/>
  <c r="D2632" i="2"/>
  <c r="D2663" i="2"/>
  <c r="D2666" i="2"/>
  <c r="D2661" i="2"/>
  <c r="D2662" i="2"/>
  <c r="D2637" i="2"/>
  <c r="D2652" i="2"/>
  <c r="D2647" i="2"/>
  <c r="D2659" i="2"/>
  <c r="D2648" i="2"/>
  <c r="D2643" i="2"/>
  <c r="D2656" i="2"/>
  <c r="D2635" i="2"/>
  <c r="D2638" i="2"/>
  <c r="D2634" i="2"/>
  <c r="D2640" i="2"/>
  <c r="D2658" i="2"/>
  <c r="D2633" i="2"/>
  <c r="D2590" i="2"/>
  <c r="D2587" i="2"/>
  <c r="D2586" i="2"/>
  <c r="D2585" i="2"/>
  <c r="D2588" i="2"/>
  <c r="D2584" i="2"/>
  <c r="D2579" i="2"/>
  <c r="D2572" i="2"/>
  <c r="D2651" i="2"/>
  <c r="D2655" i="2"/>
  <c r="D2645" i="2"/>
  <c r="D2646" i="2"/>
  <c r="D2660" i="2"/>
  <c r="D2653" i="2"/>
  <c r="D2578" i="2"/>
  <c r="D2577" i="2"/>
  <c r="D2576" i="2"/>
  <c r="D2571" i="2"/>
  <c r="D2567" i="2"/>
  <c r="D803" i="2"/>
  <c r="D2561" i="2"/>
  <c r="D2549" i="2"/>
  <c r="D2560" i="2"/>
  <c r="D2558" i="2"/>
  <c r="D2557" i="2"/>
  <c r="D2554" i="2"/>
  <c r="D2566" i="2"/>
  <c r="D2565" i="2"/>
  <c r="D2564" i="2"/>
  <c r="D2563" i="2"/>
  <c r="D2559" i="2"/>
  <c r="D2556" i="2"/>
  <c r="D2555" i="2"/>
  <c r="D2553" i="2"/>
  <c r="D2552" i="2"/>
  <c r="D2551" i="2"/>
  <c r="D2550" i="2"/>
  <c r="D2547" i="2"/>
  <c r="D2548" i="2"/>
  <c r="D2546" i="2"/>
  <c r="D2545" i="2"/>
  <c r="D2530" i="2"/>
  <c r="D2544" i="2"/>
  <c r="D2543" i="2"/>
  <c r="D2526" i="2"/>
  <c r="D2525" i="2"/>
  <c r="D2524" i="2"/>
  <c r="D2523" i="2"/>
  <c r="D2522" i="2"/>
  <c r="D2521" i="2"/>
  <c r="D2520" i="2"/>
  <c r="D2519" i="2"/>
  <c r="D2542" i="2"/>
  <c r="D2541" i="2"/>
  <c r="D2540" i="2"/>
  <c r="D2539" i="2"/>
  <c r="D2538" i="2"/>
  <c r="D2537" i="2"/>
  <c r="D2536" i="2"/>
  <c r="D2535" i="2"/>
  <c r="D2518" i="2"/>
  <c r="D2517" i="2"/>
  <c r="D2516" i="2"/>
  <c r="D2515" i="2"/>
  <c r="D2513" i="2"/>
  <c r="D2512" i="2"/>
  <c r="D2514" i="2"/>
  <c r="D2511" i="2"/>
  <c r="D2510" i="2"/>
  <c r="D2509" i="2"/>
  <c r="D2508" i="2"/>
  <c r="D2529" i="2"/>
  <c r="D2532" i="2"/>
  <c r="D2528" i="2"/>
  <c r="D2534" i="2"/>
  <c r="D2531" i="2"/>
  <c r="D2533" i="2"/>
  <c r="D2506" i="2"/>
  <c r="D2494" i="2"/>
  <c r="D2505" i="2"/>
  <c r="D2504" i="2"/>
  <c r="D2501" i="2"/>
  <c r="D2498" i="2"/>
  <c r="D2485" i="2"/>
  <c r="D2484" i="2"/>
  <c r="D2483" i="2"/>
  <c r="D2493" i="2"/>
  <c r="D2492" i="2"/>
  <c r="D2491" i="2"/>
  <c r="D2490" i="2"/>
  <c r="D2489" i="2"/>
  <c r="D2488" i="2"/>
  <c r="D2487" i="2"/>
  <c r="D2486" i="2"/>
  <c r="D2503" i="2"/>
  <c r="D2502" i="2"/>
  <c r="D2497" i="2"/>
  <c r="D2496" i="2"/>
  <c r="D2500" i="2"/>
  <c r="D2499" i="2"/>
  <c r="D2482" i="2"/>
  <c r="D2336" i="2"/>
  <c r="D2333" i="2"/>
  <c r="D2447" i="2"/>
  <c r="D2443" i="2"/>
  <c r="D2481" i="2"/>
  <c r="D2480" i="2"/>
  <c r="D2339" i="2"/>
  <c r="D2338" i="2"/>
  <c r="D2337" i="2"/>
  <c r="D2335" i="2"/>
  <c r="D2334" i="2"/>
  <c r="D2332" i="2"/>
  <c r="D2410" i="2"/>
  <c r="D2409" i="2"/>
  <c r="D2408" i="2"/>
  <c r="D2407" i="2"/>
  <c r="D2406" i="2"/>
  <c r="D2405" i="2"/>
  <c r="D2350" i="2"/>
  <c r="D2345" i="2"/>
  <c r="D2349" i="2"/>
  <c r="D2360" i="2"/>
  <c r="D2479" i="2"/>
  <c r="D2478" i="2"/>
  <c r="D2477" i="2"/>
  <c r="D2476" i="2"/>
  <c r="D2475" i="2"/>
  <c r="D2474" i="2"/>
  <c r="D2473" i="2"/>
  <c r="D2454" i="2"/>
  <c r="D2440" i="2"/>
  <c r="D2455" i="2"/>
  <c r="D2435" i="2"/>
  <c r="D2412" i="2"/>
  <c r="D2430" i="2"/>
  <c r="D2423" i="2"/>
  <c r="D2427" i="2"/>
  <c r="D2434" i="2"/>
  <c r="D2432" i="2"/>
  <c r="D2441" i="2"/>
  <c r="D2442" i="2"/>
  <c r="D2437" i="2"/>
  <c r="D2414" i="2"/>
  <c r="D2425" i="2"/>
  <c r="D2413" i="2"/>
  <c r="D2415" i="2"/>
  <c r="D2456" i="2"/>
  <c r="D2448" i="2"/>
  <c r="D2445" i="2"/>
  <c r="D2444" i="2"/>
  <c r="D2438" i="2"/>
  <c r="D2449" i="2"/>
  <c r="D2419" i="2"/>
  <c r="D2426" i="2"/>
  <c r="D2439" i="2"/>
  <c r="D2446" i="2"/>
  <c r="D2433" i="2"/>
  <c r="D2416" i="2"/>
  <c r="D2411" i="2"/>
  <c r="D2457" i="2"/>
  <c r="D2451" i="2"/>
  <c r="D2436" i="2"/>
  <c r="D2428" i="2"/>
  <c r="D2420" i="2"/>
  <c r="D2450" i="2"/>
  <c r="D2417" i="2"/>
  <c r="D2404" i="2"/>
  <c r="D2403" i="2"/>
  <c r="D2402" i="2"/>
  <c r="D2401" i="2"/>
  <c r="D2400" i="2"/>
  <c r="D2364" i="2"/>
  <c r="D2363" i="2"/>
  <c r="D2362" i="2"/>
  <c r="D2361" i="2"/>
  <c r="D2356" i="2"/>
  <c r="D2355" i="2"/>
  <c r="D2354" i="2"/>
  <c r="D2353" i="2"/>
  <c r="D2359" i="2"/>
  <c r="D2358" i="2"/>
  <c r="D2357" i="2"/>
  <c r="D2352" i="2"/>
  <c r="D2351" i="2"/>
  <c r="D2344" i="2"/>
  <c r="D2348" i="2"/>
  <c r="D2343" i="2"/>
  <c r="D2347" i="2"/>
  <c r="D2342" i="2"/>
  <c r="D2346" i="2"/>
  <c r="D2341"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453" i="2"/>
  <c r="D2418" i="2"/>
  <c r="D2424" i="2"/>
  <c r="D2421" i="2"/>
  <c r="D2422" i="2"/>
  <c r="D2431" i="2"/>
  <c r="D2331" i="2"/>
  <c r="D420" i="2"/>
  <c r="D427" i="2"/>
  <c r="D426" i="2"/>
  <c r="D1975" i="2"/>
  <c r="D1342" i="2"/>
  <c r="D3427" i="2"/>
  <c r="D1278" i="2"/>
  <c r="D1341" i="2"/>
  <c r="D1133" i="2"/>
  <c r="D125" i="2"/>
  <c r="D1833" i="2"/>
  <c r="D3009" i="2"/>
  <c r="D2327" i="2"/>
  <c r="D1480" i="2"/>
  <c r="D1479" i="2"/>
  <c r="D1570" i="2"/>
  <c r="D3298" i="2"/>
  <c r="D3307" i="2"/>
  <c r="D2725" i="2"/>
  <c r="D2472" i="2"/>
  <c r="D3321" i="2"/>
  <c r="D3306" i="2"/>
  <c r="D2471" i="2"/>
  <c r="D3317" i="2"/>
  <c r="D2470" i="2"/>
  <c r="D2469" i="2"/>
  <c r="D2670" i="2"/>
  <c r="D3305" i="2"/>
  <c r="D2467" i="2"/>
  <c r="D2466" i="2"/>
  <c r="D2465" i="2"/>
  <c r="D2051" i="2"/>
  <c r="D650" i="2"/>
  <c r="D2847" i="2"/>
  <c r="D2464" i="2"/>
  <c r="D3120" i="2"/>
  <c r="D2286" i="2"/>
  <c r="D2463" i="2"/>
  <c r="D3304" i="2"/>
  <c r="D2462" i="2"/>
  <c r="D2461" i="2"/>
  <c r="D2460" i="2"/>
  <c r="D2459" i="2"/>
  <c r="D2458" i="2"/>
  <c r="D1336" i="2"/>
  <c r="D3320" i="2"/>
  <c r="D2468" i="2"/>
  <c r="D2288" i="2"/>
  <c r="D1337" i="2"/>
  <c r="D3303" i="2"/>
  <c r="D2674" i="2"/>
  <c r="D2673" i="2"/>
  <c r="D2898" i="2"/>
  <c r="D2897" i="2"/>
  <c r="D215" i="2"/>
  <c r="D3319" i="2"/>
  <c r="D2672" i="2"/>
  <c r="D2671" i="2"/>
  <c r="D2958" i="2"/>
  <c r="D2896" i="2"/>
  <c r="D1340" i="2"/>
  <c r="D599" i="2"/>
  <c r="D2328" i="2"/>
  <c r="D3301" i="2"/>
  <c r="D3300" i="2"/>
  <c r="D3299" i="2"/>
  <c r="D2326" i="2"/>
  <c r="D2724" i="2"/>
  <c r="D1557" i="2"/>
  <c r="D1316" i="2"/>
  <c r="D1556" i="2"/>
  <c r="D1334" i="2"/>
  <c r="D1555" i="2"/>
  <c r="D2330" i="2"/>
  <c r="D2329" i="2"/>
  <c r="D2320" i="2"/>
  <c r="D2322" i="2"/>
  <c r="D2321" i="2"/>
  <c r="D2325" i="2"/>
  <c r="D2319" i="2"/>
  <c r="D2310" i="2"/>
  <c r="D2309" i="2"/>
  <c r="D2312" i="2"/>
  <c r="D2311" i="2"/>
  <c r="D2318" i="2"/>
  <c r="D2315" i="2"/>
  <c r="D2314" i="2"/>
  <c r="D2313" i="2"/>
  <c r="D2316" i="2"/>
  <c r="D2317" i="2"/>
  <c r="D2308" i="2"/>
  <c r="D1013" i="2"/>
  <c r="D2278" i="2"/>
  <c r="D3630" i="2"/>
  <c r="D4041" i="2"/>
  <c r="D1003" i="2"/>
  <c r="D2263" i="2"/>
  <c r="D2273" i="2"/>
  <c r="D2258" i="2"/>
  <c r="D2266" i="2"/>
  <c r="D2279" i="2"/>
  <c r="D29" i="2"/>
  <c r="D140" i="2"/>
  <c r="D2307" i="2"/>
  <c r="D2306" i="2"/>
  <c r="D2305" i="2"/>
  <c r="D2304" i="2"/>
  <c r="D2303" i="2"/>
  <c r="D2302" i="2"/>
  <c r="D2301" i="2"/>
  <c r="D2300" i="2"/>
  <c r="D2299" i="2"/>
  <c r="D2196" i="2"/>
  <c r="D2195" i="2"/>
  <c r="D2244" i="2"/>
  <c r="D2243" i="2"/>
  <c r="D2242" i="2"/>
  <c r="D2241" i="2"/>
  <c r="D2240" i="2"/>
  <c r="D2239" i="2"/>
  <c r="D2238" i="2"/>
  <c r="D2237" i="2"/>
  <c r="D2236" i="2"/>
  <c r="D2235" i="2"/>
  <c r="D2234" i="2"/>
  <c r="D2233" i="2"/>
  <c r="D2232" i="2"/>
  <c r="D2231" i="2"/>
  <c r="D2230" i="2"/>
  <c r="D2229" i="2"/>
  <c r="D2228" i="2"/>
  <c r="D2227" i="2"/>
  <c r="D2226" i="2"/>
  <c r="D2225" i="2"/>
  <c r="D2206" i="2"/>
  <c r="D2298" i="2"/>
  <c r="D2297" i="2"/>
  <c r="D2282" i="2"/>
  <c r="D2251" i="2"/>
  <c r="D2264" i="2"/>
  <c r="D2257" i="2"/>
  <c r="D2253" i="2"/>
  <c r="D2254" i="2"/>
  <c r="D2252" i="2"/>
  <c r="D2277" i="2"/>
  <c r="D2255" i="2"/>
  <c r="D2267" i="2"/>
  <c r="D2271" i="2"/>
  <c r="D2265" i="2"/>
  <c r="D2215" i="2"/>
  <c r="D2214" i="2"/>
  <c r="D2213" i="2"/>
  <c r="D2211" i="2"/>
  <c r="D2210" i="2"/>
  <c r="D2212" i="2"/>
  <c r="D2209" i="2"/>
  <c r="D2208" i="2"/>
  <c r="D2207" i="2"/>
  <c r="D2205" i="2"/>
  <c r="D2204" i="2"/>
  <c r="D2201" i="2"/>
  <c r="D2203" i="2"/>
  <c r="D2200" i="2"/>
  <c r="D2199" i="2"/>
  <c r="D2224" i="2"/>
  <c r="D2223" i="2"/>
  <c r="D2222" i="2"/>
  <c r="D2221" i="2"/>
  <c r="D2220" i="2"/>
  <c r="D2219" i="2"/>
  <c r="D2218" i="2"/>
  <c r="D2217" i="2"/>
  <c r="D2216" i="2"/>
  <c r="D2275" i="2"/>
  <c r="D2272" i="2"/>
  <c r="D2262" i="2"/>
  <c r="D2281" i="2"/>
  <c r="D2280" i="2"/>
  <c r="D2269" i="2"/>
  <c r="D2260" i="2"/>
  <c r="D2259" i="2"/>
  <c r="D2250" i="2"/>
  <c r="D2256" i="2"/>
  <c r="D2202" i="2"/>
  <c r="D2198" i="2"/>
  <c r="D2194" i="2"/>
  <c r="D3997" i="2"/>
  <c r="D2507" i="2"/>
  <c r="D2058" i="2"/>
  <c r="D2060" i="2"/>
  <c r="D2324" i="2"/>
  <c r="D2154" i="2"/>
  <c r="D2175" i="2"/>
  <c r="D2173" i="2"/>
  <c r="D2193" i="2"/>
  <c r="D2192" i="2"/>
  <c r="D2191" i="2"/>
  <c r="D2190" i="2"/>
  <c r="D2059" i="2"/>
  <c r="D2057" i="2"/>
  <c r="D2056" i="2"/>
  <c r="D2136" i="2"/>
  <c r="D2135" i="2"/>
  <c r="D2134" i="2"/>
  <c r="D2133" i="2"/>
  <c r="D2132" i="2"/>
  <c r="D2131" i="2"/>
  <c r="D2130" i="2"/>
  <c r="D2129" i="2"/>
  <c r="D2128" i="2"/>
  <c r="D2127" i="2"/>
  <c r="D2126" i="2"/>
  <c r="D2125" i="2"/>
  <c r="D2124" i="2"/>
  <c r="D2123" i="2"/>
  <c r="D2122" i="2"/>
  <c r="D2121" i="2"/>
  <c r="D2120" i="2"/>
  <c r="D2119" i="2"/>
  <c r="D2118" i="2"/>
  <c r="D2117" i="2"/>
  <c r="D2077" i="2"/>
  <c r="D2072" i="2"/>
  <c r="D2107" i="2"/>
  <c r="D2102" i="2"/>
  <c r="D2106" i="2"/>
  <c r="D2105" i="2"/>
  <c r="D2104" i="2"/>
  <c r="D2103" i="2"/>
  <c r="D2100" i="2"/>
  <c r="D2108" i="2"/>
  <c r="D2096" i="2"/>
  <c r="D2098" i="2"/>
  <c r="D2189" i="2"/>
  <c r="D2188" i="2"/>
  <c r="D2187" i="2"/>
  <c r="D2186" i="2"/>
  <c r="D2185" i="2"/>
  <c r="D2184" i="2"/>
  <c r="D2141" i="2"/>
  <c r="D2152" i="2"/>
  <c r="D2176" i="2"/>
  <c r="D2168" i="2"/>
  <c r="D2142" i="2"/>
  <c r="D2172" i="2"/>
  <c r="D2161" i="2"/>
  <c r="D2160" i="2"/>
  <c r="D2174" i="2"/>
  <c r="D2147" i="2"/>
  <c r="D2148" i="2"/>
  <c r="D2167" i="2"/>
  <c r="D2144" i="2"/>
  <c r="D2138" i="2"/>
  <c r="D2156" i="2"/>
  <c r="D2151" i="2"/>
  <c r="D2143" i="2"/>
  <c r="D2166" i="2"/>
  <c r="D2164" i="2"/>
  <c r="D2153" i="2"/>
  <c r="D2101" i="2"/>
  <c r="D2109" i="2"/>
  <c r="D2095" i="2"/>
  <c r="D2094" i="2"/>
  <c r="D2093" i="2"/>
  <c r="D2092" i="2"/>
  <c r="D2091" i="2"/>
  <c r="D2090" i="2"/>
  <c r="D2089" i="2"/>
  <c r="D2086" i="2"/>
  <c r="D2085" i="2"/>
  <c r="D2084" i="2"/>
  <c r="D2083" i="2"/>
  <c r="D2082" i="2"/>
  <c r="D2088" i="2"/>
  <c r="D2087" i="2"/>
  <c r="D2081" i="2"/>
  <c r="D2080" i="2"/>
  <c r="D2079" i="2"/>
  <c r="D2078" i="2"/>
  <c r="D2076" i="2"/>
  <c r="D2075" i="2"/>
  <c r="D2070" i="2"/>
  <c r="D2074" i="2"/>
  <c r="D2065" i="2"/>
  <c r="D2073" i="2"/>
  <c r="D2064" i="2"/>
  <c r="D2071" i="2"/>
  <c r="D2063" i="2"/>
  <c r="D2069" i="2"/>
  <c r="D2062" i="2"/>
  <c r="D2116" i="2"/>
  <c r="D2115" i="2"/>
  <c r="D2114" i="2"/>
  <c r="D2113" i="2"/>
  <c r="D2112" i="2"/>
  <c r="D2111" i="2"/>
  <c r="D2110" i="2"/>
  <c r="D2171" i="2"/>
  <c r="D2177" i="2"/>
  <c r="D2163" i="2"/>
  <c r="D2146" i="2"/>
  <c r="D2149" i="2"/>
  <c r="D2155" i="2"/>
  <c r="D2139" i="2"/>
  <c r="D2068" i="2"/>
  <c r="D2067" i="2"/>
  <c r="D2066" i="2"/>
  <c r="D2061" i="2"/>
  <c r="D2055" i="2"/>
  <c r="D684" i="2"/>
  <c r="D2005" i="2"/>
  <c r="D2043" i="2"/>
  <c r="D209" i="2"/>
  <c r="D1983" i="2"/>
  <c r="D2054" i="2"/>
  <c r="D2053" i="2"/>
  <c r="D2030" i="2"/>
  <c r="D2029" i="2"/>
  <c r="D2028" i="2"/>
  <c r="D2027" i="2"/>
  <c r="D2026" i="2"/>
  <c r="D2025" i="2"/>
  <c r="D2024" i="2"/>
  <c r="D2007" i="2"/>
  <c r="D2041" i="2"/>
  <c r="D2037" i="2"/>
  <c r="D2045" i="2"/>
  <c r="D2040" i="2"/>
  <c r="D2016" i="2"/>
  <c r="D2015" i="2"/>
  <c r="D2014" i="2"/>
  <c r="D2013" i="2"/>
  <c r="D2012" i="2"/>
  <c r="D2011" i="2"/>
  <c r="D2010" i="2"/>
  <c r="D2009" i="2"/>
  <c r="D2008" i="2"/>
  <c r="D2006" i="2"/>
  <c r="D2023" i="2"/>
  <c r="D2022" i="2"/>
  <c r="D2021" i="2"/>
  <c r="D2020" i="2"/>
  <c r="D2019" i="2"/>
  <c r="D2018" i="2"/>
  <c r="D2017" i="2"/>
  <c r="D2034" i="2"/>
  <c r="D2033" i="2"/>
  <c r="D2046" i="2"/>
  <c r="D2032" i="2"/>
  <c r="D2047" i="2"/>
  <c r="D2044" i="2"/>
  <c r="D2048" i="2"/>
  <c r="D2035" i="2"/>
  <c r="D2038" i="2"/>
  <c r="D2004" i="2"/>
  <c r="D1972" i="2"/>
  <c r="D1985" i="2"/>
  <c r="D1986" i="2"/>
  <c r="D1969" i="2"/>
  <c r="D1981" i="2"/>
  <c r="D1979" i="2"/>
  <c r="D1977" i="2"/>
  <c r="D1958" i="2"/>
  <c r="D1966" i="2"/>
  <c r="D1967" i="2"/>
  <c r="D2031" i="2"/>
  <c r="D1957" i="2"/>
  <c r="D2003" i="2"/>
  <c r="D2002" i="2"/>
  <c r="D2001" i="2"/>
  <c r="D2000" i="2"/>
  <c r="D1917" i="2"/>
  <c r="D1915" i="2"/>
  <c r="D1914" i="2"/>
  <c r="D1953" i="2"/>
  <c r="D1952" i="2"/>
  <c r="D1951" i="2"/>
  <c r="D1950" i="2"/>
  <c r="D1949" i="2"/>
  <c r="D1948" i="2"/>
  <c r="D1947" i="2"/>
  <c r="D1946" i="2"/>
  <c r="D1934" i="2"/>
  <c r="D1931" i="2"/>
  <c r="D1930" i="2"/>
  <c r="D1999" i="2"/>
  <c r="D1998" i="2"/>
  <c r="D1997" i="2"/>
  <c r="D1996" i="2"/>
  <c r="D1995" i="2"/>
  <c r="D1994" i="2"/>
  <c r="D1993" i="2"/>
  <c r="D1968" i="2"/>
  <c r="D1978" i="2"/>
  <c r="D1970" i="2"/>
  <c r="D1974" i="2"/>
  <c r="D1971" i="2"/>
  <c r="D1980" i="2"/>
  <c r="D1973" i="2"/>
  <c r="D1960" i="2"/>
  <c r="D1933" i="2"/>
  <c r="D1932" i="2"/>
  <c r="D1929" i="2"/>
  <c r="D1928" i="2"/>
  <c r="D1927" i="2"/>
  <c r="D1926" i="2"/>
  <c r="D1925" i="2"/>
  <c r="D1924" i="2"/>
  <c r="D1922" i="2"/>
  <c r="D1921" i="2"/>
  <c r="D1923" i="2"/>
  <c r="D1920" i="2"/>
  <c r="D1919" i="2"/>
  <c r="D1945" i="2"/>
  <c r="D1944" i="2"/>
  <c r="D1943" i="2"/>
  <c r="D1942" i="2"/>
  <c r="D1941" i="2"/>
  <c r="D1940" i="2"/>
  <c r="D1939" i="2"/>
  <c r="D1938" i="2"/>
  <c r="D1937" i="2"/>
  <c r="D1936" i="2"/>
  <c r="D1935" i="2"/>
  <c r="D1962" i="2"/>
  <c r="D1964" i="2"/>
  <c r="D1959" i="2"/>
  <c r="D1956" i="2"/>
  <c r="D1963" i="2"/>
  <c r="D1984" i="2"/>
  <c r="D1982" i="2"/>
  <c r="D1965" i="2"/>
  <c r="D1961" i="2"/>
  <c r="D1913" i="2"/>
  <c r="D1845" i="2"/>
  <c r="D2197" i="2"/>
  <c r="D1878" i="2"/>
  <c r="D1886" i="2"/>
  <c r="D1882" i="2"/>
  <c r="D1884" i="2"/>
  <c r="D1912" i="2"/>
  <c r="D1911" i="2"/>
  <c r="D1910" i="2"/>
  <c r="D1909" i="2"/>
  <c r="D1907" i="2"/>
  <c r="D1908" i="2"/>
  <c r="D1900" i="2"/>
  <c r="D1899" i="2"/>
  <c r="D1903" i="2"/>
  <c r="D1902" i="2"/>
  <c r="D1901" i="2"/>
  <c r="D1904" i="2"/>
  <c r="D1906" i="2"/>
  <c r="D1905" i="2"/>
  <c r="D1846" i="2"/>
  <c r="D1844" i="2"/>
  <c r="D1877" i="2"/>
  <c r="D1876" i="2"/>
  <c r="D1875" i="2"/>
  <c r="D1874" i="2"/>
  <c r="D1873" i="2"/>
  <c r="D1852" i="2"/>
  <c r="D1853" i="2"/>
  <c r="D1870" i="2"/>
  <c r="D1898" i="2"/>
  <c r="D1897" i="2"/>
  <c r="D1896" i="2"/>
  <c r="D1895" i="2"/>
  <c r="D1894" i="2"/>
  <c r="D1893" i="2"/>
  <c r="D1892" i="2"/>
  <c r="D1891" i="2"/>
  <c r="D1890" i="2"/>
  <c r="D1889" i="2"/>
  <c r="D1888" i="2"/>
  <c r="D1871" i="2"/>
  <c r="D1872" i="2"/>
  <c r="D1869" i="2"/>
  <c r="D1868" i="2"/>
  <c r="D1867" i="2"/>
  <c r="D1866" i="2"/>
  <c r="D1865" i="2"/>
  <c r="D1864" i="2"/>
  <c r="D1863" i="2"/>
  <c r="D1860" i="2"/>
  <c r="D1859" i="2"/>
  <c r="D1858" i="2"/>
  <c r="D1862" i="2"/>
  <c r="D1861" i="2"/>
  <c r="D1857" i="2"/>
  <c r="D1856" i="2"/>
  <c r="D1855" i="2"/>
  <c r="D1854" i="2"/>
  <c r="D1851" i="2"/>
  <c r="D1849" i="2"/>
  <c r="D1848" i="2"/>
  <c r="D1879" i="2"/>
  <c r="D1881" i="2"/>
  <c r="D1883" i="2"/>
  <c r="D1880" i="2"/>
  <c r="D1885" i="2"/>
  <c r="D1850" i="2"/>
  <c r="D1847" i="2"/>
  <c r="D1843" i="2"/>
  <c r="D1810" i="2"/>
  <c r="D1809" i="2"/>
  <c r="D1797" i="2"/>
  <c r="D1796" i="2"/>
  <c r="D1825" i="2"/>
  <c r="D1824" i="2"/>
  <c r="D1823" i="2"/>
  <c r="D1801" i="2"/>
  <c r="D1802" i="2"/>
  <c r="D1842" i="2"/>
  <c r="D1841" i="2"/>
  <c r="D1840" i="2"/>
  <c r="D1839" i="2"/>
  <c r="D1838" i="2"/>
  <c r="D1837" i="2"/>
  <c r="D1836" i="2"/>
  <c r="D1835" i="2"/>
  <c r="D1817" i="2"/>
  <c r="D1816" i="2"/>
  <c r="D1819" i="2"/>
  <c r="D1818" i="2"/>
  <c r="D1815" i="2"/>
  <c r="D1814" i="2"/>
  <c r="D1813" i="2"/>
  <c r="D1812" i="2"/>
  <c r="D1808" i="2"/>
  <c r="D1807" i="2"/>
  <c r="D1811" i="2"/>
  <c r="D1806" i="2"/>
  <c r="D1805" i="2"/>
  <c r="D1804" i="2"/>
  <c r="D1803" i="2"/>
  <c r="D1800" i="2"/>
  <c r="D1799" i="2"/>
  <c r="D1798" i="2"/>
  <c r="D1822" i="2"/>
  <c r="D1821" i="2"/>
  <c r="D1820" i="2"/>
  <c r="D1830" i="2"/>
  <c r="D1828" i="2"/>
  <c r="D1831" i="2"/>
  <c r="D1827" i="2"/>
  <c r="D1829" i="2"/>
  <c r="D1832" i="2"/>
  <c r="D1795" i="2"/>
  <c r="D2323" i="2"/>
  <c r="D2183" i="2"/>
  <c r="D2052" i="2"/>
  <c r="D3302" i="2"/>
  <c r="D425" i="2"/>
  <c r="D2295" i="2"/>
  <c r="D2294" i="2"/>
  <c r="D2182" i="2"/>
  <c r="D2292" i="2"/>
  <c r="D1563" i="2"/>
  <c r="D1991" i="2"/>
  <c r="D1990" i="2"/>
  <c r="D1989" i="2"/>
  <c r="D1988" i="2"/>
  <c r="D424" i="2"/>
  <c r="D423" i="2"/>
  <c r="D1339" i="2"/>
  <c r="D186" i="2"/>
  <c r="D1338" i="2"/>
  <c r="D727" i="2"/>
  <c r="D711" i="2"/>
  <c r="D2289" i="2"/>
  <c r="D358" i="2"/>
  <c r="D422" i="2"/>
  <c r="D369" i="2"/>
  <c r="D2630" i="2"/>
  <c r="D2629" i="2"/>
  <c r="D1569" i="2"/>
  <c r="D1568" i="2"/>
  <c r="D2099" i="2"/>
  <c r="D2097" i="2"/>
  <c r="D1567" i="2"/>
  <c r="D1566" i="2"/>
  <c r="D1565" i="2"/>
  <c r="D1564" i="2"/>
  <c r="D1987" i="2"/>
  <c r="D2832" i="2"/>
  <c r="D2831" i="2"/>
  <c r="D2293" i="2"/>
  <c r="D2296" i="2"/>
  <c r="D1992" i="2"/>
  <c r="D1320" i="2"/>
  <c r="D2631" i="2"/>
  <c r="D2291" i="2"/>
  <c r="D3890" i="2"/>
  <c r="D1834" i="2"/>
  <c r="D1887" i="2"/>
  <c r="D2290" i="2"/>
  <c r="D2527" i="2"/>
  <c r="D2050" i="2"/>
  <c r="D2180" i="2"/>
  <c r="D1794" i="2"/>
  <c r="D1793" i="2"/>
  <c r="D1792" i="2"/>
  <c r="D1791" i="2"/>
  <c r="D3849" i="2"/>
  <c r="D1790" i="2"/>
  <c r="D1765" i="2"/>
  <c r="D1764" i="2"/>
  <c r="D1763" i="2"/>
  <c r="D1762" i="2"/>
  <c r="D1779" i="2"/>
  <c r="D1775" i="2"/>
  <c r="D1774" i="2"/>
  <c r="D1789" i="2"/>
  <c r="D1788" i="2"/>
  <c r="D1787" i="2"/>
  <c r="D1786" i="2"/>
  <c r="D1773" i="2"/>
  <c r="D1772" i="2"/>
  <c r="D1769" i="2"/>
  <c r="D1771" i="2"/>
  <c r="D1770" i="2"/>
  <c r="D1768" i="2"/>
  <c r="D1767" i="2"/>
  <c r="D1766" i="2"/>
  <c r="D1778" i="2"/>
  <c r="D1777" i="2"/>
  <c r="D1776" i="2"/>
  <c r="D1783" i="2"/>
  <c r="D1782" i="2"/>
  <c r="D1784" i="2"/>
  <c r="D1781" i="2"/>
  <c r="D1780" i="2"/>
  <c r="D1761" i="2"/>
  <c r="D1752" i="2"/>
  <c r="D1751" i="2"/>
  <c r="D1750" i="2"/>
  <c r="D1749" i="2"/>
  <c r="D1758" i="2"/>
  <c r="D1757" i="2"/>
  <c r="D1760" i="2"/>
  <c r="D1756" i="2"/>
  <c r="D1755" i="2"/>
  <c r="D1754" i="2"/>
  <c r="D1753" i="2"/>
  <c r="D1759" i="2"/>
  <c r="D1748" i="2"/>
  <c r="D1738" i="2"/>
  <c r="D1737" i="2"/>
  <c r="D1736" i="2"/>
  <c r="D1735" i="2"/>
  <c r="D1742" i="2"/>
  <c r="D1741" i="2"/>
  <c r="D1739" i="2"/>
  <c r="D1747" i="2"/>
  <c r="D1746" i="2"/>
  <c r="D1745" i="2"/>
  <c r="D1740" i="2"/>
  <c r="D1744" i="2"/>
  <c r="D1743" i="2"/>
  <c r="D1734" i="2"/>
  <c r="D1685" i="2"/>
  <c r="D1710" i="2"/>
  <c r="D1733" i="2"/>
  <c r="D1732" i="2"/>
  <c r="D1731" i="2"/>
  <c r="D1730" i="2"/>
  <c r="D1689" i="2"/>
  <c r="D1688" i="2"/>
  <c r="D1687" i="2"/>
  <c r="D1686" i="2"/>
  <c r="D1699" i="2"/>
  <c r="D1698" i="2"/>
  <c r="D1697" i="2"/>
  <c r="D1696" i="2"/>
  <c r="D1695" i="2"/>
  <c r="D1694" i="2"/>
  <c r="D1692" i="2"/>
  <c r="D1691" i="2"/>
  <c r="D1690" i="2"/>
  <c r="D1712" i="2"/>
  <c r="D1711" i="2"/>
  <c r="D1729" i="2"/>
  <c r="D1728" i="2"/>
  <c r="D1727" i="2"/>
  <c r="D1726" i="2"/>
  <c r="D1725" i="2"/>
  <c r="D1724" i="2"/>
  <c r="D1709" i="2"/>
  <c r="D1708" i="2"/>
  <c r="D1707" i="2"/>
  <c r="D1706" i="2"/>
  <c r="D1705" i="2"/>
  <c r="D1704" i="2"/>
  <c r="D1703" i="2"/>
  <c r="D1702" i="2"/>
  <c r="D1701" i="2"/>
  <c r="D1700" i="2"/>
  <c r="D1717" i="2"/>
  <c r="D1716" i="2"/>
  <c r="D1715" i="2"/>
  <c r="D1714" i="2"/>
  <c r="D1713" i="2"/>
  <c r="D1721" i="2"/>
  <c r="D1720" i="2"/>
  <c r="D1723" i="2"/>
  <c r="D1718" i="2"/>
  <c r="D1719" i="2"/>
  <c r="D1722" i="2"/>
  <c r="D1693" i="2"/>
  <c r="D1684" i="2"/>
  <c r="D1645"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6" i="2"/>
  <c r="D1657" i="2"/>
  <c r="D1602" i="2"/>
  <c r="D1601" i="2"/>
  <c r="D1600" i="2"/>
  <c r="D1599" i="2"/>
  <c r="D1634" i="2"/>
  <c r="D1633" i="2"/>
  <c r="D1611" i="2"/>
  <c r="D1610" i="2"/>
  <c r="D1609" i="2"/>
  <c r="D1608" i="2"/>
  <c r="D1607" i="2"/>
  <c r="D1605" i="2"/>
  <c r="D1604" i="2"/>
  <c r="D1603" i="2"/>
  <c r="D1655" i="2"/>
  <c r="D1654" i="2"/>
  <c r="D1653" i="2"/>
  <c r="D1652" i="2"/>
  <c r="D1651" i="2"/>
  <c r="D1650" i="2"/>
  <c r="D1639" i="2"/>
  <c r="D1646" i="2"/>
  <c r="D1637" i="2"/>
  <c r="D1647" i="2"/>
  <c r="D1640" i="2"/>
  <c r="D1649" i="2"/>
  <c r="D1625" i="2"/>
  <c r="D1624" i="2"/>
  <c r="D1623" i="2"/>
  <c r="D1622" i="2"/>
  <c r="D1621" i="2"/>
  <c r="D1620" i="2"/>
  <c r="D1619" i="2"/>
  <c r="D1618" i="2"/>
  <c r="D1617" i="2"/>
  <c r="D1616" i="2"/>
  <c r="D1615" i="2"/>
  <c r="D1614" i="2"/>
  <c r="D1613" i="2"/>
  <c r="D1612" i="2"/>
  <c r="D1632" i="2"/>
  <c r="D1631" i="2"/>
  <c r="D1630" i="2"/>
  <c r="D1629" i="2"/>
  <c r="D1628" i="2"/>
  <c r="D1627" i="2"/>
  <c r="D1626" i="2"/>
  <c r="D1638" i="2"/>
  <c r="D1636" i="2"/>
  <c r="D1648" i="2"/>
  <c r="D1641" i="2"/>
  <c r="D1643" i="2"/>
  <c r="D1642" i="2"/>
  <c r="D1644" i="2"/>
  <c r="D1606" i="2"/>
  <c r="D1598" i="2"/>
  <c r="D1955" i="2"/>
  <c r="D2249" i="2"/>
  <c r="D3010" i="2"/>
  <c r="D2248" i="2"/>
  <c r="D2247" i="2"/>
  <c r="D1785" i="2"/>
  <c r="D368" i="2"/>
  <c r="D1597" i="2"/>
  <c r="D1596" i="2"/>
  <c r="D1504" i="2"/>
  <c r="D1589" i="2"/>
  <c r="D1588" i="2"/>
  <c r="D1590" i="2"/>
  <c r="D1591" i="2"/>
  <c r="D1578" i="2"/>
  <c r="D1577" i="2"/>
  <c r="D1576" i="2"/>
  <c r="D1575" i="2"/>
  <c r="D1583" i="2"/>
  <c r="D1582" i="2"/>
  <c r="D1581" i="2"/>
  <c r="D1580" i="2"/>
  <c r="D1579" i="2"/>
  <c r="D1584" i="2"/>
  <c r="D1586" i="2"/>
  <c r="D1587" i="2"/>
  <c r="D1585" i="2"/>
  <c r="D1525" i="2"/>
  <c r="D1524" i="2"/>
  <c r="D1523" i="2"/>
  <c r="D1522" i="2"/>
  <c r="D1521" i="2"/>
  <c r="D1520" i="2"/>
  <c r="D1519" i="2"/>
  <c r="D1518" i="2"/>
  <c r="D1517" i="2"/>
  <c r="D1516" i="2"/>
  <c r="D1515" i="2"/>
  <c r="D1514" i="2"/>
  <c r="D1513" i="2"/>
  <c r="D1512" i="2"/>
  <c r="D1511" i="2"/>
  <c r="D1510" i="2"/>
  <c r="D1509" i="2"/>
  <c r="D1508" i="2"/>
  <c r="D1507" i="2"/>
  <c r="D1506" i="2"/>
  <c r="D1505" i="2"/>
  <c r="D1503" i="2"/>
  <c r="D1502" i="2"/>
  <c r="D1542" i="2"/>
  <c r="D1541" i="2"/>
  <c r="D1530" i="2"/>
  <c r="D1529" i="2"/>
  <c r="D1537" i="2"/>
  <c r="D1574" i="2"/>
  <c r="D1573" i="2"/>
  <c r="D1572" i="2"/>
  <c r="D1571" i="2"/>
  <c r="D1544" i="2"/>
  <c r="D1543" i="2"/>
  <c r="D1540" i="2"/>
  <c r="D1538" i="2"/>
  <c r="D1539" i="2"/>
  <c r="D1528" i="2"/>
  <c r="D1536" i="2"/>
  <c r="D1535" i="2"/>
  <c r="D1534" i="2"/>
  <c r="D1527" i="2"/>
  <c r="D1526" i="2"/>
  <c r="D1548" i="2"/>
  <c r="D1547" i="2"/>
  <c r="D1546" i="2"/>
  <c r="D1550" i="2"/>
  <c r="D1549" i="2"/>
  <c r="D1551" i="2"/>
  <c r="D1533" i="2"/>
  <c r="D1532" i="2"/>
  <c r="D1531" i="2"/>
  <c r="D1592" i="2"/>
  <c r="D1387" i="2"/>
  <c r="D1386" i="2"/>
  <c r="D1457" i="2"/>
  <c r="D1474" i="2"/>
  <c r="D3323" i="2"/>
  <c r="D1500" i="2"/>
  <c r="D1499" i="2"/>
  <c r="D1498" i="2"/>
  <c r="D1497" i="2"/>
  <c r="D1495" i="2"/>
  <c r="D1494" i="2"/>
  <c r="D1496" i="2"/>
  <c r="D1492" i="2"/>
  <c r="D1493" i="2"/>
  <c r="D1389" i="2"/>
  <c r="D1388" i="2"/>
  <c r="D1385" i="2"/>
  <c r="D1384" i="2"/>
  <c r="D1383" i="2"/>
  <c r="D1444" i="2"/>
  <c r="D1443" i="2"/>
  <c r="D1442" i="2"/>
  <c r="D1441" i="2"/>
  <c r="D1440" i="2"/>
  <c r="D1439" i="2"/>
  <c r="D1438" i="2"/>
  <c r="D1437" i="2"/>
  <c r="D1436" i="2"/>
  <c r="D1435" i="2"/>
  <c r="D1434" i="2"/>
  <c r="D1433" i="2"/>
  <c r="D1432" i="2"/>
  <c r="D1431" i="2"/>
  <c r="D1430" i="2"/>
  <c r="D1429" i="2"/>
  <c r="D1428" i="2"/>
  <c r="D1427" i="2"/>
  <c r="D1426" i="2"/>
  <c r="D1425" i="2"/>
  <c r="D1424" i="2"/>
  <c r="D1402" i="2"/>
  <c r="D1411" i="2"/>
  <c r="D1410" i="2"/>
  <c r="D1491" i="2"/>
  <c r="D1490" i="2"/>
  <c r="D1489" i="2"/>
  <c r="D1488" i="2"/>
  <c r="D1487" i="2"/>
  <c r="D1486" i="2"/>
  <c r="D1485" i="2"/>
  <c r="D1484" i="2"/>
  <c r="D1483" i="2"/>
  <c r="D1482" i="2"/>
  <c r="D1481" i="2"/>
  <c r="D1469" i="2"/>
  <c r="D1470" i="2"/>
  <c r="D1473" i="2"/>
  <c r="D1451" i="2"/>
  <c r="D1454" i="2"/>
  <c r="D1445" i="2"/>
  <c r="D1450" i="2"/>
  <c r="D1476" i="2"/>
  <c r="D1449" i="2"/>
  <c r="D1475" i="2"/>
  <c r="D1452" i="2"/>
  <c r="D1472" i="2"/>
  <c r="D1459" i="2"/>
  <c r="D1453" i="2"/>
  <c r="D1447" i="2"/>
  <c r="D1455" i="2"/>
  <c r="D1446" i="2"/>
  <c r="D1464" i="2"/>
  <c r="D1461" i="2"/>
  <c r="D1467" i="2"/>
  <c r="D1458" i="2"/>
  <c r="D1456" i="2"/>
  <c r="D1468" i="2"/>
  <c r="D1465" i="2"/>
  <c r="D1415" i="2"/>
  <c r="D1414" i="2"/>
  <c r="D1413" i="2"/>
  <c r="D1412" i="2"/>
  <c r="D1409" i="2"/>
  <c r="D1408" i="2"/>
  <c r="D1407" i="2"/>
  <c r="D1406" i="2"/>
  <c r="D1391" i="2"/>
  <c r="D1405" i="2"/>
  <c r="D1404" i="2"/>
  <c r="D1403" i="2"/>
  <c r="D1401" i="2"/>
  <c r="D1400" i="2"/>
  <c r="D1399" i="2"/>
  <c r="D1397" i="2"/>
  <c r="D1398" i="2"/>
  <c r="D1390" i="2"/>
  <c r="D1423" i="2"/>
  <c r="D1422" i="2"/>
  <c r="D1421" i="2"/>
  <c r="D1420" i="2"/>
  <c r="D1419" i="2"/>
  <c r="D1418" i="2"/>
  <c r="D1417" i="2"/>
  <c r="D1416" i="2"/>
  <c r="D1448" i="2"/>
  <c r="D1471" i="2"/>
  <c r="D1463" i="2"/>
  <c r="D1466" i="2"/>
  <c r="D1460" i="2"/>
  <c r="D1462" i="2"/>
  <c r="D1477" i="2"/>
  <c r="D1396" i="2"/>
  <c r="D1395" i="2"/>
  <c r="D1394" i="2"/>
  <c r="D1393" i="2"/>
  <c r="D1392" i="2"/>
  <c r="D1382" i="2"/>
  <c r="D1218" i="2"/>
  <c r="D1213" i="2"/>
  <c r="D1268" i="2"/>
  <c r="D1257" i="2"/>
  <c r="D1311" i="2"/>
  <c r="D1327" i="2"/>
  <c r="D1322" i="2"/>
  <c r="D1381" i="2"/>
  <c r="D1380" i="2"/>
  <c r="D1379" i="2"/>
  <c r="D1378" i="2"/>
  <c r="D1373" i="2"/>
  <c r="D1372" i="2"/>
  <c r="D1371" i="2"/>
  <c r="D1370" i="2"/>
  <c r="D1369" i="2"/>
  <c r="D1367" i="2"/>
  <c r="D1368" i="2"/>
  <c r="D1375" i="2"/>
  <c r="D1374" i="2"/>
  <c r="D1377" i="2"/>
  <c r="D1376" i="2"/>
  <c r="D1217" i="2"/>
  <c r="D1216" i="2"/>
  <c r="D1215" i="2"/>
  <c r="D1214" i="2"/>
  <c r="D1211" i="2"/>
  <c r="D1237" i="2"/>
  <c r="D1233" i="2"/>
  <c r="D1221" i="2"/>
  <c r="D1232" i="2"/>
  <c r="D1230" i="2"/>
  <c r="D1228" i="2"/>
  <c r="D1220" i="2"/>
  <c r="D1238" i="2"/>
  <c r="D1219" i="2"/>
  <c r="D1272"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06" i="2"/>
  <c r="D1329" i="2"/>
  <c r="D1313" i="2"/>
  <c r="D1323" i="2"/>
  <c r="D1324" i="2"/>
  <c r="D1325" i="2"/>
  <c r="D1321" i="2"/>
  <c r="D1328" i="2"/>
  <c r="D1312" i="2"/>
  <c r="D1317" i="2"/>
  <c r="D1314" i="2"/>
  <c r="D1318" i="2"/>
  <c r="D1280" i="2"/>
  <c r="D1279" i="2"/>
  <c r="D1282" i="2"/>
  <c r="D1281" i="2"/>
  <c r="D1271" i="2"/>
  <c r="D1270" i="2"/>
  <c r="D1277" i="2"/>
  <c r="D1276" i="2"/>
  <c r="D1275" i="2"/>
  <c r="D1274" i="2"/>
  <c r="D1273" i="2"/>
  <c r="D1267" i="2"/>
  <c r="D1266" i="2"/>
  <c r="D1265" i="2"/>
  <c r="D1264" i="2"/>
  <c r="D1263" i="2"/>
  <c r="D1262" i="2"/>
  <c r="D1261" i="2"/>
  <c r="D1260" i="2"/>
  <c r="D1259" i="2"/>
  <c r="D1258" i="2"/>
  <c r="D1256" i="2"/>
  <c r="D1255" i="2"/>
  <c r="D1253" i="2"/>
  <c r="D1252" i="2"/>
  <c r="D1251" i="2"/>
  <c r="D1250" i="2"/>
  <c r="D1249" i="2"/>
  <c r="D1254" i="2"/>
  <c r="D1248" i="2"/>
  <c r="D1247" i="2"/>
  <c r="D1246" i="2"/>
  <c r="D1245" i="2"/>
  <c r="D1244" i="2"/>
  <c r="D1243" i="2"/>
  <c r="D1242" i="2"/>
  <c r="D1241" i="2"/>
  <c r="D1240" i="2"/>
  <c r="D1239" i="2"/>
  <c r="D1236" i="2"/>
  <c r="D1235" i="2"/>
  <c r="D1225" i="2"/>
  <c r="D1234" i="2"/>
  <c r="D1231" i="2"/>
  <c r="D1226" i="2"/>
  <c r="D1229" i="2"/>
  <c r="D1227" i="2"/>
  <c r="D1301" i="2"/>
  <c r="D1300" i="2"/>
  <c r="D1299" i="2"/>
  <c r="D1298" i="2"/>
  <c r="D1297" i="2"/>
  <c r="D1296" i="2"/>
  <c r="D1295" i="2"/>
  <c r="D1294" i="2"/>
  <c r="D1293" i="2"/>
  <c r="D1292" i="2"/>
  <c r="D1291" i="2"/>
  <c r="D1290" i="2"/>
  <c r="D1289" i="2"/>
  <c r="D1288" i="2"/>
  <c r="D1287" i="2"/>
  <c r="D1286" i="2"/>
  <c r="D1285" i="2"/>
  <c r="D1284" i="2"/>
  <c r="D1283" i="2"/>
  <c r="D1307" i="2"/>
  <c r="D1330" i="2"/>
  <c r="D1326" i="2"/>
  <c r="D1308" i="2"/>
  <c r="D1310" i="2"/>
  <c r="D1309" i="2"/>
  <c r="D1315" i="2"/>
  <c r="D1224" i="2"/>
  <c r="D1223" i="2"/>
  <c r="D1222" i="2"/>
  <c r="D1210" i="2"/>
  <c r="D1166" i="2"/>
  <c r="D1212" i="2"/>
  <c r="D1168" i="2"/>
  <c r="D1167" i="2"/>
  <c r="D1165" i="2"/>
  <c r="D1164" i="2"/>
  <c r="D1163" i="2"/>
  <c r="D1162" i="2"/>
  <c r="D1161" i="2"/>
  <c r="D1160" i="2"/>
  <c r="D1159" i="2"/>
  <c r="D1158" i="2"/>
  <c r="D1172" i="2"/>
  <c r="D1188" i="2"/>
  <c r="D1183" i="2"/>
  <c r="D1209" i="2"/>
  <c r="D1208" i="2"/>
  <c r="D1207" i="2"/>
  <c r="D1206" i="2"/>
  <c r="D1205" i="2"/>
  <c r="D1204" i="2"/>
  <c r="D1189" i="2"/>
  <c r="D1190" i="2"/>
  <c r="D1186" i="2"/>
  <c r="D1185" i="2"/>
  <c r="D1184" i="2"/>
  <c r="D1187" i="2"/>
  <c r="D1182" i="2"/>
  <c r="D1179" i="2"/>
  <c r="D1178" i="2"/>
  <c r="D1177" i="2"/>
  <c r="D1181" i="2"/>
  <c r="D1180" i="2"/>
  <c r="D1176" i="2"/>
  <c r="D1175" i="2"/>
  <c r="D1174" i="2"/>
  <c r="D1173" i="2"/>
  <c r="D1170" i="2"/>
  <c r="D1171" i="2"/>
  <c r="D1169" i="2"/>
  <c r="D1196" i="2"/>
  <c r="D1195" i="2"/>
  <c r="D1194" i="2"/>
  <c r="D1193" i="2"/>
  <c r="D1192" i="2"/>
  <c r="D1191" i="2"/>
  <c r="D1203" i="2"/>
  <c r="D1201" i="2"/>
  <c r="D1198" i="2"/>
  <c r="D1200" i="2"/>
  <c r="D1197" i="2"/>
  <c r="D1202" i="2"/>
  <c r="D1157" i="2"/>
  <c r="D1065" i="2"/>
  <c r="D1064" i="2"/>
  <c r="D1063" i="2"/>
  <c r="D1154" i="2"/>
  <c r="D1153" i="2"/>
  <c r="D1152" i="2"/>
  <c r="D1151" i="2"/>
  <c r="D1150" i="2"/>
  <c r="D1149" i="2"/>
  <c r="D1148" i="2"/>
  <c r="D1147" i="2"/>
  <c r="D1146" i="2"/>
  <c r="D1145" i="2"/>
  <c r="D1144" i="2"/>
  <c r="D1143" i="2"/>
  <c r="D1142" i="2"/>
  <c r="D1155" i="2"/>
  <c r="D1156" i="2"/>
  <c r="D1067" i="2"/>
  <c r="D1066" i="2"/>
  <c r="D1062" i="2"/>
  <c r="D1110" i="2"/>
  <c r="D1109" i="2"/>
  <c r="D1108" i="2"/>
  <c r="D1107" i="2"/>
  <c r="D1106" i="2"/>
  <c r="D1105" i="2"/>
  <c r="D1104" i="2"/>
  <c r="D1103" i="2"/>
  <c r="D1102" i="2"/>
  <c r="D1101" i="2"/>
  <c r="D1100" i="2"/>
  <c r="D1099" i="2"/>
  <c r="D1098" i="2"/>
  <c r="D1097" i="2"/>
  <c r="D1096" i="2"/>
  <c r="D1095" i="2"/>
  <c r="D1094" i="2"/>
  <c r="D1093" i="2"/>
  <c r="D1092" i="2"/>
  <c r="D1091" i="2"/>
  <c r="D1090" i="2"/>
  <c r="D1089" i="2"/>
  <c r="D1070" i="2"/>
  <c r="D1068" i="2"/>
  <c r="D1141" i="2"/>
  <c r="D1140" i="2"/>
  <c r="D1139" i="2"/>
  <c r="D1138" i="2"/>
  <c r="D1137" i="2"/>
  <c r="D1136" i="2"/>
  <c r="D1135" i="2"/>
  <c r="D1115" i="2"/>
  <c r="D1130" i="2"/>
  <c r="D1122" i="2"/>
  <c r="D1129" i="2"/>
  <c r="D1118" i="2"/>
  <c r="D1121" i="2"/>
  <c r="D1119" i="2"/>
  <c r="D1112" i="2"/>
  <c r="D1113" i="2"/>
  <c r="D1127" i="2"/>
  <c r="D1120" i="2"/>
  <c r="D1116" i="2"/>
  <c r="D1117" i="2"/>
  <c r="D1087" i="2"/>
  <c r="D1086" i="2"/>
  <c r="D1085" i="2"/>
  <c r="D1084" i="2"/>
  <c r="D1083" i="2"/>
  <c r="D1082" i="2"/>
  <c r="D1081" i="2"/>
  <c r="D1080" i="2"/>
  <c r="D1079" i="2"/>
  <c r="D1078" i="2"/>
  <c r="D1077" i="2"/>
  <c r="D1076" i="2"/>
  <c r="D1075" i="2"/>
  <c r="D1074" i="2"/>
  <c r="D1073" i="2"/>
  <c r="D1072" i="2"/>
  <c r="D1071" i="2"/>
  <c r="D1088" i="2"/>
  <c r="D1126" i="2"/>
  <c r="D1124" i="2"/>
  <c r="D1125" i="2"/>
  <c r="D1128" i="2"/>
  <c r="D1111" i="2"/>
  <c r="D1123" i="2"/>
  <c r="D1114" i="2"/>
  <c r="D1069" i="2"/>
  <c r="D1061" i="2"/>
  <c r="D855" i="2"/>
  <c r="D988" i="2"/>
  <c r="D1060" i="2"/>
  <c r="D1058" i="2"/>
  <c r="D1059" i="2"/>
  <c r="D1049" i="2"/>
  <c r="D1048" i="2"/>
  <c r="D1047" i="2"/>
  <c r="D1046" i="2"/>
  <c r="D1045" i="2"/>
  <c r="D1044" i="2"/>
  <c r="D1053" i="2"/>
  <c r="D1052" i="2"/>
  <c r="D1051" i="2"/>
  <c r="D1050" i="2"/>
  <c r="D1057" i="2"/>
  <c r="D1056" i="2"/>
  <c r="D1055" i="2"/>
  <c r="D1054" i="2"/>
  <c r="D831" i="2"/>
  <c r="D830" i="2"/>
  <c r="D829" i="2"/>
  <c r="D828" i="2"/>
  <c r="D827" i="2"/>
  <c r="D826" i="2"/>
  <c r="D825" i="2"/>
  <c r="D824" i="2"/>
  <c r="D823" i="2"/>
  <c r="D822" i="2"/>
  <c r="D821" i="2"/>
  <c r="D820" i="2"/>
  <c r="D819" i="2"/>
  <c r="D818"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844" i="2"/>
  <c r="D843" i="2"/>
  <c r="D834" i="2"/>
  <c r="D833" i="2"/>
  <c r="D842" i="2"/>
  <c r="D832" i="2"/>
  <c r="D1043" i="2"/>
  <c r="D1042" i="2"/>
  <c r="D1041" i="2"/>
  <c r="D1040" i="2"/>
  <c r="D1039" i="2"/>
  <c r="D1038" i="2"/>
  <c r="D1037" i="2"/>
  <c r="D1036" i="2"/>
  <c r="D1035" i="2"/>
  <c r="D1034" i="2"/>
  <c r="D1033" i="2"/>
  <c r="D1032" i="2"/>
  <c r="D1031" i="2"/>
  <c r="D1030" i="2"/>
  <c r="D1029" i="2"/>
  <c r="D1028" i="2"/>
  <c r="D1017" i="2"/>
  <c r="D973" i="2"/>
  <c r="D1021" i="2"/>
  <c r="D970" i="2"/>
  <c r="D972" i="2"/>
  <c r="D997" i="2"/>
  <c r="D985" i="2"/>
  <c r="D978" i="2"/>
  <c r="D995" i="2"/>
  <c r="D1006" i="2"/>
  <c r="D1007" i="2"/>
  <c r="D1011" i="2"/>
  <c r="D982" i="2"/>
  <c r="D996" i="2"/>
  <c r="D1002" i="2"/>
  <c r="D994" i="2"/>
  <c r="D981" i="2"/>
  <c r="D992" i="2"/>
  <c r="D1009" i="2"/>
  <c r="D979" i="2"/>
  <c r="D983" i="2"/>
  <c r="D993" i="2"/>
  <c r="D1000" i="2"/>
  <c r="D1010" i="2"/>
  <c r="D999" i="2"/>
  <c r="D986" i="2"/>
  <c r="D991" i="2"/>
  <c r="D984" i="2"/>
  <c r="D987" i="2"/>
  <c r="D974" i="2"/>
  <c r="D975" i="2"/>
  <c r="D1001" i="2"/>
  <c r="D1004" i="2"/>
  <c r="D1008" i="2"/>
  <c r="D971" i="2"/>
  <c r="D1018" i="2"/>
  <c r="D1005" i="2"/>
  <c r="D998" i="2"/>
  <c r="D1012" i="2"/>
  <c r="D977" i="2"/>
  <c r="D1014" i="2"/>
  <c r="D901" i="2"/>
  <c r="D900" i="2"/>
  <c r="D907" i="2"/>
  <c r="D906" i="2"/>
  <c r="D905" i="2"/>
  <c r="D904" i="2"/>
  <c r="D903" i="2"/>
  <c r="D902"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3" i="2"/>
  <c r="D852" i="2"/>
  <c r="D851" i="2"/>
  <c r="D850" i="2"/>
  <c r="D849" i="2"/>
  <c r="D848" i="2"/>
  <c r="D847" i="2"/>
  <c r="D846" i="2"/>
  <c r="D845" i="2"/>
  <c r="D914" i="2"/>
  <c r="D913" i="2"/>
  <c r="D912" i="2"/>
  <c r="D910" i="2"/>
  <c r="D909" i="2"/>
  <c r="D908" i="2"/>
  <c r="D1015" i="2"/>
  <c r="D1016" i="2"/>
  <c r="D976" i="2"/>
  <c r="D990" i="2"/>
  <c r="D1020" i="2"/>
  <c r="D1019" i="2"/>
  <c r="D1022" i="2"/>
  <c r="D841" i="2"/>
  <c r="D840" i="2"/>
  <c r="D839" i="2"/>
  <c r="D838" i="2"/>
  <c r="D837" i="2"/>
  <c r="D836" i="2"/>
  <c r="D835" i="2"/>
  <c r="D817" i="2"/>
  <c r="D1545" i="2"/>
  <c r="D1269" i="2"/>
  <c r="D1335" i="2"/>
  <c r="D1558" i="2"/>
  <c r="D1478" i="2"/>
  <c r="D3671" i="2"/>
  <c r="D2181" i="2"/>
  <c r="D1132" i="2"/>
  <c r="D1131" i="2"/>
  <c r="D1562" i="2"/>
  <c r="D1595" i="2"/>
  <c r="D1560" i="2"/>
  <c r="D1559" i="2"/>
  <c r="D2246" i="2"/>
  <c r="D2137" i="2"/>
  <c r="D465" i="2"/>
  <c r="D464" i="2"/>
  <c r="D1594" i="2"/>
  <c r="D1593" i="2"/>
  <c r="D3212" i="2"/>
  <c r="D816" i="2"/>
  <c r="D815" i="2"/>
  <c r="D1561" i="2"/>
  <c r="D367" i="2"/>
  <c r="D3132" i="2"/>
  <c r="D814" i="2"/>
  <c r="D808" i="2"/>
  <c r="D807" i="2"/>
  <c r="D813" i="2"/>
  <c r="D811" i="2"/>
  <c r="D810" i="2"/>
  <c r="D809" i="2"/>
  <c r="D806" i="2"/>
  <c r="D773" i="2"/>
  <c r="D801" i="2"/>
  <c r="D798" i="2"/>
  <c r="D797" i="2"/>
  <c r="D788" i="2"/>
  <c r="D805" i="2"/>
  <c r="D795" i="2"/>
  <c r="D794" i="2"/>
  <c r="D793" i="2"/>
  <c r="D792" i="2"/>
  <c r="D791" i="2"/>
  <c r="D790" i="2"/>
  <c r="D789" i="2"/>
  <c r="D796" i="2"/>
  <c r="D800" i="2"/>
  <c r="D787" i="2"/>
  <c r="D772" i="2"/>
  <c r="D614" i="2"/>
  <c r="D786" i="2"/>
  <c r="D785" i="2"/>
  <c r="D784" i="2"/>
  <c r="D783" i="2"/>
  <c r="D782" i="2"/>
  <c r="D781" i="2"/>
  <c r="D780" i="2"/>
  <c r="D779" i="2"/>
  <c r="D767" i="2"/>
  <c r="D766" i="2"/>
  <c r="D765" i="2"/>
  <c r="D778" i="2"/>
  <c r="D777" i="2"/>
  <c r="D776" i="2"/>
  <c r="D763" i="2"/>
  <c r="D762" i="2"/>
  <c r="D761" i="2"/>
  <c r="D759" i="2"/>
  <c r="D760" i="2"/>
  <c r="D758" i="2"/>
  <c r="D757" i="2"/>
  <c r="D756" i="2"/>
  <c r="D755" i="2"/>
  <c r="D754" i="2"/>
  <c r="D753" i="2"/>
  <c r="D752" i="2"/>
  <c r="D751" i="2"/>
  <c r="D750" i="2"/>
  <c r="D749" i="2"/>
  <c r="D764" i="2"/>
  <c r="D774" i="2"/>
  <c r="D770" i="2"/>
  <c r="D771" i="2"/>
  <c r="D748" i="2"/>
  <c r="D812" i="2"/>
  <c r="D804" i="2"/>
  <c r="D741" i="2"/>
  <c r="D740" i="2"/>
  <c r="D775" i="2"/>
  <c r="D747" i="2"/>
  <c r="D732" i="2"/>
  <c r="D739" i="2"/>
  <c r="D738" i="2"/>
  <c r="D737" i="2"/>
  <c r="D746" i="2"/>
  <c r="D745" i="2"/>
  <c r="D736" i="2"/>
  <c r="D735" i="2"/>
  <c r="D734" i="2"/>
  <c r="D733" i="2"/>
  <c r="D731" i="2"/>
  <c r="D716" i="2"/>
  <c r="D720" i="2"/>
  <c r="D730" i="2"/>
  <c r="D729" i="2"/>
  <c r="D728" i="2"/>
  <c r="D722" i="2"/>
  <c r="D724" i="2"/>
  <c r="D718" i="2"/>
  <c r="D717" i="2"/>
  <c r="D719" i="2"/>
  <c r="D726" i="2"/>
  <c r="D715" i="2"/>
  <c r="D744" i="2"/>
  <c r="D723" i="2"/>
  <c r="D725" i="2"/>
  <c r="D714" i="2"/>
  <c r="D713" i="2"/>
  <c r="D703" i="2"/>
  <c r="D712" i="2"/>
  <c r="D708" i="2"/>
  <c r="D707" i="2"/>
  <c r="D706" i="2"/>
  <c r="D705" i="2"/>
  <c r="D704" i="2"/>
  <c r="D709" i="2"/>
  <c r="D769" i="2"/>
  <c r="D702" i="2"/>
  <c r="D700" i="2"/>
  <c r="D699" i="2"/>
  <c r="D685" i="2"/>
  <c r="D683" i="2"/>
  <c r="D698" i="2"/>
  <c r="D697" i="2"/>
  <c r="D696" i="2"/>
  <c r="D695" i="2"/>
  <c r="D694" i="2"/>
  <c r="D693" i="2"/>
  <c r="D692" i="2"/>
  <c r="D691" i="2"/>
  <c r="D690" i="2"/>
  <c r="D688" i="2"/>
  <c r="D687" i="2"/>
  <c r="D686" i="2"/>
  <c r="D682" i="2"/>
  <c r="D689" i="2"/>
  <c r="D681" i="2"/>
  <c r="D680" i="2"/>
  <c r="D669" i="2"/>
  <c r="D668" i="2"/>
  <c r="D675" i="2"/>
  <c r="D672" i="2"/>
  <c r="D671" i="2"/>
  <c r="D670" i="2"/>
  <c r="D679" i="2"/>
  <c r="D674" i="2"/>
  <c r="D673" i="2"/>
  <c r="D676" i="2"/>
  <c r="D667" i="2"/>
  <c r="D654" i="2"/>
  <c r="D660" i="2"/>
  <c r="D666" i="2"/>
  <c r="D665" i="2"/>
  <c r="D664" i="2"/>
  <c r="D658" i="2"/>
  <c r="D659" i="2"/>
  <c r="D657" i="2"/>
  <c r="D656" i="2"/>
  <c r="D663" i="2"/>
  <c r="D655" i="2"/>
  <c r="D653" i="2"/>
  <c r="D645" i="2"/>
  <c r="D652" i="2"/>
  <c r="D636" i="2"/>
  <c r="D642" i="2"/>
  <c r="D641" i="2"/>
  <c r="D640" i="2"/>
  <c r="D651" i="2"/>
  <c r="D648" i="2"/>
  <c r="D639" i="2"/>
  <c r="D638" i="2"/>
  <c r="D637" i="2"/>
  <c r="D649" i="2"/>
  <c r="D635" i="2"/>
  <c r="D619" i="2"/>
  <c r="D620" i="2"/>
  <c r="D618" i="2"/>
  <c r="D617" i="2"/>
  <c r="D626" i="2"/>
  <c r="D625" i="2"/>
  <c r="D624" i="2"/>
  <c r="D623" i="2"/>
  <c r="D622" i="2"/>
  <c r="D634" i="2"/>
  <c r="D633" i="2"/>
  <c r="D632" i="2"/>
  <c r="D631" i="2"/>
  <c r="D630" i="2"/>
  <c r="D627" i="2"/>
  <c r="D621" i="2"/>
  <c r="D629" i="2"/>
  <c r="D616" i="2"/>
  <c r="D615" i="2"/>
  <c r="D603" i="2"/>
  <c r="D602" i="2"/>
  <c r="D601" i="2"/>
  <c r="D609" i="2"/>
  <c r="D608" i="2"/>
  <c r="D607" i="2"/>
  <c r="D606" i="2"/>
  <c r="D612" i="2"/>
  <c r="D605" i="2"/>
  <c r="D604" i="2"/>
  <c r="D611" i="2"/>
  <c r="D600" i="2"/>
  <c r="D478" i="2"/>
  <c r="D477" i="2"/>
  <c r="D551" i="2"/>
  <c r="D480" i="2"/>
  <c r="D479" i="2"/>
  <c r="D547" i="2"/>
  <c r="D546" i="2"/>
  <c r="D545" i="2"/>
  <c r="D544" i="2"/>
  <c r="D543" i="2"/>
  <c r="D542" i="2"/>
  <c r="D541" i="2"/>
  <c r="D540" i="2"/>
  <c r="D539" i="2"/>
  <c r="D538" i="2"/>
  <c r="D537" i="2"/>
  <c r="D536" i="2"/>
  <c r="D535" i="2"/>
  <c r="D534" i="2"/>
  <c r="D533" i="2"/>
  <c r="D532" i="2"/>
  <c r="D531" i="2"/>
  <c r="D1826"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81" i="2"/>
  <c r="D498" i="2"/>
  <c r="D496" i="2"/>
  <c r="D494" i="2"/>
  <c r="D492" i="2"/>
  <c r="D587" i="2"/>
  <c r="D566" i="2"/>
  <c r="D556" i="2"/>
  <c r="D574" i="2"/>
  <c r="D578" i="2"/>
  <c r="D549" i="2"/>
  <c r="D571" i="2"/>
  <c r="D561" i="2"/>
  <c r="D598" i="2"/>
  <c r="D597" i="2"/>
  <c r="D550" i="2"/>
  <c r="D554" i="2"/>
  <c r="D548" i="2"/>
  <c r="D595" i="2"/>
  <c r="D588" i="2"/>
  <c r="D586" i="2"/>
  <c r="D580" i="2"/>
  <c r="D558" i="2"/>
  <c r="D555" i="2"/>
  <c r="D591" i="2"/>
  <c r="D553" i="2"/>
  <c r="D565" i="2"/>
  <c r="D585" i="2"/>
  <c r="D594" i="2"/>
  <c r="D552" i="2"/>
  <c r="D576" i="2"/>
  <c r="D573" i="2"/>
  <c r="D570" i="2"/>
  <c r="D590" i="2"/>
  <c r="D584" i="2"/>
  <c r="D563" i="2"/>
  <c r="D589" i="2"/>
  <c r="D581" i="2"/>
  <c r="D557" i="2"/>
  <c r="D577" i="2"/>
  <c r="D564" i="2"/>
  <c r="D559" i="2"/>
  <c r="D593" i="2"/>
  <c r="D562" i="2"/>
  <c r="D596" i="2"/>
  <c r="D582" i="2"/>
  <c r="D579" i="2"/>
  <c r="D569" i="2"/>
  <c r="D575" i="2"/>
  <c r="D592" i="2"/>
  <c r="D567" i="2"/>
  <c r="D572" i="2"/>
  <c r="D583" i="2"/>
  <c r="D497" i="2"/>
  <c r="D495" i="2"/>
  <c r="D493" i="2"/>
  <c r="D491" i="2"/>
  <c r="D490" i="2"/>
  <c r="D489" i="2"/>
  <c r="D488" i="2"/>
  <c r="D487" i="2"/>
  <c r="D486" i="2"/>
  <c r="D485" i="2"/>
  <c r="D484" i="2"/>
  <c r="D483" i="2"/>
  <c r="D482" i="2"/>
  <c r="D568" i="2"/>
  <c r="D560" i="2"/>
  <c r="D476" i="2"/>
  <c r="D644" i="2"/>
  <c r="D647" i="2"/>
  <c r="D4255" i="2"/>
  <c r="D3900" i="2"/>
  <c r="D701" i="2"/>
  <c r="D4153" i="2"/>
  <c r="D3620" i="2"/>
  <c r="D628" i="2"/>
  <c r="D613" i="2"/>
  <c r="D662" i="2"/>
  <c r="D3325" i="2"/>
  <c r="D646" i="2"/>
  <c r="D2036" i="2"/>
  <c r="D661" i="2"/>
  <c r="D3555" i="2"/>
  <c r="D610" i="2"/>
  <c r="D475" i="2"/>
  <c r="D474" i="2"/>
  <c r="D462" i="2"/>
  <c r="D473" i="2"/>
  <c r="D472" i="2"/>
  <c r="D471" i="2"/>
  <c r="D459" i="2"/>
  <c r="D458" i="2"/>
  <c r="D470" i="2"/>
  <c r="D469" i="2"/>
  <c r="D468" i="2"/>
  <c r="D466" i="2"/>
  <c r="D463" i="2"/>
  <c r="D456" i="2"/>
  <c r="D455" i="2"/>
  <c r="D457" i="2"/>
  <c r="D454" i="2"/>
  <c r="D461" i="2"/>
  <c r="D453" i="2"/>
  <c r="D451" i="2"/>
  <c r="D450" i="2"/>
  <c r="D452" i="2"/>
  <c r="D401" i="2"/>
  <c r="D449" i="2"/>
  <c r="D448" i="2"/>
  <c r="D447" i="2"/>
  <c r="D446" i="2"/>
  <c r="D445" i="2"/>
  <c r="D444" i="2"/>
  <c r="D443" i="2"/>
  <c r="D442" i="2"/>
  <c r="D441" i="2"/>
  <c r="D440" i="2"/>
  <c r="D439" i="2"/>
  <c r="D438" i="2"/>
  <c r="D437" i="2"/>
  <c r="D436" i="2"/>
  <c r="D435" i="2"/>
  <c r="D434" i="2"/>
  <c r="D433" i="2"/>
  <c r="D432" i="2"/>
  <c r="D431" i="2"/>
  <c r="D430" i="2"/>
  <c r="D429" i="2"/>
  <c r="D428" i="2"/>
  <c r="D400" i="2"/>
  <c r="D398" i="2"/>
  <c r="D396" i="2"/>
  <c r="D393" i="2"/>
  <c r="D399" i="2"/>
  <c r="D397" i="2"/>
  <c r="D395" i="2"/>
  <c r="D394" i="2"/>
  <c r="D392" i="2"/>
  <c r="D391" i="2"/>
  <c r="D390" i="2"/>
  <c r="D414" i="2"/>
  <c r="D389" i="2"/>
  <c r="D365" i="2"/>
  <c r="D360" i="2"/>
  <c r="D388" i="2"/>
  <c r="D387" i="2"/>
  <c r="D386" i="2"/>
  <c r="D356" i="2"/>
  <c r="D355" i="2"/>
  <c r="D354" i="2"/>
  <c r="D338" i="2"/>
  <c r="D337" i="2"/>
  <c r="D385" i="2"/>
  <c r="D384" i="2"/>
  <c r="D383" i="2"/>
  <c r="D382" i="2"/>
  <c r="D381" i="2"/>
  <c r="D380" i="2"/>
  <c r="D379" i="2"/>
  <c r="D378" i="2"/>
  <c r="D377" i="2"/>
  <c r="D376" i="2"/>
  <c r="D375" i="2"/>
  <c r="D374" i="2"/>
  <c r="D373" i="2"/>
  <c r="D372" i="2"/>
  <c r="D371" i="2"/>
  <c r="D370" i="2"/>
  <c r="D361" i="2"/>
  <c r="D364" i="2"/>
  <c r="D362" i="2"/>
  <c r="D350" i="2"/>
  <c r="D348" i="2"/>
  <c r="D347" i="2"/>
  <c r="D344" i="2"/>
  <c r="D343" i="2"/>
  <c r="D352" i="2"/>
  <c r="D351" i="2"/>
  <c r="D349" i="2"/>
  <c r="D346" i="2"/>
  <c r="D345" i="2"/>
  <c r="D342" i="2"/>
  <c r="D341" i="2"/>
  <c r="D340" i="2"/>
  <c r="D339" i="2"/>
  <c r="D353" i="2"/>
  <c r="D359" i="2"/>
  <c r="D336" i="2"/>
  <c r="D260" i="2"/>
  <c r="D295" i="2"/>
  <c r="D335" i="2"/>
  <c r="D334" i="2"/>
  <c r="D333" i="2"/>
  <c r="D332" i="2"/>
  <c r="D285" i="2"/>
  <c r="D284" i="2"/>
  <c r="D283" i="2"/>
  <c r="D282" i="2"/>
  <c r="D281" i="2"/>
  <c r="D280" i="2"/>
  <c r="D279" i="2"/>
  <c r="D278" i="2"/>
  <c r="D277" i="2"/>
  <c r="D276" i="2"/>
  <c r="D275" i="2"/>
  <c r="D274" i="2"/>
  <c r="D273" i="2"/>
  <c r="D272" i="2"/>
  <c r="D271" i="2"/>
  <c r="D331" i="2"/>
  <c r="D330" i="2"/>
  <c r="D329" i="2"/>
  <c r="D328" i="2"/>
  <c r="D327" i="2"/>
  <c r="D326" i="2"/>
  <c r="D325" i="2"/>
  <c r="D324" i="2"/>
  <c r="D323" i="2"/>
  <c r="D322" i="2"/>
  <c r="D321" i="2"/>
  <c r="D320" i="2"/>
  <c r="D319" i="2"/>
  <c r="D318" i="2"/>
  <c r="D317" i="2"/>
  <c r="D316" i="2"/>
  <c r="D315" i="2"/>
  <c r="D314" i="2"/>
  <c r="D313" i="2"/>
  <c r="D312" i="2"/>
  <c r="D307" i="2"/>
  <c r="D306" i="2"/>
  <c r="D305" i="2"/>
  <c r="D304" i="2"/>
  <c r="D288" i="2"/>
  <c r="D302" i="2"/>
  <c r="D4105" i="2"/>
  <c r="D291" i="2"/>
  <c r="D289" i="2"/>
  <c r="D287" i="2"/>
  <c r="D413" i="2"/>
  <c r="D290" i="2"/>
  <c r="D301" i="2"/>
  <c r="D300" i="2"/>
  <c r="D299" i="2"/>
  <c r="D298" i="2"/>
  <c r="D297" i="2"/>
  <c r="D296" i="2"/>
  <c r="D294" i="2"/>
  <c r="D293" i="2"/>
  <c r="D309" i="2"/>
  <c r="D799" i="2"/>
  <c r="D1303" i="2"/>
  <c r="D405" i="2"/>
  <c r="D411" i="2"/>
  <c r="D410" i="2"/>
  <c r="D407" i="2"/>
  <c r="D406" i="2"/>
  <c r="D4163" i="2"/>
  <c r="D112" i="2"/>
  <c r="D4142" i="2"/>
  <c r="D4104" i="2"/>
  <c r="D409" i="2"/>
  <c r="D1302" i="2"/>
  <c r="D404" i="2"/>
  <c r="D403" i="2"/>
  <c r="D1305" i="2"/>
  <c r="D1954" i="2"/>
  <c r="D1304" i="2"/>
  <c r="D357" i="2"/>
  <c r="D2245" i="2"/>
  <c r="D286" i="2"/>
  <c r="D2628" i="2"/>
  <c r="D710" i="2"/>
  <c r="D1635" i="2"/>
  <c r="D3119" i="2"/>
  <c r="D408" i="2"/>
  <c r="D643" i="2"/>
  <c r="D460" i="2"/>
  <c r="D183" i="2"/>
  <c r="D402" i="2"/>
  <c r="D268" i="2"/>
  <c r="D267" i="2"/>
  <c r="D266" i="2"/>
  <c r="D265" i="2"/>
  <c r="D264" i="2"/>
  <c r="D263" i="2"/>
  <c r="D262" i="2"/>
  <c r="D261" i="2"/>
  <c r="D270" i="2"/>
  <c r="D269" i="2"/>
  <c r="D292" i="2"/>
  <c r="D259" i="2"/>
  <c r="D363" i="2"/>
  <c r="D366" i="2"/>
  <c r="D308" i="2"/>
  <c r="D2165" i="2"/>
  <c r="D419" i="2"/>
  <c r="D416" i="2"/>
  <c r="D421" i="2"/>
  <c r="D303" i="2"/>
  <c r="D418" i="2"/>
  <c r="D3511" i="2"/>
  <c r="D2140" i="2"/>
  <c r="D2860" i="2"/>
  <c r="D2157" i="2"/>
  <c r="D258" i="2"/>
  <c r="D257" i="2"/>
  <c r="D256" i="2"/>
  <c r="D255" i="2"/>
  <c r="D242" i="2"/>
  <c r="D241" i="2"/>
  <c r="D240" i="2"/>
  <c r="D239" i="2"/>
  <c r="D238" i="2"/>
  <c r="D237" i="2"/>
  <c r="D236" i="2"/>
  <c r="D235" i="2"/>
  <c r="D234" i="2"/>
  <c r="D233" i="2"/>
  <c r="D232" i="2"/>
  <c r="D231" i="2"/>
  <c r="D254" i="2"/>
  <c r="D249" i="2"/>
  <c r="D248" i="2"/>
  <c r="D252" i="2"/>
  <c r="D250" i="2"/>
  <c r="D253" i="2"/>
  <c r="D244" i="2"/>
  <c r="D247" i="2"/>
  <c r="D251" i="2"/>
  <c r="D245" i="2"/>
  <c r="D246" i="2"/>
  <c r="D230" i="2"/>
  <c r="D229" i="2"/>
  <c r="D228" i="2"/>
  <c r="D227" i="2"/>
  <c r="D226" i="2"/>
  <c r="D225" i="2"/>
  <c r="D224" i="2"/>
  <c r="D223" i="2"/>
  <c r="D222" i="2"/>
  <c r="D221" i="2"/>
  <c r="D220" i="2"/>
  <c r="D243" i="2"/>
  <c r="D219" i="2"/>
  <c r="D2429" i="2"/>
  <c r="D218" i="2"/>
  <c r="D217" i="2"/>
  <c r="D205" i="2"/>
  <c r="D204" i="2"/>
  <c r="D203" i="2"/>
  <c r="D202" i="2"/>
  <c r="D201" i="2"/>
  <c r="D200" i="2"/>
  <c r="D199" i="2"/>
  <c r="D198" i="2"/>
  <c r="D216" i="2"/>
  <c r="D208" i="2"/>
  <c r="D212" i="2"/>
  <c r="D207" i="2"/>
  <c r="D206" i="2"/>
  <c r="D210" i="2"/>
  <c r="D213" i="2"/>
  <c r="D197" i="2"/>
  <c r="D196" i="2"/>
  <c r="D195" i="2"/>
  <c r="D194" i="2"/>
  <c r="D193" i="2"/>
  <c r="D192" i="2"/>
  <c r="D211" i="2"/>
  <c r="D191" i="2"/>
  <c r="D182" i="2"/>
  <c r="D181" i="2"/>
  <c r="D190" i="2"/>
  <c r="D189" i="2"/>
  <c r="D188" i="2"/>
  <c r="D187" i="2"/>
  <c r="D185" i="2"/>
  <c r="D180" i="2"/>
  <c r="D179" i="2"/>
  <c r="D178" i="2"/>
  <c r="D177" i="2"/>
  <c r="D184" i="2"/>
  <c r="D176" i="2"/>
  <c r="D169" i="2"/>
  <c r="D168" i="2"/>
  <c r="D167" i="2"/>
  <c r="D175" i="2"/>
  <c r="D171" i="2"/>
  <c r="D172" i="2"/>
  <c r="D166" i="2"/>
  <c r="D165" i="2"/>
  <c r="D164" i="2"/>
  <c r="D163" i="2"/>
  <c r="D162" i="2"/>
  <c r="D161" i="2"/>
  <c r="D160" i="2"/>
  <c r="D170" i="2"/>
  <c r="D467" i="2"/>
  <c r="D174" i="2"/>
  <c r="D173" i="2"/>
  <c r="D159" i="2"/>
  <c r="D158" i="2"/>
  <c r="D157" i="2"/>
  <c r="D156" i="2"/>
  <c r="D155" i="2"/>
  <c r="D154" i="2"/>
  <c r="D153" i="2"/>
  <c r="D152" i="2"/>
  <c r="D150" i="2"/>
  <c r="D149" i="2"/>
  <c r="D151" i="2"/>
  <c r="D148" i="2"/>
  <c r="D147" i="2"/>
  <c r="D146" i="2"/>
  <c r="D137" i="2"/>
  <c r="D145" i="2"/>
  <c r="D144" i="2"/>
  <c r="D143" i="2"/>
  <c r="D142" i="2"/>
  <c r="D141" i="2"/>
  <c r="D139" i="2"/>
  <c r="D136" i="2"/>
  <c r="D135" i="2"/>
  <c r="D134" i="2"/>
  <c r="D133" i="2"/>
  <c r="D117" i="2"/>
  <c r="D132" i="2"/>
  <c r="D130" i="2"/>
  <c r="D131" i="2"/>
  <c r="D129" i="2"/>
  <c r="D128" i="2"/>
  <c r="D89" i="2"/>
  <c r="D111" i="2"/>
  <c r="D110" i="2"/>
  <c r="D109" i="2"/>
  <c r="D108" i="2"/>
  <c r="D107" i="2"/>
  <c r="D106" i="2"/>
  <c r="D105" i="2"/>
  <c r="D90" i="2"/>
  <c r="D93" i="2"/>
  <c r="D127" i="2"/>
  <c r="D126" i="2"/>
  <c r="D124" i="2"/>
  <c r="D113" i="2"/>
  <c r="D123" i="2"/>
  <c r="D115" i="2"/>
  <c r="D120" i="2"/>
  <c r="D116" i="2"/>
  <c r="D121" i="2"/>
  <c r="D114" i="2"/>
  <c r="D118" i="2"/>
  <c r="D119" i="2"/>
  <c r="D122" i="2"/>
  <c r="D104" i="2"/>
  <c r="D99" i="2"/>
  <c r="D98" i="2"/>
  <c r="D97" i="2"/>
  <c r="D96" i="2"/>
  <c r="D95" i="2"/>
  <c r="D94" i="2"/>
  <c r="D92" i="2"/>
  <c r="D91" i="2"/>
  <c r="D103" i="2"/>
  <c r="D102" i="2"/>
  <c r="D101" i="2"/>
  <c r="D100" i="2"/>
  <c r="D88" i="2"/>
  <c r="D742" i="2"/>
  <c r="D1976" i="2"/>
  <c r="D87" i="2"/>
  <c r="D86" i="2"/>
  <c r="D85" i="2"/>
  <c r="D79" i="2"/>
  <c r="D78" i="2"/>
  <c r="D83" i="2"/>
  <c r="D82" i="2"/>
  <c r="D84" i="2"/>
  <c r="D81" i="2"/>
  <c r="D80" i="2"/>
  <c r="D77" i="2"/>
  <c r="D62" i="2"/>
  <c r="D61" i="2"/>
  <c r="D70" i="2"/>
  <c r="D69" i="2"/>
  <c r="D68" i="2"/>
  <c r="D76" i="2"/>
  <c r="D75" i="2"/>
  <c r="D74" i="2"/>
  <c r="D73" i="2"/>
  <c r="D72" i="2"/>
  <c r="D71" i="2"/>
  <c r="D67" i="2"/>
  <c r="D66" i="2"/>
  <c r="D65" i="2"/>
  <c r="D64" i="2"/>
  <c r="D63" i="2"/>
  <c r="D60" i="2"/>
  <c r="D59" i="2"/>
  <c r="D38" i="2"/>
  <c r="D37" i="2"/>
  <c r="D36" i="2"/>
  <c r="D54" i="2"/>
  <c r="D53" i="2"/>
  <c r="D52" i="2"/>
  <c r="D58" i="2"/>
  <c r="D55" i="2"/>
  <c r="D57" i="2"/>
  <c r="D51" i="2"/>
  <c r="D50" i="2"/>
  <c r="D42" i="2"/>
  <c r="D49" i="2"/>
  <c r="D48" i="2"/>
  <c r="D47" i="2"/>
  <c r="D46" i="2"/>
  <c r="D41" i="2"/>
  <c r="D45" i="2"/>
  <c r="D40" i="2"/>
  <c r="D44" i="2"/>
  <c r="D39" i="2"/>
  <c r="D43" i="2"/>
  <c r="D35" i="2"/>
  <c r="D34" i="2"/>
  <c r="D33" i="2"/>
  <c r="D32" i="2"/>
  <c r="D31" i="2"/>
  <c r="D30" i="2"/>
  <c r="D6" i="2"/>
  <c r="D5" i="2"/>
  <c r="D23" i="2"/>
  <c r="D22" i="2"/>
  <c r="D21" i="2"/>
  <c r="D20" i="2"/>
  <c r="D19" i="2"/>
  <c r="D28" i="2"/>
  <c r="D24" i="2"/>
  <c r="D26" i="2"/>
  <c r="D25" i="2"/>
  <c r="D27" i="2"/>
  <c r="D18" i="2"/>
  <c r="D17" i="2"/>
  <c r="D11" i="2"/>
  <c r="D16" i="2"/>
  <c r="D10" i="2"/>
  <c r="D15" i="2"/>
  <c r="D9" i="2"/>
  <c r="D14" i="2"/>
  <c r="D8" i="2"/>
  <c r="D13" i="2"/>
  <c r="D7" i="2"/>
  <c r="D12" i="2"/>
  <c r="D4" i="2"/>
  <c r="D3" i="2"/>
  <c r="D2" i="2"/>
  <c r="F4320" i="2"/>
  <c r="F4319" i="2"/>
  <c r="F4338" i="2"/>
  <c r="F4333" i="2"/>
  <c r="F4334" i="2"/>
  <c r="F4335" i="2"/>
  <c r="F4329" i="2"/>
  <c r="F4337" i="2"/>
  <c r="F4330" i="2"/>
  <c r="F4331" i="2"/>
  <c r="F4336" i="2"/>
  <c r="F4332" i="2"/>
  <c r="F4318" i="2"/>
  <c r="F4317" i="2"/>
  <c r="F4316" i="2"/>
  <c r="F4315" i="2"/>
  <c r="F4328" i="2"/>
  <c r="F4327" i="2"/>
  <c r="F4326" i="2"/>
  <c r="F4325" i="2"/>
  <c r="F4324" i="2"/>
  <c r="F4323" i="2"/>
  <c r="F4322" i="2"/>
  <c r="F4321" i="2"/>
  <c r="F4314" i="2"/>
  <c r="F4313" i="2"/>
  <c r="F4312" i="2"/>
  <c r="F4308" i="2"/>
  <c r="F4307" i="2"/>
  <c r="F4310" i="2"/>
  <c r="F4309" i="2"/>
  <c r="F4301" i="2"/>
  <c r="F4306" i="2"/>
  <c r="F4305" i="2"/>
  <c r="F4304" i="2"/>
  <c r="F4303" i="2"/>
  <c r="F4302" i="2"/>
  <c r="F4300" i="2"/>
  <c r="F4290" i="2"/>
  <c r="F4293" i="2"/>
  <c r="F4291" i="2"/>
  <c r="F4294" i="2"/>
  <c r="F4299" i="2"/>
  <c r="F4298" i="2"/>
  <c r="F4297" i="2"/>
  <c r="F4296" i="2"/>
  <c r="F4295" i="2"/>
  <c r="F4284" i="2"/>
  <c r="F4289" i="2"/>
  <c r="F4288" i="2"/>
  <c r="F4287" i="2"/>
  <c r="F4286" i="2"/>
  <c r="F4285" i="2"/>
  <c r="F4283" i="2"/>
  <c r="F4311" i="2"/>
  <c r="F4282" i="2"/>
  <c r="F4281" i="2"/>
  <c r="F4280" i="2"/>
  <c r="F4279" i="2"/>
  <c r="F4278" i="2"/>
  <c r="F4277" i="2"/>
  <c r="F4276" i="2"/>
  <c r="F4275" i="2"/>
  <c r="F4274" i="2"/>
  <c r="F4273" i="2"/>
  <c r="F4271" i="2"/>
  <c r="F4270" i="2"/>
  <c r="F4269" i="2"/>
  <c r="F4268" i="2"/>
  <c r="F4267" i="2"/>
  <c r="F3490" i="2"/>
  <c r="F4266" i="2"/>
  <c r="F4265" i="2"/>
  <c r="F4264" i="2"/>
  <c r="F4263" i="2"/>
  <c r="F4262" i="2"/>
  <c r="F4261" i="2"/>
  <c r="F4260" i="2"/>
  <c r="F4224" i="2"/>
  <c r="F4216" i="2"/>
  <c r="F4215" i="2"/>
  <c r="F4227" i="2"/>
  <c r="F4248" i="2"/>
  <c r="F4253" i="2"/>
  <c r="F4258" i="2"/>
  <c r="F4251" i="2"/>
  <c r="F4247" i="2"/>
  <c r="F4245" i="2"/>
  <c r="F4249" i="2"/>
  <c r="F4252" i="2"/>
  <c r="F4244" i="2"/>
  <c r="F4256" i="2"/>
  <c r="F4250" i="2"/>
  <c r="F4246" i="2"/>
  <c r="F4254" i="2"/>
  <c r="F4259" i="2"/>
  <c r="F4257" i="2"/>
  <c r="F4226" i="2"/>
  <c r="F4225" i="2"/>
  <c r="F4223" i="2"/>
  <c r="F4222" i="2"/>
  <c r="F4221" i="2"/>
  <c r="F4220" i="2"/>
  <c r="F4219" i="2"/>
  <c r="F4218" i="2"/>
  <c r="F4217" i="2"/>
  <c r="F4243" i="2"/>
  <c r="F4242" i="2"/>
  <c r="F4241" i="2"/>
  <c r="F4240" i="2"/>
  <c r="F4239" i="2"/>
  <c r="F4238" i="2"/>
  <c r="F4237" i="2"/>
  <c r="F4236" i="2"/>
  <c r="F4235" i="2"/>
  <c r="F4234" i="2"/>
  <c r="F4233" i="2"/>
  <c r="F4232" i="2"/>
  <c r="F4231" i="2"/>
  <c r="F4230" i="2"/>
  <c r="F4229" i="2"/>
  <c r="F4228" i="2"/>
  <c r="F4214" i="2"/>
  <c r="F4213" i="2"/>
  <c r="F4212" i="2"/>
  <c r="F4196" i="2"/>
  <c r="F4195" i="2"/>
  <c r="F4194" i="2"/>
  <c r="F4206" i="2"/>
  <c r="F4205" i="2"/>
  <c r="F4204" i="2"/>
  <c r="F4203" i="2"/>
  <c r="F4202" i="2"/>
  <c r="F4201" i="2"/>
  <c r="F4211" i="2"/>
  <c r="F4210" i="2"/>
  <c r="F4209" i="2"/>
  <c r="F4208" i="2"/>
  <c r="F4207" i="2"/>
  <c r="F4199" i="2"/>
  <c r="F4198" i="2"/>
  <c r="F4200" i="2"/>
  <c r="F4197" i="2"/>
  <c r="F4193" i="2"/>
  <c r="F4189" i="2"/>
  <c r="F4188" i="2"/>
  <c r="F4192" i="2"/>
  <c r="F4191" i="2"/>
  <c r="F4187" i="2"/>
  <c r="F4186" i="2"/>
  <c r="F4185" i="2"/>
  <c r="F4184" i="2"/>
  <c r="F4190" i="2"/>
  <c r="F4183" i="2"/>
  <c r="F4180" i="2"/>
  <c r="F4179" i="2"/>
  <c r="F4182" i="2"/>
  <c r="F4178" i="2"/>
  <c r="F4177" i="2"/>
  <c r="F4176" i="2"/>
  <c r="F4181" i="2"/>
  <c r="F4175" i="2"/>
  <c r="F4174" i="2"/>
  <c r="F4173" i="2"/>
  <c r="F4166" i="2"/>
  <c r="F4170" i="2"/>
  <c r="F4172" i="2"/>
  <c r="F4171" i="2"/>
  <c r="F4169" i="2"/>
  <c r="F4168" i="2"/>
  <c r="F4167" i="2"/>
  <c r="F4165" i="2"/>
  <c r="F4158" i="2"/>
  <c r="F4162" i="2"/>
  <c r="F4161" i="2"/>
  <c r="F4164" i="2"/>
  <c r="F4160" i="2"/>
  <c r="F4159" i="2"/>
  <c r="F4157" i="2"/>
  <c r="F4156" i="2"/>
  <c r="F4155" i="2"/>
  <c r="F4152" i="2"/>
  <c r="F4154" i="2"/>
  <c r="F4151" i="2"/>
  <c r="F4150" i="2"/>
  <c r="F4148" i="2"/>
  <c r="F4149" i="2"/>
  <c r="F4147" i="2"/>
  <c r="F4146" i="2"/>
  <c r="F4145" i="2"/>
  <c r="F4135" i="2"/>
  <c r="F4144" i="2"/>
  <c r="F4143" i="2"/>
  <c r="F4141" i="2"/>
  <c r="F4140" i="2"/>
  <c r="F4138" i="2"/>
  <c r="F4137" i="2"/>
  <c r="F4136" i="2"/>
  <c r="F4134" i="2"/>
  <c r="F4115" i="2"/>
  <c r="F4114" i="2"/>
  <c r="F4113" i="2"/>
  <c r="F4120" i="2"/>
  <c r="F4133" i="2"/>
  <c r="F4132" i="2"/>
  <c r="F4131" i="2"/>
  <c r="F4129" i="2"/>
  <c r="F4130" i="2"/>
  <c r="F4126" i="2"/>
  <c r="F4127" i="2"/>
  <c r="F2039" i="2"/>
  <c r="F4119" i="2"/>
  <c r="F4118" i="2"/>
  <c r="F4117" i="2"/>
  <c r="F4116" i="2"/>
  <c r="F4125" i="2"/>
  <c r="F4124" i="2"/>
  <c r="F4123" i="2"/>
  <c r="F4122" i="2"/>
  <c r="F4121" i="2"/>
  <c r="F4112" i="2"/>
  <c r="F4100" i="2"/>
  <c r="F4111" i="2"/>
  <c r="F4110" i="2"/>
  <c r="F4108" i="2"/>
  <c r="F4109" i="2"/>
  <c r="F4106" i="2"/>
  <c r="F4099" i="2"/>
  <c r="F4098" i="2"/>
  <c r="F4097" i="2"/>
  <c r="F4096" i="2"/>
  <c r="F4095" i="2"/>
  <c r="F4094" i="2"/>
  <c r="F4093" i="2"/>
  <c r="F4092" i="2"/>
  <c r="F4091" i="2"/>
  <c r="F4090" i="2"/>
  <c r="F4089" i="2"/>
  <c r="F4088" i="2"/>
  <c r="F4087" i="2"/>
  <c r="F4086" i="2"/>
  <c r="F4103" i="2"/>
  <c r="F4102" i="2"/>
  <c r="F4101" i="2"/>
  <c r="F4085" i="2"/>
  <c r="F4084" i="2"/>
  <c r="F4083" i="2"/>
  <c r="F4081" i="2"/>
  <c r="F4078" i="2"/>
  <c r="F4077" i="2"/>
  <c r="F4080" i="2"/>
  <c r="F4076" i="2"/>
  <c r="F4079" i="2"/>
  <c r="F4075" i="2"/>
  <c r="F4072" i="2"/>
  <c r="F4071" i="2"/>
  <c r="F4073" i="2"/>
  <c r="F4070" i="2"/>
  <c r="F4059" i="2"/>
  <c r="F4067" i="2"/>
  <c r="F4069" i="2"/>
  <c r="F4066" i="2"/>
  <c r="F4065" i="2"/>
  <c r="F4064" i="2"/>
  <c r="F4063" i="2"/>
  <c r="F4062" i="2"/>
  <c r="F4061" i="2"/>
  <c r="F4060" i="2"/>
  <c r="F4058" i="2"/>
  <c r="F4068" i="2"/>
  <c r="F4056" i="2"/>
  <c r="F989" i="2"/>
  <c r="F854" i="2"/>
  <c r="F4042" i="2"/>
  <c r="F911" i="2"/>
  <c r="F4039" i="2"/>
  <c r="F4038" i="2"/>
  <c r="F4037" i="2"/>
  <c r="F4055" i="2"/>
  <c r="F4054" i="2"/>
  <c r="F4053" i="2"/>
  <c r="F4052" i="2"/>
  <c r="F4051" i="2"/>
  <c r="F4050" i="2"/>
  <c r="F4049" i="2"/>
  <c r="F4048" i="2"/>
  <c r="F4047" i="2"/>
  <c r="F4046" i="2"/>
  <c r="F4045" i="2"/>
  <c r="F4044" i="2"/>
  <c r="F4043" i="2"/>
  <c r="F4036" i="2"/>
  <c r="F4035" i="2"/>
  <c r="F4034" i="2"/>
  <c r="F4033" i="2"/>
  <c r="F4032" i="2"/>
  <c r="F4031" i="2"/>
  <c r="F4030" i="2"/>
  <c r="F4029" i="2"/>
  <c r="F4028" i="2"/>
  <c r="F4027" i="2"/>
  <c r="F4040" i="2"/>
  <c r="F4024" i="2"/>
  <c r="F4026" i="2"/>
  <c r="F4025" i="2"/>
  <c r="F4023" i="2"/>
  <c r="F4022" i="2"/>
  <c r="F4021" i="2"/>
  <c r="F3517" i="2"/>
  <c r="F3955" i="2"/>
  <c r="F4008" i="2"/>
  <c r="F4019" i="2"/>
  <c r="F4018" i="2"/>
  <c r="F4017" i="2"/>
  <c r="F4014" i="2"/>
  <c r="F4013" i="2"/>
  <c r="F4012" i="2"/>
  <c r="F4011" i="2"/>
  <c r="F4010" i="2"/>
  <c r="F4015" i="2"/>
  <c r="F4007" i="2"/>
  <c r="F4001" i="2"/>
  <c r="F4006" i="2"/>
  <c r="F4005" i="2"/>
  <c r="F4004" i="2"/>
  <c r="F4003" i="2"/>
  <c r="F4000" i="2"/>
  <c r="F4002" i="2"/>
  <c r="F3999" i="2"/>
  <c r="F3998" i="2"/>
  <c r="F3996" i="2"/>
  <c r="F3990" i="2"/>
  <c r="F3989" i="2"/>
  <c r="F3994" i="2"/>
  <c r="F3993" i="2"/>
  <c r="F3992" i="2"/>
  <c r="F3995" i="2"/>
  <c r="F3991" i="2"/>
  <c r="F3988" i="2"/>
  <c r="F3981" i="2"/>
  <c r="F3980" i="2"/>
  <c r="F3979" i="2"/>
  <c r="F3978" i="2"/>
  <c r="F3987" i="2"/>
  <c r="F3986" i="2"/>
  <c r="F3985" i="2"/>
  <c r="F3984" i="2"/>
  <c r="F3977" i="2"/>
  <c r="F3975" i="2"/>
  <c r="F3976" i="2"/>
  <c r="F3974" i="2"/>
  <c r="F3973" i="2"/>
  <c r="F3972" i="2"/>
  <c r="F3970" i="2"/>
  <c r="F3971" i="2"/>
  <c r="F3969" i="2"/>
  <c r="F3968" i="2"/>
  <c r="F3967" i="2"/>
  <c r="F3965" i="2"/>
  <c r="F3962" i="2"/>
  <c r="F3961" i="2"/>
  <c r="F3964" i="2"/>
  <c r="F3963" i="2"/>
  <c r="F3960" i="2"/>
  <c r="F3959" i="2"/>
  <c r="F3958" i="2"/>
  <c r="F3957" i="2"/>
  <c r="F3956" i="2"/>
  <c r="F3966" i="2"/>
  <c r="F3954" i="2"/>
  <c r="F2179" i="2"/>
  <c r="F3953" i="2"/>
  <c r="F3952" i="2"/>
  <c r="F802" i="2"/>
  <c r="F3911" i="2"/>
  <c r="F3937" i="2"/>
  <c r="F3951" i="2"/>
  <c r="F3950" i="2"/>
  <c r="F3949" i="2"/>
  <c r="F3948" i="2"/>
  <c r="F3947" i="2"/>
  <c r="F3946" i="2"/>
  <c r="F3945" i="2"/>
  <c r="F3944" i="2"/>
  <c r="F3943" i="2"/>
  <c r="F3942" i="2"/>
  <c r="F3941" i="2"/>
  <c r="F3940" i="2"/>
  <c r="F3936" i="2"/>
  <c r="F3935" i="2"/>
  <c r="F3934" i="2"/>
  <c r="F3933" i="2"/>
  <c r="F3932" i="2"/>
  <c r="F3931" i="2"/>
  <c r="F3930" i="2"/>
  <c r="F3929" i="2"/>
  <c r="F3928" i="2"/>
  <c r="F3925" i="2"/>
  <c r="F3923" i="2"/>
  <c r="F3927" i="2"/>
  <c r="F3926" i="2"/>
  <c r="F3924" i="2"/>
  <c r="F3920" i="2"/>
  <c r="F3919" i="2"/>
  <c r="F3918" i="2"/>
  <c r="F3917" i="2"/>
  <c r="F3916" i="2"/>
  <c r="F3915" i="2"/>
  <c r="F3914" i="2"/>
  <c r="F3913" i="2"/>
  <c r="F3922" i="2"/>
  <c r="F3912" i="2"/>
  <c r="F3939" i="2"/>
  <c r="F3938" i="2"/>
  <c r="F3910" i="2"/>
  <c r="F3921" i="2"/>
  <c r="F3847" i="2"/>
  <c r="F3846" i="2"/>
  <c r="F3845" i="2"/>
  <c r="F3844" i="2"/>
  <c r="F3843" i="2"/>
  <c r="F3842" i="2"/>
  <c r="F3841" i="2"/>
  <c r="F3856" i="2"/>
  <c r="F3859" i="2"/>
  <c r="F3876" i="2"/>
  <c r="F3875" i="2"/>
  <c r="F3874" i="2"/>
  <c r="F3873" i="2"/>
  <c r="F3877" i="2"/>
  <c r="F3872" i="2"/>
  <c r="F3909" i="2"/>
  <c r="F3908" i="2"/>
  <c r="F3907" i="2"/>
  <c r="F3906" i="2"/>
  <c r="F3905" i="2"/>
  <c r="F3904" i="2"/>
  <c r="F3892" i="2"/>
  <c r="F3903" i="2"/>
  <c r="F3898" i="2"/>
  <c r="F3899" i="2"/>
  <c r="F3902" i="2"/>
  <c r="F3901" i="2"/>
  <c r="F3896" i="2"/>
  <c r="F3895" i="2"/>
  <c r="F3894" i="2"/>
  <c r="F3893" i="2"/>
  <c r="F3897" i="2"/>
  <c r="F3871" i="2"/>
  <c r="F3870" i="2"/>
  <c r="F3867" i="2"/>
  <c r="F3869" i="2"/>
  <c r="F3868" i="2"/>
  <c r="F3866" i="2"/>
  <c r="F3865" i="2"/>
  <c r="F3864" i="2"/>
  <c r="F3863" i="2"/>
  <c r="F3862" i="2"/>
  <c r="F3861" i="2"/>
  <c r="F3860" i="2"/>
  <c r="F3852" i="2"/>
  <c r="F3858" i="2"/>
  <c r="F3857" i="2"/>
  <c r="F3851" i="2"/>
  <c r="F3850" i="2"/>
  <c r="F3889" i="2"/>
  <c r="F3888" i="2"/>
  <c r="F3887" i="2"/>
  <c r="F3886" i="2"/>
  <c r="F3885" i="2"/>
  <c r="F3884" i="2"/>
  <c r="F3883" i="2"/>
  <c r="F3882" i="2"/>
  <c r="F3881" i="2"/>
  <c r="F3880" i="2"/>
  <c r="F3879" i="2"/>
  <c r="F3878" i="2"/>
  <c r="F3840" i="2"/>
  <c r="F3855" i="2"/>
  <c r="F3854" i="2"/>
  <c r="F3853" i="2"/>
  <c r="F3834" i="2"/>
  <c r="F3833" i="2"/>
  <c r="F3821" i="2"/>
  <c r="F3828" i="2"/>
  <c r="F3827" i="2"/>
  <c r="F3839" i="2"/>
  <c r="F3838" i="2"/>
  <c r="F3837" i="2"/>
  <c r="F3836" i="2"/>
  <c r="F3835" i="2"/>
  <c r="F3826" i="2"/>
  <c r="F3825" i="2"/>
  <c r="F3824" i="2"/>
  <c r="F3823" i="2"/>
  <c r="F3822" i="2"/>
  <c r="F3831" i="2"/>
  <c r="F3830" i="2"/>
  <c r="F3829" i="2"/>
  <c r="F3832" i="2"/>
  <c r="F3820" i="2"/>
  <c r="F3801" i="2"/>
  <c r="F3800" i="2"/>
  <c r="F3799" i="2"/>
  <c r="F3798" i="2"/>
  <c r="F3819" i="2"/>
  <c r="F3814" i="2"/>
  <c r="F3813" i="2"/>
  <c r="F3817" i="2"/>
  <c r="F3818" i="2"/>
  <c r="F3812" i="2"/>
  <c r="F3815" i="2"/>
  <c r="F3816" i="2"/>
  <c r="F3804" i="2"/>
  <c r="F3803" i="2"/>
  <c r="F3802" i="2"/>
  <c r="F3811" i="2"/>
  <c r="F3810" i="2"/>
  <c r="F3809" i="2"/>
  <c r="F3808" i="2"/>
  <c r="F3807" i="2"/>
  <c r="F3806" i="2"/>
  <c r="F3805" i="2"/>
  <c r="F3797" i="2"/>
  <c r="F3796" i="2"/>
  <c r="F3754" i="2"/>
  <c r="F3753" i="2"/>
  <c r="F3752" i="2"/>
  <c r="F3751" i="2"/>
  <c r="F3783" i="2"/>
  <c r="F3782" i="2"/>
  <c r="F3781" i="2"/>
  <c r="F3780" i="2"/>
  <c r="F3779" i="2"/>
  <c r="F3778" i="2"/>
  <c r="F3777" i="2"/>
  <c r="F3776" i="2"/>
  <c r="F3775" i="2"/>
  <c r="F3764" i="2"/>
  <c r="F3772" i="2"/>
  <c r="F3771" i="2"/>
  <c r="F3770" i="2"/>
  <c r="F3795" i="2"/>
  <c r="F3794" i="2"/>
  <c r="F3793" i="2"/>
  <c r="F3792" i="2"/>
  <c r="F3791" i="2"/>
  <c r="F3785" i="2"/>
  <c r="F3789" i="2"/>
  <c r="F3790" i="2"/>
  <c r="F3786" i="2"/>
  <c r="F3788" i="2"/>
  <c r="F3774" i="2"/>
  <c r="F3773" i="2"/>
  <c r="F3768" i="2"/>
  <c r="F3769" i="2"/>
  <c r="F3767" i="2"/>
  <c r="F3766" i="2"/>
  <c r="F3765" i="2"/>
  <c r="F3763" i="2"/>
  <c r="F3762" i="2"/>
  <c r="F3761" i="2"/>
  <c r="F3760" i="2"/>
  <c r="F3756" i="2"/>
  <c r="F3750" i="2"/>
  <c r="F3759" i="2"/>
  <c r="F3758" i="2"/>
  <c r="F3757" i="2"/>
  <c r="F3755" i="2"/>
  <c r="F3705" i="2"/>
  <c r="F3704" i="2"/>
  <c r="F3703" i="2"/>
  <c r="F3702" i="2"/>
  <c r="F3701" i="2"/>
  <c r="F3700" i="2"/>
  <c r="F3713" i="2"/>
  <c r="F3725" i="2"/>
  <c r="F3724" i="2"/>
  <c r="F3749" i="2"/>
  <c r="F3748" i="2"/>
  <c r="F3747" i="2"/>
  <c r="F3744" i="2"/>
  <c r="F3746" i="2"/>
  <c r="F3742" i="2"/>
  <c r="F3745" i="2"/>
  <c r="F3740" i="2"/>
  <c r="F3738" i="2"/>
  <c r="F3743" i="2"/>
  <c r="F3741" i="2"/>
  <c r="F3737" i="2"/>
  <c r="F3726" i="2"/>
  <c r="F3723" i="2"/>
  <c r="F3722" i="2"/>
  <c r="F3721" i="2"/>
  <c r="F3720" i="2"/>
  <c r="F3719" i="2"/>
  <c r="F3718" i="2"/>
  <c r="F3717" i="2"/>
  <c r="F3716" i="2"/>
  <c r="F3715" i="2"/>
  <c r="F3714" i="2"/>
  <c r="F3712" i="2"/>
  <c r="F3709" i="2"/>
  <c r="F3711" i="2"/>
  <c r="F3708" i="2"/>
  <c r="F3707" i="2"/>
  <c r="F3736" i="2"/>
  <c r="F3735" i="2"/>
  <c r="F3734" i="2"/>
  <c r="F3733" i="2"/>
  <c r="F3732" i="2"/>
  <c r="F3731" i="2"/>
  <c r="F3730" i="2"/>
  <c r="F3729" i="2"/>
  <c r="F3728" i="2"/>
  <c r="F3727" i="2"/>
  <c r="F3699" i="2"/>
  <c r="F3710" i="2"/>
  <c r="F3706" i="2"/>
  <c r="F3685" i="2"/>
  <c r="F3684" i="2"/>
  <c r="F3691" i="2"/>
  <c r="F3690" i="2"/>
  <c r="F3698" i="2"/>
  <c r="F3697" i="2"/>
  <c r="F3695" i="2"/>
  <c r="F3694" i="2"/>
  <c r="F3689" i="2"/>
  <c r="F3688" i="2"/>
  <c r="F3687" i="2"/>
  <c r="F3686" i="2"/>
  <c r="F3693" i="2"/>
  <c r="F3692" i="2"/>
  <c r="F3683" i="2"/>
  <c r="F3639" i="2"/>
  <c r="F3638" i="2"/>
  <c r="F3682" i="2"/>
  <c r="F3642" i="2"/>
  <c r="F3641" i="2"/>
  <c r="F3640" i="2"/>
  <c r="F3637" i="2"/>
  <c r="F3636" i="2"/>
  <c r="F3635" i="2"/>
  <c r="F3647" i="2"/>
  <c r="F3652" i="2"/>
  <c r="F3651" i="2"/>
  <c r="F3650" i="2"/>
  <c r="F3656" i="2"/>
  <c r="F3653" i="2"/>
  <c r="F3666" i="2"/>
  <c r="F3665" i="2"/>
  <c r="F3663" i="2"/>
  <c r="F3681" i="2"/>
  <c r="F3680" i="2"/>
  <c r="F3679" i="2"/>
  <c r="F3678" i="2"/>
  <c r="F3677" i="2"/>
  <c r="F3676" i="2"/>
  <c r="F3673" i="2"/>
  <c r="F3672" i="2"/>
  <c r="F3674" i="2"/>
  <c r="F3675" i="2"/>
  <c r="F3662" i="2"/>
  <c r="F3660" i="2"/>
  <c r="F3661" i="2"/>
  <c r="F3659" i="2"/>
  <c r="F3658" i="2"/>
  <c r="F3657" i="2"/>
  <c r="F3655" i="2"/>
  <c r="F3646" i="2"/>
  <c r="F3654" i="2"/>
  <c r="F3645" i="2"/>
  <c r="F3649" i="2"/>
  <c r="F3644" i="2"/>
  <c r="F3648" i="2"/>
  <c r="F3643" i="2"/>
  <c r="F3670" i="2"/>
  <c r="F3669" i="2"/>
  <c r="F3668" i="2"/>
  <c r="F3667" i="2"/>
  <c r="F3634" i="2"/>
  <c r="F3891" i="2"/>
  <c r="F1333" i="2"/>
  <c r="F1554" i="2"/>
  <c r="F3633" i="2"/>
  <c r="F3632" i="2"/>
  <c r="F3623" i="2"/>
  <c r="F3627" i="2"/>
  <c r="F3626" i="2"/>
  <c r="F3631" i="2"/>
  <c r="F3629" i="2"/>
  <c r="F3625" i="2"/>
  <c r="F3624" i="2"/>
  <c r="F3628" i="2"/>
  <c r="F3622" i="2"/>
  <c r="F3608" i="2"/>
  <c r="F3609" i="2"/>
  <c r="F3613" i="2"/>
  <c r="F3621" i="2"/>
  <c r="F3617" i="2"/>
  <c r="F3619" i="2"/>
  <c r="F3618" i="2"/>
  <c r="F3612" i="2"/>
  <c r="F3611" i="2"/>
  <c r="F3610" i="2"/>
  <c r="F3616" i="2"/>
  <c r="F3615" i="2"/>
  <c r="F3614" i="2"/>
  <c r="F3607" i="2"/>
  <c r="F4128" i="2"/>
  <c r="F3606" i="2"/>
  <c r="F3573" i="2"/>
  <c r="F3572" i="2"/>
  <c r="F3583" i="2"/>
  <c r="F3590" i="2"/>
  <c r="F3605" i="2"/>
  <c r="F3604" i="2"/>
  <c r="F3603" i="2"/>
  <c r="F3600" i="2"/>
  <c r="F3599" i="2"/>
  <c r="F3601" i="2"/>
  <c r="F3597" i="2"/>
  <c r="F3602" i="2"/>
  <c r="F3589" i="2"/>
  <c r="F3587" i="2"/>
  <c r="F3588" i="2"/>
  <c r="F3586" i="2"/>
  <c r="F3585" i="2"/>
  <c r="F3584" i="2"/>
  <c r="F3582" i="2"/>
  <c r="F3577" i="2"/>
  <c r="F3581" i="2"/>
  <c r="F3576" i="2"/>
  <c r="F3580" i="2"/>
  <c r="F3596" i="2"/>
  <c r="F3595" i="2"/>
  <c r="F3594" i="2"/>
  <c r="F3593" i="2"/>
  <c r="F3592" i="2"/>
  <c r="F3591" i="2"/>
  <c r="F3571" i="2"/>
  <c r="F3579" i="2"/>
  <c r="F3578" i="2"/>
  <c r="F3575" i="2"/>
  <c r="F4057" i="2"/>
  <c r="F3520" i="2"/>
  <c r="F3518" i="2"/>
  <c r="F4009" i="2"/>
  <c r="F3551" i="2"/>
  <c r="F2890" i="2"/>
  <c r="F3570" i="2"/>
  <c r="F3569" i="2"/>
  <c r="F3568" i="2"/>
  <c r="F3567" i="2"/>
  <c r="F3521" i="2"/>
  <c r="F3519" i="2"/>
  <c r="F3547" i="2"/>
  <c r="F3529" i="2"/>
  <c r="F3535" i="2"/>
  <c r="F3534" i="2"/>
  <c r="F3539" i="2"/>
  <c r="F3538" i="2"/>
  <c r="F3537" i="2"/>
  <c r="F3536" i="2"/>
  <c r="F3566" i="2"/>
  <c r="F3565" i="2"/>
  <c r="F3564" i="2"/>
  <c r="F3563" i="2"/>
  <c r="F3562" i="2"/>
  <c r="F3561" i="2"/>
  <c r="F3560" i="2"/>
  <c r="F3559" i="2"/>
  <c r="F3553" i="2"/>
  <c r="F3550" i="2"/>
  <c r="F3552" i="2"/>
  <c r="F3558" i="2"/>
  <c r="F3548" i="2"/>
  <c r="F3554" i="2"/>
  <c r="F3533" i="2"/>
  <c r="F3532" i="2"/>
  <c r="F3531" i="2"/>
  <c r="F3530" i="2"/>
  <c r="F3524" i="2"/>
  <c r="F3523" i="2"/>
  <c r="F3528" i="2"/>
  <c r="F3527" i="2"/>
  <c r="F3526" i="2"/>
  <c r="F3525" i="2"/>
  <c r="F3522" i="2"/>
  <c r="F3546" i="2"/>
  <c r="F3545" i="2"/>
  <c r="F3544" i="2"/>
  <c r="F3543" i="2"/>
  <c r="F3542" i="2"/>
  <c r="F3541" i="2"/>
  <c r="F3540" i="2"/>
  <c r="F3556" i="2"/>
  <c r="F3516" i="2"/>
  <c r="F3497" i="2"/>
  <c r="F4082" i="2"/>
  <c r="F3506" i="2"/>
  <c r="F980" i="2"/>
  <c r="F3515" i="2"/>
  <c r="F3514" i="2"/>
  <c r="F3500" i="2"/>
  <c r="F3499" i="2"/>
  <c r="F3498" i="2"/>
  <c r="F3496" i="2"/>
  <c r="F3504" i="2"/>
  <c r="F3503" i="2"/>
  <c r="F3502" i="2"/>
  <c r="F3513" i="2"/>
  <c r="F3505" i="2"/>
  <c r="F3501" i="2"/>
  <c r="F3507" i="2"/>
  <c r="F3510" i="2"/>
  <c r="F3512" i="2"/>
  <c r="F3509" i="2"/>
  <c r="F3495" i="2"/>
  <c r="F3549" i="2"/>
  <c r="F3739" i="2"/>
  <c r="F3787" i="2"/>
  <c r="F4107" i="2"/>
  <c r="F3494" i="2"/>
  <c r="F3493" i="2"/>
  <c r="F3848" i="2"/>
  <c r="F4020" i="2"/>
  <c r="F3240" i="2"/>
  <c r="F3574" i="2"/>
  <c r="F3508" i="2"/>
  <c r="F3492" i="2"/>
  <c r="F3488" i="2"/>
  <c r="F3491" i="2"/>
  <c r="F3485" i="2"/>
  <c r="F3487" i="2"/>
  <c r="F3486" i="2"/>
  <c r="F3484" i="2"/>
  <c r="F3483" i="2"/>
  <c r="F3405" i="2"/>
  <c r="F3404" i="2"/>
  <c r="F3403" i="2"/>
  <c r="F3457" i="2"/>
  <c r="F3459" i="2"/>
  <c r="F3449" i="2"/>
  <c r="F3455" i="2"/>
  <c r="F3448" i="2"/>
  <c r="F3461" i="2"/>
  <c r="F3482" i="2"/>
  <c r="F3481" i="2"/>
  <c r="F3480" i="2"/>
  <c r="F3479" i="2"/>
  <c r="F3478" i="2"/>
  <c r="F3477" i="2"/>
  <c r="F3476" i="2"/>
  <c r="F3475" i="2"/>
  <c r="F3402" i="2"/>
  <c r="F3401" i="2"/>
  <c r="F3400" i="2"/>
  <c r="F3399" i="2"/>
  <c r="F3398" i="2"/>
  <c r="F3397" i="2"/>
  <c r="F3396" i="2"/>
  <c r="F3395" i="2"/>
  <c r="F3394" i="2"/>
  <c r="F3393" i="2"/>
  <c r="F3392" i="2"/>
  <c r="F3445" i="2"/>
  <c r="F3444" i="2"/>
  <c r="F3443" i="2"/>
  <c r="F3442" i="2"/>
  <c r="F3415" i="2"/>
  <c r="F3432" i="2"/>
  <c r="F3431" i="2"/>
  <c r="F3430" i="2"/>
  <c r="F3429" i="2"/>
  <c r="F3426" i="2"/>
  <c r="F3425" i="2"/>
  <c r="F3474" i="2"/>
  <c r="F3473" i="2"/>
  <c r="F3472" i="2"/>
  <c r="F3471" i="2"/>
  <c r="F3470" i="2"/>
  <c r="F3469" i="2"/>
  <c r="F3468" i="2"/>
  <c r="F3467" i="2"/>
  <c r="F3466" i="2"/>
  <c r="F3465" i="2"/>
  <c r="F3464" i="2"/>
  <c r="F3463" i="2"/>
  <c r="F3462" i="2"/>
  <c r="F3447" i="2"/>
  <c r="F3456" i="2"/>
  <c r="F3446" i="2"/>
  <c r="F3454" i="2"/>
  <c r="F3458" i="2"/>
  <c r="F3460" i="2"/>
  <c r="F3453" i="2"/>
  <c r="F3451" i="2"/>
  <c r="F3452" i="2"/>
  <c r="F3450" i="2"/>
  <c r="F3441" i="2"/>
  <c r="F3428" i="2"/>
  <c r="F3424" i="2"/>
  <c r="F3423" i="2"/>
  <c r="F3422" i="2"/>
  <c r="F3421" i="2"/>
  <c r="F3419" i="2"/>
  <c r="F3417" i="2"/>
  <c r="F3420" i="2"/>
  <c r="F3418" i="2"/>
  <c r="F3416" i="2"/>
  <c r="F3410" i="2"/>
  <c r="F3414" i="2"/>
  <c r="F3409" i="2"/>
  <c r="F3413" i="2"/>
  <c r="F3408" i="2"/>
  <c r="F3412" i="2"/>
  <c r="F3407" i="2"/>
  <c r="F3440" i="2"/>
  <c r="F3439" i="2"/>
  <c r="F3438" i="2"/>
  <c r="F3437" i="2"/>
  <c r="F3436" i="2"/>
  <c r="F3435" i="2"/>
  <c r="F3434" i="2"/>
  <c r="F3433" i="2"/>
  <c r="F3411" i="2"/>
  <c r="F3406" i="2"/>
  <c r="F3391" i="2"/>
  <c r="F3239" i="2"/>
  <c r="F3238" i="2"/>
  <c r="F3232" i="2"/>
  <c r="F3345" i="2"/>
  <c r="F1332" i="2"/>
  <c r="F3344" i="2"/>
  <c r="F3315" i="2"/>
  <c r="F3336" i="2"/>
  <c r="F3313" i="2"/>
  <c r="F3330" i="2"/>
  <c r="F1553" i="2"/>
  <c r="F3326" i="2"/>
  <c r="F3341" i="2"/>
  <c r="F3329" i="2"/>
  <c r="F1331" i="2"/>
  <c r="F3331" i="2"/>
  <c r="F1552" i="2"/>
  <c r="F3311" i="2"/>
  <c r="F3328" i="2"/>
  <c r="F3309" i="2"/>
  <c r="F3340" i="2"/>
  <c r="F3282" i="2"/>
  <c r="F3281" i="2"/>
  <c r="F3280" i="2"/>
  <c r="F3332" i="2"/>
  <c r="F3390" i="2"/>
  <c r="F3389" i="2"/>
  <c r="F3388" i="2"/>
  <c r="F3387" i="2"/>
  <c r="F3386" i="2"/>
  <c r="F3385" i="2"/>
  <c r="F3384" i="2"/>
  <c r="F3383" i="2"/>
  <c r="F3382" i="2"/>
  <c r="F3381" i="2"/>
  <c r="F3380" i="2"/>
  <c r="F3379" i="2"/>
  <c r="F3378" i="2"/>
  <c r="F3377" i="2"/>
  <c r="F3376" i="2"/>
  <c r="F3375" i="2"/>
  <c r="F3374" i="2"/>
  <c r="F3373" i="2"/>
  <c r="F3372" i="2"/>
  <c r="F3371" i="2"/>
  <c r="F3370" i="2"/>
  <c r="F3237" i="2"/>
  <c r="F3236" i="2"/>
  <c r="F3235" i="2"/>
  <c r="F3234" i="2"/>
  <c r="F3233" i="2"/>
  <c r="F3231" i="2"/>
  <c r="F3230" i="2"/>
  <c r="F3297" i="2"/>
  <c r="F3296" i="2"/>
  <c r="F3295" i="2"/>
  <c r="F3294" i="2"/>
  <c r="F3293" i="2"/>
  <c r="F3267" i="2"/>
  <c r="F3287" i="2"/>
  <c r="F3286" i="2"/>
  <c r="F3285" i="2"/>
  <c r="F3284" i="2"/>
  <c r="F3283" i="2"/>
  <c r="F3369" i="2"/>
  <c r="F3368" i="2"/>
  <c r="F3367" i="2"/>
  <c r="F3366" i="2"/>
  <c r="F3365" i="2"/>
  <c r="F3364" i="2"/>
  <c r="F3363" i="2"/>
  <c r="F3362" i="2"/>
  <c r="F3361" i="2"/>
  <c r="F3360" i="2"/>
  <c r="F3359" i="2"/>
  <c r="F3358" i="2"/>
  <c r="F3357" i="2"/>
  <c r="F3356" i="2"/>
  <c r="F3355" i="2"/>
  <c r="F3354" i="2"/>
  <c r="F3353" i="2"/>
  <c r="F3352" i="2"/>
  <c r="F3351" i="2"/>
  <c r="F3350" i="2"/>
  <c r="F3349" i="2"/>
  <c r="F3348" i="2"/>
  <c r="F3347" i="2"/>
  <c r="F3346" i="2"/>
  <c r="F3316" i="2"/>
  <c r="F3318" i="2"/>
  <c r="F3308" i="2"/>
  <c r="F3312" i="2"/>
  <c r="F3334" i="2"/>
  <c r="F3333" i="2"/>
  <c r="F3335" i="2"/>
  <c r="F3324" i="2"/>
  <c r="F3327" i="2"/>
  <c r="F3279" i="2"/>
  <c r="F3278" i="2"/>
  <c r="F3276" i="2"/>
  <c r="F3275" i="2"/>
  <c r="F3277" i="2"/>
  <c r="F3274" i="2"/>
  <c r="F3273" i="2"/>
  <c r="F3272" i="2"/>
  <c r="F3271" i="2"/>
  <c r="F3270" i="2"/>
  <c r="F3269" i="2"/>
  <c r="F3268" i="2"/>
  <c r="F3258" i="2"/>
  <c r="F3266" i="2"/>
  <c r="F3265" i="2"/>
  <c r="F3248" i="2"/>
  <c r="F3247" i="2"/>
  <c r="F3264" i="2"/>
  <c r="F3263" i="2"/>
  <c r="F3246" i="2"/>
  <c r="F3262" i="2"/>
  <c r="F3261" i="2"/>
  <c r="F3245" i="2"/>
  <c r="F3260" i="2"/>
  <c r="F3244" i="2"/>
  <c r="F3243" i="2"/>
  <c r="F3259" i="2"/>
  <c r="F3242" i="2"/>
  <c r="F3257" i="2"/>
  <c r="F3256" i="2"/>
  <c r="F3241" i="2"/>
  <c r="F3292" i="2"/>
  <c r="F3291" i="2"/>
  <c r="F3290" i="2"/>
  <c r="F3289" i="2"/>
  <c r="F3288" i="2"/>
  <c r="F3310" i="2"/>
  <c r="F3339" i="2"/>
  <c r="F3322" i="2"/>
  <c r="F3342" i="2"/>
  <c r="F3314" i="2"/>
  <c r="F3255" i="2"/>
  <c r="F3254" i="2"/>
  <c r="F3253" i="2"/>
  <c r="F3252" i="2"/>
  <c r="F3251" i="2"/>
  <c r="F3250" i="2"/>
  <c r="F3249" i="2"/>
  <c r="F3229" i="2"/>
  <c r="F3175" i="2"/>
  <c r="F3220" i="2"/>
  <c r="F3228" i="2"/>
  <c r="F3227" i="2"/>
  <c r="F3226" i="2"/>
  <c r="F3225" i="2"/>
  <c r="F3224" i="2"/>
  <c r="F3223" i="2"/>
  <c r="F3174" i="2"/>
  <c r="F3173" i="2"/>
  <c r="F3172" i="2"/>
  <c r="F3171" i="2"/>
  <c r="F3170" i="2"/>
  <c r="F3169" i="2"/>
  <c r="F3167" i="2"/>
  <c r="F3180" i="2"/>
  <c r="F3198" i="2"/>
  <c r="F3196" i="2"/>
  <c r="F3195" i="2"/>
  <c r="F3194" i="2"/>
  <c r="F3222" i="2"/>
  <c r="F3221" i="2"/>
  <c r="F3219" i="2"/>
  <c r="F3215" i="2"/>
  <c r="F3201" i="2"/>
  <c r="F3200" i="2"/>
  <c r="F3199" i="2"/>
  <c r="F3197" i="2"/>
  <c r="F3193" i="2"/>
  <c r="F3192" i="2"/>
  <c r="F3191" i="2"/>
  <c r="F3190" i="2"/>
  <c r="F3189" i="2"/>
  <c r="F3188" i="2"/>
  <c r="F3187" i="2"/>
  <c r="F3186" i="2"/>
  <c r="F3185" i="2"/>
  <c r="F3184" i="2"/>
  <c r="F3183" i="2"/>
  <c r="F3182" i="2"/>
  <c r="F3181" i="2"/>
  <c r="F3178" i="2"/>
  <c r="F3179" i="2"/>
  <c r="F3177" i="2"/>
  <c r="F3211" i="2"/>
  <c r="F3210" i="2"/>
  <c r="F3209" i="2"/>
  <c r="F3208" i="2"/>
  <c r="F3207" i="2"/>
  <c r="F3206" i="2"/>
  <c r="F3205" i="2"/>
  <c r="F3204" i="2"/>
  <c r="F3203" i="2"/>
  <c r="F3202" i="2"/>
  <c r="F3218" i="2"/>
  <c r="F3214" i="2"/>
  <c r="F3217" i="2"/>
  <c r="F3216" i="2"/>
  <c r="F3213" i="2"/>
  <c r="F3176" i="2"/>
  <c r="F3166" i="2"/>
  <c r="F3066" i="2"/>
  <c r="F3065" i="2"/>
  <c r="F3064" i="2"/>
  <c r="F3127" i="2"/>
  <c r="F3136" i="2"/>
  <c r="F3164" i="2"/>
  <c r="F3163" i="2"/>
  <c r="F3165" i="2"/>
  <c r="F3162" i="2"/>
  <c r="F3161" i="2"/>
  <c r="F3160" i="2"/>
  <c r="F3159" i="2"/>
  <c r="F3158" i="2"/>
  <c r="F3157" i="2"/>
  <c r="F3156" i="2"/>
  <c r="F3068" i="2"/>
  <c r="F3067" i="2"/>
  <c r="F3063" i="2"/>
  <c r="F3062" i="2"/>
  <c r="F3155" i="2"/>
  <c r="F3154" i="2"/>
  <c r="F3153" i="2"/>
  <c r="F3152" i="2"/>
  <c r="F3151" i="2"/>
  <c r="F3150" i="2"/>
  <c r="F3149" i="2"/>
  <c r="F3148" i="2"/>
  <c r="F3147" i="2"/>
  <c r="F3146" i="2"/>
  <c r="F3145" i="2"/>
  <c r="F3144" i="2"/>
  <c r="F3143" i="2"/>
  <c r="F3142" i="2"/>
  <c r="F3141" i="2"/>
  <c r="F3140" i="2"/>
  <c r="F3126" i="2"/>
  <c r="F3123" i="2"/>
  <c r="F3130" i="2"/>
  <c r="F3133" i="2"/>
  <c r="F3135" i="2"/>
  <c r="F3131" i="2"/>
  <c r="F3134" i="2"/>
  <c r="F3129" i="2"/>
  <c r="F3125" i="2"/>
  <c r="F3124" i="2"/>
  <c r="F3121" i="2"/>
  <c r="F3094" i="2"/>
  <c r="F3093" i="2"/>
  <c r="F3092" i="2"/>
  <c r="F3091" i="2"/>
  <c r="F3090" i="2"/>
  <c r="F3089" i="2"/>
  <c r="F3088" i="2"/>
  <c r="F3087" i="2"/>
  <c r="F3086" i="2"/>
  <c r="F3085" i="2"/>
  <c r="F3084" i="2"/>
  <c r="F3083" i="2"/>
  <c r="F3082" i="2"/>
  <c r="F3081" i="2"/>
  <c r="F3080" i="2"/>
  <c r="F3079" i="2"/>
  <c r="F3078" i="2"/>
  <c r="F3077" i="2"/>
  <c r="F3076" i="2"/>
  <c r="F3075" i="2"/>
  <c r="F3074" i="2"/>
  <c r="F3073" i="2"/>
  <c r="F3072" i="2"/>
  <c r="F3071" i="2"/>
  <c r="F3070" i="2"/>
  <c r="F3069" i="2"/>
  <c r="F3118" i="2"/>
  <c r="F3117" i="2"/>
  <c r="F3116" i="2"/>
  <c r="F3115" i="2"/>
  <c r="F3114" i="2"/>
  <c r="F3113" i="2"/>
  <c r="F3112" i="2"/>
  <c r="F3111" i="2"/>
  <c r="F3110" i="2"/>
  <c r="F3109" i="2"/>
  <c r="F3108" i="2"/>
  <c r="F3107" i="2"/>
  <c r="F3106" i="2"/>
  <c r="F3105" i="2"/>
  <c r="F3104" i="2"/>
  <c r="F3103" i="2"/>
  <c r="F3102" i="2"/>
  <c r="F3101" i="2"/>
  <c r="F3100" i="2"/>
  <c r="F3099" i="2"/>
  <c r="F3098" i="2"/>
  <c r="F3097" i="2"/>
  <c r="F3096" i="2"/>
  <c r="F3095" i="2"/>
  <c r="F3128" i="2"/>
  <c r="F3138" i="2"/>
  <c r="F3137" i="2"/>
  <c r="F3139" i="2"/>
  <c r="F3122" i="2"/>
  <c r="F3061" i="2"/>
  <c r="F3664" i="2"/>
  <c r="F417" i="2"/>
  <c r="F3337" i="2"/>
  <c r="F3343" i="2"/>
  <c r="F3338" i="2"/>
  <c r="F2178" i="2"/>
  <c r="F3598" i="2"/>
  <c r="F3060" i="2"/>
  <c r="F3059" i="2"/>
  <c r="F3031" i="2"/>
  <c r="F3058" i="2"/>
  <c r="F3054" i="2"/>
  <c r="F3053" i="2"/>
  <c r="F3041" i="2"/>
  <c r="F3039" i="2"/>
  <c r="F3038" i="2"/>
  <c r="F3040" i="2"/>
  <c r="F3037" i="2"/>
  <c r="F3036" i="2"/>
  <c r="F3035" i="2"/>
  <c r="F3034" i="2"/>
  <c r="F3033" i="2"/>
  <c r="F3032" i="2"/>
  <c r="F3049" i="2"/>
  <c r="F3048" i="2"/>
  <c r="F3047" i="2"/>
  <c r="F3046" i="2"/>
  <c r="F3045" i="2"/>
  <c r="F3044" i="2"/>
  <c r="F3043" i="2"/>
  <c r="F3042" i="2"/>
  <c r="F3050" i="2"/>
  <c r="F3051" i="2"/>
  <c r="F3052" i="2"/>
  <c r="F3056" i="2"/>
  <c r="F3057" i="2"/>
  <c r="F3030" i="2"/>
  <c r="F3168" i="2"/>
  <c r="F1916" i="2"/>
  <c r="F2980" i="2"/>
  <c r="F3028" i="2"/>
  <c r="F3029" i="2"/>
  <c r="F2979" i="2"/>
  <c r="F2978" i="2"/>
  <c r="F3008" i="2"/>
  <c r="F3027" i="2"/>
  <c r="F3012" i="2"/>
  <c r="F3022" i="2"/>
  <c r="F3024" i="2"/>
  <c r="F3026" i="2"/>
  <c r="F3021" i="2"/>
  <c r="F3015" i="2"/>
  <c r="F3013" i="2"/>
  <c r="F3016" i="2"/>
  <c r="F3019" i="2"/>
  <c r="F3025" i="2"/>
  <c r="F3023" i="2"/>
  <c r="F2991" i="2"/>
  <c r="F2990" i="2"/>
  <c r="F2989" i="2"/>
  <c r="F2988" i="2"/>
  <c r="F2987" i="2"/>
  <c r="F2982" i="2"/>
  <c r="F2986" i="2"/>
  <c r="F2985" i="2"/>
  <c r="F2984" i="2"/>
  <c r="F2983" i="2"/>
  <c r="F2981" i="2"/>
  <c r="F3007" i="2"/>
  <c r="F3006" i="2"/>
  <c r="F3005" i="2"/>
  <c r="F3004" i="2"/>
  <c r="F3003" i="2"/>
  <c r="F3002" i="2"/>
  <c r="F3001" i="2"/>
  <c r="F3000" i="2"/>
  <c r="F2999" i="2"/>
  <c r="F2998" i="2"/>
  <c r="F2997" i="2"/>
  <c r="F2996" i="2"/>
  <c r="F2995" i="2"/>
  <c r="F2994" i="2"/>
  <c r="F2993" i="2"/>
  <c r="F2992" i="2"/>
  <c r="F3017" i="2"/>
  <c r="F3018" i="2"/>
  <c r="F3020" i="2"/>
  <c r="F3011" i="2"/>
  <c r="F3014" i="2"/>
  <c r="F2977" i="2"/>
  <c r="F56" i="2"/>
  <c r="F3055" i="2"/>
  <c r="F2976" i="2"/>
  <c r="F2975" i="2"/>
  <c r="F2940" i="2"/>
  <c r="F2942" i="2"/>
  <c r="F2941" i="2"/>
  <c r="F2974" i="2"/>
  <c r="F2973" i="2"/>
  <c r="F2972" i="2"/>
  <c r="F2971" i="2"/>
  <c r="F2970" i="2"/>
  <c r="F2969" i="2"/>
  <c r="F2968" i="2"/>
  <c r="F2967" i="2"/>
  <c r="F2966" i="2"/>
  <c r="F2965" i="2"/>
  <c r="F2964" i="2"/>
  <c r="F2963" i="2"/>
  <c r="F2961" i="2"/>
  <c r="F2955" i="2"/>
  <c r="F2954" i="2"/>
  <c r="F2952" i="2"/>
  <c r="F2951" i="2"/>
  <c r="F2950" i="2"/>
  <c r="F2949" i="2"/>
  <c r="F2953" i="2"/>
  <c r="F2948" i="2"/>
  <c r="F2947" i="2"/>
  <c r="F2946" i="2"/>
  <c r="F2945" i="2"/>
  <c r="F2944" i="2"/>
  <c r="F2943" i="2"/>
  <c r="F2957" i="2"/>
  <c r="F2956" i="2"/>
  <c r="F2960" i="2"/>
  <c r="F2959" i="2"/>
  <c r="F2962" i="2"/>
  <c r="F2939" i="2"/>
  <c r="F2930" i="2"/>
  <c r="F2931" i="2"/>
  <c r="F2938" i="2"/>
  <c r="F2937" i="2"/>
  <c r="F2936" i="2"/>
  <c r="F2935" i="2"/>
  <c r="F2934" i="2"/>
  <c r="F2933" i="2"/>
  <c r="F2929" i="2"/>
  <c r="F2928" i="2"/>
  <c r="F2932" i="2"/>
  <c r="F2927" i="2"/>
  <c r="F1918" i="2"/>
  <c r="F2864" i="2"/>
  <c r="F2669" i="2"/>
  <c r="F2283" i="2"/>
  <c r="F2284" i="2"/>
  <c r="F2285" i="2"/>
  <c r="F1026" i="2"/>
  <c r="F1023" i="2"/>
  <c r="F1024" i="2"/>
  <c r="F2883" i="2"/>
  <c r="F4139" i="2"/>
  <c r="F1027" i="2"/>
  <c r="F1025" i="2"/>
  <c r="F2049" i="2"/>
  <c r="F214" i="2"/>
  <c r="F678" i="2"/>
  <c r="F3784" i="2"/>
  <c r="F2926" i="2"/>
  <c r="F2925" i="2"/>
  <c r="F2924" i="2"/>
  <c r="F2923" i="2"/>
  <c r="F2922" i="2"/>
  <c r="F2921" i="2"/>
  <c r="F2920" i="2"/>
  <c r="F2919" i="2"/>
  <c r="F2918" i="2"/>
  <c r="F2917" i="2"/>
  <c r="F2916" i="2"/>
  <c r="F2915" i="2"/>
  <c r="F2914" i="2"/>
  <c r="F2865" i="2"/>
  <c r="F2863" i="2"/>
  <c r="F2889" i="2"/>
  <c r="F2888" i="2"/>
  <c r="F2870" i="2"/>
  <c r="F2869" i="2"/>
  <c r="F2913" i="2"/>
  <c r="F2912" i="2"/>
  <c r="F2911" i="2"/>
  <c r="F2910" i="2"/>
  <c r="F2909" i="2"/>
  <c r="F2908" i="2"/>
  <c r="F2907" i="2"/>
  <c r="F2906" i="2"/>
  <c r="F2905" i="2"/>
  <c r="F2904" i="2"/>
  <c r="F2903" i="2"/>
  <c r="F2902" i="2"/>
  <c r="F2901" i="2"/>
  <c r="F2900" i="2"/>
  <c r="F2899" i="2"/>
  <c r="F2881" i="2"/>
  <c r="F2879" i="2"/>
  <c r="F2878" i="2"/>
  <c r="F2877" i="2"/>
  <c r="F2882" i="2"/>
  <c r="F2876" i="2"/>
  <c r="F2875" i="2"/>
  <c r="F2874" i="2"/>
  <c r="F2873" i="2"/>
  <c r="F2872" i="2"/>
  <c r="F2871" i="2"/>
  <c r="F2867" i="2"/>
  <c r="F2866" i="2"/>
  <c r="F2887" i="2"/>
  <c r="F2886" i="2"/>
  <c r="F2885" i="2"/>
  <c r="F2884" i="2"/>
  <c r="F2893" i="2"/>
  <c r="F2891" i="2"/>
  <c r="F2892" i="2"/>
  <c r="F2895" i="2"/>
  <c r="F2894" i="2"/>
  <c r="F2868" i="2"/>
  <c r="F2862" i="2"/>
  <c r="F2858" i="2"/>
  <c r="F2856" i="2"/>
  <c r="F2861" i="2"/>
  <c r="F2855" i="2"/>
  <c r="F2854" i="2"/>
  <c r="F2853" i="2"/>
  <c r="F2852" i="2"/>
  <c r="F2851" i="2"/>
  <c r="F2850" i="2"/>
  <c r="F2857" i="2"/>
  <c r="F2859" i="2"/>
  <c r="F2849" i="2"/>
  <c r="F2848" i="2"/>
  <c r="F2803" i="2"/>
  <c r="F2842" i="2"/>
  <c r="F2834" i="2"/>
  <c r="F2846" i="2"/>
  <c r="F2843" i="2"/>
  <c r="F2833" i="2"/>
  <c r="F2838" i="2"/>
  <c r="F2841" i="2"/>
  <c r="F2845" i="2"/>
  <c r="F2835" i="2"/>
  <c r="F2814" i="2"/>
  <c r="F2811" i="2"/>
  <c r="F2810" i="2"/>
  <c r="F2809" i="2"/>
  <c r="F2813" i="2"/>
  <c r="F2812" i="2"/>
  <c r="F2808" i="2"/>
  <c r="F2807" i="2"/>
  <c r="F2806" i="2"/>
  <c r="F2805" i="2"/>
  <c r="F2804" i="2"/>
  <c r="F2802" i="2"/>
  <c r="F2830" i="2"/>
  <c r="F2829" i="2"/>
  <c r="F2828" i="2"/>
  <c r="F2827" i="2"/>
  <c r="F2826" i="2"/>
  <c r="F2825" i="2"/>
  <c r="F2824" i="2"/>
  <c r="F2823" i="2"/>
  <c r="F2822" i="2"/>
  <c r="F2821" i="2"/>
  <c r="F2820" i="2"/>
  <c r="F2819" i="2"/>
  <c r="F2818" i="2"/>
  <c r="F2817" i="2"/>
  <c r="F2816" i="2"/>
  <c r="F2815" i="2"/>
  <c r="F2840" i="2"/>
  <c r="F2839" i="2"/>
  <c r="F2836" i="2"/>
  <c r="F2837" i="2"/>
  <c r="F2844" i="2"/>
  <c r="F2801" i="2"/>
  <c r="F2744" i="2"/>
  <c r="F2743" i="2"/>
  <c r="F2800" i="2"/>
  <c r="F2742" i="2"/>
  <c r="F2751" i="2"/>
  <c r="F2799" i="2"/>
  <c r="F2798" i="2"/>
  <c r="F2787" i="2"/>
  <c r="F2790" i="2"/>
  <c r="F2797" i="2"/>
  <c r="F2791" i="2"/>
  <c r="F2795" i="2"/>
  <c r="F2796" i="2"/>
  <c r="F2794" i="2"/>
  <c r="F2785" i="2"/>
  <c r="F2771" i="2"/>
  <c r="F2770" i="2"/>
  <c r="F2769" i="2"/>
  <c r="F2768" i="2"/>
  <c r="F2767" i="2"/>
  <c r="F2766" i="2"/>
  <c r="F2765" i="2"/>
  <c r="F2764" i="2"/>
  <c r="F2763" i="2"/>
  <c r="F2762" i="2"/>
  <c r="F2761" i="2"/>
  <c r="F2760" i="2"/>
  <c r="F2759" i="2"/>
  <c r="F2758" i="2"/>
  <c r="F2757" i="2"/>
  <c r="F2756" i="2"/>
  <c r="F2755" i="2"/>
  <c r="F2749" i="2"/>
  <c r="F2754" i="2"/>
  <c r="F2753" i="2"/>
  <c r="F2748" i="2"/>
  <c r="F2752" i="2"/>
  <c r="F2747" i="2"/>
  <c r="F2750" i="2"/>
  <c r="F2746" i="2"/>
  <c r="F2745" i="2"/>
  <c r="F2784" i="2"/>
  <c r="F2783" i="2"/>
  <c r="F2782" i="2"/>
  <c r="F2781" i="2"/>
  <c r="F2780" i="2"/>
  <c r="F2779" i="2"/>
  <c r="F2778" i="2"/>
  <c r="F2777" i="2"/>
  <c r="F2776" i="2"/>
  <c r="F2775" i="2"/>
  <c r="F2774" i="2"/>
  <c r="F2773" i="2"/>
  <c r="F2772" i="2"/>
  <c r="F2789" i="2"/>
  <c r="F2792" i="2"/>
  <c r="F2786" i="2"/>
  <c r="F2793" i="2"/>
  <c r="F2788" i="2"/>
  <c r="F2741" i="2"/>
  <c r="F2687" i="2"/>
  <c r="F415" i="2"/>
  <c r="F2740" i="2"/>
  <c r="F2686" i="2"/>
  <c r="F2685" i="2"/>
  <c r="F2717" i="2"/>
  <c r="F2696" i="2"/>
  <c r="F2739" i="2"/>
  <c r="F2738" i="2"/>
  <c r="F2737" i="2"/>
  <c r="F2736" i="2"/>
  <c r="F2735" i="2"/>
  <c r="F2734" i="2"/>
  <c r="F2733" i="2"/>
  <c r="F2732" i="2"/>
  <c r="F2731" i="2"/>
  <c r="F2730" i="2"/>
  <c r="F2729" i="2"/>
  <c r="F2728" i="2"/>
  <c r="F2727" i="2"/>
  <c r="F2726" i="2"/>
  <c r="F2713" i="2"/>
  <c r="F2712" i="2"/>
  <c r="F2711" i="2"/>
  <c r="F2710" i="2"/>
  <c r="F2709" i="2"/>
  <c r="F2708" i="2"/>
  <c r="F2707" i="2"/>
  <c r="F2706" i="2"/>
  <c r="F2705" i="2"/>
  <c r="F2704" i="2"/>
  <c r="F2703" i="2"/>
  <c r="F2702" i="2"/>
  <c r="F2701" i="2"/>
  <c r="F2694" i="2"/>
  <c r="F2693" i="2"/>
  <c r="F2700" i="2"/>
  <c r="F2699" i="2"/>
  <c r="F2698" i="2"/>
  <c r="F2697" i="2"/>
  <c r="F2695" i="2"/>
  <c r="F2692" i="2"/>
  <c r="F2691" i="2"/>
  <c r="F2690" i="2"/>
  <c r="F2689" i="2"/>
  <c r="F2688" i="2"/>
  <c r="F2716" i="2"/>
  <c r="F2715" i="2"/>
  <c r="F2714" i="2"/>
  <c r="F2720" i="2"/>
  <c r="F2718" i="2"/>
  <c r="F2719" i="2"/>
  <c r="F2721" i="2"/>
  <c r="F2722" i="2"/>
  <c r="F2723" i="2"/>
  <c r="F2684" i="2"/>
  <c r="F2570" i="2"/>
  <c r="F2569" i="2"/>
  <c r="F2589" i="2"/>
  <c r="F2636" i="2"/>
  <c r="F2683" i="2"/>
  <c r="F2682" i="2"/>
  <c r="F2681" i="2"/>
  <c r="F256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83" i="2"/>
  <c r="F2581" i="2"/>
  <c r="F2575" i="2"/>
  <c r="F2574" i="2"/>
  <c r="F2580" i="2"/>
  <c r="F2573" i="2"/>
  <c r="F2582" i="2"/>
  <c r="F2680" i="2"/>
  <c r="F2679" i="2"/>
  <c r="F2678" i="2"/>
  <c r="F2677" i="2"/>
  <c r="F2676" i="2"/>
  <c r="F2675" i="2"/>
  <c r="F2657" i="2"/>
  <c r="F2650" i="2"/>
  <c r="F2639" i="2"/>
  <c r="F2654" i="2"/>
  <c r="F2668" i="2"/>
  <c r="F2665" i="2"/>
  <c r="F2644" i="2"/>
  <c r="F2642" i="2"/>
  <c r="F2641" i="2"/>
  <c r="F2664" i="2"/>
  <c r="F2667" i="2"/>
  <c r="F2649" i="2"/>
  <c r="F2632" i="2"/>
  <c r="F2663" i="2"/>
  <c r="F2666" i="2"/>
  <c r="F2661" i="2"/>
  <c r="F2662" i="2"/>
  <c r="F2637" i="2"/>
  <c r="F2652" i="2"/>
  <c r="F2647" i="2"/>
  <c r="F2659" i="2"/>
  <c r="F2648" i="2"/>
  <c r="F2643" i="2"/>
  <c r="F2656" i="2"/>
  <c r="F2635" i="2"/>
  <c r="F2638" i="2"/>
  <c r="F2634" i="2"/>
  <c r="F2640" i="2"/>
  <c r="F2658" i="2"/>
  <c r="F2633" i="2"/>
  <c r="F2590" i="2"/>
  <c r="F2587" i="2"/>
  <c r="F2586" i="2"/>
  <c r="F2585" i="2"/>
  <c r="F2588" i="2"/>
  <c r="F2584" i="2"/>
  <c r="F2579" i="2"/>
  <c r="F2572" i="2"/>
  <c r="F2651" i="2"/>
  <c r="F2655" i="2"/>
  <c r="F2645" i="2"/>
  <c r="F2646" i="2"/>
  <c r="F2660" i="2"/>
  <c r="F2653" i="2"/>
  <c r="F2578" i="2"/>
  <c r="F2577" i="2"/>
  <c r="F2576" i="2"/>
  <c r="F2571" i="2"/>
  <c r="F2567" i="2"/>
  <c r="F803" i="2"/>
  <c r="F2561" i="2"/>
  <c r="F2549" i="2"/>
  <c r="F2560" i="2"/>
  <c r="F2558" i="2"/>
  <c r="F2557" i="2"/>
  <c r="F2554" i="2"/>
  <c r="F2566" i="2"/>
  <c r="F2565" i="2"/>
  <c r="F2564" i="2"/>
  <c r="F2563" i="2"/>
  <c r="F2559" i="2"/>
  <c r="F2556" i="2"/>
  <c r="F2555" i="2"/>
  <c r="F2553" i="2"/>
  <c r="F2552" i="2"/>
  <c r="F2551" i="2"/>
  <c r="F2550" i="2"/>
  <c r="F2547" i="2"/>
  <c r="F2548" i="2"/>
  <c r="F2546" i="2"/>
  <c r="F2545" i="2"/>
  <c r="F2530" i="2"/>
  <c r="F2544" i="2"/>
  <c r="F2543" i="2"/>
  <c r="F2526" i="2"/>
  <c r="F2525" i="2"/>
  <c r="F2524" i="2"/>
  <c r="F2523" i="2"/>
  <c r="F2522" i="2"/>
  <c r="F2521" i="2"/>
  <c r="F2520" i="2"/>
  <c r="F2519" i="2"/>
  <c r="F2542" i="2"/>
  <c r="F2541" i="2"/>
  <c r="F2540" i="2"/>
  <c r="F2539" i="2"/>
  <c r="F2538" i="2"/>
  <c r="F2537" i="2"/>
  <c r="F2536" i="2"/>
  <c r="F2535" i="2"/>
  <c r="F2518" i="2"/>
  <c r="F2517" i="2"/>
  <c r="F2516" i="2"/>
  <c r="F2515" i="2"/>
  <c r="F2513" i="2"/>
  <c r="F2512" i="2"/>
  <c r="F2514" i="2"/>
  <c r="F2511" i="2"/>
  <c r="F2510" i="2"/>
  <c r="F2509" i="2"/>
  <c r="F2508" i="2"/>
  <c r="F2529" i="2"/>
  <c r="F2532" i="2"/>
  <c r="F2528" i="2"/>
  <c r="F2534" i="2"/>
  <c r="F2531" i="2"/>
  <c r="F2533" i="2"/>
  <c r="F2506" i="2"/>
  <c r="F2494" i="2"/>
  <c r="F2505" i="2"/>
  <c r="F2504" i="2"/>
  <c r="F2501" i="2"/>
  <c r="F2498" i="2"/>
  <c r="F2485" i="2"/>
  <c r="F2484" i="2"/>
  <c r="F2483" i="2"/>
  <c r="F2493" i="2"/>
  <c r="F2492" i="2"/>
  <c r="F2491" i="2"/>
  <c r="F2490" i="2"/>
  <c r="F2489" i="2"/>
  <c r="F2488" i="2"/>
  <c r="F2487" i="2"/>
  <c r="F2486" i="2"/>
  <c r="F2503" i="2"/>
  <c r="F2502" i="2"/>
  <c r="F2497" i="2"/>
  <c r="F2496" i="2"/>
  <c r="F2500" i="2"/>
  <c r="F2499" i="2"/>
  <c r="F2482" i="2"/>
  <c r="F2336" i="2"/>
  <c r="F2333" i="2"/>
  <c r="F2447" i="2"/>
  <c r="F2443" i="2"/>
  <c r="F2481" i="2"/>
  <c r="F2480" i="2"/>
  <c r="F2339" i="2"/>
  <c r="F2338" i="2"/>
  <c r="F2337" i="2"/>
  <c r="F2335" i="2"/>
  <c r="F2334" i="2"/>
  <c r="F2332" i="2"/>
  <c r="F2410" i="2"/>
  <c r="F2409" i="2"/>
  <c r="F2408" i="2"/>
  <c r="F2407" i="2"/>
  <c r="F2406" i="2"/>
  <c r="F2405" i="2"/>
  <c r="F2350" i="2"/>
  <c r="F2345" i="2"/>
  <c r="F2349" i="2"/>
  <c r="F2360" i="2"/>
  <c r="F2479" i="2"/>
  <c r="F2478" i="2"/>
  <c r="F2477" i="2"/>
  <c r="F2476" i="2"/>
  <c r="F2475" i="2"/>
  <c r="F2474" i="2"/>
  <c r="F2473" i="2"/>
  <c r="F2454" i="2"/>
  <c r="F2440" i="2"/>
  <c r="F2455" i="2"/>
  <c r="F2435" i="2"/>
  <c r="F2412" i="2"/>
  <c r="F2430" i="2"/>
  <c r="F2423" i="2"/>
  <c r="F2427" i="2"/>
  <c r="F2434" i="2"/>
  <c r="F2432" i="2"/>
  <c r="F2441" i="2"/>
  <c r="F2442" i="2"/>
  <c r="F2437" i="2"/>
  <c r="F2414" i="2"/>
  <c r="F2425" i="2"/>
  <c r="F2413" i="2"/>
  <c r="F2415" i="2"/>
  <c r="F2456" i="2"/>
  <c r="F2448" i="2"/>
  <c r="F2445" i="2"/>
  <c r="F2444" i="2"/>
  <c r="F2438" i="2"/>
  <c r="F2449" i="2"/>
  <c r="F2419" i="2"/>
  <c r="F2426" i="2"/>
  <c r="F2439" i="2"/>
  <c r="F2446" i="2"/>
  <c r="F2433" i="2"/>
  <c r="F2416" i="2"/>
  <c r="F2411" i="2"/>
  <c r="F2457" i="2"/>
  <c r="F2451" i="2"/>
  <c r="F2436" i="2"/>
  <c r="F2428" i="2"/>
  <c r="F2420" i="2"/>
  <c r="F2450" i="2"/>
  <c r="F2417" i="2"/>
  <c r="F2404" i="2"/>
  <c r="F2403" i="2"/>
  <c r="F2402" i="2"/>
  <c r="F2401" i="2"/>
  <c r="F2400" i="2"/>
  <c r="F2364" i="2"/>
  <c r="F2363" i="2"/>
  <c r="F2362" i="2"/>
  <c r="F2361" i="2"/>
  <c r="F2356" i="2"/>
  <c r="F2355" i="2"/>
  <c r="F2354" i="2"/>
  <c r="F2353" i="2"/>
  <c r="F2359" i="2"/>
  <c r="F2358" i="2"/>
  <c r="F2357" i="2"/>
  <c r="F2352" i="2"/>
  <c r="F2351" i="2"/>
  <c r="F2344" i="2"/>
  <c r="F2348" i="2"/>
  <c r="F2343" i="2"/>
  <c r="F2347" i="2"/>
  <c r="F2342" i="2"/>
  <c r="F2346" i="2"/>
  <c r="F2341"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453" i="2"/>
  <c r="F2418" i="2"/>
  <c r="F2424" i="2"/>
  <c r="F2421" i="2"/>
  <c r="F2422" i="2"/>
  <c r="F2431" i="2"/>
  <c r="F2331" i="2"/>
  <c r="F420" i="2"/>
  <c r="F427" i="2"/>
  <c r="F426" i="2"/>
  <c r="F1975" i="2"/>
  <c r="F1342" i="2"/>
  <c r="F3427" i="2"/>
  <c r="F1278" i="2"/>
  <c r="F1341" i="2"/>
  <c r="F1133" i="2"/>
  <c r="F125" i="2"/>
  <c r="F1833" i="2"/>
  <c r="F3009" i="2"/>
  <c r="F2327" i="2"/>
  <c r="F1480" i="2"/>
  <c r="F1479" i="2"/>
  <c r="F1570" i="2"/>
  <c r="F3298" i="2"/>
  <c r="F3307" i="2"/>
  <c r="F2725" i="2"/>
  <c r="F2472" i="2"/>
  <c r="F3321" i="2"/>
  <c r="F3306" i="2"/>
  <c r="F2471" i="2"/>
  <c r="F3317" i="2"/>
  <c r="F2470" i="2"/>
  <c r="F2469" i="2"/>
  <c r="F2670" i="2"/>
  <c r="F3305" i="2"/>
  <c r="F2467" i="2"/>
  <c r="F2466" i="2"/>
  <c r="F2465" i="2"/>
  <c r="F2051" i="2"/>
  <c r="F650" i="2"/>
  <c r="F2847" i="2"/>
  <c r="F2464" i="2"/>
  <c r="F3120" i="2"/>
  <c r="F2286" i="2"/>
  <c r="F2463" i="2"/>
  <c r="F3304" i="2"/>
  <c r="F2462" i="2"/>
  <c r="F2461" i="2"/>
  <c r="F2460" i="2"/>
  <c r="F2459" i="2"/>
  <c r="F2458" i="2"/>
  <c r="F1336" i="2"/>
  <c r="F3320" i="2"/>
  <c r="F2468" i="2"/>
  <c r="F2288" i="2"/>
  <c r="F1337" i="2"/>
  <c r="F3303" i="2"/>
  <c r="F2674" i="2"/>
  <c r="F2673" i="2"/>
  <c r="F2898" i="2"/>
  <c r="F2897" i="2"/>
  <c r="F215" i="2"/>
  <c r="F3319" i="2"/>
  <c r="F2672" i="2"/>
  <c r="F2671" i="2"/>
  <c r="F2958" i="2"/>
  <c r="F2896" i="2"/>
  <c r="F1340" i="2"/>
  <c r="F599" i="2"/>
  <c r="F2328" i="2"/>
  <c r="F3301" i="2"/>
  <c r="F3300" i="2"/>
  <c r="F3299" i="2"/>
  <c r="F2326" i="2"/>
  <c r="F2724" i="2"/>
  <c r="F1557" i="2"/>
  <c r="F1316" i="2"/>
  <c r="F1556" i="2"/>
  <c r="F1334" i="2"/>
  <c r="F1555" i="2"/>
  <c r="F2330" i="2"/>
  <c r="F2329" i="2"/>
  <c r="F2320" i="2"/>
  <c r="F2322" i="2"/>
  <c r="F2321" i="2"/>
  <c r="F2325" i="2"/>
  <c r="F2319" i="2"/>
  <c r="F2310" i="2"/>
  <c r="F2309" i="2"/>
  <c r="F2312" i="2"/>
  <c r="F2311" i="2"/>
  <c r="F2318" i="2"/>
  <c r="F2315" i="2"/>
  <c r="F2314" i="2"/>
  <c r="F2313" i="2"/>
  <c r="F2316" i="2"/>
  <c r="F2317" i="2"/>
  <c r="F2308" i="2"/>
  <c r="F1013" i="2"/>
  <c r="F2278" i="2"/>
  <c r="F3630" i="2"/>
  <c r="F4041" i="2"/>
  <c r="F1003" i="2"/>
  <c r="F2263" i="2"/>
  <c r="F2273" i="2"/>
  <c r="F2258" i="2"/>
  <c r="F2266" i="2"/>
  <c r="F2279" i="2"/>
  <c r="F29" i="2"/>
  <c r="F140" i="2"/>
  <c r="F2307" i="2"/>
  <c r="F2306" i="2"/>
  <c r="F2305" i="2"/>
  <c r="F2304" i="2"/>
  <c r="F2303" i="2"/>
  <c r="F2302" i="2"/>
  <c r="F2301" i="2"/>
  <c r="F2300" i="2"/>
  <c r="F2299" i="2"/>
  <c r="F2196" i="2"/>
  <c r="F2195" i="2"/>
  <c r="F2244" i="2"/>
  <c r="F2243" i="2"/>
  <c r="F2242" i="2"/>
  <c r="F2241" i="2"/>
  <c r="F2240" i="2"/>
  <c r="F2239" i="2"/>
  <c r="F2238" i="2"/>
  <c r="F2237" i="2"/>
  <c r="F2236" i="2"/>
  <c r="F2235" i="2"/>
  <c r="F2234" i="2"/>
  <c r="F2233" i="2"/>
  <c r="F2232" i="2"/>
  <c r="F2231" i="2"/>
  <c r="F2230" i="2"/>
  <c r="F2229" i="2"/>
  <c r="F2228" i="2"/>
  <c r="F2227" i="2"/>
  <c r="F2226" i="2"/>
  <c r="F2225" i="2"/>
  <c r="F2206" i="2"/>
  <c r="F2298" i="2"/>
  <c r="F2297" i="2"/>
  <c r="F2282" i="2"/>
  <c r="F2251" i="2"/>
  <c r="F2264" i="2"/>
  <c r="F2257" i="2"/>
  <c r="F2253" i="2"/>
  <c r="F2254" i="2"/>
  <c r="F2252" i="2"/>
  <c r="F2277" i="2"/>
  <c r="F2255" i="2"/>
  <c r="F2267" i="2"/>
  <c r="F2271" i="2"/>
  <c r="F2265" i="2"/>
  <c r="F2215" i="2"/>
  <c r="F2214" i="2"/>
  <c r="F2213" i="2"/>
  <c r="F2211" i="2"/>
  <c r="F2210" i="2"/>
  <c r="F2212" i="2"/>
  <c r="F2209" i="2"/>
  <c r="F2208" i="2"/>
  <c r="F2207" i="2"/>
  <c r="F2205" i="2"/>
  <c r="F2204" i="2"/>
  <c r="F2201" i="2"/>
  <c r="F2203" i="2"/>
  <c r="F2200" i="2"/>
  <c r="F2199" i="2"/>
  <c r="F2224" i="2"/>
  <c r="F2223" i="2"/>
  <c r="F2222" i="2"/>
  <c r="F2221" i="2"/>
  <c r="F2220" i="2"/>
  <c r="F2219" i="2"/>
  <c r="F2218" i="2"/>
  <c r="F2217" i="2"/>
  <c r="F2216" i="2"/>
  <c r="F2275" i="2"/>
  <c r="F2272" i="2"/>
  <c r="F2262" i="2"/>
  <c r="F2281" i="2"/>
  <c r="F2280" i="2"/>
  <c r="F2269" i="2"/>
  <c r="F2260" i="2"/>
  <c r="F2259" i="2"/>
  <c r="F2250" i="2"/>
  <c r="F2256" i="2"/>
  <c r="F2202" i="2"/>
  <c r="F2198" i="2"/>
  <c r="F2194" i="2"/>
  <c r="F3997" i="2"/>
  <c r="F2507" i="2"/>
  <c r="F2058" i="2"/>
  <c r="F2060" i="2"/>
  <c r="F2324" i="2"/>
  <c r="F2154" i="2"/>
  <c r="F2175" i="2"/>
  <c r="F2173" i="2"/>
  <c r="F2193" i="2"/>
  <c r="F2192" i="2"/>
  <c r="F2191" i="2"/>
  <c r="F2190" i="2"/>
  <c r="F2059" i="2"/>
  <c r="F2057" i="2"/>
  <c r="F2056" i="2"/>
  <c r="F2136" i="2"/>
  <c r="F2135" i="2"/>
  <c r="F2134" i="2"/>
  <c r="F2133" i="2"/>
  <c r="F2132" i="2"/>
  <c r="F2131" i="2"/>
  <c r="F2130" i="2"/>
  <c r="F2129" i="2"/>
  <c r="F2128" i="2"/>
  <c r="F2127" i="2"/>
  <c r="F2126" i="2"/>
  <c r="F2125" i="2"/>
  <c r="F2124" i="2"/>
  <c r="F2123" i="2"/>
  <c r="F2122" i="2"/>
  <c r="F2121" i="2"/>
  <c r="F2120" i="2"/>
  <c r="F2119" i="2"/>
  <c r="F2118" i="2"/>
  <c r="F2117" i="2"/>
  <c r="F2077" i="2"/>
  <c r="F2072" i="2"/>
  <c r="F2107" i="2"/>
  <c r="F2102" i="2"/>
  <c r="F2106" i="2"/>
  <c r="F2105" i="2"/>
  <c r="F2104" i="2"/>
  <c r="F2103" i="2"/>
  <c r="F2100" i="2"/>
  <c r="F2108" i="2"/>
  <c r="F2096" i="2"/>
  <c r="F2098" i="2"/>
  <c r="F2189" i="2"/>
  <c r="F2188" i="2"/>
  <c r="F2187" i="2"/>
  <c r="F2186" i="2"/>
  <c r="F2185" i="2"/>
  <c r="F2184" i="2"/>
  <c r="F2141" i="2"/>
  <c r="F2152" i="2"/>
  <c r="F2176" i="2"/>
  <c r="F2168" i="2"/>
  <c r="F2142" i="2"/>
  <c r="F2172" i="2"/>
  <c r="F2161" i="2"/>
  <c r="F2160" i="2"/>
  <c r="F2174" i="2"/>
  <c r="F2147" i="2"/>
  <c r="F2148" i="2"/>
  <c r="F2167" i="2"/>
  <c r="F2144" i="2"/>
  <c r="F2138" i="2"/>
  <c r="F2156" i="2"/>
  <c r="F2151" i="2"/>
  <c r="F2143" i="2"/>
  <c r="F2166" i="2"/>
  <c r="F2164" i="2"/>
  <c r="F2153" i="2"/>
  <c r="F2101" i="2"/>
  <c r="F2109" i="2"/>
  <c r="F2095" i="2"/>
  <c r="F2094" i="2"/>
  <c r="F2093" i="2"/>
  <c r="F2092" i="2"/>
  <c r="F2091" i="2"/>
  <c r="F2090" i="2"/>
  <c r="F2089" i="2"/>
  <c r="F2086" i="2"/>
  <c r="F2085" i="2"/>
  <c r="F2084" i="2"/>
  <c r="F2083" i="2"/>
  <c r="F2082" i="2"/>
  <c r="F2088" i="2"/>
  <c r="F2087" i="2"/>
  <c r="F2081" i="2"/>
  <c r="F2080" i="2"/>
  <c r="F2079" i="2"/>
  <c r="F2078" i="2"/>
  <c r="F2076" i="2"/>
  <c r="F2075" i="2"/>
  <c r="F2070" i="2"/>
  <c r="F2074" i="2"/>
  <c r="F2065" i="2"/>
  <c r="F2073" i="2"/>
  <c r="F2064" i="2"/>
  <c r="F2071" i="2"/>
  <c r="F2063" i="2"/>
  <c r="F2069" i="2"/>
  <c r="F2062" i="2"/>
  <c r="F2116" i="2"/>
  <c r="F2115" i="2"/>
  <c r="F2114" i="2"/>
  <c r="F2113" i="2"/>
  <c r="F2112" i="2"/>
  <c r="F2111" i="2"/>
  <c r="F2110" i="2"/>
  <c r="F2171" i="2"/>
  <c r="F2177" i="2"/>
  <c r="F2163" i="2"/>
  <c r="F2146" i="2"/>
  <c r="F2149" i="2"/>
  <c r="F2155" i="2"/>
  <c r="F2139" i="2"/>
  <c r="F2068" i="2"/>
  <c r="F2067" i="2"/>
  <c r="F2066" i="2"/>
  <c r="F2061" i="2"/>
  <c r="F2055" i="2"/>
  <c r="F684" i="2"/>
  <c r="F2005" i="2"/>
  <c r="F2043" i="2"/>
  <c r="F209" i="2"/>
  <c r="F1983" i="2"/>
  <c r="F2054" i="2"/>
  <c r="F2053" i="2"/>
  <c r="F2030" i="2"/>
  <c r="F2029" i="2"/>
  <c r="F2028" i="2"/>
  <c r="F2027" i="2"/>
  <c r="F2026" i="2"/>
  <c r="F2025" i="2"/>
  <c r="F2024" i="2"/>
  <c r="F2007" i="2"/>
  <c r="F2041" i="2"/>
  <c r="F2037" i="2"/>
  <c r="F2045" i="2"/>
  <c r="F2040" i="2"/>
  <c r="F2016" i="2"/>
  <c r="F2015" i="2"/>
  <c r="F2014" i="2"/>
  <c r="F2013" i="2"/>
  <c r="F2012" i="2"/>
  <c r="F2011" i="2"/>
  <c r="F2010" i="2"/>
  <c r="F2009" i="2"/>
  <c r="F2008" i="2"/>
  <c r="F2006" i="2"/>
  <c r="F2023" i="2"/>
  <c r="F2022" i="2"/>
  <c r="F2021" i="2"/>
  <c r="F2020" i="2"/>
  <c r="F2019" i="2"/>
  <c r="F2018" i="2"/>
  <c r="F2017" i="2"/>
  <c r="F2034" i="2"/>
  <c r="F2033" i="2"/>
  <c r="F2046" i="2"/>
  <c r="F2032" i="2"/>
  <c r="F2047" i="2"/>
  <c r="F2044" i="2"/>
  <c r="F2048" i="2"/>
  <c r="F2035" i="2"/>
  <c r="F2038" i="2"/>
  <c r="F2004" i="2"/>
  <c r="F1972" i="2"/>
  <c r="F1985" i="2"/>
  <c r="F1986" i="2"/>
  <c r="F1969" i="2"/>
  <c r="F1981" i="2"/>
  <c r="F1979" i="2"/>
  <c r="F1977" i="2"/>
  <c r="F1958" i="2"/>
  <c r="F1966" i="2"/>
  <c r="F1967" i="2"/>
  <c r="F2031" i="2"/>
  <c r="F1957" i="2"/>
  <c r="F2003" i="2"/>
  <c r="F2002" i="2"/>
  <c r="F2001" i="2"/>
  <c r="F2000" i="2"/>
  <c r="F1917" i="2"/>
  <c r="F1915" i="2"/>
  <c r="F1914" i="2"/>
  <c r="F1953" i="2"/>
  <c r="F1952" i="2"/>
  <c r="F1951" i="2"/>
  <c r="F1950" i="2"/>
  <c r="F1949" i="2"/>
  <c r="F1948" i="2"/>
  <c r="F1947" i="2"/>
  <c r="F1946" i="2"/>
  <c r="F1934" i="2"/>
  <c r="F1931" i="2"/>
  <c r="F1930" i="2"/>
  <c r="F1999" i="2"/>
  <c r="F1998" i="2"/>
  <c r="F1997" i="2"/>
  <c r="F1996" i="2"/>
  <c r="F1995" i="2"/>
  <c r="F1994" i="2"/>
  <c r="F1993" i="2"/>
  <c r="F1968" i="2"/>
  <c r="F1978" i="2"/>
  <c r="F1970" i="2"/>
  <c r="F1974" i="2"/>
  <c r="F1971" i="2"/>
  <c r="F1980" i="2"/>
  <c r="F1973" i="2"/>
  <c r="F1960" i="2"/>
  <c r="F1933" i="2"/>
  <c r="F1932" i="2"/>
  <c r="F1929" i="2"/>
  <c r="F1928" i="2"/>
  <c r="F1927" i="2"/>
  <c r="F1926" i="2"/>
  <c r="F1925" i="2"/>
  <c r="F1924" i="2"/>
  <c r="F1922" i="2"/>
  <c r="F1921" i="2"/>
  <c r="F1923" i="2"/>
  <c r="F1920" i="2"/>
  <c r="F1919" i="2"/>
  <c r="F1945" i="2"/>
  <c r="F1944" i="2"/>
  <c r="F1943" i="2"/>
  <c r="F1942" i="2"/>
  <c r="F1941" i="2"/>
  <c r="F1940" i="2"/>
  <c r="F1939" i="2"/>
  <c r="F1938" i="2"/>
  <c r="F1937" i="2"/>
  <c r="F1936" i="2"/>
  <c r="F1935" i="2"/>
  <c r="F1962" i="2"/>
  <c r="F1964" i="2"/>
  <c r="F1959" i="2"/>
  <c r="F1956" i="2"/>
  <c r="F1963" i="2"/>
  <c r="F1984" i="2"/>
  <c r="F1982" i="2"/>
  <c r="F1965" i="2"/>
  <c r="F1961" i="2"/>
  <c r="F1913" i="2"/>
  <c r="F1845" i="2"/>
  <c r="F2197" i="2"/>
  <c r="F1878" i="2"/>
  <c r="F1886" i="2"/>
  <c r="F1882" i="2"/>
  <c r="F1884" i="2"/>
  <c r="F1912" i="2"/>
  <c r="F1911" i="2"/>
  <c r="F1910" i="2"/>
  <c r="F1909" i="2"/>
  <c r="F1907" i="2"/>
  <c r="F1908" i="2"/>
  <c r="F1900" i="2"/>
  <c r="F1899" i="2"/>
  <c r="F1903" i="2"/>
  <c r="F1902" i="2"/>
  <c r="F1901" i="2"/>
  <c r="F1904" i="2"/>
  <c r="F1906" i="2"/>
  <c r="F1905" i="2"/>
  <c r="F1846" i="2"/>
  <c r="F1844" i="2"/>
  <c r="F1877" i="2"/>
  <c r="F1876" i="2"/>
  <c r="F1875" i="2"/>
  <c r="F1874" i="2"/>
  <c r="F1873" i="2"/>
  <c r="F1852" i="2"/>
  <c r="F1853" i="2"/>
  <c r="F1870" i="2"/>
  <c r="F1898" i="2"/>
  <c r="F1897" i="2"/>
  <c r="F1896" i="2"/>
  <c r="F1895" i="2"/>
  <c r="F1894" i="2"/>
  <c r="F1893" i="2"/>
  <c r="F1892" i="2"/>
  <c r="F1891" i="2"/>
  <c r="F1890" i="2"/>
  <c r="F1889" i="2"/>
  <c r="F1888" i="2"/>
  <c r="F1871" i="2"/>
  <c r="F1872" i="2"/>
  <c r="F1869" i="2"/>
  <c r="F1868" i="2"/>
  <c r="F1867" i="2"/>
  <c r="F1866" i="2"/>
  <c r="F1865" i="2"/>
  <c r="F1864" i="2"/>
  <c r="F1863" i="2"/>
  <c r="F1860" i="2"/>
  <c r="F1859" i="2"/>
  <c r="F1858" i="2"/>
  <c r="F1862" i="2"/>
  <c r="F1861" i="2"/>
  <c r="F1857" i="2"/>
  <c r="F1856" i="2"/>
  <c r="F1855" i="2"/>
  <c r="F1854" i="2"/>
  <c r="F1851" i="2"/>
  <c r="F1849" i="2"/>
  <c r="F1848" i="2"/>
  <c r="F1879" i="2"/>
  <c r="F1881" i="2"/>
  <c r="F1883" i="2"/>
  <c r="F1880" i="2"/>
  <c r="F1885" i="2"/>
  <c r="F1850" i="2"/>
  <c r="F1847" i="2"/>
  <c r="F1843" i="2"/>
  <c r="F1810" i="2"/>
  <c r="F1809" i="2"/>
  <c r="F1797" i="2"/>
  <c r="F1796" i="2"/>
  <c r="F1825" i="2"/>
  <c r="F1824" i="2"/>
  <c r="F1823" i="2"/>
  <c r="F1801" i="2"/>
  <c r="F1802" i="2"/>
  <c r="F1842" i="2"/>
  <c r="F1841" i="2"/>
  <c r="F1840" i="2"/>
  <c r="F1839" i="2"/>
  <c r="F1838" i="2"/>
  <c r="F1837" i="2"/>
  <c r="F1836" i="2"/>
  <c r="F1835" i="2"/>
  <c r="F1817" i="2"/>
  <c r="F1816" i="2"/>
  <c r="F1819" i="2"/>
  <c r="F1818" i="2"/>
  <c r="F1815" i="2"/>
  <c r="F1814" i="2"/>
  <c r="F1813" i="2"/>
  <c r="F1812" i="2"/>
  <c r="F1808" i="2"/>
  <c r="F1807" i="2"/>
  <c r="F1811" i="2"/>
  <c r="F1806" i="2"/>
  <c r="F1805" i="2"/>
  <c r="F1804" i="2"/>
  <c r="F1803" i="2"/>
  <c r="F1800" i="2"/>
  <c r="F1799" i="2"/>
  <c r="F1798" i="2"/>
  <c r="F1822" i="2"/>
  <c r="F1821" i="2"/>
  <c r="F1820" i="2"/>
  <c r="F1830" i="2"/>
  <c r="F1828" i="2"/>
  <c r="F1831" i="2"/>
  <c r="F1827" i="2"/>
  <c r="F1829" i="2"/>
  <c r="F1832" i="2"/>
  <c r="F1795" i="2"/>
  <c r="F2323" i="2"/>
  <c r="F2183" i="2"/>
  <c r="F2052" i="2"/>
  <c r="F3302" i="2"/>
  <c r="F425" i="2"/>
  <c r="F2295" i="2"/>
  <c r="F2294" i="2"/>
  <c r="F2182" i="2"/>
  <c r="F2292" i="2"/>
  <c r="F1563" i="2"/>
  <c r="F1991" i="2"/>
  <c r="F1990" i="2"/>
  <c r="F1989" i="2"/>
  <c r="F1988" i="2"/>
  <c r="F424" i="2"/>
  <c r="F423" i="2"/>
  <c r="F1339" i="2"/>
  <c r="F186" i="2"/>
  <c r="F1338" i="2"/>
  <c r="F727" i="2"/>
  <c r="F711" i="2"/>
  <c r="F2289" i="2"/>
  <c r="F358" i="2"/>
  <c r="F422" i="2"/>
  <c r="F369" i="2"/>
  <c r="F2630" i="2"/>
  <c r="F2629" i="2"/>
  <c r="F1569" i="2"/>
  <c r="F1568" i="2"/>
  <c r="F2099" i="2"/>
  <c r="F2097" i="2"/>
  <c r="F1567" i="2"/>
  <c r="F1566" i="2"/>
  <c r="F1565" i="2"/>
  <c r="F1564" i="2"/>
  <c r="F1987" i="2"/>
  <c r="F2832" i="2"/>
  <c r="F2831" i="2"/>
  <c r="F2293" i="2"/>
  <c r="F2296" i="2"/>
  <c r="F1992" i="2"/>
  <c r="F1320" i="2"/>
  <c r="F2631" i="2"/>
  <c r="F2291" i="2"/>
  <c r="F3890" i="2"/>
  <c r="F1834" i="2"/>
  <c r="F1887" i="2"/>
  <c r="F2290" i="2"/>
  <c r="F2527" i="2"/>
  <c r="F2050" i="2"/>
  <c r="F2180" i="2"/>
  <c r="F1794" i="2"/>
  <c r="F1793" i="2"/>
  <c r="F1792" i="2"/>
  <c r="F1791" i="2"/>
  <c r="F3849" i="2"/>
  <c r="F1790" i="2"/>
  <c r="F1765" i="2"/>
  <c r="F1764" i="2"/>
  <c r="F1763" i="2"/>
  <c r="F1762" i="2"/>
  <c r="F1779" i="2"/>
  <c r="F1775" i="2"/>
  <c r="F1774" i="2"/>
  <c r="F1789" i="2"/>
  <c r="F1788" i="2"/>
  <c r="F1787" i="2"/>
  <c r="F1786" i="2"/>
  <c r="F1773" i="2"/>
  <c r="F1772" i="2"/>
  <c r="F1769" i="2"/>
  <c r="F1771" i="2"/>
  <c r="F1770" i="2"/>
  <c r="F1768" i="2"/>
  <c r="F1767" i="2"/>
  <c r="F1766" i="2"/>
  <c r="F1778" i="2"/>
  <c r="F1777" i="2"/>
  <c r="F1776" i="2"/>
  <c r="F1783" i="2"/>
  <c r="F1782" i="2"/>
  <c r="F1784" i="2"/>
  <c r="F1781" i="2"/>
  <c r="F1780" i="2"/>
  <c r="F1761" i="2"/>
  <c r="F1752" i="2"/>
  <c r="F1751" i="2"/>
  <c r="F1750" i="2"/>
  <c r="F1749" i="2"/>
  <c r="F1758" i="2"/>
  <c r="F1757" i="2"/>
  <c r="F1760" i="2"/>
  <c r="F1756" i="2"/>
  <c r="F1755" i="2"/>
  <c r="F1754" i="2"/>
  <c r="F1753" i="2"/>
  <c r="F1759" i="2"/>
  <c r="F1748" i="2"/>
  <c r="F1738" i="2"/>
  <c r="F1737" i="2"/>
  <c r="F1736" i="2"/>
  <c r="F1735" i="2"/>
  <c r="F1742" i="2"/>
  <c r="F1741" i="2"/>
  <c r="F1739" i="2"/>
  <c r="F1747" i="2"/>
  <c r="F1746" i="2"/>
  <c r="F1745" i="2"/>
  <c r="F1740" i="2"/>
  <c r="F1744" i="2"/>
  <c r="F1743" i="2"/>
  <c r="F1734" i="2"/>
  <c r="F1685" i="2"/>
  <c r="F1710" i="2"/>
  <c r="F1733" i="2"/>
  <c r="F1732" i="2"/>
  <c r="F1731" i="2"/>
  <c r="F1730" i="2"/>
  <c r="F1689" i="2"/>
  <c r="F1688" i="2"/>
  <c r="F1687" i="2"/>
  <c r="F1686" i="2"/>
  <c r="F1699" i="2"/>
  <c r="F1698" i="2"/>
  <c r="F1697" i="2"/>
  <c r="F1696" i="2"/>
  <c r="F1695" i="2"/>
  <c r="F1694" i="2"/>
  <c r="F1692" i="2"/>
  <c r="F1691" i="2"/>
  <c r="F1690" i="2"/>
  <c r="F1712" i="2"/>
  <c r="F1711" i="2"/>
  <c r="F1729" i="2"/>
  <c r="F1728" i="2"/>
  <c r="F1727" i="2"/>
  <c r="F1726" i="2"/>
  <c r="F1725" i="2"/>
  <c r="F1724" i="2"/>
  <c r="F1709" i="2"/>
  <c r="F1708" i="2"/>
  <c r="F1707" i="2"/>
  <c r="F1706" i="2"/>
  <c r="F1705" i="2"/>
  <c r="F1704" i="2"/>
  <c r="F1703" i="2"/>
  <c r="F1702" i="2"/>
  <c r="F1701" i="2"/>
  <c r="F1700" i="2"/>
  <c r="F1717" i="2"/>
  <c r="F1716" i="2"/>
  <c r="F1715" i="2"/>
  <c r="F1714" i="2"/>
  <c r="F1713" i="2"/>
  <c r="F1721" i="2"/>
  <c r="F1720" i="2"/>
  <c r="F1723" i="2"/>
  <c r="F1718" i="2"/>
  <c r="F1719" i="2"/>
  <c r="F1722" i="2"/>
  <c r="F1693" i="2"/>
  <c r="F1684" i="2"/>
  <c r="F1645"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6" i="2"/>
  <c r="F1657" i="2"/>
  <c r="F1602" i="2"/>
  <c r="F1601" i="2"/>
  <c r="F1600" i="2"/>
  <c r="F1599" i="2"/>
  <c r="F1634" i="2"/>
  <c r="F1633" i="2"/>
  <c r="F1611" i="2"/>
  <c r="F1610" i="2"/>
  <c r="F1609" i="2"/>
  <c r="F1608" i="2"/>
  <c r="F1607" i="2"/>
  <c r="F1605" i="2"/>
  <c r="F1604" i="2"/>
  <c r="F1603" i="2"/>
  <c r="F1655" i="2"/>
  <c r="F1654" i="2"/>
  <c r="F1653" i="2"/>
  <c r="F1652" i="2"/>
  <c r="F1651" i="2"/>
  <c r="F1650" i="2"/>
  <c r="F1639" i="2"/>
  <c r="F1646" i="2"/>
  <c r="F1637" i="2"/>
  <c r="F1647" i="2"/>
  <c r="F1640" i="2"/>
  <c r="F1649" i="2"/>
  <c r="F1625" i="2"/>
  <c r="F1624" i="2"/>
  <c r="F1623" i="2"/>
  <c r="F1622" i="2"/>
  <c r="F1621" i="2"/>
  <c r="F1620" i="2"/>
  <c r="F1619" i="2"/>
  <c r="F1618" i="2"/>
  <c r="F1617" i="2"/>
  <c r="F1616" i="2"/>
  <c r="F1615" i="2"/>
  <c r="F1614" i="2"/>
  <c r="F1613" i="2"/>
  <c r="F1612" i="2"/>
  <c r="F1632" i="2"/>
  <c r="F1631" i="2"/>
  <c r="F1630" i="2"/>
  <c r="F1629" i="2"/>
  <c r="F1628" i="2"/>
  <c r="F1627" i="2"/>
  <c r="F1626" i="2"/>
  <c r="F1638" i="2"/>
  <c r="F1636" i="2"/>
  <c r="F1648" i="2"/>
  <c r="F1641" i="2"/>
  <c r="F1643" i="2"/>
  <c r="F1642" i="2"/>
  <c r="F1644" i="2"/>
  <c r="F1606" i="2"/>
  <c r="F1598" i="2"/>
  <c r="F1955" i="2"/>
  <c r="F2249" i="2"/>
  <c r="F3010" i="2"/>
  <c r="F2248" i="2"/>
  <c r="F2247" i="2"/>
  <c r="F1785" i="2"/>
  <c r="F368" i="2"/>
  <c r="F1597" i="2"/>
  <c r="F1596" i="2"/>
  <c r="F1504" i="2"/>
  <c r="F1589" i="2"/>
  <c r="F1588" i="2"/>
  <c r="F1590" i="2"/>
  <c r="F1591" i="2"/>
  <c r="F1578" i="2"/>
  <c r="F1577" i="2"/>
  <c r="F1576" i="2"/>
  <c r="F1575" i="2"/>
  <c r="F1583" i="2"/>
  <c r="F1582" i="2"/>
  <c r="F1581" i="2"/>
  <c r="F1580" i="2"/>
  <c r="F1579" i="2"/>
  <c r="F1584" i="2"/>
  <c r="F1586" i="2"/>
  <c r="F1587" i="2"/>
  <c r="F1585" i="2"/>
  <c r="F1525" i="2"/>
  <c r="F1524" i="2"/>
  <c r="F1523" i="2"/>
  <c r="F1522" i="2"/>
  <c r="F1521" i="2"/>
  <c r="F1520" i="2"/>
  <c r="F1519" i="2"/>
  <c r="F1518" i="2"/>
  <c r="F1517" i="2"/>
  <c r="F1516" i="2"/>
  <c r="F1515" i="2"/>
  <c r="F1514" i="2"/>
  <c r="F1513" i="2"/>
  <c r="F1512" i="2"/>
  <c r="F1511" i="2"/>
  <c r="F1510" i="2"/>
  <c r="F1509" i="2"/>
  <c r="F1508" i="2"/>
  <c r="F1507" i="2"/>
  <c r="F1506" i="2"/>
  <c r="F1505" i="2"/>
  <c r="F1503" i="2"/>
  <c r="F1502" i="2"/>
  <c r="F1542" i="2"/>
  <c r="F1541" i="2"/>
  <c r="F1530" i="2"/>
  <c r="F1529" i="2"/>
  <c r="F1537" i="2"/>
  <c r="F1574" i="2"/>
  <c r="F1573" i="2"/>
  <c r="F1572" i="2"/>
  <c r="F1571" i="2"/>
  <c r="F1544" i="2"/>
  <c r="F1543" i="2"/>
  <c r="F1540" i="2"/>
  <c r="F1538" i="2"/>
  <c r="F1539" i="2"/>
  <c r="F1528" i="2"/>
  <c r="F1536" i="2"/>
  <c r="F1535" i="2"/>
  <c r="F1534" i="2"/>
  <c r="F1527" i="2"/>
  <c r="F1526" i="2"/>
  <c r="F1548" i="2"/>
  <c r="F1547" i="2"/>
  <c r="F1546" i="2"/>
  <c r="F1550" i="2"/>
  <c r="F1549" i="2"/>
  <c r="F1551" i="2"/>
  <c r="F1533" i="2"/>
  <c r="F1532" i="2"/>
  <c r="F1531" i="2"/>
  <c r="F1592" i="2"/>
  <c r="F1387" i="2"/>
  <c r="F1386" i="2"/>
  <c r="F1457" i="2"/>
  <c r="F1474" i="2"/>
  <c r="F3323" i="2"/>
  <c r="F1500" i="2"/>
  <c r="F1499" i="2"/>
  <c r="F1498" i="2"/>
  <c r="F1497" i="2"/>
  <c r="F1495" i="2"/>
  <c r="F1494" i="2"/>
  <c r="F1496" i="2"/>
  <c r="F1492" i="2"/>
  <c r="F1493" i="2"/>
  <c r="F1389" i="2"/>
  <c r="F1388" i="2"/>
  <c r="F1385" i="2"/>
  <c r="F1384" i="2"/>
  <c r="F1383" i="2"/>
  <c r="F1444" i="2"/>
  <c r="F1443" i="2"/>
  <c r="F1442" i="2"/>
  <c r="F1441" i="2"/>
  <c r="F1440" i="2"/>
  <c r="F1439" i="2"/>
  <c r="F1438" i="2"/>
  <c r="F1437" i="2"/>
  <c r="F1436" i="2"/>
  <c r="F1435" i="2"/>
  <c r="F1434" i="2"/>
  <c r="F1433" i="2"/>
  <c r="F1432" i="2"/>
  <c r="F1431" i="2"/>
  <c r="F1430" i="2"/>
  <c r="F1429" i="2"/>
  <c r="F1428" i="2"/>
  <c r="F1427" i="2"/>
  <c r="F1426" i="2"/>
  <c r="F1425" i="2"/>
  <c r="F1424" i="2"/>
  <c r="F1402" i="2"/>
  <c r="F1411" i="2"/>
  <c r="F1410" i="2"/>
  <c r="F1491" i="2"/>
  <c r="F1490" i="2"/>
  <c r="F1489" i="2"/>
  <c r="F1488" i="2"/>
  <c r="F1487" i="2"/>
  <c r="F1486" i="2"/>
  <c r="F1485" i="2"/>
  <c r="F1484" i="2"/>
  <c r="F1483" i="2"/>
  <c r="F1482" i="2"/>
  <c r="F1481" i="2"/>
  <c r="F1469" i="2"/>
  <c r="F1470" i="2"/>
  <c r="F1473" i="2"/>
  <c r="F1451" i="2"/>
  <c r="F1454" i="2"/>
  <c r="F1445" i="2"/>
  <c r="F1450" i="2"/>
  <c r="F1476" i="2"/>
  <c r="F1449" i="2"/>
  <c r="F1475" i="2"/>
  <c r="F1452" i="2"/>
  <c r="F1472" i="2"/>
  <c r="F1459" i="2"/>
  <c r="F1453" i="2"/>
  <c r="F1447" i="2"/>
  <c r="F1455" i="2"/>
  <c r="F1446" i="2"/>
  <c r="F1464" i="2"/>
  <c r="F1461" i="2"/>
  <c r="F1467" i="2"/>
  <c r="F1458" i="2"/>
  <c r="F1456" i="2"/>
  <c r="F1468" i="2"/>
  <c r="F1465" i="2"/>
  <c r="F1415" i="2"/>
  <c r="F1414" i="2"/>
  <c r="F1413" i="2"/>
  <c r="F1412" i="2"/>
  <c r="F1409" i="2"/>
  <c r="F1408" i="2"/>
  <c r="F1407" i="2"/>
  <c r="F1406" i="2"/>
  <c r="F1391" i="2"/>
  <c r="F1405" i="2"/>
  <c r="F1404" i="2"/>
  <c r="F1403" i="2"/>
  <c r="F1401" i="2"/>
  <c r="F1400" i="2"/>
  <c r="F1399" i="2"/>
  <c r="F1397" i="2"/>
  <c r="F1398" i="2"/>
  <c r="F1390" i="2"/>
  <c r="F1423" i="2"/>
  <c r="F1422" i="2"/>
  <c r="F1421" i="2"/>
  <c r="F1420" i="2"/>
  <c r="F1419" i="2"/>
  <c r="F1418" i="2"/>
  <c r="F1417" i="2"/>
  <c r="F1416" i="2"/>
  <c r="F1448" i="2"/>
  <c r="F1471" i="2"/>
  <c r="F1463" i="2"/>
  <c r="F1466" i="2"/>
  <c r="F1460" i="2"/>
  <c r="F1462" i="2"/>
  <c r="F1477" i="2"/>
  <c r="F1396" i="2"/>
  <c r="F1395" i="2"/>
  <c r="F1394" i="2"/>
  <c r="F1393" i="2"/>
  <c r="F1392" i="2"/>
  <c r="F1382" i="2"/>
  <c r="F1218" i="2"/>
  <c r="F1213" i="2"/>
  <c r="F1268" i="2"/>
  <c r="F1257" i="2"/>
  <c r="F1311" i="2"/>
  <c r="F1327" i="2"/>
  <c r="F1322" i="2"/>
  <c r="F1381" i="2"/>
  <c r="F1380" i="2"/>
  <c r="F1379" i="2"/>
  <c r="F1378" i="2"/>
  <c r="F1373" i="2"/>
  <c r="F1372" i="2"/>
  <c r="F1371" i="2"/>
  <c r="F1370" i="2"/>
  <c r="F1369" i="2"/>
  <c r="F1367" i="2"/>
  <c r="F1368" i="2"/>
  <c r="F1375" i="2"/>
  <c r="F1374" i="2"/>
  <c r="F1377" i="2"/>
  <c r="F1376" i="2"/>
  <c r="F1217" i="2"/>
  <c r="F1216" i="2"/>
  <c r="F1215" i="2"/>
  <c r="F1214" i="2"/>
  <c r="F1211" i="2"/>
  <c r="F1237" i="2"/>
  <c r="F1233" i="2"/>
  <c r="F1221" i="2"/>
  <c r="F1232" i="2"/>
  <c r="F1230" i="2"/>
  <c r="F1228" i="2"/>
  <c r="F1220" i="2"/>
  <c r="F1238" i="2"/>
  <c r="F1219" i="2"/>
  <c r="F1272"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06" i="2"/>
  <c r="F1329" i="2"/>
  <c r="F1313" i="2"/>
  <c r="F1323" i="2"/>
  <c r="F1324" i="2"/>
  <c r="F1325" i="2"/>
  <c r="F1321" i="2"/>
  <c r="F1328" i="2"/>
  <c r="F1312" i="2"/>
  <c r="F1317" i="2"/>
  <c r="F1314" i="2"/>
  <c r="F1318" i="2"/>
  <c r="F1280" i="2"/>
  <c r="F1279" i="2"/>
  <c r="F1282" i="2"/>
  <c r="F1281" i="2"/>
  <c r="F1271" i="2"/>
  <c r="F1270" i="2"/>
  <c r="F1277" i="2"/>
  <c r="F1276" i="2"/>
  <c r="F1275" i="2"/>
  <c r="F1274" i="2"/>
  <c r="F1273" i="2"/>
  <c r="F1267" i="2"/>
  <c r="F1266" i="2"/>
  <c r="F1265" i="2"/>
  <c r="F1264" i="2"/>
  <c r="F1263" i="2"/>
  <c r="F1262" i="2"/>
  <c r="F1261" i="2"/>
  <c r="F1260" i="2"/>
  <c r="F1259" i="2"/>
  <c r="F1258" i="2"/>
  <c r="F1256" i="2"/>
  <c r="F1255" i="2"/>
  <c r="F1253" i="2"/>
  <c r="F1252" i="2"/>
  <c r="F1251" i="2"/>
  <c r="F1250" i="2"/>
  <c r="F1249" i="2"/>
  <c r="F1254" i="2"/>
  <c r="F1248" i="2"/>
  <c r="F1247" i="2"/>
  <c r="F1246" i="2"/>
  <c r="F1245" i="2"/>
  <c r="F1244" i="2"/>
  <c r="F1243" i="2"/>
  <c r="F1242" i="2"/>
  <c r="F1241" i="2"/>
  <c r="F1240" i="2"/>
  <c r="F1239" i="2"/>
  <c r="F1236" i="2"/>
  <c r="F1235" i="2"/>
  <c r="F1225" i="2"/>
  <c r="F1234" i="2"/>
  <c r="F1231" i="2"/>
  <c r="F1226" i="2"/>
  <c r="F1229" i="2"/>
  <c r="F1227" i="2"/>
  <c r="F1301" i="2"/>
  <c r="F1300" i="2"/>
  <c r="F1299" i="2"/>
  <c r="F1298" i="2"/>
  <c r="F1297" i="2"/>
  <c r="F1296" i="2"/>
  <c r="F1295" i="2"/>
  <c r="F1294" i="2"/>
  <c r="F1293" i="2"/>
  <c r="F1292" i="2"/>
  <c r="F1291" i="2"/>
  <c r="F1290" i="2"/>
  <c r="F1289" i="2"/>
  <c r="F1288" i="2"/>
  <c r="F1287" i="2"/>
  <c r="F1286" i="2"/>
  <c r="F1285" i="2"/>
  <c r="F1284" i="2"/>
  <c r="F1283" i="2"/>
  <c r="F1307" i="2"/>
  <c r="F1330" i="2"/>
  <c r="F1326" i="2"/>
  <c r="F1308" i="2"/>
  <c r="F1310" i="2"/>
  <c r="F1309" i="2"/>
  <c r="F1315" i="2"/>
  <c r="F1224" i="2"/>
  <c r="F1223" i="2"/>
  <c r="F1222" i="2"/>
  <c r="F1210" i="2"/>
  <c r="F1166" i="2"/>
  <c r="F1212" i="2"/>
  <c r="F1168" i="2"/>
  <c r="F1167" i="2"/>
  <c r="F1165" i="2"/>
  <c r="F1164" i="2"/>
  <c r="F1163" i="2"/>
  <c r="F1162" i="2"/>
  <c r="F1161" i="2"/>
  <c r="F1160" i="2"/>
  <c r="F1159" i="2"/>
  <c r="F1158" i="2"/>
  <c r="F1172" i="2"/>
  <c r="F1188" i="2"/>
  <c r="F1183" i="2"/>
  <c r="F1209" i="2"/>
  <c r="F1208" i="2"/>
  <c r="F1207" i="2"/>
  <c r="F1206" i="2"/>
  <c r="F1205" i="2"/>
  <c r="F1204" i="2"/>
  <c r="F1189" i="2"/>
  <c r="F1190" i="2"/>
  <c r="F1186" i="2"/>
  <c r="F1185" i="2"/>
  <c r="F1184" i="2"/>
  <c r="F1187" i="2"/>
  <c r="F1182" i="2"/>
  <c r="F1179" i="2"/>
  <c r="F1178" i="2"/>
  <c r="F1177" i="2"/>
  <c r="F1181" i="2"/>
  <c r="F1180" i="2"/>
  <c r="F1176" i="2"/>
  <c r="F1175" i="2"/>
  <c r="F1174" i="2"/>
  <c r="F1173" i="2"/>
  <c r="F1170" i="2"/>
  <c r="F1171" i="2"/>
  <c r="F1169" i="2"/>
  <c r="F1196" i="2"/>
  <c r="F1195" i="2"/>
  <c r="F1194" i="2"/>
  <c r="F1193" i="2"/>
  <c r="F1192" i="2"/>
  <c r="F1191" i="2"/>
  <c r="F1203" i="2"/>
  <c r="F1201" i="2"/>
  <c r="F1198" i="2"/>
  <c r="F1200" i="2"/>
  <c r="F1197" i="2"/>
  <c r="F1202" i="2"/>
  <c r="F1157" i="2"/>
  <c r="F1065" i="2"/>
  <c r="F1064" i="2"/>
  <c r="F1063" i="2"/>
  <c r="F1154" i="2"/>
  <c r="F1153" i="2"/>
  <c r="F1152" i="2"/>
  <c r="F1151" i="2"/>
  <c r="F1150" i="2"/>
  <c r="F1149" i="2"/>
  <c r="F1148" i="2"/>
  <c r="F1147" i="2"/>
  <c r="F1146" i="2"/>
  <c r="F1145" i="2"/>
  <c r="F1144" i="2"/>
  <c r="F1143" i="2"/>
  <c r="F1142" i="2"/>
  <c r="F1155" i="2"/>
  <c r="F1156" i="2"/>
  <c r="F1067" i="2"/>
  <c r="F1066" i="2"/>
  <c r="F1062" i="2"/>
  <c r="F1110" i="2"/>
  <c r="F1109" i="2"/>
  <c r="F1108" i="2"/>
  <c r="F1107" i="2"/>
  <c r="F1106" i="2"/>
  <c r="F1105" i="2"/>
  <c r="F1104" i="2"/>
  <c r="F1103" i="2"/>
  <c r="F1102" i="2"/>
  <c r="F1101" i="2"/>
  <c r="F1100" i="2"/>
  <c r="F1099" i="2"/>
  <c r="F1098" i="2"/>
  <c r="F1097" i="2"/>
  <c r="F1096" i="2"/>
  <c r="F1095" i="2"/>
  <c r="F1094" i="2"/>
  <c r="F1093" i="2"/>
  <c r="F1092" i="2"/>
  <c r="F1091" i="2"/>
  <c r="F1090" i="2"/>
  <c r="F1089" i="2"/>
  <c r="F1070" i="2"/>
  <c r="F1068" i="2"/>
  <c r="F1141" i="2"/>
  <c r="F1140" i="2"/>
  <c r="F1139" i="2"/>
  <c r="F1138" i="2"/>
  <c r="F1137" i="2"/>
  <c r="F1136" i="2"/>
  <c r="F1135" i="2"/>
  <c r="F1115" i="2"/>
  <c r="F1130" i="2"/>
  <c r="F1122" i="2"/>
  <c r="F1129" i="2"/>
  <c r="F1118" i="2"/>
  <c r="F1121" i="2"/>
  <c r="F1119" i="2"/>
  <c r="F1112" i="2"/>
  <c r="F1113" i="2"/>
  <c r="F1127" i="2"/>
  <c r="F1120" i="2"/>
  <c r="F1116" i="2"/>
  <c r="F1117" i="2"/>
  <c r="F1087" i="2"/>
  <c r="F1086" i="2"/>
  <c r="F1085" i="2"/>
  <c r="F1084" i="2"/>
  <c r="F1083" i="2"/>
  <c r="F1082" i="2"/>
  <c r="F1081" i="2"/>
  <c r="F1080" i="2"/>
  <c r="F1079" i="2"/>
  <c r="F1078" i="2"/>
  <c r="F1077" i="2"/>
  <c r="F1076" i="2"/>
  <c r="F1075" i="2"/>
  <c r="F1074" i="2"/>
  <c r="F1073" i="2"/>
  <c r="F1072" i="2"/>
  <c r="F1071" i="2"/>
  <c r="F1088" i="2"/>
  <c r="F1126" i="2"/>
  <c r="F1124" i="2"/>
  <c r="F1125" i="2"/>
  <c r="F1128" i="2"/>
  <c r="F1111" i="2"/>
  <c r="F1123" i="2"/>
  <c r="F1114" i="2"/>
  <c r="F1069" i="2"/>
  <c r="F1061" i="2"/>
  <c r="F855" i="2"/>
  <c r="F988" i="2"/>
  <c r="F1060" i="2"/>
  <c r="F1058" i="2"/>
  <c r="F1059" i="2"/>
  <c r="F1049" i="2"/>
  <c r="F1048" i="2"/>
  <c r="F1047" i="2"/>
  <c r="F1046" i="2"/>
  <c r="F1045" i="2"/>
  <c r="F1044" i="2"/>
  <c r="F1053" i="2"/>
  <c r="F1052" i="2"/>
  <c r="F1051" i="2"/>
  <c r="F1050" i="2"/>
  <c r="F1057" i="2"/>
  <c r="F1056" i="2"/>
  <c r="F1055" i="2"/>
  <c r="F1054" i="2"/>
  <c r="F831" i="2"/>
  <c r="F830" i="2"/>
  <c r="F829" i="2"/>
  <c r="F828" i="2"/>
  <c r="F827" i="2"/>
  <c r="F826" i="2"/>
  <c r="F825" i="2"/>
  <c r="F824" i="2"/>
  <c r="F823" i="2"/>
  <c r="F822" i="2"/>
  <c r="F821" i="2"/>
  <c r="F820" i="2"/>
  <c r="F819" i="2"/>
  <c r="F818"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844" i="2"/>
  <c r="F843" i="2"/>
  <c r="F834" i="2"/>
  <c r="F833" i="2"/>
  <c r="F842" i="2"/>
  <c r="F832" i="2"/>
  <c r="F1043" i="2"/>
  <c r="F1042" i="2"/>
  <c r="F1041" i="2"/>
  <c r="F1040" i="2"/>
  <c r="F1039" i="2"/>
  <c r="F1038" i="2"/>
  <c r="F1037" i="2"/>
  <c r="F1036" i="2"/>
  <c r="F1035" i="2"/>
  <c r="F1034" i="2"/>
  <c r="F1033" i="2"/>
  <c r="F1032" i="2"/>
  <c r="F1031" i="2"/>
  <c r="F1030" i="2"/>
  <c r="F1029" i="2"/>
  <c r="F1028" i="2"/>
  <c r="F1017" i="2"/>
  <c r="F973" i="2"/>
  <c r="F1021" i="2"/>
  <c r="F970" i="2"/>
  <c r="F972" i="2"/>
  <c r="F997" i="2"/>
  <c r="F985" i="2"/>
  <c r="F978" i="2"/>
  <c r="F995" i="2"/>
  <c r="F1006" i="2"/>
  <c r="F1007" i="2"/>
  <c r="F1011" i="2"/>
  <c r="F982" i="2"/>
  <c r="F996" i="2"/>
  <c r="F1002" i="2"/>
  <c r="F994" i="2"/>
  <c r="F981" i="2"/>
  <c r="F992" i="2"/>
  <c r="F1009" i="2"/>
  <c r="F979" i="2"/>
  <c r="F983" i="2"/>
  <c r="F993" i="2"/>
  <c r="F1000" i="2"/>
  <c r="F1010" i="2"/>
  <c r="F999" i="2"/>
  <c r="F986" i="2"/>
  <c r="F991" i="2"/>
  <c r="F984" i="2"/>
  <c r="F987" i="2"/>
  <c r="F974" i="2"/>
  <c r="F975" i="2"/>
  <c r="F1001" i="2"/>
  <c r="F1004" i="2"/>
  <c r="F1008" i="2"/>
  <c r="F971" i="2"/>
  <c r="F1018" i="2"/>
  <c r="F1005" i="2"/>
  <c r="F998" i="2"/>
  <c r="F1012" i="2"/>
  <c r="F977" i="2"/>
  <c r="F1014" i="2"/>
  <c r="F901" i="2"/>
  <c r="F900" i="2"/>
  <c r="F907" i="2"/>
  <c r="F906" i="2"/>
  <c r="F905" i="2"/>
  <c r="F904" i="2"/>
  <c r="F903" i="2"/>
  <c r="F902"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3" i="2"/>
  <c r="F852" i="2"/>
  <c r="F851" i="2"/>
  <c r="F850" i="2"/>
  <c r="F849" i="2"/>
  <c r="F848" i="2"/>
  <c r="F847" i="2"/>
  <c r="F846" i="2"/>
  <c r="F845" i="2"/>
  <c r="F914" i="2"/>
  <c r="F913" i="2"/>
  <c r="F912" i="2"/>
  <c r="F910" i="2"/>
  <c r="F909" i="2"/>
  <c r="F908" i="2"/>
  <c r="F1015" i="2"/>
  <c r="F1016" i="2"/>
  <c r="F976" i="2"/>
  <c r="F990" i="2"/>
  <c r="F1020" i="2"/>
  <c r="F1019" i="2"/>
  <c r="F1022" i="2"/>
  <c r="F841" i="2"/>
  <c r="F840" i="2"/>
  <c r="F839" i="2"/>
  <c r="F838" i="2"/>
  <c r="F837" i="2"/>
  <c r="F836" i="2"/>
  <c r="F835" i="2"/>
  <c r="F817" i="2"/>
  <c r="F1545" i="2"/>
  <c r="F1269" i="2"/>
  <c r="F1335" i="2"/>
  <c r="F1558" i="2"/>
  <c r="F1478" i="2"/>
  <c r="F3671" i="2"/>
  <c r="F2181" i="2"/>
  <c r="F1132" i="2"/>
  <c r="F1131" i="2"/>
  <c r="F1562" i="2"/>
  <c r="F1595" i="2"/>
  <c r="F1560" i="2"/>
  <c r="F1559" i="2"/>
  <c r="F2246" i="2"/>
  <c r="F2137" i="2"/>
  <c r="F465" i="2"/>
  <c r="F464" i="2"/>
  <c r="F1594" i="2"/>
  <c r="F1593" i="2"/>
  <c r="F3212" i="2"/>
  <c r="F816" i="2"/>
  <c r="F815" i="2"/>
  <c r="F1561" i="2"/>
  <c r="F367" i="2"/>
  <c r="F3132" i="2"/>
  <c r="F814" i="2"/>
  <c r="F808" i="2"/>
  <c r="F807" i="2"/>
  <c r="F813" i="2"/>
  <c r="F811" i="2"/>
  <c r="F810" i="2"/>
  <c r="F809" i="2"/>
  <c r="F806" i="2"/>
  <c r="F773" i="2"/>
  <c r="F801" i="2"/>
  <c r="F798" i="2"/>
  <c r="F797" i="2"/>
  <c r="F788" i="2"/>
  <c r="F805" i="2"/>
  <c r="F795" i="2"/>
  <c r="F794" i="2"/>
  <c r="F793" i="2"/>
  <c r="F792" i="2"/>
  <c r="F791" i="2"/>
  <c r="F790" i="2"/>
  <c r="F789" i="2"/>
  <c r="F796" i="2"/>
  <c r="F800" i="2"/>
  <c r="F787" i="2"/>
  <c r="F772" i="2"/>
  <c r="F614" i="2"/>
  <c r="F786" i="2"/>
  <c r="F785" i="2"/>
  <c r="F784" i="2"/>
  <c r="F783" i="2"/>
  <c r="F782" i="2"/>
  <c r="F781" i="2"/>
  <c r="F780" i="2"/>
  <c r="F779" i="2"/>
  <c r="F767" i="2"/>
  <c r="F766" i="2"/>
  <c r="F765" i="2"/>
  <c r="F778" i="2"/>
  <c r="F777" i="2"/>
  <c r="F776" i="2"/>
  <c r="F763" i="2"/>
  <c r="F762" i="2"/>
  <c r="F761" i="2"/>
  <c r="F759" i="2"/>
  <c r="F760" i="2"/>
  <c r="F758" i="2"/>
  <c r="F757" i="2"/>
  <c r="F756" i="2"/>
  <c r="F755" i="2"/>
  <c r="F754" i="2"/>
  <c r="F753" i="2"/>
  <c r="F752" i="2"/>
  <c r="F751" i="2"/>
  <c r="F750" i="2"/>
  <c r="F749" i="2"/>
  <c r="F764" i="2"/>
  <c r="F774" i="2"/>
  <c r="F770" i="2"/>
  <c r="F771" i="2"/>
  <c r="F748" i="2"/>
  <c r="F812" i="2"/>
  <c r="F804" i="2"/>
  <c r="F741" i="2"/>
  <c r="F740" i="2"/>
  <c r="F775" i="2"/>
  <c r="F747" i="2"/>
  <c r="F732" i="2"/>
  <c r="F739" i="2"/>
  <c r="F738" i="2"/>
  <c r="F737" i="2"/>
  <c r="F746" i="2"/>
  <c r="F745" i="2"/>
  <c r="F736" i="2"/>
  <c r="F735" i="2"/>
  <c r="F734" i="2"/>
  <c r="F733" i="2"/>
  <c r="F731" i="2"/>
  <c r="F716" i="2"/>
  <c r="F720" i="2"/>
  <c r="F730" i="2"/>
  <c r="F729" i="2"/>
  <c r="F728" i="2"/>
  <c r="F722" i="2"/>
  <c r="F724" i="2"/>
  <c r="F718" i="2"/>
  <c r="F717" i="2"/>
  <c r="F719" i="2"/>
  <c r="F726" i="2"/>
  <c r="F715" i="2"/>
  <c r="F744" i="2"/>
  <c r="F723" i="2"/>
  <c r="F725" i="2"/>
  <c r="F714" i="2"/>
  <c r="F713" i="2"/>
  <c r="F703" i="2"/>
  <c r="F712" i="2"/>
  <c r="F708" i="2"/>
  <c r="F707" i="2"/>
  <c r="F706" i="2"/>
  <c r="F705" i="2"/>
  <c r="F704" i="2"/>
  <c r="F709" i="2"/>
  <c r="F769" i="2"/>
  <c r="F702" i="2"/>
  <c r="F700" i="2"/>
  <c r="F699" i="2"/>
  <c r="F685" i="2"/>
  <c r="F683" i="2"/>
  <c r="F698" i="2"/>
  <c r="F697" i="2"/>
  <c r="F696" i="2"/>
  <c r="F695" i="2"/>
  <c r="F694" i="2"/>
  <c r="F693" i="2"/>
  <c r="F692" i="2"/>
  <c r="F691" i="2"/>
  <c r="F690" i="2"/>
  <c r="F688" i="2"/>
  <c r="F687" i="2"/>
  <c r="F686" i="2"/>
  <c r="F682" i="2"/>
  <c r="F689" i="2"/>
  <c r="F681" i="2"/>
  <c r="F680" i="2"/>
  <c r="F669" i="2"/>
  <c r="F668" i="2"/>
  <c r="F675" i="2"/>
  <c r="F672" i="2"/>
  <c r="F671" i="2"/>
  <c r="F670" i="2"/>
  <c r="F679" i="2"/>
  <c r="F674" i="2"/>
  <c r="F673" i="2"/>
  <c r="F676" i="2"/>
  <c r="F667" i="2"/>
  <c r="F654" i="2"/>
  <c r="F660" i="2"/>
  <c r="F666" i="2"/>
  <c r="F665" i="2"/>
  <c r="F664" i="2"/>
  <c r="F658" i="2"/>
  <c r="F659" i="2"/>
  <c r="F657" i="2"/>
  <c r="F656" i="2"/>
  <c r="F663" i="2"/>
  <c r="F655" i="2"/>
  <c r="F653" i="2"/>
  <c r="F645" i="2"/>
  <c r="F652" i="2"/>
  <c r="F636" i="2"/>
  <c r="F642" i="2"/>
  <c r="F641" i="2"/>
  <c r="F640" i="2"/>
  <c r="F651" i="2"/>
  <c r="F648" i="2"/>
  <c r="F639" i="2"/>
  <c r="F638" i="2"/>
  <c r="F637" i="2"/>
  <c r="F649" i="2"/>
  <c r="F635" i="2"/>
  <c r="F619" i="2"/>
  <c r="F620" i="2"/>
  <c r="F618" i="2"/>
  <c r="F617" i="2"/>
  <c r="F626" i="2"/>
  <c r="F625" i="2"/>
  <c r="F624" i="2"/>
  <c r="F623" i="2"/>
  <c r="F622" i="2"/>
  <c r="F634" i="2"/>
  <c r="F633" i="2"/>
  <c r="F632" i="2"/>
  <c r="F631" i="2"/>
  <c r="F630" i="2"/>
  <c r="F627" i="2"/>
  <c r="F621" i="2"/>
  <c r="F629" i="2"/>
  <c r="F616" i="2"/>
  <c r="F615" i="2"/>
  <c r="F603" i="2"/>
  <c r="F602" i="2"/>
  <c r="F601" i="2"/>
  <c r="F609" i="2"/>
  <c r="F608" i="2"/>
  <c r="F607" i="2"/>
  <c r="F606" i="2"/>
  <c r="F612" i="2"/>
  <c r="F605" i="2"/>
  <c r="F604" i="2"/>
  <c r="F611" i="2"/>
  <c r="F600" i="2"/>
  <c r="F478" i="2"/>
  <c r="F477" i="2"/>
  <c r="F551" i="2"/>
  <c r="F480" i="2"/>
  <c r="F479" i="2"/>
  <c r="F547" i="2"/>
  <c r="F546" i="2"/>
  <c r="F545" i="2"/>
  <c r="F544" i="2"/>
  <c r="F543" i="2"/>
  <c r="F542" i="2"/>
  <c r="F541" i="2"/>
  <c r="F540" i="2"/>
  <c r="F539" i="2"/>
  <c r="F538" i="2"/>
  <c r="F537" i="2"/>
  <c r="F536" i="2"/>
  <c r="F535" i="2"/>
  <c r="F534" i="2"/>
  <c r="F533" i="2"/>
  <c r="F532" i="2"/>
  <c r="F531" i="2"/>
  <c r="F1826"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81" i="2"/>
  <c r="F498" i="2"/>
  <c r="F496" i="2"/>
  <c r="F494" i="2"/>
  <c r="F492" i="2"/>
  <c r="F587" i="2"/>
  <c r="F566" i="2"/>
  <c r="F556" i="2"/>
  <c r="F574" i="2"/>
  <c r="F578" i="2"/>
  <c r="F549" i="2"/>
  <c r="F571" i="2"/>
  <c r="F561" i="2"/>
  <c r="F598" i="2"/>
  <c r="F597" i="2"/>
  <c r="F550" i="2"/>
  <c r="F554" i="2"/>
  <c r="F548" i="2"/>
  <c r="F595" i="2"/>
  <c r="F588" i="2"/>
  <c r="F586" i="2"/>
  <c r="F580" i="2"/>
  <c r="F558" i="2"/>
  <c r="F555" i="2"/>
  <c r="F591" i="2"/>
  <c r="F553" i="2"/>
  <c r="F565" i="2"/>
  <c r="F585" i="2"/>
  <c r="F594" i="2"/>
  <c r="F552" i="2"/>
  <c r="F576" i="2"/>
  <c r="F573" i="2"/>
  <c r="F570" i="2"/>
  <c r="F590" i="2"/>
  <c r="F584" i="2"/>
  <c r="F563" i="2"/>
  <c r="F589" i="2"/>
  <c r="F581" i="2"/>
  <c r="F557" i="2"/>
  <c r="F577" i="2"/>
  <c r="F564" i="2"/>
  <c r="F559" i="2"/>
  <c r="F593" i="2"/>
  <c r="F562" i="2"/>
  <c r="F596" i="2"/>
  <c r="F582" i="2"/>
  <c r="F579" i="2"/>
  <c r="F569" i="2"/>
  <c r="F575" i="2"/>
  <c r="F592" i="2"/>
  <c r="F567" i="2"/>
  <c r="F572" i="2"/>
  <c r="F583" i="2"/>
  <c r="F497" i="2"/>
  <c r="F495" i="2"/>
  <c r="F493" i="2"/>
  <c r="F491" i="2"/>
  <c r="F490" i="2"/>
  <c r="F489" i="2"/>
  <c r="F488" i="2"/>
  <c r="F487" i="2"/>
  <c r="F486" i="2"/>
  <c r="F485" i="2"/>
  <c r="F484" i="2"/>
  <c r="F483" i="2"/>
  <c r="F482" i="2"/>
  <c r="F568" i="2"/>
  <c r="F560" i="2"/>
  <c r="F476" i="2"/>
  <c r="F644" i="2"/>
  <c r="F647" i="2"/>
  <c r="F4255" i="2"/>
  <c r="F3900" i="2"/>
  <c r="F701" i="2"/>
  <c r="F4153" i="2"/>
  <c r="F3620" i="2"/>
  <c r="F628" i="2"/>
  <c r="F613" i="2"/>
  <c r="F662" i="2"/>
  <c r="F3325" i="2"/>
  <c r="F646" i="2"/>
  <c r="F2036" i="2"/>
  <c r="F661" i="2"/>
  <c r="F3555" i="2"/>
  <c r="F610" i="2"/>
  <c r="F475" i="2"/>
  <c r="F474" i="2"/>
  <c r="F462" i="2"/>
  <c r="F473" i="2"/>
  <c r="F472" i="2"/>
  <c r="F471" i="2"/>
  <c r="F459" i="2"/>
  <c r="F458" i="2"/>
  <c r="F470" i="2"/>
  <c r="F469" i="2"/>
  <c r="F468" i="2"/>
  <c r="F466" i="2"/>
  <c r="F463" i="2"/>
  <c r="F456" i="2"/>
  <c r="F455" i="2"/>
  <c r="F457" i="2"/>
  <c r="F454" i="2"/>
  <c r="F461" i="2"/>
  <c r="F453" i="2"/>
  <c r="F451" i="2"/>
  <c r="F450" i="2"/>
  <c r="F452" i="2"/>
  <c r="F401" i="2"/>
  <c r="F449" i="2"/>
  <c r="F448" i="2"/>
  <c r="F447" i="2"/>
  <c r="F446" i="2"/>
  <c r="F445" i="2"/>
  <c r="F444" i="2"/>
  <c r="F443" i="2"/>
  <c r="F442" i="2"/>
  <c r="F441" i="2"/>
  <c r="F440" i="2"/>
  <c r="F439" i="2"/>
  <c r="F438" i="2"/>
  <c r="F437" i="2"/>
  <c r="F436" i="2"/>
  <c r="F435" i="2"/>
  <c r="F434" i="2"/>
  <c r="F433" i="2"/>
  <c r="F432" i="2"/>
  <c r="F431" i="2"/>
  <c r="F430" i="2"/>
  <c r="F429" i="2"/>
  <c r="F428" i="2"/>
  <c r="F400" i="2"/>
  <c r="F398" i="2"/>
  <c r="F396" i="2"/>
  <c r="F393" i="2"/>
  <c r="F399" i="2"/>
  <c r="F397" i="2"/>
  <c r="F395" i="2"/>
  <c r="F394" i="2"/>
  <c r="F392" i="2"/>
  <c r="F391" i="2"/>
  <c r="F390" i="2"/>
  <c r="F414" i="2"/>
  <c r="F389" i="2"/>
  <c r="F365" i="2"/>
  <c r="F360" i="2"/>
  <c r="F388" i="2"/>
  <c r="F387" i="2"/>
  <c r="F386" i="2"/>
  <c r="F356" i="2"/>
  <c r="F355" i="2"/>
  <c r="F354" i="2"/>
  <c r="F338" i="2"/>
  <c r="F337" i="2"/>
  <c r="F385" i="2"/>
  <c r="F384" i="2"/>
  <c r="F383" i="2"/>
  <c r="F382" i="2"/>
  <c r="F381" i="2"/>
  <c r="F380" i="2"/>
  <c r="F379" i="2"/>
  <c r="F378" i="2"/>
  <c r="F377" i="2"/>
  <c r="F376" i="2"/>
  <c r="F375" i="2"/>
  <c r="F374" i="2"/>
  <c r="F373" i="2"/>
  <c r="F372" i="2"/>
  <c r="F371" i="2"/>
  <c r="F370" i="2"/>
  <c r="F361" i="2"/>
  <c r="F364" i="2"/>
  <c r="F362" i="2"/>
  <c r="F350" i="2"/>
  <c r="F348" i="2"/>
  <c r="F347" i="2"/>
  <c r="F344" i="2"/>
  <c r="F343" i="2"/>
  <c r="F352" i="2"/>
  <c r="F351" i="2"/>
  <c r="F349" i="2"/>
  <c r="F346" i="2"/>
  <c r="F345" i="2"/>
  <c r="F342" i="2"/>
  <c r="F341" i="2"/>
  <c r="F340" i="2"/>
  <c r="F339" i="2"/>
  <c r="F353" i="2"/>
  <c r="F359" i="2"/>
  <c r="F336" i="2"/>
  <c r="F260" i="2"/>
  <c r="F295" i="2"/>
  <c r="F335" i="2"/>
  <c r="F334" i="2"/>
  <c r="F333" i="2"/>
  <c r="F332" i="2"/>
  <c r="F285" i="2"/>
  <c r="F284" i="2"/>
  <c r="F283" i="2"/>
  <c r="F282" i="2"/>
  <c r="F281" i="2"/>
  <c r="F280" i="2"/>
  <c r="F279" i="2"/>
  <c r="F278" i="2"/>
  <c r="F277" i="2"/>
  <c r="F276" i="2"/>
  <c r="F275" i="2"/>
  <c r="F274" i="2"/>
  <c r="F273" i="2"/>
  <c r="F272" i="2"/>
  <c r="F271" i="2"/>
  <c r="F331" i="2"/>
  <c r="F330" i="2"/>
  <c r="F329" i="2"/>
  <c r="F328" i="2"/>
  <c r="F327" i="2"/>
  <c r="F326" i="2"/>
  <c r="F325" i="2"/>
  <c r="F324" i="2"/>
  <c r="F323" i="2"/>
  <c r="F322" i="2"/>
  <c r="F321" i="2"/>
  <c r="F320" i="2"/>
  <c r="F319" i="2"/>
  <c r="F318" i="2"/>
  <c r="F317" i="2"/>
  <c r="F316" i="2"/>
  <c r="F315" i="2"/>
  <c r="F314" i="2"/>
  <c r="F313" i="2"/>
  <c r="F312" i="2"/>
  <c r="F307" i="2"/>
  <c r="F306" i="2"/>
  <c r="F305" i="2"/>
  <c r="F304" i="2"/>
  <c r="F288" i="2"/>
  <c r="F302" i="2"/>
  <c r="F4105" i="2"/>
  <c r="F291" i="2"/>
  <c r="F289" i="2"/>
  <c r="F287" i="2"/>
  <c r="F413" i="2"/>
  <c r="F290" i="2"/>
  <c r="F301" i="2"/>
  <c r="F300" i="2"/>
  <c r="F299" i="2"/>
  <c r="F298" i="2"/>
  <c r="F297" i="2"/>
  <c r="F296" i="2"/>
  <c r="F294" i="2"/>
  <c r="F293" i="2"/>
  <c r="F309" i="2"/>
  <c r="F799" i="2"/>
  <c r="F1303" i="2"/>
  <c r="F405" i="2"/>
  <c r="F411" i="2"/>
  <c r="F410" i="2"/>
  <c r="F407" i="2"/>
  <c r="F406" i="2"/>
  <c r="F4163" i="2"/>
  <c r="F112" i="2"/>
  <c r="F4142" i="2"/>
  <c r="F4104" i="2"/>
  <c r="F409" i="2"/>
  <c r="F1302" i="2"/>
  <c r="F404" i="2"/>
  <c r="F403" i="2"/>
  <c r="F1305" i="2"/>
  <c r="F1954" i="2"/>
  <c r="F1304" i="2"/>
  <c r="F357" i="2"/>
  <c r="F2245" i="2"/>
  <c r="F286" i="2"/>
  <c r="F2628" i="2"/>
  <c r="F710" i="2"/>
  <c r="F1635" i="2"/>
  <c r="F3119" i="2"/>
  <c r="F408" i="2"/>
  <c r="F643" i="2"/>
  <c r="F460" i="2"/>
  <c r="F183" i="2"/>
  <c r="F402" i="2"/>
  <c r="F268" i="2"/>
  <c r="F267" i="2"/>
  <c r="F266" i="2"/>
  <c r="F265" i="2"/>
  <c r="F264" i="2"/>
  <c r="F263" i="2"/>
  <c r="F262" i="2"/>
  <c r="F261" i="2"/>
  <c r="F270" i="2"/>
  <c r="F269" i="2"/>
  <c r="F292" i="2"/>
  <c r="F259" i="2"/>
  <c r="F363" i="2"/>
  <c r="F366" i="2"/>
  <c r="F308" i="2"/>
  <c r="F2165" i="2"/>
  <c r="F419" i="2"/>
  <c r="F416" i="2"/>
  <c r="F421" i="2"/>
  <c r="F303" i="2"/>
  <c r="F418" i="2"/>
  <c r="F3511" i="2"/>
  <c r="F2140" i="2"/>
  <c r="F2860" i="2"/>
  <c r="F2157" i="2"/>
  <c r="F258" i="2"/>
  <c r="F257" i="2"/>
  <c r="F256" i="2"/>
  <c r="F255" i="2"/>
  <c r="F242" i="2"/>
  <c r="F241" i="2"/>
  <c r="F240" i="2"/>
  <c r="F239" i="2"/>
  <c r="F238" i="2"/>
  <c r="F237" i="2"/>
  <c r="F236" i="2"/>
  <c r="F235" i="2"/>
  <c r="F234" i="2"/>
  <c r="F233" i="2"/>
  <c r="F232" i="2"/>
  <c r="F231" i="2"/>
  <c r="F254" i="2"/>
  <c r="F249" i="2"/>
  <c r="F248" i="2"/>
  <c r="F252" i="2"/>
  <c r="F250" i="2"/>
  <c r="F253" i="2"/>
  <c r="F244" i="2"/>
  <c r="F247" i="2"/>
  <c r="F251" i="2"/>
  <c r="F245" i="2"/>
  <c r="F246" i="2"/>
  <c r="F230" i="2"/>
  <c r="F229" i="2"/>
  <c r="F228" i="2"/>
  <c r="F227" i="2"/>
  <c r="F226" i="2"/>
  <c r="F225" i="2"/>
  <c r="F224" i="2"/>
  <c r="F223" i="2"/>
  <c r="F222" i="2"/>
  <c r="F221" i="2"/>
  <c r="F220" i="2"/>
  <c r="F243" i="2"/>
  <c r="F219" i="2"/>
  <c r="F2429" i="2"/>
  <c r="F218" i="2"/>
  <c r="F217" i="2"/>
  <c r="F205" i="2"/>
  <c r="F204" i="2"/>
  <c r="F203" i="2"/>
  <c r="F202" i="2"/>
  <c r="F201" i="2"/>
  <c r="F200" i="2"/>
  <c r="F199" i="2"/>
  <c r="F198" i="2"/>
  <c r="F216" i="2"/>
  <c r="F208" i="2"/>
  <c r="F212" i="2"/>
  <c r="F207" i="2"/>
  <c r="F206" i="2"/>
  <c r="F210" i="2"/>
  <c r="F213" i="2"/>
  <c r="F197" i="2"/>
  <c r="F196" i="2"/>
  <c r="F195" i="2"/>
  <c r="F194" i="2"/>
  <c r="F193" i="2"/>
  <c r="F192" i="2"/>
  <c r="F211" i="2"/>
  <c r="F191" i="2"/>
  <c r="F182" i="2"/>
  <c r="F181" i="2"/>
  <c r="F190" i="2"/>
  <c r="F189" i="2"/>
  <c r="F188" i="2"/>
  <c r="F187" i="2"/>
  <c r="F185" i="2"/>
  <c r="F180" i="2"/>
  <c r="F179" i="2"/>
  <c r="F178" i="2"/>
  <c r="F177" i="2"/>
  <c r="F184" i="2"/>
  <c r="F176" i="2"/>
  <c r="F169" i="2"/>
  <c r="F168" i="2"/>
  <c r="F167" i="2"/>
  <c r="F175" i="2"/>
  <c r="F171" i="2"/>
  <c r="F172" i="2"/>
  <c r="F166" i="2"/>
  <c r="F165" i="2"/>
  <c r="F164" i="2"/>
  <c r="F163" i="2"/>
  <c r="F162" i="2"/>
  <c r="F161" i="2"/>
  <c r="F160" i="2"/>
  <c r="F170" i="2"/>
  <c r="F467" i="2"/>
  <c r="F174" i="2"/>
  <c r="F173" i="2"/>
  <c r="F159" i="2"/>
  <c r="F158" i="2"/>
  <c r="F157" i="2"/>
  <c r="F156" i="2"/>
  <c r="F155" i="2"/>
  <c r="F154" i="2"/>
  <c r="F153" i="2"/>
  <c r="F152" i="2"/>
  <c r="F150" i="2"/>
  <c r="F149" i="2"/>
  <c r="F151" i="2"/>
  <c r="F148" i="2"/>
  <c r="F147" i="2"/>
  <c r="F146" i="2"/>
  <c r="F137" i="2"/>
  <c r="F145" i="2"/>
  <c r="F144" i="2"/>
  <c r="F143" i="2"/>
  <c r="F142" i="2"/>
  <c r="F141" i="2"/>
  <c r="F139" i="2"/>
  <c r="F136" i="2"/>
  <c r="F135" i="2"/>
  <c r="F134" i="2"/>
  <c r="F133" i="2"/>
  <c r="F117" i="2"/>
  <c r="F132" i="2"/>
  <c r="F130" i="2"/>
  <c r="F131" i="2"/>
  <c r="F129" i="2"/>
  <c r="F128" i="2"/>
  <c r="F89" i="2"/>
  <c r="F111" i="2"/>
  <c r="F110" i="2"/>
  <c r="F109" i="2"/>
  <c r="F108" i="2"/>
  <c r="F107" i="2"/>
  <c r="F106" i="2"/>
  <c r="F105" i="2"/>
  <c r="F90" i="2"/>
  <c r="F93" i="2"/>
  <c r="F127" i="2"/>
  <c r="F126" i="2"/>
  <c r="F124" i="2"/>
  <c r="F113" i="2"/>
  <c r="F123" i="2"/>
  <c r="F115" i="2"/>
  <c r="F120" i="2"/>
  <c r="F116" i="2"/>
  <c r="F121" i="2"/>
  <c r="F114" i="2"/>
  <c r="F118" i="2"/>
  <c r="F119" i="2"/>
  <c r="F122" i="2"/>
  <c r="F104" i="2"/>
  <c r="F99" i="2"/>
  <c r="F98" i="2"/>
  <c r="F97" i="2"/>
  <c r="F96" i="2"/>
  <c r="F95" i="2"/>
  <c r="F94" i="2"/>
  <c r="F92" i="2"/>
  <c r="F91" i="2"/>
  <c r="F103" i="2"/>
  <c r="F102" i="2"/>
  <c r="F101" i="2"/>
  <c r="F100" i="2"/>
  <c r="F88" i="2"/>
  <c r="F742" i="2"/>
  <c r="F1976" i="2"/>
  <c r="F87" i="2"/>
  <c r="F86" i="2"/>
  <c r="F85" i="2"/>
  <c r="F79" i="2"/>
  <c r="F78" i="2"/>
  <c r="F83" i="2"/>
  <c r="F82" i="2"/>
  <c r="F84" i="2"/>
  <c r="F81" i="2"/>
  <c r="F80" i="2"/>
  <c r="F77" i="2"/>
  <c r="F62" i="2"/>
  <c r="F61" i="2"/>
  <c r="F70" i="2"/>
  <c r="F69" i="2"/>
  <c r="F68" i="2"/>
  <c r="F76" i="2"/>
  <c r="F75" i="2"/>
  <c r="F74" i="2"/>
  <c r="F73" i="2"/>
  <c r="F72" i="2"/>
  <c r="F71" i="2"/>
  <c r="F67" i="2"/>
  <c r="F66" i="2"/>
  <c r="F65" i="2"/>
  <c r="F64" i="2"/>
  <c r="F63" i="2"/>
  <c r="F60" i="2"/>
  <c r="F59" i="2"/>
  <c r="F38" i="2"/>
  <c r="F37" i="2"/>
  <c r="F36" i="2"/>
  <c r="F54" i="2"/>
  <c r="F53" i="2"/>
  <c r="F52" i="2"/>
  <c r="F58" i="2"/>
  <c r="F55" i="2"/>
  <c r="F57" i="2"/>
  <c r="F51" i="2"/>
  <c r="F50" i="2"/>
  <c r="F42" i="2"/>
  <c r="F49" i="2"/>
  <c r="F48" i="2"/>
  <c r="F47" i="2"/>
  <c r="F46" i="2"/>
  <c r="F41" i="2"/>
  <c r="F45" i="2"/>
  <c r="F40" i="2"/>
  <c r="F44" i="2"/>
  <c r="F39" i="2"/>
  <c r="F43" i="2"/>
  <c r="F35" i="2"/>
  <c r="F34" i="2"/>
  <c r="F33" i="2"/>
  <c r="F32" i="2"/>
  <c r="F31" i="2"/>
  <c r="F30" i="2"/>
  <c r="F6" i="2"/>
  <c r="F5" i="2"/>
  <c r="F23" i="2"/>
  <c r="F22" i="2"/>
  <c r="F21" i="2"/>
  <c r="F20" i="2"/>
  <c r="F19" i="2"/>
  <c r="F28" i="2"/>
  <c r="F24" i="2"/>
  <c r="F26" i="2"/>
  <c r="F25" i="2"/>
  <c r="F27" i="2"/>
  <c r="F18" i="2"/>
  <c r="F17" i="2"/>
  <c r="F11" i="2"/>
  <c r="F16" i="2"/>
  <c r="F10" i="2"/>
  <c r="F15" i="2"/>
  <c r="F9" i="2"/>
  <c r="F14" i="2"/>
  <c r="F8" i="2"/>
  <c r="F13" i="2"/>
  <c r="F7" i="2"/>
  <c r="F12" i="2"/>
  <c r="F4" i="2"/>
  <c r="F3" i="2"/>
  <c r="F2" i="2"/>
  <c r="P3322" i="2"/>
  <c r="B3322" i="2"/>
  <c r="P2653" i="2"/>
  <c r="B2653" i="2"/>
  <c r="A3322" i="2" l="1"/>
  <c r="A2653" i="2"/>
  <c r="P2333" i="2"/>
  <c r="B2333" i="2"/>
  <c r="P3066" i="2"/>
  <c r="B3066" i="2"/>
  <c r="P3107" i="2"/>
  <c r="B3107" i="2"/>
  <c r="B2195" i="2"/>
  <c r="P2195" i="2"/>
  <c r="B3233" i="2"/>
  <c r="P3233" i="2"/>
  <c r="B2685" i="2"/>
  <c r="P2685" i="2"/>
  <c r="B3841" i="2"/>
  <c r="P3841" i="2"/>
  <c r="B3497" i="2"/>
  <c r="P3497" i="2"/>
  <c r="P3504" i="2"/>
  <c r="B3504" i="2"/>
  <c r="P3503" i="2"/>
  <c r="B3503" i="2"/>
  <c r="P47" i="2"/>
  <c r="B47" i="2"/>
  <c r="P2350" i="2"/>
  <c r="B2350" i="2"/>
  <c r="P2549" i="2"/>
  <c r="B2549" i="2"/>
  <c r="B3857" i="2"/>
  <c r="P3857" i="2"/>
  <c r="P1230" i="2"/>
  <c r="B1230" i="2"/>
  <c r="P44" i="2"/>
  <c r="B44" i="2"/>
  <c r="P43" i="2"/>
  <c r="B43" i="2"/>
  <c r="P3414" i="2"/>
  <c r="B3414" i="2"/>
  <c r="P13" i="2"/>
  <c r="B13" i="2"/>
  <c r="P3427" i="2"/>
  <c r="P2099" i="2"/>
  <c r="P2097" i="2"/>
  <c r="P1710" i="2"/>
  <c r="B3427" i="2"/>
  <c r="B2099" i="2"/>
  <c r="B2097" i="2"/>
  <c r="B1710" i="2"/>
  <c r="P4280" i="2"/>
  <c r="P4279" i="2"/>
  <c r="P4306" i="2"/>
  <c r="P4305" i="2"/>
  <c r="P4289" i="2"/>
  <c r="P4288" i="2"/>
  <c r="P4320" i="2"/>
  <c r="P4319" i="2"/>
  <c r="P4170" i="2"/>
  <c r="P4162" i="2"/>
  <c r="P4161" i="2"/>
  <c r="P4206" i="2"/>
  <c r="P4205" i="2"/>
  <c r="P4204" i="2"/>
  <c r="P4203" i="2"/>
  <c r="P4202" i="2"/>
  <c r="P4201" i="2"/>
  <c r="P4189" i="2"/>
  <c r="P4188" i="2"/>
  <c r="P4180" i="2"/>
  <c r="P4179" i="2"/>
  <c r="P4078" i="2"/>
  <c r="P4077" i="2"/>
  <c r="P4067" i="2"/>
  <c r="P4039" i="2"/>
  <c r="P4038" i="2"/>
  <c r="P4037" i="2"/>
  <c r="P4149" i="2"/>
  <c r="P4120" i="2"/>
  <c r="P4100" i="2"/>
  <c r="P4227" i="2"/>
  <c r="P3994" i="2"/>
  <c r="P3993" i="2"/>
  <c r="P3992" i="2"/>
  <c r="P3981" i="2"/>
  <c r="P3980" i="2"/>
  <c r="P3979" i="2"/>
  <c r="P3978" i="2"/>
  <c r="P3937" i="2"/>
  <c r="P3876" i="2"/>
  <c r="P3875" i="2"/>
  <c r="P3874" i="2"/>
  <c r="P3873" i="2"/>
  <c r="P3877" i="2"/>
  <c r="P3872" i="2"/>
  <c r="P3828" i="2"/>
  <c r="P3827" i="2"/>
  <c r="P3772" i="2"/>
  <c r="P3771" i="2"/>
  <c r="P3770" i="2"/>
  <c r="P3725" i="2"/>
  <c r="P3724" i="2"/>
  <c r="P3691" i="2"/>
  <c r="P3690" i="2"/>
  <c r="P3666" i="2"/>
  <c r="P3665" i="2"/>
  <c r="P3663" i="2"/>
  <c r="P3627" i="2"/>
  <c r="P3626" i="2"/>
  <c r="P3613" i="2"/>
  <c r="P3590" i="2"/>
  <c r="P3535" i="2"/>
  <c r="P3534" i="2"/>
  <c r="P3539" i="2"/>
  <c r="P3538" i="2"/>
  <c r="P3537" i="2"/>
  <c r="P3536" i="2"/>
  <c r="P3432" i="2"/>
  <c r="P3431" i="2"/>
  <c r="P3430" i="2"/>
  <c r="P3429" i="2"/>
  <c r="P3426" i="2"/>
  <c r="P3425" i="2"/>
  <c r="P3287" i="2"/>
  <c r="P3286" i="2"/>
  <c r="P3285" i="2"/>
  <c r="P3284" i="2"/>
  <c r="P3283" i="2"/>
  <c r="P3198" i="2"/>
  <c r="P3196" i="2"/>
  <c r="P3195" i="2"/>
  <c r="P3194" i="2"/>
  <c r="P2560" i="2"/>
  <c r="P2558" i="2"/>
  <c r="P2557" i="2"/>
  <c r="P2554" i="2"/>
  <c r="P2519" i="2"/>
  <c r="P2856" i="2"/>
  <c r="P2360" i="2"/>
  <c r="P2107" i="2"/>
  <c r="P2102" i="2"/>
  <c r="P2106" i="2"/>
  <c r="P2105" i="2"/>
  <c r="P2104" i="2"/>
  <c r="P2103" i="2"/>
  <c r="P2100" i="2"/>
  <c r="P2108" i="2"/>
  <c r="P2096" i="2"/>
  <c r="P2098" i="2"/>
  <c r="P1934" i="2"/>
  <c r="P1931" i="2"/>
  <c r="P1930" i="2"/>
  <c r="P1870" i="2"/>
  <c r="P1775" i="2"/>
  <c r="P1774" i="2"/>
  <c r="P1758" i="2"/>
  <c r="P1757" i="2"/>
  <c r="P1712" i="2"/>
  <c r="P1711" i="2"/>
  <c r="P1411" i="2"/>
  <c r="P1410" i="2"/>
  <c r="P1272" i="2"/>
  <c r="P1188" i="2"/>
  <c r="P1183" i="2"/>
  <c r="P660" i="2"/>
  <c r="P640" i="2"/>
  <c r="P624" i="2"/>
  <c r="P623" i="2"/>
  <c r="P622" i="2"/>
  <c r="P607" i="2"/>
  <c r="P606" i="2"/>
  <c r="P498" i="2"/>
  <c r="P496" i="2"/>
  <c r="P494" i="2"/>
  <c r="P492" i="2"/>
  <c r="P82" i="2"/>
  <c r="P52" i="2"/>
  <c r="B52" i="2"/>
  <c r="B82" i="2"/>
  <c r="B492" i="2"/>
  <c r="B494" i="2"/>
  <c r="B496" i="2"/>
  <c r="B498" i="2"/>
  <c r="B606" i="2"/>
  <c r="B607" i="2"/>
  <c r="B622" i="2"/>
  <c r="B623" i="2"/>
  <c r="B624" i="2"/>
  <c r="B640" i="2"/>
  <c r="B660" i="2"/>
  <c r="B1183" i="2"/>
  <c r="B1188" i="2"/>
  <c r="B1272" i="2"/>
  <c r="B1410" i="2"/>
  <c r="B1411" i="2"/>
  <c r="B1711" i="2"/>
  <c r="B1712" i="2"/>
  <c r="B1757" i="2"/>
  <c r="B1758" i="2"/>
  <c r="B1774" i="2"/>
  <c r="B1775" i="2"/>
  <c r="B1870" i="2"/>
  <c r="B1930" i="2"/>
  <c r="B1931" i="2"/>
  <c r="B1934" i="2"/>
  <c r="B2098" i="2"/>
  <c r="B2096" i="2"/>
  <c r="B2108" i="2"/>
  <c r="B2100" i="2"/>
  <c r="B2103" i="2"/>
  <c r="B2104" i="2"/>
  <c r="B2105" i="2"/>
  <c r="B2106" i="2"/>
  <c r="B2102" i="2"/>
  <c r="B2107" i="2"/>
  <c r="B2360" i="2"/>
  <c r="B2856" i="2"/>
  <c r="B2519" i="2"/>
  <c r="B2554" i="2"/>
  <c r="B2557" i="2"/>
  <c r="B2558" i="2"/>
  <c r="B2560" i="2"/>
  <c r="B3194" i="2"/>
  <c r="B3195" i="2"/>
  <c r="B3196" i="2"/>
  <c r="B3198" i="2"/>
  <c r="B3283" i="2"/>
  <c r="B3284" i="2"/>
  <c r="B3285" i="2"/>
  <c r="B3286" i="2"/>
  <c r="B3287" i="2"/>
  <c r="B3425" i="2"/>
  <c r="B3426" i="2"/>
  <c r="B3429" i="2"/>
  <c r="B3430" i="2"/>
  <c r="B3431" i="2"/>
  <c r="B3432" i="2"/>
  <c r="B3536" i="2"/>
  <c r="B3537" i="2"/>
  <c r="B3538" i="2"/>
  <c r="B3539" i="2"/>
  <c r="B3534" i="2"/>
  <c r="B3535" i="2"/>
  <c r="B3590" i="2"/>
  <c r="B3613" i="2"/>
  <c r="B3626" i="2"/>
  <c r="B3627" i="2"/>
  <c r="B3663" i="2"/>
  <c r="B3665" i="2"/>
  <c r="B3666" i="2"/>
  <c r="B3690" i="2"/>
  <c r="B3691" i="2"/>
  <c r="B3724" i="2"/>
  <c r="B3725" i="2"/>
  <c r="B3770" i="2"/>
  <c r="B3771" i="2"/>
  <c r="B3772" i="2"/>
  <c r="B3827" i="2"/>
  <c r="B3828" i="2"/>
  <c r="B3872" i="2"/>
  <c r="B3877" i="2"/>
  <c r="B3873" i="2"/>
  <c r="B3874" i="2"/>
  <c r="B3875" i="2"/>
  <c r="B3876" i="2"/>
  <c r="B3937" i="2"/>
  <c r="B3978" i="2"/>
  <c r="B3979" i="2"/>
  <c r="B3980" i="2"/>
  <c r="B3981" i="2"/>
  <c r="B3992" i="2"/>
  <c r="B3993" i="2"/>
  <c r="B3994" i="2"/>
  <c r="B4227" i="2"/>
  <c r="B4100" i="2"/>
  <c r="B4120" i="2"/>
  <c r="B4149" i="2"/>
  <c r="B4037" i="2"/>
  <c r="B4038" i="2"/>
  <c r="B4039" i="2"/>
  <c r="B4067" i="2"/>
  <c r="B4077" i="2"/>
  <c r="B4078" i="2"/>
  <c r="B4179" i="2"/>
  <c r="B4180" i="2"/>
  <c r="B4188" i="2"/>
  <c r="B4189" i="2"/>
  <c r="B4201" i="2"/>
  <c r="B4202" i="2"/>
  <c r="B4203" i="2"/>
  <c r="B4204" i="2"/>
  <c r="B4205" i="2"/>
  <c r="B4206" i="2"/>
  <c r="B4161" i="2"/>
  <c r="B4162" i="2"/>
  <c r="B4170" i="2"/>
  <c r="B4319" i="2"/>
  <c r="B4320" i="2"/>
  <c r="B4288" i="2"/>
  <c r="B4289" i="2"/>
  <c r="B4305" i="2"/>
  <c r="B4306" i="2"/>
  <c r="B4279" i="2"/>
  <c r="B4280" i="2"/>
  <c r="B1584" i="2"/>
  <c r="P1584" i="2"/>
  <c r="P1384" i="2"/>
  <c r="P2057" i="2"/>
  <c r="P1502" i="2"/>
  <c r="P1506" i="2"/>
  <c r="P1508" i="2"/>
  <c r="P1524" i="2"/>
  <c r="P1522" i="2"/>
  <c r="P1518" i="2"/>
  <c r="P1510" i="2"/>
  <c r="P1512" i="2"/>
  <c r="P1516" i="2"/>
  <c r="P1505" i="2"/>
  <c r="P1520" i="2"/>
  <c r="P1514" i="2"/>
  <c r="P1507" i="2"/>
  <c r="P1509" i="2"/>
  <c r="P2309" i="2"/>
  <c r="P2310" i="2"/>
  <c r="P1525" i="2"/>
  <c r="P1523" i="2"/>
  <c r="P1519" i="2"/>
  <c r="P1511" i="2"/>
  <c r="P1513" i="2"/>
  <c r="P1517" i="2"/>
  <c r="P1521" i="2"/>
  <c r="P1515" i="2"/>
  <c r="P2320" i="2"/>
  <c r="P4284" i="2"/>
  <c r="P4301" i="2"/>
  <c r="P4081" i="2"/>
  <c r="P4195" i="2"/>
  <c r="P4216" i="2"/>
  <c r="P4114" i="2"/>
  <c r="P4115" i="2"/>
  <c r="P4215" i="2"/>
  <c r="P4071" i="2"/>
  <c r="P4072" i="2"/>
  <c r="P4158" i="2"/>
  <c r="P4166" i="2"/>
  <c r="P4113" i="2"/>
  <c r="P4135" i="2"/>
  <c r="P4196" i="2"/>
  <c r="P4194" i="2"/>
  <c r="P2570" i="2"/>
  <c r="P2744" i="2"/>
  <c r="P3608" i="2"/>
  <c r="P1504" i="2"/>
  <c r="P703" i="2"/>
  <c r="P1212" i="2"/>
  <c r="P1213" i="2"/>
  <c r="P2569" i="2"/>
  <c r="P3238" i="2"/>
  <c r="P3068" i="2"/>
  <c r="P3064" i="2"/>
  <c r="P3517" i="2"/>
  <c r="P2005" i="2"/>
  <c r="P3801" i="2"/>
  <c r="P3639" i="2"/>
  <c r="P3405" i="2"/>
  <c r="P4020" i="2"/>
  <c r="P3403" i="2"/>
  <c r="P3574" i="2"/>
  <c r="P3175" i="2"/>
  <c r="P3232" i="2"/>
  <c r="P4009" i="2"/>
  <c r="P477" i="2"/>
  <c r="P478" i="2"/>
  <c r="P89" i="2"/>
  <c r="P1063" i="2"/>
  <c r="P1064" i="2"/>
  <c r="P1065" i="2"/>
  <c r="P619" i="2"/>
  <c r="P3971" i="2"/>
  <c r="P3955" i="2"/>
  <c r="P1685" i="2"/>
  <c r="P684" i="2"/>
  <c r="P2864" i="2"/>
  <c r="P1918" i="2"/>
  <c r="P3404" i="2"/>
  <c r="P2197" i="2"/>
  <c r="P3239" i="2"/>
  <c r="P1386" i="2"/>
  <c r="P1387" i="2"/>
  <c r="P3065" i="2"/>
  <c r="P1218" i="2"/>
  <c r="P2687" i="2"/>
  <c r="P1916" i="2"/>
  <c r="P3168" i="2"/>
  <c r="P2980" i="2"/>
  <c r="P2743" i="2"/>
  <c r="P2507" i="2"/>
  <c r="P4057" i="2"/>
  <c r="P3518" i="2"/>
  <c r="P3800" i="2"/>
  <c r="P3997" i="2"/>
  <c r="P1845" i="2"/>
  <c r="P2058" i="2"/>
  <c r="P1166" i="2"/>
  <c r="P2060" i="2"/>
  <c r="P3520" i="2"/>
  <c r="P669" i="2"/>
  <c r="P260" i="2"/>
  <c r="P3638" i="2"/>
  <c r="P3240" i="2"/>
  <c r="P3848" i="2"/>
  <c r="P3702" i="2"/>
  <c r="P3642" i="2"/>
  <c r="P3572" i="2"/>
  <c r="P3754" i="2"/>
  <c r="P3635" i="2"/>
  <c r="P3701" i="2"/>
  <c r="P3573" i="2"/>
  <c r="P3752" i="2"/>
  <c r="P3753" i="2"/>
  <c r="P3845" i="2"/>
  <c r="P3640" i="2"/>
  <c r="P3636" i="2"/>
  <c r="P3990" i="2"/>
  <c r="P3637" i="2"/>
  <c r="P3989" i="2"/>
  <c r="P3799" i="2"/>
  <c r="P3641" i="2"/>
  <c r="P3519" i="2"/>
  <c r="P3521" i="2"/>
  <c r="P3499" i="2"/>
  <c r="P3500" i="2"/>
  <c r="P3496" i="2"/>
  <c r="P3498" i="2"/>
  <c r="P3684" i="2"/>
  <c r="P3685" i="2"/>
  <c r="P3705" i="2"/>
  <c r="P3700" i="2"/>
  <c r="P3703" i="2"/>
  <c r="P3704" i="2"/>
  <c r="P3609" i="2"/>
  <c r="P3751" i="2"/>
  <c r="P4008" i="2"/>
  <c r="P3798" i="2"/>
  <c r="P3821" i="2"/>
  <c r="P3844" i="2"/>
  <c r="P3843" i="2"/>
  <c r="P3842" i="2"/>
  <c r="P3847" i="2"/>
  <c r="P3846" i="2"/>
  <c r="P3911" i="2"/>
  <c r="P61" i="2"/>
  <c r="P5" i="2"/>
  <c r="P2336" i="2"/>
  <c r="P6" i="2"/>
  <c r="P79" i="2"/>
  <c r="P480" i="2"/>
  <c r="P78" i="2"/>
  <c r="P601" i="2"/>
  <c r="P603" i="2"/>
  <c r="P716" i="2"/>
  <c r="P479" i="2"/>
  <c r="P617" i="2"/>
  <c r="P683" i="2"/>
  <c r="P602" i="2"/>
  <c r="P668" i="2"/>
  <c r="P654" i="2"/>
  <c r="P685" i="2"/>
  <c r="P36" i="2"/>
  <c r="P37" i="2"/>
  <c r="P38" i="2"/>
  <c r="P732" i="2"/>
  <c r="P62" i="2"/>
  <c r="P620" i="2"/>
  <c r="P618" i="2"/>
  <c r="P636" i="2"/>
  <c r="P2338" i="2"/>
  <c r="P818" i="2"/>
  <c r="P3237" i="2"/>
  <c r="P3236" i="2"/>
  <c r="P1600" i="2"/>
  <c r="P820" i="2"/>
  <c r="P821" i="2"/>
  <c r="P827" i="2"/>
  <c r="P1164" i="2"/>
  <c r="P2339" i="2"/>
  <c r="P830" i="2"/>
  <c r="P829" i="2"/>
  <c r="P1163" i="2"/>
  <c r="P1601" i="2"/>
  <c r="P822" i="2"/>
  <c r="P823" i="2"/>
  <c r="P1215" i="2"/>
  <c r="P2742" i="2"/>
  <c r="P1160" i="2"/>
  <c r="P3171" i="2"/>
  <c r="P1389" i="2"/>
  <c r="P1796" i="2"/>
  <c r="P3394" i="2"/>
  <c r="P1161" i="2"/>
  <c r="P1162" i="2"/>
  <c r="P3398" i="2"/>
  <c r="P825" i="2"/>
  <c r="P2196" i="2"/>
  <c r="P3062" i="2"/>
  <c r="P3063" i="2"/>
  <c r="P1846" i="2"/>
  <c r="P1168" i="2"/>
  <c r="P1165" i="2"/>
  <c r="P1385" i="2"/>
  <c r="P1388" i="2"/>
  <c r="P1214" i="2"/>
  <c r="P3170" i="2"/>
  <c r="P1797" i="2"/>
  <c r="P2059" i="2"/>
  <c r="P1599" i="2"/>
  <c r="P1917" i="2"/>
  <c r="P1062" i="2"/>
  <c r="P3402" i="2"/>
  <c r="P1217" i="2"/>
  <c r="P828" i="2"/>
  <c r="P831" i="2"/>
  <c r="P1216" i="2"/>
  <c r="P1503" i="2"/>
  <c r="P1066" i="2"/>
  <c r="P2865" i="2"/>
  <c r="P2863" i="2"/>
  <c r="P1167" i="2"/>
  <c r="P1067" i="2"/>
  <c r="P2337" i="2"/>
  <c r="P2334" i="2"/>
  <c r="P826" i="2"/>
  <c r="P824" i="2"/>
  <c r="P2978" i="2"/>
  <c r="P2979" i="2"/>
  <c r="P3031" i="2"/>
  <c r="P3169" i="2"/>
  <c r="P3172" i="2"/>
  <c r="P3174" i="2"/>
  <c r="P3173" i="2"/>
  <c r="P3067" i="2"/>
  <c r="P2940" i="2"/>
  <c r="P1602" i="2"/>
  <c r="P2332" i="2"/>
  <c r="P2335" i="2"/>
  <c r="P1689" i="2"/>
  <c r="P1687" i="2"/>
  <c r="P3167" i="2"/>
  <c r="P1688" i="2"/>
  <c r="P1844" i="2"/>
  <c r="P2568" i="2"/>
  <c r="P1686" i="2"/>
  <c r="P819" i="2"/>
  <c r="P1158" i="2"/>
  <c r="P3230" i="2"/>
  <c r="P1159" i="2"/>
  <c r="P1738" i="2"/>
  <c r="P1914" i="2"/>
  <c r="P1915" i="2"/>
  <c r="P1736" i="2"/>
  <c r="P3235" i="2"/>
  <c r="P1737" i="2"/>
  <c r="P1735" i="2"/>
  <c r="P2686" i="2"/>
  <c r="P3234" i="2"/>
  <c r="P3231" i="2"/>
  <c r="P3393" i="2"/>
  <c r="P1211" i="2"/>
  <c r="P3392" i="2"/>
  <c r="P3397" i="2"/>
  <c r="P1752" i="2"/>
  <c r="P1750" i="2"/>
  <c r="P3400" i="2"/>
  <c r="P1751" i="2"/>
  <c r="P3395" i="2"/>
  <c r="P3396" i="2"/>
  <c r="P3399" i="2"/>
  <c r="P1749" i="2"/>
  <c r="P3401" i="2"/>
  <c r="P1383" i="2"/>
  <c r="P2056" i="2"/>
  <c r="P1765" i="2"/>
  <c r="P1763" i="2"/>
  <c r="P1764" i="2"/>
  <c r="P1762" i="2"/>
  <c r="B3848" i="2"/>
  <c r="B3240" i="2"/>
  <c r="B3638" i="2"/>
  <c r="B260" i="2"/>
  <c r="B669" i="2"/>
  <c r="B3520" i="2"/>
  <c r="B2060" i="2"/>
  <c r="B1166" i="2"/>
  <c r="B2058" i="2"/>
  <c r="B1845" i="2"/>
  <c r="B3997" i="2"/>
  <c r="B3800" i="2"/>
  <c r="B3518" i="2"/>
  <c r="B4057" i="2"/>
  <c r="B2507" i="2"/>
  <c r="B2743" i="2"/>
  <c r="B2980" i="2"/>
  <c r="B3168" i="2"/>
  <c r="B1916" i="2"/>
  <c r="B2687" i="2"/>
  <c r="B1218" i="2"/>
  <c r="B3065" i="2"/>
  <c r="B1387" i="2"/>
  <c r="B1386" i="2"/>
  <c r="B3239" i="2"/>
  <c r="B2197" i="2"/>
  <c r="B3404" i="2"/>
  <c r="B1918" i="2"/>
  <c r="B2864" i="2"/>
  <c r="B684" i="2"/>
  <c r="B1685" i="2"/>
  <c r="B3955" i="2"/>
  <c r="B3971" i="2"/>
  <c r="B619" i="2"/>
  <c r="B1065" i="2"/>
  <c r="B1064" i="2"/>
  <c r="B1063" i="2"/>
  <c r="B89" i="2"/>
  <c r="B478" i="2"/>
  <c r="B477" i="2"/>
  <c r="B4009" i="2"/>
  <c r="B3232" i="2"/>
  <c r="B3175" i="2"/>
  <c r="B3574" i="2"/>
  <c r="B3403" i="2"/>
  <c r="B4020" i="2"/>
  <c r="B3405" i="2"/>
  <c r="B3639" i="2"/>
  <c r="B3801" i="2"/>
  <c r="B2005" i="2"/>
  <c r="B3517" i="2"/>
  <c r="B3064" i="2"/>
  <c r="B3068" i="2"/>
  <c r="B3238" i="2"/>
  <c r="B2569" i="2"/>
  <c r="B1213" i="2"/>
  <c r="B1212" i="2"/>
  <c r="B703" i="2"/>
  <c r="B1504" i="2"/>
  <c r="B3608" i="2"/>
  <c r="B2744" i="2"/>
  <c r="B2570" i="2"/>
  <c r="B4194" i="2"/>
  <c r="B4196" i="2"/>
  <c r="B4135" i="2"/>
  <c r="B4113" i="2"/>
  <c r="B4166" i="2"/>
  <c r="B4158" i="2"/>
  <c r="B4072" i="2"/>
  <c r="B4071" i="2"/>
  <c r="B4215" i="2"/>
  <c r="B4115" i="2"/>
  <c r="B4114" i="2"/>
  <c r="B4216" i="2"/>
  <c r="B4195" i="2"/>
  <c r="B4081" i="2"/>
  <c r="B4301" i="2"/>
  <c r="B4284" i="2"/>
  <c r="B2320" i="2"/>
  <c r="B1515" i="2"/>
  <c r="B1521" i="2"/>
  <c r="B1517" i="2"/>
  <c r="B1513" i="2"/>
  <c r="B1511" i="2"/>
  <c r="B1519" i="2"/>
  <c r="B1523" i="2"/>
  <c r="B1525" i="2"/>
  <c r="B2310" i="2"/>
  <c r="B2309" i="2"/>
  <c r="B1509" i="2"/>
  <c r="B1507" i="2"/>
  <c r="B1514" i="2"/>
  <c r="B1520" i="2"/>
  <c r="B1505" i="2"/>
  <c r="B1516" i="2"/>
  <c r="B1512" i="2"/>
  <c r="B1510" i="2"/>
  <c r="B1518" i="2"/>
  <c r="B1522" i="2"/>
  <c r="B1524" i="2"/>
  <c r="B1508" i="2"/>
  <c r="B1506" i="2"/>
  <c r="B1502" i="2"/>
  <c r="B2057" i="2"/>
  <c r="B1384" i="2"/>
  <c r="B1762" i="2"/>
  <c r="B1764" i="2"/>
  <c r="B1763" i="2"/>
  <c r="B1765" i="2"/>
  <c r="B2056" i="2"/>
  <c r="B1383" i="2"/>
  <c r="B3401" i="2"/>
  <c r="B1749" i="2"/>
  <c r="B3399" i="2"/>
  <c r="B3396" i="2"/>
  <c r="B3395" i="2"/>
  <c r="B1751" i="2"/>
  <c r="B3400" i="2"/>
  <c r="B1750" i="2"/>
  <c r="B1752" i="2"/>
  <c r="B3397" i="2"/>
  <c r="B3392" i="2"/>
  <c r="B1211" i="2"/>
  <c r="B3393" i="2"/>
  <c r="B3231" i="2"/>
  <c r="B3234" i="2"/>
  <c r="B2686" i="2"/>
  <c r="B1735" i="2"/>
  <c r="B1737" i="2"/>
  <c r="B3235" i="2"/>
  <c r="B1736" i="2"/>
  <c r="B1915" i="2"/>
  <c r="B1914" i="2"/>
  <c r="B1738" i="2"/>
  <c r="B1159" i="2"/>
  <c r="B3230" i="2"/>
  <c r="B1158" i="2"/>
  <c r="B819" i="2"/>
  <c r="B1686" i="2"/>
  <c r="B2568" i="2"/>
  <c r="B1844" i="2"/>
  <c r="B1688" i="2"/>
  <c r="B3167" i="2"/>
  <c r="B1687" i="2"/>
  <c r="B1689" i="2"/>
  <c r="B2335" i="2"/>
  <c r="B2332" i="2"/>
  <c r="B1602" i="2"/>
  <c r="B2940" i="2"/>
  <c r="B3067" i="2"/>
  <c r="B3173" i="2"/>
  <c r="B3174" i="2"/>
  <c r="B3172" i="2"/>
  <c r="B3169" i="2"/>
  <c r="B3031" i="2"/>
  <c r="B2979" i="2"/>
  <c r="B2978" i="2"/>
  <c r="B824" i="2"/>
  <c r="B826" i="2"/>
  <c r="B2334" i="2"/>
  <c r="B2337" i="2"/>
  <c r="B1067" i="2"/>
  <c r="B1167" i="2"/>
  <c r="B2863" i="2"/>
  <c r="B2865" i="2"/>
  <c r="B1066" i="2"/>
  <c r="B1503" i="2"/>
  <c r="B1216" i="2"/>
  <c r="B831" i="2"/>
  <c r="B828" i="2"/>
  <c r="B1217" i="2"/>
  <c r="B3402" i="2"/>
  <c r="B1062" i="2"/>
  <c r="B1917" i="2"/>
  <c r="B1599" i="2"/>
  <c r="B2059" i="2"/>
  <c r="B1797" i="2"/>
  <c r="B3170" i="2"/>
  <c r="B1214" i="2"/>
  <c r="B1388" i="2"/>
  <c r="B1385" i="2"/>
  <c r="B1165" i="2"/>
  <c r="B1168" i="2"/>
  <c r="B1846" i="2"/>
  <c r="B3063" i="2"/>
  <c r="B3062" i="2"/>
  <c r="B2196" i="2"/>
  <c r="B825" i="2"/>
  <c r="B3398" i="2"/>
  <c r="B1162" i="2"/>
  <c r="B1161" i="2"/>
  <c r="B3394" i="2"/>
  <c r="B1796" i="2"/>
  <c r="B1389" i="2"/>
  <c r="B3171" i="2"/>
  <c r="B1160" i="2"/>
  <c r="B2742" i="2"/>
  <c r="B1215" i="2"/>
  <c r="B823" i="2"/>
  <c r="B822" i="2"/>
  <c r="B1601" i="2"/>
  <c r="B1163" i="2"/>
  <c r="B829" i="2"/>
  <c r="B830" i="2"/>
  <c r="B2339" i="2"/>
  <c r="B1164" i="2"/>
  <c r="B827" i="2"/>
  <c r="B821" i="2"/>
  <c r="B820" i="2"/>
  <c r="B1600" i="2"/>
  <c r="B3236" i="2"/>
  <c r="B3237" i="2"/>
  <c r="B818" i="2"/>
  <c r="B2338" i="2"/>
  <c r="B636" i="2"/>
  <c r="B618" i="2"/>
  <c r="B620" i="2"/>
  <c r="B62" i="2"/>
  <c r="B732" i="2"/>
  <c r="B38" i="2"/>
  <c r="B37" i="2"/>
  <c r="B36" i="2"/>
  <c r="B685" i="2"/>
  <c r="B654" i="2"/>
  <c r="B668" i="2"/>
  <c r="B602" i="2"/>
  <c r="B683" i="2"/>
  <c r="B617" i="2"/>
  <c r="B479" i="2"/>
  <c r="B716" i="2"/>
  <c r="B603" i="2"/>
  <c r="B601" i="2"/>
  <c r="B78" i="2"/>
  <c r="B480" i="2"/>
  <c r="B79" i="2"/>
  <c r="B6" i="2"/>
  <c r="B2336" i="2"/>
  <c r="B5" i="2"/>
  <c r="B61" i="2"/>
  <c r="B3911" i="2"/>
  <c r="B3846" i="2"/>
  <c r="B3847" i="2"/>
  <c r="B3842" i="2"/>
  <c r="B3843" i="2"/>
  <c r="B3844" i="2"/>
  <c r="B3821" i="2"/>
  <c r="B3798" i="2"/>
  <c r="B4008" i="2"/>
  <c r="B3751" i="2"/>
  <c r="B3609" i="2"/>
  <c r="B3704" i="2"/>
  <c r="B3703" i="2"/>
  <c r="B3700" i="2"/>
  <c r="B3705" i="2"/>
  <c r="B3685" i="2"/>
  <c r="B3684" i="2"/>
  <c r="B3498" i="2"/>
  <c r="B3496" i="2"/>
  <c r="B3500" i="2"/>
  <c r="B3499" i="2"/>
  <c r="B3521" i="2"/>
  <c r="B3519" i="2"/>
  <c r="B3641" i="2"/>
  <c r="B3799" i="2"/>
  <c r="B3989" i="2"/>
  <c r="B3637" i="2"/>
  <c r="B3990" i="2"/>
  <c r="B3636" i="2"/>
  <c r="B3640" i="2"/>
  <c r="B3845" i="2"/>
  <c r="B3753" i="2"/>
  <c r="B3752" i="2"/>
  <c r="B3573" i="2"/>
  <c r="B3701" i="2"/>
  <c r="B3635" i="2"/>
  <c r="B3754" i="2"/>
  <c r="B3572" i="2"/>
  <c r="B3642" i="2"/>
  <c r="B3702" i="2"/>
  <c r="P497" i="2"/>
  <c r="P3774" i="2"/>
  <c r="P3773" i="2"/>
  <c r="P2559" i="2"/>
  <c r="P495" i="2"/>
  <c r="P1817" i="2"/>
  <c r="P3428" i="2"/>
  <c r="P3664" i="2"/>
  <c r="P3804" i="2"/>
  <c r="P1189" i="2"/>
  <c r="P2101" i="2"/>
  <c r="P1816" i="2"/>
  <c r="P1190" i="2"/>
  <c r="P1871" i="2"/>
  <c r="P1415" i="2"/>
  <c r="P1414" i="2"/>
  <c r="P1413" i="2"/>
  <c r="P1280" i="2"/>
  <c r="P1279" i="2"/>
  <c r="P1412" i="2"/>
  <c r="P67" i="2"/>
  <c r="P2556" i="2"/>
  <c r="P493" i="2"/>
  <c r="P2555" i="2"/>
  <c r="P491" i="2"/>
  <c r="P1278" i="2"/>
  <c r="P1087" i="2"/>
  <c r="P1086" i="2"/>
  <c r="P1085" i="2"/>
  <c r="P1084" i="2"/>
  <c r="P1083" i="2"/>
  <c r="P2109" i="2"/>
  <c r="P2518" i="2"/>
  <c r="P1819" i="2"/>
  <c r="P3201" i="2"/>
  <c r="P3200" i="2"/>
  <c r="P3199" i="2"/>
  <c r="P1872" i="2"/>
  <c r="P3197" i="2"/>
  <c r="P1933" i="2"/>
  <c r="P1932" i="2"/>
  <c r="P1818" i="2"/>
  <c r="P2991" i="2"/>
  <c r="P3041" i="2"/>
  <c r="P2990" i="2"/>
  <c r="P2989" i="2"/>
  <c r="P2988" i="2"/>
  <c r="P2987" i="2"/>
  <c r="P2485" i="2"/>
  <c r="P2955" i="2"/>
  <c r="P2954" i="2"/>
  <c r="P901" i="2"/>
  <c r="P900" i="2"/>
  <c r="P907" i="2"/>
  <c r="P906" i="2"/>
  <c r="P905" i="2"/>
  <c r="P904" i="2"/>
  <c r="P903" i="2"/>
  <c r="P1282" i="2"/>
  <c r="P1281" i="2"/>
  <c r="P902" i="2"/>
  <c r="P899" i="2"/>
  <c r="P3726" i="2"/>
  <c r="P2364" i="2"/>
  <c r="P2363" i="2"/>
  <c r="P2362" i="2"/>
  <c r="P2713" i="2"/>
  <c r="P2712" i="2"/>
  <c r="P2711" i="2"/>
  <c r="P2361" i="2"/>
  <c r="P18" i="2"/>
  <c r="P3094" i="2"/>
  <c r="P3093" i="2"/>
  <c r="P3092" i="2"/>
  <c r="P3091" i="2"/>
  <c r="P3090" i="2"/>
  <c r="P3089" i="2"/>
  <c r="P3088" i="2"/>
  <c r="P3087" i="2"/>
  <c r="P3086" i="2"/>
  <c r="P1625" i="2"/>
  <c r="P1624" i="2"/>
  <c r="P1623" i="2"/>
  <c r="P1545" i="2"/>
  <c r="P81" i="2"/>
  <c r="P1815" i="2"/>
  <c r="P1186" i="2"/>
  <c r="P1869" i="2"/>
  <c r="P3424" i="2"/>
  <c r="P1185" i="2"/>
  <c r="P1184" i="2"/>
  <c r="P1868" i="2"/>
  <c r="P3723" i="2"/>
  <c r="P1271" i="2"/>
  <c r="P1270" i="2"/>
  <c r="P1277" i="2"/>
  <c r="P1276" i="2"/>
  <c r="P1275" i="2"/>
  <c r="P1274" i="2"/>
  <c r="P1273" i="2"/>
  <c r="P66" i="2"/>
  <c r="P1187" i="2"/>
  <c r="P1269" i="2"/>
  <c r="B1187" i="2"/>
  <c r="B66" i="2"/>
  <c r="B1273" i="2"/>
  <c r="B1274" i="2"/>
  <c r="B1275" i="2"/>
  <c r="B1276" i="2"/>
  <c r="B1277" i="2"/>
  <c r="B1270" i="2"/>
  <c r="B1271" i="2"/>
  <c r="B3723" i="2"/>
  <c r="B1868" i="2"/>
  <c r="B1184" i="2"/>
  <c r="B1185" i="2"/>
  <c r="B3424" i="2"/>
  <c r="B1869" i="2"/>
  <c r="B1186" i="2"/>
  <c r="B1815" i="2"/>
  <c r="B81" i="2"/>
  <c r="B1545" i="2"/>
  <c r="B1623" i="2"/>
  <c r="B1624" i="2"/>
  <c r="B1625" i="2"/>
  <c r="B3086" i="2"/>
  <c r="B3087" i="2"/>
  <c r="B3088" i="2"/>
  <c r="B3089" i="2"/>
  <c r="B3090" i="2"/>
  <c r="B3091" i="2"/>
  <c r="B3092" i="2"/>
  <c r="B3093" i="2"/>
  <c r="B3094" i="2"/>
  <c r="B18" i="2"/>
  <c r="B2361" i="2"/>
  <c r="B2711" i="2"/>
  <c r="B2712" i="2"/>
  <c r="B2713" i="2"/>
  <c r="B2362" i="2"/>
  <c r="B2363" i="2"/>
  <c r="B2364" i="2"/>
  <c r="B3726" i="2"/>
  <c r="B899" i="2"/>
  <c r="B902" i="2"/>
  <c r="B1281" i="2"/>
  <c r="B1282" i="2"/>
  <c r="B903" i="2"/>
  <c r="B904" i="2"/>
  <c r="B905" i="2"/>
  <c r="B906" i="2"/>
  <c r="B907" i="2"/>
  <c r="B900" i="2"/>
  <c r="B901" i="2"/>
  <c r="B2954" i="2"/>
  <c r="B2955" i="2"/>
  <c r="B2485" i="2"/>
  <c r="B2987" i="2"/>
  <c r="B2988" i="2"/>
  <c r="B2989" i="2"/>
  <c r="B2990" i="2"/>
  <c r="B3041" i="2"/>
  <c r="B2991" i="2"/>
  <c r="B1818" i="2"/>
  <c r="B1932" i="2"/>
  <c r="B1933" i="2"/>
  <c r="B3197" i="2"/>
  <c r="B1872" i="2"/>
  <c r="B3199" i="2"/>
  <c r="B3200" i="2"/>
  <c r="B3201" i="2"/>
  <c r="B1819" i="2"/>
  <c r="B2518" i="2"/>
  <c r="B2109" i="2"/>
  <c r="B1083" i="2"/>
  <c r="B1084" i="2"/>
  <c r="B1085" i="2"/>
  <c r="B1086" i="2"/>
  <c r="B1087" i="2"/>
  <c r="B1278" i="2"/>
  <c r="B491" i="2"/>
  <c r="B2555" i="2"/>
  <c r="B493" i="2"/>
  <c r="B2556" i="2"/>
  <c r="B67" i="2"/>
  <c r="B1412" i="2"/>
  <c r="B1279" i="2"/>
  <c r="B1280" i="2"/>
  <c r="B1413" i="2"/>
  <c r="B1414" i="2"/>
  <c r="B1415" i="2"/>
  <c r="B1871" i="2"/>
  <c r="B1190" i="2"/>
  <c r="B1816" i="2"/>
  <c r="B2101" i="2"/>
  <c r="B1189" i="2"/>
  <c r="B3804" i="2"/>
  <c r="B3664" i="2"/>
  <c r="B3428" i="2"/>
  <c r="B1817" i="2"/>
  <c r="B495" i="2"/>
  <c r="B2559" i="2"/>
  <c r="B3773" i="2"/>
  <c r="B3774" i="2"/>
  <c r="B497" i="2"/>
  <c r="B1269" i="2"/>
  <c r="P1983" i="2"/>
  <c r="B1983" i="2"/>
  <c r="A1983" i="2"/>
  <c r="P775" i="2"/>
  <c r="B775" i="2"/>
  <c r="A775" i="2"/>
  <c r="P253" i="2"/>
  <c r="B253" i="2"/>
  <c r="A253" i="2"/>
  <c r="A2333" i="2" l="1"/>
  <c r="A3107" i="2"/>
  <c r="A3066" i="2"/>
  <c r="A3233" i="2"/>
  <c r="A2195" i="2"/>
  <c r="A2685" i="2"/>
  <c r="A3841" i="2"/>
  <c r="A3497" i="2"/>
  <c r="A3503" i="2"/>
  <c r="A3504" i="2"/>
  <c r="A47" i="2"/>
  <c r="A2350" i="2"/>
  <c r="A3857" i="2"/>
  <c r="A2549" i="2"/>
  <c r="A1230" i="2"/>
  <c r="A44" i="2"/>
  <c r="A43" i="2"/>
  <c r="A3414" i="2"/>
  <c r="A13" i="2"/>
  <c r="A4320" i="2"/>
  <c r="A4188" i="2"/>
  <c r="A4227" i="2"/>
  <c r="A3873" i="2"/>
  <c r="A3725" i="2"/>
  <c r="A3535" i="2"/>
  <c r="A3425" i="2"/>
  <c r="A3196" i="2"/>
  <c r="A2554" i="2"/>
  <c r="A2108" i="2"/>
  <c r="A1188" i="2"/>
  <c r="A622" i="2"/>
  <c r="A4162" i="2"/>
  <c r="A4078" i="2"/>
  <c r="A3992" i="2"/>
  <c r="A3828" i="2"/>
  <c r="A3691" i="2"/>
  <c r="A3538" i="2"/>
  <c r="A3286" i="2"/>
  <c r="A2107" i="2"/>
  <c r="A1934" i="2"/>
  <c r="A498" i="2"/>
  <c r="A52" i="2"/>
  <c r="A4206" i="2"/>
  <c r="A4067" i="2"/>
  <c r="A3980" i="2"/>
  <c r="A3666" i="2"/>
  <c r="A3536" i="2"/>
  <c r="A3284" i="2"/>
  <c r="A1183" i="2"/>
  <c r="A496" i="2"/>
  <c r="A4319" i="2"/>
  <c r="A4180" i="2"/>
  <c r="A3994" i="2"/>
  <c r="A3877" i="2"/>
  <c r="A3724" i="2"/>
  <c r="A3534" i="2"/>
  <c r="A3195" i="2"/>
  <c r="A2519" i="2"/>
  <c r="A2096" i="2"/>
  <c r="A607" i="2"/>
  <c r="A4305" i="2"/>
  <c r="A4202" i="2"/>
  <c r="A4149" i="2"/>
  <c r="A3876" i="2"/>
  <c r="A3771" i="2"/>
  <c r="A3626" i="2"/>
  <c r="A3430" i="2"/>
  <c r="A2557" i="2"/>
  <c r="A2103" i="2"/>
  <c r="A1757" i="2"/>
  <c r="A640" i="2"/>
  <c r="A4288" i="2"/>
  <c r="A4189" i="2"/>
  <c r="A4100" i="2"/>
  <c r="A3874" i="2"/>
  <c r="A3590" i="2"/>
  <c r="A3426" i="2"/>
  <c r="A1711" i="2"/>
  <c r="A623" i="2"/>
  <c r="A82" i="2"/>
  <c r="A2099" i="2"/>
  <c r="A4170" i="2"/>
  <c r="A4179" i="2"/>
  <c r="A3993" i="2"/>
  <c r="A3872" i="2"/>
  <c r="A3539" i="2"/>
  <c r="A3287" i="2"/>
  <c r="A3194" i="2"/>
  <c r="A2360" i="2"/>
  <c r="A2098" i="2"/>
  <c r="A606" i="2"/>
  <c r="A4161" i="2"/>
  <c r="A4077" i="2"/>
  <c r="A3981" i="2"/>
  <c r="A3827" i="2"/>
  <c r="A3690" i="2"/>
  <c r="A3537" i="2"/>
  <c r="A3285" i="2"/>
  <c r="A2102" i="2"/>
  <c r="A4280" i="2"/>
  <c r="A4205" i="2"/>
  <c r="A4039" i="2"/>
  <c r="A3979" i="2"/>
  <c r="A3665" i="2"/>
  <c r="A3283" i="2"/>
  <c r="A2560" i="2"/>
  <c r="A2856" i="2"/>
  <c r="A2106" i="2"/>
  <c r="A1931" i="2"/>
  <c r="A1775" i="2"/>
  <c r="A4279" i="2"/>
  <c r="A4204" i="2"/>
  <c r="A4038" i="2"/>
  <c r="A3978" i="2"/>
  <c r="A3663" i="2"/>
  <c r="A3432" i="2"/>
  <c r="A2105" i="2"/>
  <c r="A1930" i="2"/>
  <c r="A1774" i="2"/>
  <c r="A1411" i="2"/>
  <c r="A494" i="2"/>
  <c r="A4306" i="2"/>
  <c r="A4203" i="2"/>
  <c r="A4037" i="2"/>
  <c r="A3937" i="2"/>
  <c r="A3772" i="2"/>
  <c r="A3627" i="2"/>
  <c r="A3431" i="2"/>
  <c r="A2558" i="2"/>
  <c r="A2104" i="2"/>
  <c r="A1870" i="2"/>
  <c r="A1758" i="2"/>
  <c r="A1410" i="2"/>
  <c r="A1272" i="2"/>
  <c r="A660" i="2"/>
  <c r="A492" i="2"/>
  <c r="A4289" i="2"/>
  <c r="A4201" i="2"/>
  <c r="A4120" i="2"/>
  <c r="A3875" i="2"/>
  <c r="A3770" i="2"/>
  <c r="A3613" i="2"/>
  <c r="A3429" i="2"/>
  <c r="A3198" i="2"/>
  <c r="A2100" i="2"/>
  <c r="A1712" i="2"/>
  <c r="A624" i="2"/>
  <c r="A3427" i="2"/>
  <c r="A2097" i="2"/>
  <c r="A1710" i="2"/>
  <c r="A1584" i="2"/>
  <c r="A3701" i="2"/>
  <c r="A3636" i="2"/>
  <c r="A3519" i="2"/>
  <c r="A3684" i="2"/>
  <c r="A3609" i="2"/>
  <c r="A3843" i="2"/>
  <c r="A5" i="2"/>
  <c r="A601" i="2"/>
  <c r="A602" i="2"/>
  <c r="A38" i="2"/>
  <c r="A820" i="2"/>
  <c r="A829" i="2"/>
  <c r="A2742" i="2"/>
  <c r="A1161" i="2"/>
  <c r="A3063" i="2"/>
  <c r="A1214" i="2"/>
  <c r="A1062" i="2"/>
  <c r="A1503" i="2"/>
  <c r="A2337" i="2"/>
  <c r="A3031" i="2"/>
  <c r="A2940" i="2"/>
  <c r="A1687" i="2"/>
  <c r="A1914" i="2"/>
  <c r="A1211" i="2"/>
  <c r="A1751" i="2"/>
  <c r="A3401" i="2"/>
  <c r="A1764" i="2"/>
  <c r="A1506" i="2"/>
  <c r="A1512" i="2"/>
  <c r="A1507" i="2"/>
  <c r="A1519" i="2"/>
  <c r="A2320" i="2"/>
  <c r="A4114" i="2"/>
  <c r="A4166" i="2"/>
  <c r="A3064" i="2"/>
  <c r="A3500" i="2"/>
  <c r="A825" i="2"/>
  <c r="A1752" i="2"/>
  <c r="A684" i="2"/>
  <c r="A1386" i="2"/>
  <c r="A1166" i="2"/>
  <c r="A3240" i="2"/>
  <c r="A3572" i="2"/>
  <c r="A3753" i="2"/>
  <c r="A3989" i="2"/>
  <c r="A3700" i="2"/>
  <c r="A3798" i="2"/>
  <c r="A3846" i="2"/>
  <c r="A79" i="2"/>
  <c r="A479" i="2"/>
  <c r="A685" i="2"/>
  <c r="A620" i="2"/>
  <c r="A3237" i="2"/>
  <c r="A1164" i="2"/>
  <c r="A822" i="2"/>
  <c r="A1389" i="2"/>
  <c r="A1165" i="2"/>
  <c r="A2059" i="2"/>
  <c r="A828" i="2"/>
  <c r="A2863" i="2"/>
  <c r="A824" i="2"/>
  <c r="A3174" i="2"/>
  <c r="A2335" i="2"/>
  <c r="A1844" i="2"/>
  <c r="A3230" i="2"/>
  <c r="A3235" i="2"/>
  <c r="A3231" i="2"/>
  <c r="A3399" i="2"/>
  <c r="A2056" i="2"/>
  <c r="A2057" i="2"/>
  <c r="A1522" i="2"/>
  <c r="A2310" i="2"/>
  <c r="A1517" i="2"/>
  <c r="A4081" i="2"/>
  <c r="A4071" i="2"/>
  <c r="A4196" i="2"/>
  <c r="A3232" i="2"/>
  <c r="A478" i="2"/>
  <c r="A3702" i="2"/>
  <c r="A3573" i="2"/>
  <c r="A3990" i="2"/>
  <c r="A3521" i="2"/>
  <c r="A3685" i="2"/>
  <c r="A3751" i="2"/>
  <c r="A3842" i="2"/>
  <c r="A2336" i="2"/>
  <c r="A603" i="2"/>
  <c r="A668" i="2"/>
  <c r="A732" i="2"/>
  <c r="A2338" i="2"/>
  <c r="A821" i="2"/>
  <c r="A1163" i="2"/>
  <c r="A1160" i="2"/>
  <c r="A1162" i="2"/>
  <c r="A1846" i="2"/>
  <c r="A3170" i="2"/>
  <c r="A3402" i="2"/>
  <c r="A1066" i="2"/>
  <c r="A2334" i="2"/>
  <c r="A3169" i="2"/>
  <c r="A1602" i="2"/>
  <c r="A3167" i="2"/>
  <c r="A819" i="2"/>
  <c r="A1915" i="2"/>
  <c r="A2686" i="2"/>
  <c r="A3392" i="2"/>
  <c r="A3395" i="2"/>
  <c r="A1762" i="2"/>
  <c r="A1508" i="2"/>
  <c r="A1516" i="2"/>
  <c r="A1509" i="2"/>
  <c r="A1511" i="2"/>
  <c r="A4284" i="2"/>
  <c r="A4115" i="2"/>
  <c r="A4113" i="2"/>
  <c r="A3642" i="2"/>
  <c r="A3752" i="2"/>
  <c r="A3637" i="2"/>
  <c r="A3499" i="2"/>
  <c r="A3705" i="2"/>
  <c r="A4008" i="2"/>
  <c r="A3847" i="2"/>
  <c r="A6" i="2"/>
  <c r="A716" i="2"/>
  <c r="A654" i="2"/>
  <c r="A62" i="2"/>
  <c r="A818" i="2"/>
  <c r="A827" i="2"/>
  <c r="A1601" i="2"/>
  <c r="A3171" i="2"/>
  <c r="A3398" i="2"/>
  <c r="A1168" i="2"/>
  <c r="A1797" i="2"/>
  <c r="A1217" i="2"/>
  <c r="A2865" i="2"/>
  <c r="A826" i="2"/>
  <c r="A3172" i="2"/>
  <c r="A2332" i="2"/>
  <c r="A1688" i="2"/>
  <c r="A1158" i="2"/>
  <c r="A1736" i="2"/>
  <c r="A3234" i="2"/>
  <c r="A3397" i="2"/>
  <c r="A3396" i="2"/>
  <c r="A1383" i="2"/>
  <c r="A1384" i="2"/>
  <c r="A1524" i="2"/>
  <c r="A1505" i="2"/>
  <c r="A2309" i="2"/>
  <c r="A1513" i="2"/>
  <c r="A4301" i="2"/>
  <c r="A4215" i="2"/>
  <c r="A4135" i="2"/>
  <c r="A1504" i="2"/>
  <c r="A3639" i="2"/>
  <c r="A4009" i="2"/>
  <c r="A1064" i="2"/>
  <c r="A2197" i="2"/>
  <c r="A2687" i="2"/>
  <c r="A3518" i="2"/>
  <c r="A260" i="2"/>
  <c r="A3754" i="2"/>
  <c r="A3845" i="2"/>
  <c r="A3799" i="2"/>
  <c r="A3496" i="2"/>
  <c r="A3703" i="2"/>
  <c r="A3821" i="2"/>
  <c r="A3911" i="2"/>
  <c r="A480" i="2"/>
  <c r="A617" i="2"/>
  <c r="A36" i="2"/>
  <c r="A618" i="2"/>
  <c r="A3236" i="2"/>
  <c r="A2339" i="2"/>
  <c r="A823" i="2"/>
  <c r="A1796" i="2"/>
  <c r="A2196" i="2"/>
  <c r="A1385" i="2"/>
  <c r="A1599" i="2"/>
  <c r="A831" i="2"/>
  <c r="A1167" i="2"/>
  <c r="A2978" i="2"/>
  <c r="A3173" i="2"/>
  <c r="A2568" i="2"/>
  <c r="A1159" i="2"/>
  <c r="A1737" i="2"/>
  <c r="A1750" i="2"/>
  <c r="A1749" i="2"/>
  <c r="A1765" i="2"/>
  <c r="A1518" i="2"/>
  <c r="A1520" i="2"/>
  <c r="A1525" i="2"/>
  <c r="A1521" i="2"/>
  <c r="A4195" i="2"/>
  <c r="A4072" i="2"/>
  <c r="A4194" i="2"/>
  <c r="A1212" i="2"/>
  <c r="A3168" i="2"/>
  <c r="A3635" i="2"/>
  <c r="A3640" i="2"/>
  <c r="A3641" i="2"/>
  <c r="A3498" i="2"/>
  <c r="A3704" i="2"/>
  <c r="A3844" i="2"/>
  <c r="A61" i="2"/>
  <c r="A78" i="2"/>
  <c r="A683" i="2"/>
  <c r="A37" i="2"/>
  <c r="A636" i="2"/>
  <c r="A1600" i="2"/>
  <c r="A830" i="2"/>
  <c r="A1215" i="2"/>
  <c r="A3394" i="2"/>
  <c r="A3062" i="2"/>
  <c r="A1388" i="2"/>
  <c r="A1917" i="2"/>
  <c r="A1216" i="2"/>
  <c r="A1067" i="2"/>
  <c r="A2979" i="2"/>
  <c r="A3067" i="2"/>
  <c r="A1689" i="2"/>
  <c r="A1686" i="2"/>
  <c r="A1738" i="2"/>
  <c r="A1735" i="2"/>
  <c r="A3393" i="2"/>
  <c r="A3400" i="2"/>
  <c r="A1763" i="2"/>
  <c r="A1502" i="2"/>
  <c r="A1510" i="2"/>
  <c r="A1514" i="2"/>
  <c r="A1523" i="2"/>
  <c r="A1515" i="2"/>
  <c r="A4216" i="2"/>
  <c r="A4158" i="2"/>
  <c r="A703" i="2"/>
  <c r="A3068" i="2"/>
  <c r="A3405" i="2"/>
  <c r="A3574" i="2"/>
  <c r="A477" i="2"/>
  <c r="A1065" i="2"/>
  <c r="A1685" i="2"/>
  <c r="A3239" i="2"/>
  <c r="A1916" i="2"/>
  <c r="A3800" i="2"/>
  <c r="A2058" i="2"/>
  <c r="A3638" i="2"/>
  <c r="A2570" i="2"/>
  <c r="A1213" i="2"/>
  <c r="A3517" i="2"/>
  <c r="A4020" i="2"/>
  <c r="A619" i="2"/>
  <c r="A2864" i="2"/>
  <c r="A1387" i="2"/>
  <c r="A2980" i="2"/>
  <c r="A3997" i="2"/>
  <c r="A2060" i="2"/>
  <c r="A3848" i="2"/>
  <c r="A2744" i="2"/>
  <c r="A2569" i="2"/>
  <c r="A2005" i="2"/>
  <c r="A3403" i="2"/>
  <c r="A3175" i="2"/>
  <c r="A89" i="2"/>
  <c r="A3971" i="2"/>
  <c r="A1918" i="2"/>
  <c r="A3065" i="2"/>
  <c r="A2743" i="2"/>
  <c r="A1845" i="2"/>
  <c r="A3520" i="2"/>
  <c r="A3608" i="2"/>
  <c r="A3238" i="2"/>
  <c r="A3801" i="2"/>
  <c r="A1063" i="2"/>
  <c r="A3955" i="2"/>
  <c r="A3404" i="2"/>
  <c r="A1218" i="2"/>
  <c r="A2507" i="2"/>
  <c r="A4057" i="2"/>
  <c r="A669" i="2"/>
  <c r="A1279" i="2"/>
  <c r="A1085" i="2"/>
  <c r="A900" i="2"/>
  <c r="A2363" i="2"/>
  <c r="A2559" i="2"/>
  <c r="A1872" i="2"/>
  <c r="A3092" i="2"/>
  <c r="A1817" i="2"/>
  <c r="A1189" i="2"/>
  <c r="A1280" i="2"/>
  <c r="A1086" i="2"/>
  <c r="A2109" i="2"/>
  <c r="A1933" i="2"/>
  <c r="A3041" i="2"/>
  <c r="A901" i="2"/>
  <c r="A2364" i="2"/>
  <c r="A2712" i="2"/>
  <c r="A3090" i="2"/>
  <c r="A3086" i="2"/>
  <c r="A1186" i="2"/>
  <c r="A1187" i="2"/>
  <c r="A1274" i="2"/>
  <c r="A3804" i="2"/>
  <c r="A67" i="2"/>
  <c r="A2555" i="2"/>
  <c r="A1083" i="2"/>
  <c r="A2991" i="2"/>
  <c r="A906" i="2"/>
  <c r="A1282" i="2"/>
  <c r="A2713" i="2"/>
  <c r="A3087" i="2"/>
  <c r="A1271" i="2"/>
  <c r="A66" i="2"/>
  <c r="A3428" i="2"/>
  <c r="A1415" i="2"/>
  <c r="A491" i="2"/>
  <c r="A3199" i="2"/>
  <c r="A1932" i="2"/>
  <c r="A2485" i="2"/>
  <c r="A902" i="2"/>
  <c r="A3093" i="2"/>
  <c r="A3089" i="2"/>
  <c r="A1869" i="2"/>
  <c r="A1868" i="2"/>
  <c r="A497" i="2"/>
  <c r="A1816" i="2"/>
  <c r="A1414" i="2"/>
  <c r="A493" i="2"/>
  <c r="A1278" i="2"/>
  <c r="A1819" i="2"/>
  <c r="A2989" i="2"/>
  <c r="A2955" i="2"/>
  <c r="A903" i="2"/>
  <c r="A899" i="2"/>
  <c r="A2361" i="2"/>
  <c r="A81" i="2"/>
  <c r="A3723" i="2"/>
  <c r="A1277" i="2"/>
  <c r="A1273" i="2"/>
  <c r="A3774" i="2"/>
  <c r="A1190" i="2"/>
  <c r="A3201" i="2"/>
  <c r="A2988" i="2"/>
  <c r="A18" i="2"/>
  <c r="A1623" i="2"/>
  <c r="A905" i="2"/>
  <c r="A1184" i="2"/>
  <c r="A1871" i="2"/>
  <c r="A1084" i="2"/>
  <c r="A2987" i="2"/>
  <c r="A2362" i="2"/>
  <c r="A1545" i="2"/>
  <c r="A2101" i="2"/>
  <c r="A1087" i="2"/>
  <c r="A2990" i="2"/>
  <c r="A3726" i="2"/>
  <c r="A1625" i="2"/>
  <c r="A1276" i="2"/>
  <c r="A3664" i="2"/>
  <c r="A1818" i="2"/>
  <c r="A1281" i="2"/>
  <c r="A3088" i="2"/>
  <c r="A1270" i="2"/>
  <c r="A1624" i="2"/>
  <c r="A1275" i="2"/>
  <c r="A495" i="2"/>
  <c r="A2556" i="2"/>
  <c r="A3197" i="2"/>
  <c r="A904" i="2"/>
  <c r="A3091" i="2"/>
  <c r="A3773" i="2"/>
  <c r="A1412" i="2"/>
  <c r="A3200" i="2"/>
  <c r="A907" i="2"/>
  <c r="A3094" i="2"/>
  <c r="A3424" i="2"/>
  <c r="A1413" i="2"/>
  <c r="A2518" i="2"/>
  <c r="A2954" i="2"/>
  <c r="A2711" i="2"/>
  <c r="A1815" i="2"/>
  <c r="A1185" i="2"/>
  <c r="A1269" i="2"/>
  <c r="B1886" i="2"/>
  <c r="P1886" i="2"/>
  <c r="P4252" i="2"/>
  <c r="B4252" i="2"/>
  <c r="P2032" i="2"/>
  <c r="B2032" i="2"/>
  <c r="P1640" i="2"/>
  <c r="B1640" i="2"/>
  <c r="P1647" i="2"/>
  <c r="B1647" i="2"/>
  <c r="P1637" i="2"/>
  <c r="B1637" i="2"/>
  <c r="A1886" i="2" l="1"/>
  <c r="A4252" i="2"/>
  <c r="A2032" i="2"/>
  <c r="A1640" i="2"/>
  <c r="A1647" i="2"/>
  <c r="A1637" i="2"/>
  <c r="P1955" i="2"/>
  <c r="P2276" i="2"/>
  <c r="P774" i="2"/>
  <c r="P2721" i="2"/>
  <c r="P2722" i="2"/>
  <c r="P1887" i="2"/>
  <c r="P2671" i="2"/>
  <c r="P3317" i="2"/>
  <c r="P419" i="2"/>
  <c r="P416" i="2"/>
  <c r="P421" i="2"/>
  <c r="P366" i="2"/>
  <c r="P727" i="2"/>
  <c r="P418" i="2"/>
  <c r="P2181" i="2"/>
  <c r="P3549" i="2"/>
  <c r="P1785" i="2"/>
  <c r="P599" i="2"/>
  <c r="P2327" i="2"/>
  <c r="P3891" i="2"/>
  <c r="P2328" i="2"/>
  <c r="P2036" i="2"/>
  <c r="P610" i="2"/>
  <c r="P1781" i="2"/>
  <c r="P1780" i="2"/>
  <c r="P1829" i="2"/>
  <c r="P118" i="2"/>
  <c r="P1549" i="2"/>
  <c r="P1551" i="2"/>
  <c r="P3327" i="2"/>
  <c r="P3310" i="2"/>
  <c r="P2038" i="2"/>
  <c r="P292" i="2"/>
  <c r="B2038" i="2"/>
  <c r="B3310" i="2"/>
  <c r="B3327" i="2"/>
  <c r="B1551" i="2"/>
  <c r="B1549" i="2"/>
  <c r="B118" i="2"/>
  <c r="B1829" i="2"/>
  <c r="B1780" i="2"/>
  <c r="B1781" i="2"/>
  <c r="B610" i="2"/>
  <c r="B2036" i="2"/>
  <c r="B2328" i="2"/>
  <c r="B3891" i="2"/>
  <c r="B2327" i="2"/>
  <c r="B599" i="2"/>
  <c r="B1785" i="2"/>
  <c r="B3549" i="2"/>
  <c r="B2181" i="2"/>
  <c r="B418" i="2"/>
  <c r="B727" i="2"/>
  <c r="B366" i="2"/>
  <c r="B421" i="2"/>
  <c r="B416" i="2"/>
  <c r="B419" i="2"/>
  <c r="B3317" i="2"/>
  <c r="B2671" i="2"/>
  <c r="B1887" i="2"/>
  <c r="B2722" i="2"/>
  <c r="B2721" i="2"/>
  <c r="B774" i="2"/>
  <c r="B2276" i="2"/>
  <c r="B1955" i="2"/>
  <c r="B292" i="2"/>
  <c r="P1657" i="2"/>
  <c r="B1657" i="2"/>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B1019" i="2"/>
  <c r="B1020" i="2"/>
  <c r="B1554" i="2"/>
  <c r="B3212" i="2"/>
  <c r="B1555" i="2"/>
  <c r="B1334" i="2"/>
  <c r="B1556" i="2"/>
  <c r="B1316" i="2"/>
  <c r="B1557" i="2"/>
  <c r="B2162" i="2"/>
  <c r="B2157" i="2"/>
  <c r="B2860" i="2"/>
  <c r="B2140" i="2"/>
  <c r="B2170" i="2"/>
  <c r="B2159" i="2"/>
  <c r="B2150" i="2"/>
  <c r="B2042" i="2"/>
  <c r="B2261" i="2"/>
  <c r="B3511" i="2"/>
  <c r="B1593" i="2"/>
  <c r="B1594" i="2"/>
  <c r="B3556" i="2"/>
  <c r="B1648" i="2"/>
  <c r="B1721" i="2"/>
  <c r="B2179" i="2"/>
  <c r="B2180" i="2"/>
  <c r="B1333" i="2"/>
  <c r="B3132" i="2"/>
  <c r="B2495" i="2"/>
  <c r="B3598" i="2"/>
  <c r="B2050" i="2"/>
  <c r="B295" i="2"/>
  <c r="B464" i="2"/>
  <c r="B465" i="2"/>
  <c r="B367" i="2"/>
  <c r="B368" i="2"/>
  <c r="B3555" i="2"/>
  <c r="B661" i="2"/>
  <c r="B646" i="2"/>
  <c r="B2831" i="2"/>
  <c r="B2832" i="2"/>
  <c r="B1987" i="2"/>
  <c r="B2724" i="2"/>
  <c r="B2326" i="2"/>
  <c r="B3299" i="2"/>
  <c r="B3300" i="2"/>
  <c r="B3301" i="2"/>
  <c r="B1340" i="2"/>
  <c r="B1564" i="2"/>
  <c r="B1558" i="2"/>
  <c r="B1565" i="2"/>
  <c r="B1566" i="2"/>
  <c r="B1567" i="2"/>
  <c r="B1568" i="2"/>
  <c r="B1569" i="2"/>
  <c r="B2137" i="2"/>
  <c r="B2246" i="2"/>
  <c r="B1559" i="2"/>
  <c r="B1560" i="2"/>
  <c r="B1595" i="2"/>
  <c r="B1561" i="2"/>
  <c r="B1562" i="2"/>
  <c r="B2896" i="2"/>
  <c r="B4107" i="2"/>
  <c r="B3787" i="2"/>
  <c r="B3739" i="2"/>
  <c r="B4272" i="2"/>
  <c r="B2958" i="2"/>
  <c r="B3055" i="2"/>
  <c r="B56" i="2"/>
  <c r="B3009" i="2"/>
  <c r="B1833" i="2"/>
  <c r="B125" i="2"/>
  <c r="B1133" i="2"/>
  <c r="B1131" i="2"/>
  <c r="B1132" i="2"/>
  <c r="B2629" i="2"/>
  <c r="B2630" i="2"/>
  <c r="B369" i="2"/>
  <c r="B422" i="2"/>
  <c r="B358" i="2"/>
  <c r="B2289" i="2"/>
  <c r="B363" i="2"/>
  <c r="B701" i="2"/>
  <c r="B689" i="2"/>
  <c r="B744" i="2"/>
  <c r="B3332" i="2"/>
  <c r="B117" i="2"/>
  <c r="B3325" i="2"/>
  <c r="B2527" i="2"/>
  <c r="B303" i="2"/>
  <c r="B1335" i="2"/>
  <c r="B1338" i="2"/>
  <c r="B1341" i="2"/>
  <c r="B186" i="2"/>
  <c r="B1339" i="2"/>
  <c r="B1342" i="2"/>
  <c r="B426" i="2"/>
  <c r="B427" i="2"/>
  <c r="B423" i="2"/>
  <c r="B424" i="2"/>
  <c r="B1988" i="2"/>
  <c r="B1989" i="2"/>
  <c r="B1990" i="2"/>
  <c r="B1991" i="2"/>
  <c r="B3900" i="2"/>
  <c r="B662" i="2"/>
  <c r="B743" i="2"/>
  <c r="B613" i="2"/>
  <c r="B628" i="2"/>
  <c r="B3620" i="2"/>
  <c r="B4153" i="2"/>
  <c r="B4255" i="2"/>
  <c r="B647" i="2"/>
  <c r="B644" i="2"/>
  <c r="B2672" i="2"/>
  <c r="B3319" i="2"/>
  <c r="B215" i="2"/>
  <c r="B2897" i="2"/>
  <c r="B1563" i="2"/>
  <c r="B2898" i="2"/>
  <c r="B2673" i="2"/>
  <c r="B2674" i="2"/>
  <c r="B2664" i="2"/>
  <c r="B2641" i="2"/>
  <c r="B3303" i="2"/>
  <c r="B1337" i="2"/>
  <c r="B2288" i="2"/>
  <c r="B2468" i="2"/>
  <c r="B3320" i="2"/>
  <c r="B1336" i="2"/>
  <c r="B2458" i="2"/>
  <c r="B2459" i="2"/>
  <c r="B2460" i="2"/>
  <c r="B2461" i="2"/>
  <c r="B2462" i="2"/>
  <c r="B3304" i="2"/>
  <c r="B2463" i="2"/>
  <c r="B2286" i="2"/>
  <c r="B3120" i="2"/>
  <c r="B2464" i="2"/>
  <c r="B2847" i="2"/>
  <c r="B650" i="2"/>
  <c r="B2051" i="2"/>
  <c r="B2465" i="2"/>
  <c r="B2466" i="2"/>
  <c r="B2467" i="2"/>
  <c r="B3305" i="2"/>
  <c r="B2670" i="2"/>
  <c r="B2469" i="2"/>
  <c r="B2470" i="2"/>
  <c r="B2471" i="2"/>
  <c r="B3306" i="2"/>
  <c r="B3321" i="2"/>
  <c r="B2472" i="2"/>
  <c r="B2725" i="2"/>
  <c r="B3307" i="2"/>
  <c r="B2165" i="2"/>
  <c r="B2270" i="2"/>
  <c r="B2169" i="2"/>
  <c r="B2178" i="2"/>
  <c r="B2290" i="2"/>
  <c r="B3338" i="2"/>
  <c r="B3343" i="2"/>
  <c r="B3508" i="2"/>
  <c r="B1834" i="2"/>
  <c r="B3337" i="2"/>
  <c r="B3784" i="2"/>
  <c r="B4311" i="2"/>
  <c r="B417" i="2"/>
  <c r="B2145" i="2"/>
  <c r="B2723" i="2"/>
  <c r="B1479" i="2"/>
  <c r="B1480" i="2"/>
  <c r="B3512" i="2"/>
  <c r="B3509" i="2"/>
  <c r="B814" i="2"/>
  <c r="B3339" i="2"/>
  <c r="B3314" i="2"/>
  <c r="B3671" i="2"/>
  <c r="B1475" i="2"/>
  <c r="B1449" i="2"/>
  <c r="B1476" i="2"/>
  <c r="B1450" i="2"/>
  <c r="B1478" i="2"/>
  <c r="B3890" i="2"/>
  <c r="B2291" i="2"/>
  <c r="B2631" i="2"/>
  <c r="B1320" i="2"/>
  <c r="B1992" i="2"/>
  <c r="B3298" i="2"/>
  <c r="B1570" i="2"/>
  <c r="B2292" i="2"/>
  <c r="B2293" i="2"/>
  <c r="B2182" i="2"/>
  <c r="B2294" i="2"/>
  <c r="B2295" i="2"/>
  <c r="B425" i="2"/>
  <c r="B1967" i="2"/>
  <c r="B1966" i="2"/>
  <c r="B1958" i="2"/>
  <c r="B1977" i="2"/>
  <c r="B1979" i="2"/>
  <c r="B1981" i="2"/>
  <c r="B1969" i="2"/>
  <c r="B1986" i="2"/>
  <c r="B1985" i="2"/>
  <c r="B555" i="2"/>
  <c r="B2173" i="2"/>
  <c r="B3302" i="2"/>
  <c r="B2052" i="2"/>
  <c r="B2183" i="2"/>
  <c r="B574" i="2"/>
  <c r="B2296" i="2"/>
  <c r="B308" i="2"/>
  <c r="B2323" i="2"/>
  <c r="B2247" i="2"/>
  <c r="B2248" i="2"/>
  <c r="B3010" i="2"/>
  <c r="B2249" i="2"/>
  <c r="B725" i="2"/>
  <c r="B723" i="2"/>
  <c r="B724" i="2"/>
  <c r="B722" i="2"/>
  <c r="B770" i="2"/>
  <c r="B1976" i="2"/>
  <c r="B741" i="2"/>
  <c r="B29" i="2"/>
  <c r="B2279" i="2"/>
  <c r="B1957" i="2"/>
  <c r="B2031" i="2"/>
  <c r="B551" i="2"/>
  <c r="B812" i="2"/>
  <c r="B801" i="2"/>
  <c r="B3342" i="2"/>
  <c r="B2325" i="2"/>
  <c r="P4317" i="2"/>
  <c r="P4316" i="2"/>
  <c r="P4315" i="2"/>
  <c r="P4318" i="2"/>
  <c r="P4328" i="2"/>
  <c r="P4327" i="2"/>
  <c r="P4326" i="2"/>
  <c r="P4325" i="2"/>
  <c r="P4324" i="2"/>
  <c r="P4323" i="2"/>
  <c r="P4322" i="2"/>
  <c r="P4321" i="2"/>
  <c r="P4333" i="2"/>
  <c r="P4334" i="2"/>
  <c r="P4335" i="2"/>
  <c r="P4329" i="2"/>
  <c r="P4337" i="2"/>
  <c r="P4330" i="2"/>
  <c r="P4331" i="2"/>
  <c r="P4336" i="2"/>
  <c r="P4332" i="2"/>
  <c r="P4338" i="2"/>
  <c r="P4314" i="2"/>
  <c r="P4313" i="2"/>
  <c r="P4312" i="2"/>
  <c r="P4310" i="2"/>
  <c r="P4309" i="2"/>
  <c r="P4308" i="2"/>
  <c r="P4307" i="2"/>
  <c r="P4303" i="2"/>
  <c r="P4302" i="2"/>
  <c r="P4304" i="2"/>
  <c r="P4300" i="2"/>
  <c r="P4299" i="2"/>
  <c r="P4298" i="2"/>
  <c r="P4297" i="2"/>
  <c r="P4296" i="2"/>
  <c r="P4295" i="2"/>
  <c r="P4290" i="2"/>
  <c r="P4293" i="2"/>
  <c r="P4291" i="2"/>
  <c r="P4294" i="2"/>
  <c r="P4292" i="2"/>
  <c r="P4286" i="2"/>
  <c r="P4285" i="2"/>
  <c r="P4287" i="2"/>
  <c r="P4283" i="2"/>
  <c r="P4282" i="2"/>
  <c r="P4281" i="2"/>
  <c r="P4277" i="2"/>
  <c r="P4276" i="2"/>
  <c r="P4275" i="2"/>
  <c r="P4274" i="2"/>
  <c r="P4278" i="2"/>
  <c r="P4273" i="2"/>
  <c r="P4269" i="2"/>
  <c r="P4268" i="2"/>
  <c r="P4271" i="2"/>
  <c r="P4270" i="2"/>
  <c r="P4267" i="2"/>
  <c r="P4266" i="2"/>
  <c r="P3490" i="2"/>
  <c r="P4264" i="2"/>
  <c r="P4263" i="2"/>
  <c r="P4265" i="2"/>
  <c r="P4262" i="2"/>
  <c r="P4261" i="2"/>
  <c r="P4260" i="2"/>
  <c r="P4224" i="2"/>
  <c r="P4222" i="2"/>
  <c r="P4221" i="2"/>
  <c r="P4220" i="2"/>
  <c r="P4219" i="2"/>
  <c r="P4218" i="2"/>
  <c r="P4217" i="2"/>
  <c r="P4226" i="2"/>
  <c r="P4225" i="2"/>
  <c r="P4223" i="2"/>
  <c r="P4243" i="2"/>
  <c r="P4242" i="2"/>
  <c r="P4241" i="2"/>
  <c r="P4240" i="2"/>
  <c r="P4239" i="2"/>
  <c r="P4238" i="2"/>
  <c r="P4237" i="2"/>
  <c r="P4236" i="2"/>
  <c r="P4235" i="2"/>
  <c r="P4234" i="2"/>
  <c r="P4233" i="2"/>
  <c r="P4232" i="2"/>
  <c r="P4231" i="2"/>
  <c r="P4230" i="2"/>
  <c r="P4229" i="2"/>
  <c r="P4228" i="2"/>
  <c r="P4248" i="2"/>
  <c r="P4253" i="2"/>
  <c r="P4258" i="2"/>
  <c r="P4251" i="2"/>
  <c r="P4247" i="2"/>
  <c r="P4245" i="2"/>
  <c r="P4249" i="2"/>
  <c r="P4244" i="2"/>
  <c r="P4256" i="2"/>
  <c r="P4250" i="2"/>
  <c r="P4246" i="2"/>
  <c r="P4254" i="2"/>
  <c r="P4259" i="2"/>
  <c r="P4257" i="2"/>
  <c r="P4214" i="2"/>
  <c r="P4213" i="2"/>
  <c r="P4212" i="2"/>
  <c r="P4197" i="2"/>
  <c r="P4200" i="2"/>
  <c r="P4199" i="2"/>
  <c r="P4198" i="2"/>
  <c r="P4211" i="2"/>
  <c r="P4210" i="2"/>
  <c r="P4209" i="2"/>
  <c r="P4208" i="2"/>
  <c r="P4207" i="2"/>
  <c r="P4193" i="2"/>
  <c r="P4185" i="2"/>
  <c r="P4184" i="2"/>
  <c r="P4186" i="2"/>
  <c r="P4187" i="2"/>
  <c r="P4190" i="2"/>
  <c r="P4191" i="2"/>
  <c r="P4192" i="2"/>
  <c r="P4183" i="2"/>
  <c r="P4177" i="2"/>
  <c r="P4176" i="2"/>
  <c r="P4178" i="2"/>
  <c r="P4181" i="2"/>
  <c r="P4182" i="2"/>
  <c r="P4175" i="2"/>
  <c r="P4174" i="2"/>
  <c r="P4173" i="2"/>
  <c r="P4167" i="2"/>
  <c r="P4169" i="2"/>
  <c r="P4168" i="2"/>
  <c r="P4172" i="2"/>
  <c r="P4171" i="2"/>
  <c r="P4165" i="2"/>
  <c r="P4159" i="2"/>
  <c r="P4160" i="2"/>
  <c r="P4164" i="2"/>
  <c r="P4157" i="2"/>
  <c r="P4156" i="2"/>
  <c r="P4155" i="2"/>
  <c r="P4151" i="2"/>
  <c r="P4152" i="2"/>
  <c r="P4154" i="2"/>
  <c r="P4150" i="2"/>
  <c r="P4148" i="2"/>
  <c r="P4147" i="2"/>
  <c r="P4146" i="2"/>
  <c r="P4145" i="2"/>
  <c r="P4138" i="2"/>
  <c r="P4137" i="2"/>
  <c r="P4136" i="2"/>
  <c r="P4141" i="2"/>
  <c r="P4140" i="2"/>
  <c r="P4143" i="2"/>
  <c r="P4144" i="2"/>
  <c r="P4134" i="2"/>
  <c r="P4119" i="2"/>
  <c r="P4118" i="2"/>
  <c r="P4117" i="2"/>
  <c r="P4116" i="2"/>
  <c r="P4125" i="2"/>
  <c r="P4124" i="2"/>
  <c r="P4123" i="2"/>
  <c r="P4122" i="2"/>
  <c r="P4121" i="2"/>
  <c r="P4129" i="2"/>
  <c r="P4130" i="2"/>
  <c r="P4126" i="2"/>
  <c r="P4127" i="2"/>
  <c r="P2039" i="2"/>
  <c r="P4133" i="2"/>
  <c r="P4132" i="2"/>
  <c r="P4131" i="2"/>
  <c r="P4112" i="2"/>
  <c r="P4087" i="2"/>
  <c r="P4086" i="2"/>
  <c r="P4096" i="2"/>
  <c r="P4095" i="2"/>
  <c r="P4094" i="2"/>
  <c r="P4093" i="2"/>
  <c r="P4092" i="2"/>
  <c r="P4091" i="2"/>
  <c r="P4090" i="2"/>
  <c r="P4099" i="2"/>
  <c r="P4098" i="2"/>
  <c r="P4097" i="2"/>
  <c r="P4103" i="2"/>
  <c r="P4102" i="2"/>
  <c r="P4101" i="2"/>
  <c r="P4108" i="2"/>
  <c r="P4109" i="2"/>
  <c r="P4106" i="2"/>
  <c r="P4111" i="2"/>
  <c r="P4110" i="2"/>
  <c r="P4085" i="2"/>
  <c r="P4084" i="2"/>
  <c r="P4083" i="2"/>
  <c r="P4076" i="2"/>
  <c r="P4079" i="2"/>
  <c r="P4080" i="2"/>
  <c r="P4075" i="2"/>
  <c r="P4073" i="2"/>
  <c r="P4070" i="2"/>
  <c r="P4058" i="2"/>
  <c r="P4063" i="2"/>
  <c r="P4062" i="2"/>
  <c r="P4061" i="2"/>
  <c r="P4060" i="2"/>
  <c r="P4065" i="2"/>
  <c r="P4064" i="2"/>
  <c r="P4066" i="2"/>
  <c r="P4068" i="2"/>
  <c r="P4069" i="2"/>
  <c r="P4056" i="2"/>
  <c r="P854" i="2"/>
  <c r="P911" i="2"/>
  <c r="P989" i="2"/>
  <c r="P4026" i="2"/>
  <c r="P4025" i="2"/>
  <c r="P4030" i="2"/>
  <c r="P4029" i="2"/>
  <c r="P4028" i="2"/>
  <c r="P4027" i="2"/>
  <c r="P4035" i="2"/>
  <c r="P4034" i="2"/>
  <c r="P4033" i="2"/>
  <c r="P4032" i="2"/>
  <c r="P4031" i="2"/>
  <c r="P4036" i="2"/>
  <c r="P4040" i="2"/>
  <c r="P4042" i="2"/>
  <c r="P4055" i="2"/>
  <c r="P4054" i="2"/>
  <c r="P4053" i="2"/>
  <c r="P4052" i="2"/>
  <c r="P4051" i="2"/>
  <c r="P4050" i="2"/>
  <c r="P4049" i="2"/>
  <c r="P4048" i="2"/>
  <c r="P4047" i="2"/>
  <c r="P4046" i="2"/>
  <c r="P4045" i="2"/>
  <c r="P4044" i="2"/>
  <c r="P4043" i="2"/>
  <c r="P4024" i="2"/>
  <c r="P4023" i="2"/>
  <c r="P4022" i="2"/>
  <c r="P4021" i="2"/>
  <c r="P4012" i="2"/>
  <c r="P4011" i="2"/>
  <c r="P4013" i="2"/>
  <c r="P4014" i="2"/>
  <c r="P4015" i="2"/>
  <c r="P4019" i="2"/>
  <c r="P4018" i="2"/>
  <c r="P4017" i="2"/>
  <c r="P4007" i="2"/>
  <c r="P4006" i="2"/>
  <c r="P4001" i="2"/>
  <c r="P3998" i="2"/>
  <c r="P3999" i="2"/>
  <c r="P4005" i="2"/>
  <c r="P4004" i="2"/>
  <c r="P4003" i="2"/>
  <c r="P3996" i="2"/>
  <c r="P3991" i="2"/>
  <c r="P3995" i="2"/>
  <c r="P3988" i="2"/>
  <c r="P3974" i="2"/>
  <c r="P3977" i="2"/>
  <c r="P3976" i="2"/>
  <c r="P3975" i="2"/>
  <c r="P3987" i="2"/>
  <c r="P3986" i="2"/>
  <c r="P3985" i="2"/>
  <c r="P3984" i="2"/>
  <c r="P3970" i="2"/>
  <c r="P3959" i="2"/>
  <c r="P3958" i="2"/>
  <c r="P3957" i="2"/>
  <c r="P3956" i="2"/>
  <c r="P3965" i="2"/>
  <c r="P3964" i="2"/>
  <c r="P3963" i="2"/>
  <c r="P3962" i="2"/>
  <c r="P3961" i="2"/>
  <c r="P3960" i="2"/>
  <c r="P3966" i="2"/>
  <c r="P3967" i="2"/>
  <c r="P3969" i="2"/>
  <c r="P3968" i="2"/>
  <c r="P3954" i="2"/>
  <c r="P3953" i="2"/>
  <c r="P3952" i="2"/>
  <c r="P3920" i="2"/>
  <c r="P3919" i="2"/>
  <c r="P3918" i="2"/>
  <c r="P3917" i="2"/>
  <c r="P3916" i="2"/>
  <c r="P3915" i="2"/>
  <c r="P3914" i="2"/>
  <c r="P3913" i="2"/>
  <c r="P3921" i="2"/>
  <c r="P3912" i="2"/>
  <c r="P3932" i="2"/>
  <c r="P3934" i="2"/>
  <c r="P3933" i="2"/>
  <c r="P3936" i="2"/>
  <c r="P3935" i="2"/>
  <c r="P3939" i="2"/>
  <c r="P3938" i="2"/>
  <c r="P802" i="2"/>
  <c r="P3943" i="2"/>
  <c r="P3942" i="2"/>
  <c r="P3941" i="2"/>
  <c r="P3940" i="2"/>
  <c r="P3951" i="2"/>
  <c r="P3950" i="2"/>
  <c r="P3949" i="2"/>
  <c r="P3948" i="2"/>
  <c r="P3947" i="2"/>
  <c r="P3946" i="2"/>
  <c r="P3945" i="2"/>
  <c r="P3944" i="2"/>
  <c r="P3910" i="2"/>
  <c r="P3852" i="2"/>
  <c r="P3851" i="2"/>
  <c r="P3855" i="2"/>
  <c r="P3854" i="2"/>
  <c r="P3850" i="2"/>
  <c r="P3853" i="2"/>
  <c r="P3866" i="2"/>
  <c r="P3865" i="2"/>
  <c r="P3864" i="2"/>
  <c r="P3863" i="2"/>
  <c r="P3862" i="2"/>
  <c r="P3861" i="2"/>
  <c r="P3860" i="2"/>
  <c r="P3869" i="2"/>
  <c r="P3868" i="2"/>
  <c r="P3867" i="2"/>
  <c r="P3871" i="2"/>
  <c r="P3870" i="2"/>
  <c r="P3889" i="2"/>
  <c r="P3888" i="2"/>
  <c r="P3887" i="2"/>
  <c r="P3886" i="2"/>
  <c r="P3885" i="2"/>
  <c r="P3884" i="2"/>
  <c r="P3883" i="2"/>
  <c r="P3882" i="2"/>
  <c r="P3881" i="2"/>
  <c r="P3880" i="2"/>
  <c r="P3879" i="2"/>
  <c r="P3878" i="2"/>
  <c r="P3892" i="2"/>
  <c r="P3903" i="2"/>
  <c r="P3898" i="2"/>
  <c r="P3899" i="2"/>
  <c r="P3902" i="2"/>
  <c r="P3901" i="2"/>
  <c r="P3896" i="2"/>
  <c r="P3895" i="2"/>
  <c r="P3894" i="2"/>
  <c r="P3893" i="2"/>
  <c r="P3897" i="2"/>
  <c r="P3909" i="2"/>
  <c r="P3908" i="2"/>
  <c r="P3907" i="2"/>
  <c r="P3906" i="2"/>
  <c r="P3905" i="2"/>
  <c r="P3904" i="2"/>
  <c r="P3840" i="2"/>
  <c r="P3822" i="2"/>
  <c r="P3824" i="2"/>
  <c r="P3823" i="2"/>
  <c r="P3826" i="2"/>
  <c r="P3825" i="2"/>
  <c r="P3831" i="2"/>
  <c r="P3830" i="2"/>
  <c r="P3829" i="2"/>
  <c r="P3834" i="2"/>
  <c r="P3833" i="2"/>
  <c r="P3832" i="2"/>
  <c r="P3839" i="2"/>
  <c r="P3838" i="2"/>
  <c r="P3837" i="2"/>
  <c r="P3836" i="2"/>
  <c r="P3835" i="2"/>
  <c r="P3820" i="2"/>
  <c r="P3802" i="2"/>
  <c r="P3803" i="2"/>
  <c r="P3811" i="2"/>
  <c r="P3810" i="2"/>
  <c r="P3809" i="2"/>
  <c r="P3808" i="2"/>
  <c r="P3807" i="2"/>
  <c r="P3806" i="2"/>
  <c r="P3805" i="2"/>
  <c r="P3814" i="2"/>
  <c r="P3813" i="2"/>
  <c r="P3817" i="2"/>
  <c r="P3818" i="2"/>
  <c r="P3812" i="2"/>
  <c r="P3815" i="2"/>
  <c r="P3816" i="2"/>
  <c r="P3819" i="2"/>
  <c r="P3797" i="2"/>
  <c r="P3796" i="2"/>
  <c r="P3759" i="2"/>
  <c r="P3758" i="2"/>
  <c r="P3757" i="2"/>
  <c r="P3756" i="2"/>
  <c r="P3755" i="2"/>
  <c r="P3766" i="2"/>
  <c r="P3765" i="2"/>
  <c r="P3769" i="2"/>
  <c r="P3768" i="2"/>
  <c r="P3767" i="2"/>
  <c r="P3783" i="2"/>
  <c r="P3782" i="2"/>
  <c r="P3781" i="2"/>
  <c r="P3780" i="2"/>
  <c r="P3779" i="2"/>
  <c r="P3778" i="2"/>
  <c r="P3777" i="2"/>
  <c r="P3776" i="2"/>
  <c r="P3775" i="2"/>
  <c r="P3785" i="2"/>
  <c r="P3789" i="2"/>
  <c r="P3790" i="2"/>
  <c r="P3786" i="2"/>
  <c r="P3788" i="2"/>
  <c r="P3795" i="2"/>
  <c r="P3794" i="2"/>
  <c r="P3793" i="2"/>
  <c r="P3792" i="2"/>
  <c r="P3791" i="2"/>
  <c r="P3750" i="2"/>
  <c r="P3710" i="2"/>
  <c r="P3709" i="2"/>
  <c r="P3708" i="2"/>
  <c r="P3707" i="2"/>
  <c r="P3706" i="2"/>
  <c r="P3718" i="2"/>
  <c r="P3717" i="2"/>
  <c r="P3716" i="2"/>
  <c r="P3715" i="2"/>
  <c r="P3714" i="2"/>
  <c r="P3719" i="2"/>
  <c r="P3722" i="2"/>
  <c r="P3721" i="2"/>
  <c r="P3720" i="2"/>
  <c r="P3736" i="2"/>
  <c r="P3735" i="2"/>
  <c r="P3734" i="2"/>
  <c r="P3733" i="2"/>
  <c r="P3732" i="2"/>
  <c r="P3731" i="2"/>
  <c r="P3730" i="2"/>
  <c r="P3729" i="2"/>
  <c r="P3728" i="2"/>
  <c r="P3727" i="2"/>
  <c r="P3744" i="2"/>
  <c r="P3746" i="2"/>
  <c r="P3742" i="2"/>
  <c r="P3745" i="2"/>
  <c r="P3740" i="2"/>
  <c r="P3738" i="2"/>
  <c r="P3743" i="2"/>
  <c r="P3741" i="2"/>
  <c r="P3737" i="2"/>
  <c r="P3749" i="2"/>
  <c r="P3748" i="2"/>
  <c r="P3747" i="2"/>
  <c r="P3699" i="2"/>
  <c r="P3688" i="2"/>
  <c r="P3687" i="2"/>
  <c r="P3686" i="2"/>
  <c r="P3689" i="2"/>
  <c r="P3693" i="2"/>
  <c r="P3692" i="2"/>
  <c r="P3695" i="2"/>
  <c r="P3694" i="2"/>
  <c r="P3698" i="2"/>
  <c r="P3697" i="2"/>
  <c r="P3683" i="2"/>
  <c r="P3682" i="2"/>
  <c r="P3646" i="2"/>
  <c r="P3645" i="2"/>
  <c r="P3644" i="2"/>
  <c r="P3643" i="2"/>
  <c r="P3659" i="2"/>
  <c r="P3658" i="2"/>
  <c r="P3657" i="2"/>
  <c r="P3661" i="2"/>
  <c r="P3660" i="2"/>
  <c r="P3662" i="2"/>
  <c r="P3670" i="2"/>
  <c r="P3669" i="2"/>
  <c r="P3668" i="2"/>
  <c r="P3667" i="2"/>
  <c r="P3672" i="2"/>
  <c r="P3674" i="2"/>
  <c r="P3675" i="2"/>
  <c r="P3681" i="2"/>
  <c r="P3680" i="2"/>
  <c r="P3679" i="2"/>
  <c r="P3678" i="2"/>
  <c r="P3677" i="2"/>
  <c r="P3676" i="2"/>
  <c r="P3634" i="2"/>
  <c r="P3633" i="2"/>
  <c r="P3632" i="2"/>
  <c r="P3624" i="2"/>
  <c r="P3625" i="2"/>
  <c r="P3628" i="2"/>
  <c r="P3629" i="2"/>
  <c r="P3631" i="2"/>
  <c r="P3622" i="2"/>
  <c r="P3610" i="2"/>
  <c r="P3611" i="2"/>
  <c r="P3612" i="2"/>
  <c r="P3616" i="2"/>
  <c r="P3615" i="2"/>
  <c r="P3614" i="2"/>
  <c r="P3617" i="2"/>
  <c r="P3619" i="2"/>
  <c r="P3618" i="2"/>
  <c r="P3621" i="2"/>
  <c r="P3607" i="2"/>
  <c r="P3606" i="2"/>
  <c r="P4128" i="2"/>
  <c r="P3577" i="2"/>
  <c r="P3579" i="2"/>
  <c r="P3576" i="2"/>
  <c r="P3578" i="2"/>
  <c r="P3575" i="2"/>
  <c r="P3586" i="2"/>
  <c r="P3585" i="2"/>
  <c r="P3584" i="2"/>
  <c r="P3588" i="2"/>
  <c r="P3587" i="2"/>
  <c r="P3589" i="2"/>
  <c r="P3596" i="2"/>
  <c r="P3595" i="2"/>
  <c r="P3594" i="2"/>
  <c r="P3593" i="2"/>
  <c r="P3592" i="2"/>
  <c r="P3591" i="2"/>
  <c r="P3600" i="2"/>
  <c r="P3599" i="2"/>
  <c r="P3601" i="2"/>
  <c r="P3597" i="2"/>
  <c r="P3602" i="2"/>
  <c r="P3605" i="2"/>
  <c r="P3604" i="2"/>
  <c r="P3603" i="2"/>
  <c r="P3571" i="2"/>
  <c r="P3570" i="2"/>
  <c r="P3569" i="2"/>
  <c r="P3568" i="2"/>
  <c r="P3567" i="2"/>
  <c r="P3551" i="2"/>
  <c r="P2890" i="2"/>
  <c r="P3522" i="2"/>
  <c r="P3531" i="2"/>
  <c r="P3530" i="2"/>
  <c r="P3533" i="2"/>
  <c r="P3532" i="2"/>
  <c r="P3547" i="2"/>
  <c r="P3546" i="2"/>
  <c r="P3545" i="2"/>
  <c r="P3544" i="2"/>
  <c r="P3543" i="2"/>
  <c r="P3542" i="2"/>
  <c r="P3541" i="2"/>
  <c r="P3540" i="2"/>
  <c r="P3559" i="2"/>
  <c r="P3553" i="2"/>
  <c r="P3550" i="2"/>
  <c r="P3552" i="2"/>
  <c r="P3558" i="2"/>
  <c r="P3548" i="2"/>
  <c r="P3554" i="2"/>
  <c r="P3560" i="2"/>
  <c r="P3566" i="2"/>
  <c r="P3565" i="2"/>
  <c r="P3564" i="2"/>
  <c r="P3563" i="2"/>
  <c r="P3562" i="2"/>
  <c r="P3561" i="2"/>
  <c r="P3516" i="2"/>
  <c r="P3506" i="2"/>
  <c r="P3515" i="2"/>
  <c r="P3514" i="2"/>
  <c r="P4082" i="2"/>
  <c r="P980" i="2"/>
  <c r="P3501" i="2"/>
  <c r="P3505" i="2"/>
  <c r="P3507" i="2"/>
  <c r="P3510" i="2"/>
  <c r="P3513" i="2"/>
  <c r="P3495" i="2"/>
  <c r="P3494" i="2"/>
  <c r="P3493" i="2"/>
  <c r="P3673" i="2"/>
  <c r="P4000" i="2"/>
  <c r="P4002" i="2"/>
  <c r="P3484" i="2"/>
  <c r="P3485" i="2"/>
  <c r="P3487" i="2"/>
  <c r="P3486" i="2"/>
  <c r="P3488" i="2"/>
  <c r="P3491" i="2"/>
  <c r="P3492" i="2"/>
  <c r="P3483" i="2"/>
  <c r="P3482" i="2"/>
  <c r="P3481" i="2"/>
  <c r="P3480" i="2"/>
  <c r="P3479" i="2"/>
  <c r="P3478" i="2"/>
  <c r="P3477" i="2"/>
  <c r="P3476" i="2"/>
  <c r="P3457" i="2"/>
  <c r="P3459" i="2"/>
  <c r="P3449" i="2"/>
  <c r="P3455" i="2"/>
  <c r="P3448" i="2"/>
  <c r="P3461" i="2"/>
  <c r="P3475" i="2"/>
  <c r="P3410" i="2"/>
  <c r="P3411" i="2"/>
  <c r="P3406" i="2"/>
  <c r="P3409" i="2"/>
  <c r="P3408" i="2"/>
  <c r="P3407" i="2"/>
  <c r="P3421" i="2"/>
  <c r="P3420" i="2"/>
  <c r="P3419" i="2"/>
  <c r="P3418" i="2"/>
  <c r="P3417" i="2"/>
  <c r="P3423" i="2"/>
  <c r="P3422" i="2"/>
  <c r="P3445" i="2"/>
  <c r="P3444" i="2"/>
  <c r="P3443" i="2"/>
  <c r="P3442" i="2"/>
  <c r="P3441" i="2"/>
  <c r="P3440" i="2"/>
  <c r="P3439" i="2"/>
  <c r="P3438" i="2"/>
  <c r="P3437" i="2"/>
  <c r="P3436" i="2"/>
  <c r="P3435" i="2"/>
  <c r="P3434" i="2"/>
  <c r="P3433" i="2"/>
  <c r="P3447" i="2"/>
  <c r="P3456" i="2"/>
  <c r="P3446" i="2"/>
  <c r="P3454" i="2"/>
  <c r="P3458" i="2"/>
  <c r="P3460" i="2"/>
  <c r="P3453" i="2"/>
  <c r="P3451" i="2"/>
  <c r="P3452" i="2"/>
  <c r="P3450" i="2"/>
  <c r="P3474" i="2"/>
  <c r="P3473" i="2"/>
  <c r="P3472" i="2"/>
  <c r="P3471" i="2"/>
  <c r="P3470" i="2"/>
  <c r="P3469" i="2"/>
  <c r="P3468" i="2"/>
  <c r="P3467" i="2"/>
  <c r="P3466" i="2"/>
  <c r="P3465" i="2"/>
  <c r="P3464" i="2"/>
  <c r="P3463" i="2"/>
  <c r="P3462" i="2"/>
  <c r="P3391" i="2"/>
  <c r="P3282" i="2"/>
  <c r="P3281" i="2"/>
  <c r="P3280" i="2"/>
  <c r="P3390" i="2"/>
  <c r="P3389" i="2"/>
  <c r="P3388" i="2"/>
  <c r="P3387" i="2"/>
  <c r="P3386" i="2"/>
  <c r="P3385" i="2"/>
  <c r="P3384" i="2"/>
  <c r="P3383" i="2"/>
  <c r="P3382" i="2"/>
  <c r="P3381" i="2"/>
  <c r="P3380" i="2"/>
  <c r="P3379" i="2"/>
  <c r="P3378" i="2"/>
  <c r="P3377" i="2"/>
  <c r="P3376" i="2"/>
  <c r="P3375" i="2"/>
  <c r="P3374" i="2"/>
  <c r="P3373" i="2"/>
  <c r="P3372" i="2"/>
  <c r="P3345" i="2"/>
  <c r="P1332" i="2"/>
  <c r="P3344" i="2"/>
  <c r="P3315" i="2"/>
  <c r="P3336" i="2"/>
  <c r="P3313" i="2"/>
  <c r="P3330" i="2"/>
  <c r="P1553" i="2"/>
  <c r="P3326" i="2"/>
  <c r="P3341" i="2"/>
  <c r="P3329" i="2"/>
  <c r="P1331" i="2"/>
  <c r="P3331" i="2"/>
  <c r="P1552" i="2"/>
  <c r="P3311" i="2"/>
  <c r="P3328" i="2"/>
  <c r="P3309" i="2"/>
  <c r="P3340" i="2"/>
  <c r="P3370" i="2"/>
  <c r="P3371" i="2"/>
  <c r="P3248" i="2"/>
  <c r="P3247" i="2"/>
  <c r="P3255" i="2"/>
  <c r="P3254" i="2"/>
  <c r="P3246" i="2"/>
  <c r="P3253" i="2"/>
  <c r="P3245" i="2"/>
  <c r="P3244" i="2"/>
  <c r="P3243" i="2"/>
  <c r="P3252" i="2"/>
  <c r="P3251" i="2"/>
  <c r="P3250" i="2"/>
  <c r="P3242" i="2"/>
  <c r="P3249" i="2"/>
  <c r="P3241" i="2"/>
  <c r="P3273" i="2"/>
  <c r="P3272" i="2"/>
  <c r="P3271" i="2"/>
  <c r="P3270" i="2"/>
  <c r="P3269" i="2"/>
  <c r="P3268" i="2"/>
  <c r="P3277" i="2"/>
  <c r="P3276" i="2"/>
  <c r="P3275" i="2"/>
  <c r="P3274" i="2"/>
  <c r="P3279" i="2"/>
  <c r="P3278" i="2"/>
  <c r="P3297" i="2"/>
  <c r="P3296" i="2"/>
  <c r="P3295" i="2"/>
  <c r="P3294" i="2"/>
  <c r="P3293" i="2"/>
  <c r="P3292" i="2"/>
  <c r="P3291" i="2"/>
  <c r="P3290" i="2"/>
  <c r="P3289" i="2"/>
  <c r="P3288" i="2"/>
  <c r="P3316" i="2"/>
  <c r="P3318" i="2"/>
  <c r="P3308" i="2"/>
  <c r="P3312" i="2"/>
  <c r="P3334" i="2"/>
  <c r="P3333" i="2"/>
  <c r="P3335" i="2"/>
  <c r="P3324" i="2"/>
  <c r="P3369" i="2"/>
  <c r="P3368" i="2"/>
  <c r="P3367" i="2"/>
  <c r="P3366" i="2"/>
  <c r="P3365" i="2"/>
  <c r="P3364" i="2"/>
  <c r="P3363" i="2"/>
  <c r="P3362" i="2"/>
  <c r="P3361" i="2"/>
  <c r="P3360" i="2"/>
  <c r="P3359" i="2"/>
  <c r="P3358" i="2"/>
  <c r="P3357" i="2"/>
  <c r="P3356" i="2"/>
  <c r="P3355" i="2"/>
  <c r="P3354" i="2"/>
  <c r="P3353" i="2"/>
  <c r="P3352" i="2"/>
  <c r="P3351" i="2"/>
  <c r="P3350" i="2"/>
  <c r="P3349" i="2"/>
  <c r="P3348" i="2"/>
  <c r="P3347" i="2"/>
  <c r="P3346" i="2"/>
  <c r="P3229" i="2"/>
  <c r="P3227" i="2"/>
  <c r="P3220" i="2"/>
  <c r="P3226" i="2"/>
  <c r="P3225" i="2"/>
  <c r="P3224" i="2"/>
  <c r="P3223" i="2"/>
  <c r="P3177" i="2"/>
  <c r="P3176" i="2"/>
  <c r="P3182" i="2"/>
  <c r="P3181" i="2"/>
  <c r="P3190" i="2"/>
  <c r="P3189" i="2"/>
  <c r="P3188" i="2"/>
  <c r="P3187" i="2"/>
  <c r="P3186" i="2"/>
  <c r="P3185" i="2"/>
  <c r="P3184" i="2"/>
  <c r="P3183" i="2"/>
  <c r="P3193" i="2"/>
  <c r="P3192" i="2"/>
  <c r="P3191" i="2"/>
  <c r="P3211" i="2"/>
  <c r="P3210" i="2"/>
  <c r="P3209" i="2"/>
  <c r="P3208" i="2"/>
  <c r="P3207" i="2"/>
  <c r="P3206" i="2"/>
  <c r="P3205" i="2"/>
  <c r="P3204" i="2"/>
  <c r="P3203" i="2"/>
  <c r="P3202" i="2"/>
  <c r="P3221" i="2"/>
  <c r="P3219" i="2"/>
  <c r="P3215" i="2"/>
  <c r="P3218" i="2"/>
  <c r="P3214" i="2"/>
  <c r="P3217" i="2"/>
  <c r="P3216" i="2"/>
  <c r="P3213" i="2"/>
  <c r="P3222" i="2"/>
  <c r="P3166" i="2"/>
  <c r="P3164" i="2"/>
  <c r="P3163" i="2"/>
  <c r="P3127" i="2"/>
  <c r="P3136" i="2"/>
  <c r="P3165" i="2"/>
  <c r="P3162" i="2"/>
  <c r="P3161" i="2"/>
  <c r="P3160" i="2"/>
  <c r="P3159" i="2"/>
  <c r="P3158" i="2"/>
  <c r="P3157" i="2"/>
  <c r="P3156" i="2"/>
  <c r="P3071" i="2"/>
  <c r="P3070" i="2"/>
  <c r="P3069" i="2"/>
  <c r="P3076" i="2"/>
  <c r="P3075" i="2"/>
  <c r="P3074" i="2"/>
  <c r="P3073" i="2"/>
  <c r="P3072" i="2"/>
  <c r="P3085" i="2"/>
  <c r="P3084" i="2"/>
  <c r="P3083" i="2"/>
  <c r="P3082" i="2"/>
  <c r="P3081" i="2"/>
  <c r="P3080" i="2"/>
  <c r="P3079" i="2"/>
  <c r="P3078" i="2"/>
  <c r="P3077" i="2"/>
  <c r="P3118" i="2"/>
  <c r="P3117" i="2"/>
  <c r="P3116" i="2"/>
  <c r="P3115" i="2"/>
  <c r="P3114" i="2"/>
  <c r="P3113" i="2"/>
  <c r="P3112" i="2"/>
  <c r="P3111" i="2"/>
  <c r="P3110" i="2"/>
  <c r="P3109" i="2"/>
  <c r="P3108" i="2"/>
  <c r="P3106" i="2"/>
  <c r="P3105" i="2"/>
  <c r="P3104" i="2"/>
  <c r="P3103" i="2"/>
  <c r="P3102" i="2"/>
  <c r="P3101" i="2"/>
  <c r="P3100" i="2"/>
  <c r="P3099" i="2"/>
  <c r="P3098" i="2"/>
  <c r="P3097" i="2"/>
  <c r="P3096" i="2"/>
  <c r="P3095" i="2"/>
  <c r="P3140" i="2"/>
  <c r="P3126" i="2"/>
  <c r="P3123" i="2"/>
  <c r="P3130" i="2"/>
  <c r="P3133" i="2"/>
  <c r="P3135" i="2"/>
  <c r="P3131" i="2"/>
  <c r="P3134" i="2"/>
  <c r="P3129" i="2"/>
  <c r="P3125" i="2"/>
  <c r="P3124" i="2"/>
  <c r="P3121" i="2"/>
  <c r="P3128" i="2"/>
  <c r="P3138" i="2"/>
  <c r="P3137" i="2"/>
  <c r="P3139" i="2"/>
  <c r="P3122" i="2"/>
  <c r="P3145" i="2"/>
  <c r="P3144" i="2"/>
  <c r="P3143" i="2"/>
  <c r="P3142" i="2"/>
  <c r="P3141" i="2"/>
  <c r="P3155" i="2"/>
  <c r="P3154" i="2"/>
  <c r="P3153" i="2"/>
  <c r="P3152" i="2"/>
  <c r="P3151" i="2"/>
  <c r="P3150" i="2"/>
  <c r="P3149" i="2"/>
  <c r="P3148" i="2"/>
  <c r="P3147" i="2"/>
  <c r="P3146" i="2"/>
  <c r="P3061" i="2"/>
  <c r="P3060" i="2"/>
  <c r="P3059" i="2"/>
  <c r="P3037" i="2"/>
  <c r="P3036" i="2"/>
  <c r="P3035" i="2"/>
  <c r="P3034" i="2"/>
  <c r="P3033" i="2"/>
  <c r="P3032" i="2"/>
  <c r="P3040" i="2"/>
  <c r="P3039" i="2"/>
  <c r="P3038" i="2"/>
  <c r="P3049" i="2"/>
  <c r="P3048" i="2"/>
  <c r="P3047" i="2"/>
  <c r="P3046" i="2"/>
  <c r="P3045" i="2"/>
  <c r="P3044" i="2"/>
  <c r="P3043" i="2"/>
  <c r="P3042" i="2"/>
  <c r="P3054" i="2"/>
  <c r="P3053" i="2"/>
  <c r="P3050" i="2"/>
  <c r="P3051" i="2"/>
  <c r="P3052" i="2"/>
  <c r="P3056" i="2"/>
  <c r="P3057" i="2"/>
  <c r="P3058" i="2"/>
  <c r="P3030" i="2"/>
  <c r="P3028" i="2"/>
  <c r="P3029" i="2"/>
  <c r="P2981" i="2"/>
  <c r="P2986" i="2"/>
  <c r="P2985" i="2"/>
  <c r="P2984" i="2"/>
  <c r="P2983" i="2"/>
  <c r="P2982" i="2"/>
  <c r="P3008" i="2"/>
  <c r="P3007" i="2"/>
  <c r="P3006" i="2"/>
  <c r="P3005" i="2"/>
  <c r="P3004" i="2"/>
  <c r="P3003" i="2"/>
  <c r="P3002" i="2"/>
  <c r="P3001" i="2"/>
  <c r="P3000" i="2"/>
  <c r="P2999" i="2"/>
  <c r="P2998" i="2"/>
  <c r="P2997" i="2"/>
  <c r="P2996" i="2"/>
  <c r="P2995" i="2"/>
  <c r="P2994" i="2"/>
  <c r="P2993" i="2"/>
  <c r="P2992" i="2"/>
  <c r="P3012" i="2"/>
  <c r="P3022" i="2"/>
  <c r="P3024" i="2"/>
  <c r="P3026" i="2"/>
  <c r="P3021" i="2"/>
  <c r="P3015" i="2"/>
  <c r="P3013" i="2"/>
  <c r="P3016" i="2"/>
  <c r="P3019" i="2"/>
  <c r="P3025" i="2"/>
  <c r="P3023" i="2"/>
  <c r="P3017" i="2"/>
  <c r="P3018" i="2"/>
  <c r="P3020" i="2"/>
  <c r="P3011" i="2"/>
  <c r="P3014" i="2"/>
  <c r="P3027" i="2"/>
  <c r="P2977" i="2"/>
  <c r="P2976" i="2"/>
  <c r="P2975" i="2"/>
  <c r="P2941" i="2"/>
  <c r="P2948" i="2"/>
  <c r="P2947" i="2"/>
  <c r="P2946" i="2"/>
  <c r="P2945" i="2"/>
  <c r="P2944" i="2"/>
  <c r="P2943" i="2"/>
  <c r="P2953" i="2"/>
  <c r="P2952" i="2"/>
  <c r="P2951" i="2"/>
  <c r="P2950" i="2"/>
  <c r="P2949" i="2"/>
  <c r="P2957" i="2"/>
  <c r="P2956" i="2"/>
  <c r="P2960" i="2"/>
  <c r="P2959" i="2"/>
  <c r="P2971" i="2"/>
  <c r="P2970" i="2"/>
  <c r="P2969" i="2"/>
  <c r="P2968" i="2"/>
  <c r="P2967" i="2"/>
  <c r="P2966" i="2"/>
  <c r="P2965" i="2"/>
  <c r="P2964" i="2"/>
  <c r="P2963" i="2"/>
  <c r="P2961" i="2"/>
  <c r="P2974" i="2"/>
  <c r="P2973" i="2"/>
  <c r="P2972" i="2"/>
  <c r="P2939" i="2"/>
  <c r="P2962" i="2"/>
  <c r="P2930" i="2"/>
  <c r="P2928" i="2"/>
  <c r="P2929" i="2"/>
  <c r="P2931" i="2"/>
  <c r="P2932" i="2"/>
  <c r="P2938" i="2"/>
  <c r="P2937" i="2"/>
  <c r="P2936" i="2"/>
  <c r="P2935" i="2"/>
  <c r="P2934" i="2"/>
  <c r="P2933" i="2"/>
  <c r="P2927" i="2"/>
  <c r="P4139" i="2"/>
  <c r="P2883" i="2"/>
  <c r="P2926" i="2"/>
  <c r="P2925" i="2"/>
  <c r="P2924" i="2"/>
  <c r="P2923" i="2"/>
  <c r="P2922" i="2"/>
  <c r="P2921" i="2"/>
  <c r="P2920" i="2"/>
  <c r="P2919" i="2"/>
  <c r="P2918" i="2"/>
  <c r="P2917" i="2"/>
  <c r="P2916" i="2"/>
  <c r="P2915" i="2"/>
  <c r="P2914" i="2"/>
  <c r="P2669" i="2"/>
  <c r="P2283" i="2"/>
  <c r="P2284" i="2"/>
  <c r="P2285" i="2"/>
  <c r="P1026" i="2"/>
  <c r="P1023" i="2"/>
  <c r="P1024" i="2"/>
  <c r="P1027" i="2"/>
  <c r="P1025" i="2"/>
  <c r="P2049" i="2"/>
  <c r="P214" i="2"/>
  <c r="P678" i="2"/>
  <c r="P2867" i="2"/>
  <c r="P2868" i="2"/>
  <c r="P2866" i="2"/>
  <c r="P2876" i="2"/>
  <c r="P2875" i="2"/>
  <c r="P2874" i="2"/>
  <c r="P2873" i="2"/>
  <c r="P2872" i="2"/>
  <c r="P2871" i="2"/>
  <c r="P2882" i="2"/>
  <c r="P2881" i="2"/>
  <c r="P2879" i="2"/>
  <c r="P2878" i="2"/>
  <c r="P2877" i="2"/>
  <c r="P2889" i="2"/>
  <c r="P2888" i="2"/>
  <c r="P2887" i="2"/>
  <c r="P2886" i="2"/>
  <c r="P2885" i="2"/>
  <c r="P2884" i="2"/>
  <c r="P2893" i="2"/>
  <c r="P2891" i="2"/>
  <c r="P2892" i="2"/>
  <c r="P2895" i="2"/>
  <c r="P2894" i="2"/>
  <c r="P2899" i="2"/>
  <c r="P2913" i="2"/>
  <c r="P2912" i="2"/>
  <c r="P2911" i="2"/>
  <c r="P2910" i="2"/>
  <c r="P2909" i="2"/>
  <c r="P2908" i="2"/>
  <c r="P2907" i="2"/>
  <c r="P2906" i="2"/>
  <c r="P2905" i="2"/>
  <c r="P2904" i="2"/>
  <c r="P2903" i="2"/>
  <c r="P2902" i="2"/>
  <c r="P2901" i="2"/>
  <c r="P2900" i="2"/>
  <c r="P2862" i="2"/>
  <c r="P2851" i="2"/>
  <c r="P2850" i="2"/>
  <c r="P2855" i="2"/>
  <c r="P2854" i="2"/>
  <c r="P2853" i="2"/>
  <c r="P2852" i="2"/>
  <c r="P2858" i="2"/>
  <c r="P2857" i="2"/>
  <c r="P2859" i="2"/>
  <c r="P2861" i="2"/>
  <c r="P2849" i="2"/>
  <c r="P2848" i="2"/>
  <c r="P2802" i="2"/>
  <c r="P2808" i="2"/>
  <c r="P2807" i="2"/>
  <c r="P2806" i="2"/>
  <c r="P2805" i="2"/>
  <c r="P2804" i="2"/>
  <c r="P2813" i="2"/>
  <c r="P2812" i="2"/>
  <c r="P2811" i="2"/>
  <c r="P2810" i="2"/>
  <c r="P2809" i="2"/>
  <c r="P2814" i="2"/>
  <c r="P2830" i="2"/>
  <c r="P2829" i="2"/>
  <c r="P2828" i="2"/>
  <c r="P2827" i="2"/>
  <c r="P2826" i="2"/>
  <c r="P2825" i="2"/>
  <c r="P2824" i="2"/>
  <c r="P2823" i="2"/>
  <c r="P2822" i="2"/>
  <c r="P2821" i="2"/>
  <c r="P2820" i="2"/>
  <c r="P2819" i="2"/>
  <c r="P2818" i="2"/>
  <c r="P2817" i="2"/>
  <c r="P2816" i="2"/>
  <c r="P2815" i="2"/>
  <c r="P2842" i="2"/>
  <c r="P2834" i="2"/>
  <c r="P2846" i="2"/>
  <c r="P2843" i="2"/>
  <c r="P2833" i="2"/>
  <c r="P2838" i="2"/>
  <c r="P2841" i="2"/>
  <c r="P2845" i="2"/>
  <c r="P2835" i="2"/>
  <c r="P2840" i="2"/>
  <c r="P2839" i="2"/>
  <c r="P2836" i="2"/>
  <c r="P2837" i="2"/>
  <c r="P2844" i="2"/>
  <c r="P2801" i="2"/>
  <c r="P2800" i="2"/>
  <c r="P2749" i="2"/>
  <c r="P2748" i="2"/>
  <c r="P2747" i="2"/>
  <c r="P2746" i="2"/>
  <c r="P2745" i="2"/>
  <c r="P2761" i="2"/>
  <c r="P2760" i="2"/>
  <c r="P2759" i="2"/>
  <c r="P2758" i="2"/>
  <c r="P2757" i="2"/>
  <c r="P2756" i="2"/>
  <c r="P2765" i="2"/>
  <c r="P2764" i="2"/>
  <c r="P2763" i="2"/>
  <c r="P2762" i="2"/>
  <c r="P2771" i="2"/>
  <c r="P2770" i="2"/>
  <c r="P2769" i="2"/>
  <c r="P2768" i="2"/>
  <c r="P2767" i="2"/>
  <c r="P2766" i="2"/>
  <c r="P2784" i="2"/>
  <c r="P2783" i="2"/>
  <c r="P2782" i="2"/>
  <c r="P2781" i="2"/>
  <c r="P2780" i="2"/>
  <c r="P2779" i="2"/>
  <c r="P2778" i="2"/>
  <c r="P2777" i="2"/>
  <c r="P2776" i="2"/>
  <c r="P2775" i="2"/>
  <c r="P2774" i="2"/>
  <c r="P2773" i="2"/>
  <c r="P2772" i="2"/>
  <c r="P2787" i="2"/>
  <c r="P2790" i="2"/>
  <c r="P2797" i="2"/>
  <c r="P2791" i="2"/>
  <c r="P2795" i="2"/>
  <c r="P2796" i="2"/>
  <c r="P2794" i="2"/>
  <c r="P2785" i="2"/>
  <c r="P2789" i="2"/>
  <c r="P2792" i="2"/>
  <c r="P2786" i="2"/>
  <c r="P2793" i="2"/>
  <c r="P2788" i="2"/>
  <c r="P2799" i="2"/>
  <c r="P2798" i="2"/>
  <c r="P2741" i="2"/>
  <c r="P2740" i="2"/>
  <c r="P415" i="2"/>
  <c r="P2694" i="2"/>
  <c r="P2693" i="2"/>
  <c r="P2692" i="2"/>
  <c r="P2691" i="2"/>
  <c r="P2690" i="2"/>
  <c r="P2689" i="2"/>
  <c r="P2688" i="2"/>
  <c r="P2703" i="2"/>
  <c r="P2702" i="2"/>
  <c r="P2709" i="2"/>
  <c r="P2708" i="2"/>
  <c r="P2707" i="2"/>
  <c r="P2706" i="2"/>
  <c r="P2705" i="2"/>
  <c r="P2704" i="2"/>
  <c r="P2710" i="2"/>
  <c r="P2717" i="2"/>
  <c r="P2716" i="2"/>
  <c r="P2715" i="2"/>
  <c r="P2714" i="2"/>
  <c r="P2720" i="2"/>
  <c r="P2718" i="2"/>
  <c r="P2719" i="2"/>
  <c r="P2739" i="2"/>
  <c r="P2738" i="2"/>
  <c r="P2737" i="2"/>
  <c r="P2736" i="2"/>
  <c r="P2735" i="2"/>
  <c r="P2734" i="2"/>
  <c r="P2733" i="2"/>
  <c r="P2732" i="2"/>
  <c r="P2731" i="2"/>
  <c r="P2730" i="2"/>
  <c r="P2729" i="2"/>
  <c r="P2728" i="2"/>
  <c r="P2727" i="2"/>
  <c r="P2726" i="2"/>
  <c r="P2684" i="2"/>
  <c r="P2589" i="2"/>
  <c r="P2683" i="2"/>
  <c r="P2636" i="2"/>
  <c r="P2682" i="2"/>
  <c r="P2681" i="2"/>
  <c r="P2578" i="2"/>
  <c r="P2575" i="2"/>
  <c r="P2577" i="2"/>
  <c r="P2576" i="2"/>
  <c r="P2574" i="2"/>
  <c r="P2573" i="2"/>
  <c r="P2571" i="2"/>
  <c r="P2572" i="2"/>
  <c r="P2590" i="2"/>
  <c r="P2588" i="2"/>
  <c r="P2587" i="2"/>
  <c r="P2586" i="2"/>
  <c r="P2585" i="2"/>
  <c r="P2584" i="2"/>
  <c r="P2627" i="2"/>
  <c r="P2626" i="2"/>
  <c r="P2625" i="2"/>
  <c r="P2624" i="2"/>
  <c r="P2623" i="2"/>
  <c r="P2622" i="2"/>
  <c r="P2621" i="2"/>
  <c r="P2620" i="2"/>
  <c r="P2619" i="2"/>
  <c r="P2618" i="2"/>
  <c r="P2617" i="2"/>
  <c r="P2616" i="2"/>
  <c r="P2615" i="2"/>
  <c r="P2614" i="2"/>
  <c r="P2613" i="2"/>
  <c r="P2612" i="2"/>
  <c r="P2611" i="2"/>
  <c r="P2610" i="2"/>
  <c r="P2609" i="2"/>
  <c r="P2608" i="2"/>
  <c r="P2607" i="2"/>
  <c r="P2606" i="2"/>
  <c r="P2605" i="2"/>
  <c r="P2604" i="2"/>
  <c r="P2603" i="2"/>
  <c r="P2602" i="2"/>
  <c r="P2601" i="2"/>
  <c r="P2600" i="2"/>
  <c r="P2599" i="2"/>
  <c r="P2598" i="2"/>
  <c r="P2597" i="2"/>
  <c r="P2596" i="2"/>
  <c r="P2595" i="2"/>
  <c r="P2594" i="2"/>
  <c r="P2593" i="2"/>
  <c r="P2592" i="2"/>
  <c r="P2591" i="2"/>
  <c r="P2657" i="2"/>
  <c r="P2650" i="2"/>
  <c r="P2639" i="2"/>
  <c r="P2654" i="2"/>
  <c r="P2668" i="2"/>
  <c r="P2665" i="2"/>
  <c r="P2644" i="2"/>
  <c r="P2642" i="2"/>
  <c r="P2667" i="2"/>
  <c r="P2649" i="2"/>
  <c r="P2632" i="2"/>
  <c r="P2663" i="2"/>
  <c r="P2666" i="2"/>
  <c r="P2661" i="2"/>
  <c r="P2662" i="2"/>
  <c r="P2637" i="2"/>
  <c r="P2652" i="2"/>
  <c r="P2647" i="2"/>
  <c r="P2659" i="2"/>
  <c r="P2648" i="2"/>
  <c r="P2643" i="2"/>
  <c r="P2656" i="2"/>
  <c r="P2635" i="2"/>
  <c r="P2638" i="2"/>
  <c r="P2634" i="2"/>
  <c r="P2640" i="2"/>
  <c r="P2658" i="2"/>
  <c r="P2633" i="2"/>
  <c r="P2651" i="2"/>
  <c r="P2655" i="2"/>
  <c r="P2645" i="2"/>
  <c r="P2646" i="2"/>
  <c r="P2660" i="2"/>
  <c r="P2676" i="2"/>
  <c r="P2675" i="2"/>
  <c r="P2680" i="2"/>
  <c r="P2679" i="2"/>
  <c r="P2678" i="2"/>
  <c r="P2677" i="2"/>
  <c r="P2567" i="2"/>
  <c r="P2547" i="2"/>
  <c r="P2546" i="2"/>
  <c r="P2552" i="2"/>
  <c r="P2551" i="2"/>
  <c r="P2550" i="2"/>
  <c r="P2553" i="2"/>
  <c r="P2561" i="2"/>
  <c r="P803" i="2"/>
  <c r="P2566" i="2"/>
  <c r="P2565" i="2"/>
  <c r="P2564" i="2"/>
  <c r="P2563" i="2"/>
  <c r="P2545" i="2"/>
  <c r="P2544" i="2"/>
  <c r="P2530" i="2"/>
  <c r="P2543" i="2"/>
  <c r="P2511" i="2"/>
  <c r="P2510" i="2"/>
  <c r="P2509" i="2"/>
  <c r="P2508" i="2"/>
  <c r="P2517" i="2"/>
  <c r="P2516" i="2"/>
  <c r="P2515" i="2"/>
  <c r="P2514" i="2"/>
  <c r="P2513" i="2"/>
  <c r="P2512" i="2"/>
  <c r="P2526" i="2"/>
  <c r="P2525" i="2"/>
  <c r="P2524" i="2"/>
  <c r="P2523" i="2"/>
  <c r="P2522" i="2"/>
  <c r="P2521" i="2"/>
  <c r="P2520" i="2"/>
  <c r="P2529" i="2"/>
  <c r="P2532" i="2"/>
  <c r="P2528" i="2"/>
  <c r="P2534" i="2"/>
  <c r="P2531" i="2"/>
  <c r="P2533" i="2"/>
  <c r="P2536" i="2"/>
  <c r="P2535" i="2"/>
  <c r="P2542" i="2"/>
  <c r="P2541" i="2"/>
  <c r="P2540" i="2"/>
  <c r="P2539" i="2"/>
  <c r="P2538" i="2"/>
  <c r="P2537" i="2"/>
  <c r="P2506" i="2"/>
  <c r="P2483" i="2"/>
  <c r="P2484" i="2"/>
  <c r="P2494" i="2"/>
  <c r="P2493" i="2"/>
  <c r="P2492" i="2"/>
  <c r="P2491" i="2"/>
  <c r="P2490" i="2"/>
  <c r="P2489" i="2"/>
  <c r="P2488" i="2"/>
  <c r="P2487" i="2"/>
  <c r="P2486" i="2"/>
  <c r="P2504" i="2"/>
  <c r="P2501" i="2"/>
  <c r="P2498" i="2"/>
  <c r="P2503" i="2"/>
  <c r="P2502" i="2"/>
  <c r="P2497" i="2"/>
  <c r="P2496" i="2"/>
  <c r="P2500" i="2"/>
  <c r="P2499" i="2"/>
  <c r="P2505" i="2"/>
  <c r="P2482" i="2"/>
  <c r="P2481" i="2"/>
  <c r="P2480" i="2"/>
  <c r="P2447" i="2"/>
  <c r="P2443" i="2"/>
  <c r="P2345" i="2"/>
  <c r="P2344" i="2"/>
  <c r="P2343" i="2"/>
  <c r="P2342" i="2"/>
  <c r="P2341" i="2"/>
  <c r="P2352" i="2"/>
  <c r="P2351" i="2"/>
  <c r="P2359" i="2"/>
  <c r="P2358" i="2"/>
  <c r="P2357" i="2"/>
  <c r="P2356" i="2"/>
  <c r="P2355" i="2"/>
  <c r="P2354" i="2"/>
  <c r="P2353" i="2"/>
  <c r="P2410" i="2"/>
  <c r="P2409" i="2"/>
  <c r="P2408" i="2"/>
  <c r="P2407" i="2"/>
  <c r="P2406" i="2"/>
  <c r="P2405" i="2"/>
  <c r="P2404" i="2"/>
  <c r="P2403" i="2"/>
  <c r="P2402" i="2"/>
  <c r="P2401" i="2"/>
  <c r="P2400" i="2"/>
  <c r="P2399" i="2"/>
  <c r="P2398" i="2"/>
  <c r="P2397" i="2"/>
  <c r="P2396" i="2"/>
  <c r="P2395" i="2"/>
  <c r="P2394" i="2"/>
  <c r="P2393" i="2"/>
  <c r="P2392" i="2"/>
  <c r="P2391" i="2"/>
  <c r="P2390" i="2"/>
  <c r="P2389" i="2"/>
  <c r="P2388" i="2"/>
  <c r="P2387" i="2"/>
  <c r="P2386" i="2"/>
  <c r="P2385" i="2"/>
  <c r="P2384" i="2"/>
  <c r="P2383" i="2"/>
  <c r="P2382" i="2"/>
  <c r="P2381" i="2"/>
  <c r="P2380" i="2"/>
  <c r="P2379" i="2"/>
  <c r="P2378" i="2"/>
  <c r="P2377" i="2"/>
  <c r="P2376" i="2"/>
  <c r="P2375" i="2"/>
  <c r="P2374" i="2"/>
  <c r="P2373" i="2"/>
  <c r="P2372" i="2"/>
  <c r="P2371" i="2"/>
  <c r="P2370" i="2"/>
  <c r="P2369" i="2"/>
  <c r="P2368" i="2"/>
  <c r="P2367" i="2"/>
  <c r="P2366" i="2"/>
  <c r="P2365" i="2"/>
  <c r="P2454" i="2"/>
  <c r="P2440" i="2"/>
  <c r="P2455" i="2"/>
  <c r="P2435" i="2"/>
  <c r="P2412" i="2"/>
  <c r="P2430" i="2"/>
  <c r="P2423" i="2"/>
  <c r="P2427" i="2"/>
  <c r="P2434" i="2"/>
  <c r="P2432" i="2"/>
  <c r="P2441" i="2"/>
  <c r="P2442" i="2"/>
  <c r="P2437" i="2"/>
  <c r="P2414" i="2"/>
  <c r="P2425" i="2"/>
  <c r="P2413" i="2"/>
  <c r="P2415" i="2"/>
  <c r="P2456" i="2"/>
  <c r="P2448" i="2"/>
  <c r="P2445" i="2"/>
  <c r="P2444" i="2"/>
  <c r="P2438" i="2"/>
  <c r="P2449" i="2"/>
  <c r="P2419" i="2"/>
  <c r="P2426" i="2"/>
  <c r="P2439" i="2"/>
  <c r="P2446" i="2"/>
  <c r="P2433" i="2"/>
  <c r="P2416" i="2"/>
  <c r="P2411" i="2"/>
  <c r="P2457" i="2"/>
  <c r="P2451" i="2"/>
  <c r="P2436" i="2"/>
  <c r="P2428" i="2"/>
  <c r="P2420" i="2"/>
  <c r="P2450" i="2"/>
  <c r="P2417" i="2"/>
  <c r="P2453" i="2"/>
  <c r="P2418" i="2"/>
  <c r="P2424" i="2"/>
  <c r="P2421" i="2"/>
  <c r="P2422" i="2"/>
  <c r="P2431" i="2"/>
  <c r="P2479" i="2"/>
  <c r="P2478" i="2"/>
  <c r="P2477" i="2"/>
  <c r="P2476" i="2"/>
  <c r="P2475" i="2"/>
  <c r="P2474" i="2"/>
  <c r="P2473" i="2"/>
  <c r="P2331" i="2"/>
  <c r="P2330" i="2"/>
  <c r="P2329" i="2"/>
  <c r="P2321" i="2"/>
  <c r="P2322" i="2"/>
  <c r="P2319" i="2"/>
  <c r="P2311" i="2"/>
  <c r="P2315" i="2"/>
  <c r="P2314" i="2"/>
  <c r="P2313" i="2"/>
  <c r="P2316" i="2"/>
  <c r="P2317" i="2"/>
  <c r="P2318" i="2"/>
  <c r="P2308" i="2"/>
  <c r="P2307" i="2"/>
  <c r="P2306" i="2"/>
  <c r="P2305" i="2"/>
  <c r="P2304" i="2"/>
  <c r="P2303" i="2"/>
  <c r="P2302" i="2"/>
  <c r="P2301" i="2"/>
  <c r="P2300" i="2"/>
  <c r="P2299" i="2"/>
  <c r="P1013" i="2"/>
  <c r="P2278" i="2"/>
  <c r="P3630" i="2"/>
  <c r="P4041" i="2"/>
  <c r="P1003" i="2"/>
  <c r="P2263" i="2"/>
  <c r="P2273" i="2"/>
  <c r="P2258" i="2"/>
  <c r="P2266" i="2"/>
  <c r="P2202" i="2"/>
  <c r="P2201" i="2"/>
  <c r="P2198" i="2"/>
  <c r="P2200" i="2"/>
  <c r="P2199" i="2"/>
  <c r="P2209" i="2"/>
  <c r="P2208" i="2"/>
  <c r="P2207" i="2"/>
  <c r="P2212" i="2"/>
  <c r="P2211" i="2"/>
  <c r="P2210" i="2"/>
  <c r="P2215" i="2"/>
  <c r="P2214" i="2"/>
  <c r="P2213" i="2"/>
  <c r="P2244" i="2"/>
  <c r="P2243" i="2"/>
  <c r="P2242" i="2"/>
  <c r="P2241" i="2"/>
  <c r="P2240" i="2"/>
  <c r="P2239" i="2"/>
  <c r="P2238" i="2"/>
  <c r="P2237" i="2"/>
  <c r="P2236" i="2"/>
  <c r="P2235" i="2"/>
  <c r="P2234" i="2"/>
  <c r="P2233" i="2"/>
  <c r="P2232" i="2"/>
  <c r="P2231" i="2"/>
  <c r="P2230" i="2"/>
  <c r="P2229" i="2"/>
  <c r="P2228" i="2"/>
  <c r="P2227" i="2"/>
  <c r="P2226" i="2"/>
  <c r="P2225" i="2"/>
  <c r="P2224" i="2"/>
  <c r="P2223" i="2"/>
  <c r="P2222" i="2"/>
  <c r="P2221" i="2"/>
  <c r="P2220" i="2"/>
  <c r="P2219" i="2"/>
  <c r="P2218" i="2"/>
  <c r="P2217" i="2"/>
  <c r="P2216" i="2"/>
  <c r="P2282" i="2"/>
  <c r="P2251" i="2"/>
  <c r="P2264" i="2"/>
  <c r="P2257" i="2"/>
  <c r="P2253" i="2"/>
  <c r="P2254" i="2"/>
  <c r="P2252" i="2"/>
  <c r="P2277" i="2"/>
  <c r="P2255" i="2"/>
  <c r="P2267" i="2"/>
  <c r="P2271" i="2"/>
  <c r="P2265" i="2"/>
  <c r="P2275" i="2"/>
  <c r="P140" i="2"/>
  <c r="P2272" i="2"/>
  <c r="P2262" i="2"/>
  <c r="P2281" i="2"/>
  <c r="P2280" i="2"/>
  <c r="P2269" i="2"/>
  <c r="P2260" i="2"/>
  <c r="P2259" i="2"/>
  <c r="P2250" i="2"/>
  <c r="P2256" i="2"/>
  <c r="P2298" i="2"/>
  <c r="P2297" i="2"/>
  <c r="P2194" i="2"/>
  <c r="P2193" i="2"/>
  <c r="P2192" i="2"/>
  <c r="P2191" i="2"/>
  <c r="P2324" i="2"/>
  <c r="P2154" i="2"/>
  <c r="P2175" i="2"/>
  <c r="P2190" i="2"/>
  <c r="P2068" i="2"/>
  <c r="P2067" i="2"/>
  <c r="P2066" i="2"/>
  <c r="P2065" i="2"/>
  <c r="P2061" i="2"/>
  <c r="P2064" i="2"/>
  <c r="P2063" i="2"/>
  <c r="P2062" i="2"/>
  <c r="P2080" i="2"/>
  <c r="P2079" i="2"/>
  <c r="P2078" i="2"/>
  <c r="P2094" i="2"/>
  <c r="P2093" i="2"/>
  <c r="P2092" i="2"/>
  <c r="P2091" i="2"/>
  <c r="P2090" i="2"/>
  <c r="P2089" i="2"/>
  <c r="P2088" i="2"/>
  <c r="P2087" i="2"/>
  <c r="P2086" i="2"/>
  <c r="P2085" i="2"/>
  <c r="P2084" i="2"/>
  <c r="P2083" i="2"/>
  <c r="P2082" i="2"/>
  <c r="P2081" i="2"/>
  <c r="P2095" i="2"/>
  <c r="P2136" i="2"/>
  <c r="P2135" i="2"/>
  <c r="P2134" i="2"/>
  <c r="P2133" i="2"/>
  <c r="P2132" i="2"/>
  <c r="P2131" i="2"/>
  <c r="P2130" i="2"/>
  <c r="P2129" i="2"/>
  <c r="P2128" i="2"/>
  <c r="P2127" i="2"/>
  <c r="P2126" i="2"/>
  <c r="P2125" i="2"/>
  <c r="P2124" i="2"/>
  <c r="P2123" i="2"/>
  <c r="P2122" i="2"/>
  <c r="P2121" i="2"/>
  <c r="P2120" i="2"/>
  <c r="P2119" i="2"/>
  <c r="P2118" i="2"/>
  <c r="P2117" i="2"/>
  <c r="P2116" i="2"/>
  <c r="P2115" i="2"/>
  <c r="P2114" i="2"/>
  <c r="P2113" i="2"/>
  <c r="P2112" i="2"/>
  <c r="P2111" i="2"/>
  <c r="P2110" i="2"/>
  <c r="P2141" i="2"/>
  <c r="P2152" i="2"/>
  <c r="P2176" i="2"/>
  <c r="P2168" i="2"/>
  <c r="P2142" i="2"/>
  <c r="P2172" i="2"/>
  <c r="P2161" i="2"/>
  <c r="P2160" i="2"/>
  <c r="P2174" i="2"/>
  <c r="P2147" i="2"/>
  <c r="P2148" i="2"/>
  <c r="P2167" i="2"/>
  <c r="P2144" i="2"/>
  <c r="P2138" i="2"/>
  <c r="P2156" i="2"/>
  <c r="P2151" i="2"/>
  <c r="P2143" i="2"/>
  <c r="P2166" i="2"/>
  <c r="P2164" i="2"/>
  <c r="P2153" i="2"/>
  <c r="P2171" i="2"/>
  <c r="P2177" i="2"/>
  <c r="P2163" i="2"/>
  <c r="P2146" i="2"/>
  <c r="P2149" i="2"/>
  <c r="P2155" i="2"/>
  <c r="P2139" i="2"/>
  <c r="P2189" i="2"/>
  <c r="P2188" i="2"/>
  <c r="P2187" i="2"/>
  <c r="P2186" i="2"/>
  <c r="P2185" i="2"/>
  <c r="P2184" i="2"/>
  <c r="P2055" i="2"/>
  <c r="P2054" i="2"/>
  <c r="P2043" i="2"/>
  <c r="P2053" i="2"/>
  <c r="P2006" i="2"/>
  <c r="P2011" i="2"/>
  <c r="P2010" i="2"/>
  <c r="P2009" i="2"/>
  <c r="P2008" i="2"/>
  <c r="P2015" i="2"/>
  <c r="P2014" i="2"/>
  <c r="P2013" i="2"/>
  <c r="P2012" i="2"/>
  <c r="P2016" i="2"/>
  <c r="P2030" i="2"/>
  <c r="P2029" i="2"/>
  <c r="P2028" i="2"/>
  <c r="P2027" i="2"/>
  <c r="P2026" i="2"/>
  <c r="P2025" i="2"/>
  <c r="P2024" i="2"/>
  <c r="P2023" i="2"/>
  <c r="P2022" i="2"/>
  <c r="P2021" i="2"/>
  <c r="P2020" i="2"/>
  <c r="P2019" i="2"/>
  <c r="P2018" i="2"/>
  <c r="P2017" i="2"/>
  <c r="P2041" i="2"/>
  <c r="P2037" i="2"/>
  <c r="P2045" i="2"/>
  <c r="P2040" i="2"/>
  <c r="P2034" i="2"/>
  <c r="P209" i="2"/>
  <c r="P2033" i="2"/>
  <c r="P2046" i="2"/>
  <c r="P2047" i="2"/>
  <c r="P2044" i="2"/>
  <c r="P2048" i="2"/>
  <c r="P2035" i="2"/>
  <c r="P2004" i="2"/>
  <c r="P2003" i="2"/>
  <c r="P1972" i="2"/>
  <c r="P2002" i="2"/>
  <c r="P2000" i="2"/>
  <c r="P2001" i="2"/>
  <c r="P1920" i="2"/>
  <c r="P1919" i="2"/>
  <c r="P1928" i="2"/>
  <c r="P1927" i="2"/>
  <c r="P1926" i="2"/>
  <c r="P1925" i="2"/>
  <c r="P1924" i="2"/>
  <c r="P1923" i="2"/>
  <c r="P1922" i="2"/>
  <c r="P1921" i="2"/>
  <c r="P1929" i="2"/>
  <c r="P1953" i="2"/>
  <c r="P1952" i="2"/>
  <c r="P1951" i="2"/>
  <c r="P1950" i="2"/>
  <c r="P1949" i="2"/>
  <c r="P1948" i="2"/>
  <c r="P1947" i="2"/>
  <c r="P1946" i="2"/>
  <c r="P1945" i="2"/>
  <c r="P1944" i="2"/>
  <c r="P1943" i="2"/>
  <c r="P1942" i="2"/>
  <c r="P1941" i="2"/>
  <c r="P1940" i="2"/>
  <c r="P1939" i="2"/>
  <c r="P1938" i="2"/>
  <c r="P1937" i="2"/>
  <c r="P1936" i="2"/>
  <c r="P1935" i="2"/>
  <c r="P1968" i="2"/>
  <c r="P1978" i="2"/>
  <c r="P1970" i="2"/>
  <c r="P1974" i="2"/>
  <c r="P1971" i="2"/>
  <c r="P1980" i="2"/>
  <c r="P1973" i="2"/>
  <c r="P1960" i="2"/>
  <c r="P1962" i="2"/>
  <c r="P1964" i="2"/>
  <c r="P1959" i="2"/>
  <c r="P1956" i="2"/>
  <c r="P1963" i="2"/>
  <c r="P1984" i="2"/>
  <c r="P1982" i="2"/>
  <c r="P1965" i="2"/>
  <c r="P1961" i="2"/>
  <c r="P1999" i="2"/>
  <c r="P1998" i="2"/>
  <c r="P1997" i="2"/>
  <c r="P1996" i="2"/>
  <c r="P1995" i="2"/>
  <c r="P1994" i="2"/>
  <c r="P1993" i="2"/>
  <c r="P1913" i="2"/>
  <c r="P1912" i="2"/>
  <c r="P1911" i="2"/>
  <c r="P1910" i="2"/>
  <c r="P1909" i="2"/>
  <c r="P1878" i="2"/>
  <c r="P1882" i="2"/>
  <c r="P1884" i="2"/>
  <c r="P1907" i="2"/>
  <c r="P1908" i="2"/>
  <c r="P1902" i="2"/>
  <c r="P1904" i="2"/>
  <c r="P1850" i="2"/>
  <c r="P1849" i="2"/>
  <c r="P1900" i="2"/>
  <c r="P1899" i="2"/>
  <c r="P1903" i="2"/>
  <c r="P1901" i="2"/>
  <c r="P1906" i="2"/>
  <c r="P1905" i="2"/>
  <c r="P1848" i="2"/>
  <c r="P1847" i="2"/>
  <c r="P1857" i="2"/>
  <c r="P1856" i="2"/>
  <c r="P1855" i="2"/>
  <c r="P1854" i="2"/>
  <c r="P1863" i="2"/>
  <c r="P1862" i="2"/>
  <c r="P1861" i="2"/>
  <c r="P1860" i="2"/>
  <c r="P1859" i="2"/>
  <c r="P1858" i="2"/>
  <c r="P1867" i="2"/>
  <c r="P1866" i="2"/>
  <c r="P1865" i="2"/>
  <c r="P1864" i="2"/>
  <c r="P1877" i="2"/>
  <c r="P1876" i="2"/>
  <c r="P1875" i="2"/>
  <c r="P1874" i="2"/>
  <c r="P1873" i="2"/>
  <c r="P1879" i="2"/>
  <c r="P1881" i="2"/>
  <c r="P1883" i="2"/>
  <c r="P1880" i="2"/>
  <c r="P1885" i="2"/>
  <c r="P1889" i="2"/>
  <c r="P1888" i="2"/>
  <c r="P1898" i="2"/>
  <c r="P1897" i="2"/>
  <c r="P1896" i="2"/>
  <c r="P1895" i="2"/>
  <c r="P1894" i="2"/>
  <c r="P1893" i="2"/>
  <c r="P1892" i="2"/>
  <c r="P1891" i="2"/>
  <c r="P1890" i="2"/>
  <c r="P1843" i="2"/>
  <c r="P1810" i="2"/>
  <c r="P1809" i="2"/>
  <c r="P1799" i="2"/>
  <c r="P1798" i="2"/>
  <c r="P1806" i="2"/>
  <c r="P1805" i="2"/>
  <c r="P1804" i="2"/>
  <c r="P1803" i="2"/>
  <c r="P1812" i="2"/>
  <c r="P1811" i="2"/>
  <c r="P1808" i="2"/>
  <c r="P1807" i="2"/>
  <c r="P1814" i="2"/>
  <c r="P1813" i="2"/>
  <c r="P1825" i="2"/>
  <c r="P1824" i="2"/>
  <c r="P1823" i="2"/>
  <c r="P1822" i="2"/>
  <c r="P1821" i="2"/>
  <c r="P1820" i="2"/>
  <c r="P1830" i="2"/>
  <c r="P1828" i="2"/>
  <c r="P1831" i="2"/>
  <c r="P1827" i="2"/>
  <c r="P1832" i="2"/>
  <c r="P1837" i="2"/>
  <c r="P1836" i="2"/>
  <c r="P1835" i="2"/>
  <c r="P1842" i="2"/>
  <c r="P1841" i="2"/>
  <c r="P1840" i="2"/>
  <c r="P1839" i="2"/>
  <c r="P1838" i="2"/>
  <c r="P1795" i="2"/>
  <c r="P1794" i="2"/>
  <c r="P1793" i="2"/>
  <c r="P1791" i="2"/>
  <c r="P3849" i="2"/>
  <c r="P1790" i="2"/>
  <c r="P1768" i="2"/>
  <c r="P1767" i="2"/>
  <c r="P1766" i="2"/>
  <c r="P1773" i="2"/>
  <c r="P1772" i="2"/>
  <c r="P1771" i="2"/>
  <c r="P1770" i="2"/>
  <c r="P1769" i="2"/>
  <c r="P1779" i="2"/>
  <c r="P1778" i="2"/>
  <c r="P1777" i="2"/>
  <c r="P1776" i="2"/>
  <c r="P1783" i="2"/>
  <c r="P1782" i="2"/>
  <c r="P1784" i="2"/>
  <c r="P1789" i="2"/>
  <c r="P1788" i="2"/>
  <c r="P1787" i="2"/>
  <c r="P1786" i="2"/>
  <c r="P1761" i="2"/>
  <c r="P1753" i="2"/>
  <c r="P1756" i="2"/>
  <c r="P1755" i="2"/>
  <c r="P1754" i="2"/>
  <c r="P1759" i="2"/>
  <c r="P1760" i="2"/>
  <c r="P1748" i="2"/>
  <c r="P1740" i="2"/>
  <c r="P1742" i="2"/>
  <c r="P1741" i="2"/>
  <c r="P1744" i="2"/>
  <c r="P1743" i="2"/>
  <c r="P1747" i="2"/>
  <c r="P1746" i="2"/>
  <c r="P1745" i="2"/>
  <c r="P1734" i="2"/>
  <c r="P3228" i="2"/>
  <c r="P1733" i="2"/>
  <c r="P1731" i="2"/>
  <c r="P1732" i="2"/>
  <c r="P1730" i="2"/>
  <c r="P1693" i="2"/>
  <c r="P1692" i="2"/>
  <c r="P1691" i="2"/>
  <c r="P1690" i="2"/>
  <c r="P1703" i="2"/>
  <c r="P1702" i="2"/>
  <c r="P1701" i="2"/>
  <c r="P1700" i="2"/>
  <c r="P1708" i="2"/>
  <c r="P1707" i="2"/>
  <c r="P1706" i="2"/>
  <c r="P1705" i="2"/>
  <c r="P1704" i="2"/>
  <c r="P1709" i="2"/>
  <c r="P1717" i="2"/>
  <c r="P1716" i="2"/>
  <c r="P1715" i="2"/>
  <c r="P1714" i="2"/>
  <c r="P1713" i="2"/>
  <c r="P1720" i="2"/>
  <c r="P1723" i="2"/>
  <c r="P1718" i="2"/>
  <c r="P1719" i="2"/>
  <c r="P1722" i="2"/>
  <c r="P1725" i="2"/>
  <c r="P1724" i="2"/>
  <c r="P1729" i="2"/>
  <c r="P1728" i="2"/>
  <c r="P1727" i="2"/>
  <c r="P1726" i="2"/>
  <c r="P1684" i="2"/>
  <c r="P1683" i="2"/>
  <c r="P1645" i="2"/>
  <c r="P1656" i="2"/>
  <c r="P1681" i="2"/>
  <c r="P1680" i="2"/>
  <c r="P1679" i="2"/>
  <c r="P1678" i="2"/>
  <c r="P1677" i="2"/>
  <c r="P1676" i="2"/>
  <c r="P1675" i="2"/>
  <c r="P1674" i="2"/>
  <c r="P1673" i="2"/>
  <c r="P1672" i="2"/>
  <c r="P1671" i="2"/>
  <c r="P1670" i="2"/>
  <c r="P1669" i="2"/>
  <c r="P1668" i="2"/>
  <c r="P1667" i="2"/>
  <c r="P1666" i="2"/>
  <c r="P1665" i="2"/>
  <c r="P1664" i="2"/>
  <c r="P1663" i="2"/>
  <c r="P1662" i="2"/>
  <c r="P1661" i="2"/>
  <c r="P1660" i="2"/>
  <c r="P1659" i="2"/>
  <c r="P1658" i="2"/>
  <c r="P1606" i="2"/>
  <c r="P1605" i="2"/>
  <c r="P1604" i="2"/>
  <c r="P1603" i="2"/>
  <c r="P1614" i="2"/>
  <c r="P1613" i="2"/>
  <c r="P1612" i="2"/>
  <c r="P1618" i="2"/>
  <c r="P1617" i="2"/>
  <c r="P1616" i="2"/>
  <c r="P1615" i="2"/>
  <c r="P1622" i="2"/>
  <c r="P1621" i="2"/>
  <c r="P1620" i="2"/>
  <c r="P1619" i="2"/>
  <c r="P1634" i="2"/>
  <c r="P1633" i="2"/>
  <c r="P1632" i="2"/>
  <c r="P1631" i="2"/>
  <c r="P1630" i="2"/>
  <c r="P1629" i="2"/>
  <c r="P1628" i="2"/>
  <c r="P1627" i="2"/>
  <c r="P1626" i="2"/>
  <c r="P1639" i="2"/>
  <c r="P1646" i="2"/>
  <c r="P1649" i="2"/>
  <c r="P1682" i="2"/>
  <c r="P1638" i="2"/>
  <c r="P1636" i="2"/>
  <c r="P1641" i="2"/>
  <c r="P1643" i="2"/>
  <c r="P1642" i="2"/>
  <c r="P1644" i="2"/>
  <c r="P1652" i="2"/>
  <c r="P1651" i="2"/>
  <c r="P1650" i="2"/>
  <c r="P1655" i="2"/>
  <c r="P1654" i="2"/>
  <c r="P1653" i="2"/>
  <c r="P1598" i="2"/>
  <c r="P1597" i="2"/>
  <c r="P1596" i="2"/>
  <c r="P1533" i="2"/>
  <c r="P1589" i="2"/>
  <c r="P1588" i="2"/>
  <c r="P1590" i="2"/>
  <c r="P1591" i="2"/>
  <c r="P1530" i="2"/>
  <c r="P1578" i="2"/>
  <c r="P1577" i="2"/>
  <c r="P1576" i="2"/>
  <c r="P1575" i="2"/>
  <c r="P1583" i="2"/>
  <c r="P1582" i="2"/>
  <c r="P1581" i="2"/>
  <c r="P1580" i="2"/>
  <c r="P1579" i="2"/>
  <c r="P1586" i="2"/>
  <c r="P1587" i="2"/>
  <c r="P1585" i="2"/>
  <c r="P1532" i="2"/>
  <c r="P1529" i="2"/>
  <c r="P1531" i="2"/>
  <c r="P1528" i="2"/>
  <c r="P1527" i="2"/>
  <c r="P1526" i="2"/>
  <c r="P1543" i="2"/>
  <c r="P1544" i="2"/>
  <c r="P1548" i="2"/>
  <c r="P1547" i="2"/>
  <c r="P1546" i="2"/>
  <c r="P1550" i="2"/>
  <c r="P1573" i="2"/>
  <c r="P1572" i="2"/>
  <c r="P1571" i="2"/>
  <c r="P1574" i="2"/>
  <c r="P1592" i="2"/>
  <c r="P1500" i="2"/>
  <c r="P1499" i="2"/>
  <c r="P1498" i="2"/>
  <c r="P1497" i="2"/>
  <c r="P1457" i="2"/>
  <c r="P1474" i="2"/>
  <c r="P3323" i="2"/>
  <c r="P1495" i="2"/>
  <c r="P1494" i="2"/>
  <c r="P1496" i="2"/>
  <c r="P1492" i="2"/>
  <c r="P1493" i="2"/>
  <c r="P1396" i="2"/>
  <c r="P1395" i="2"/>
  <c r="P1391" i="2"/>
  <c r="P1394" i="2"/>
  <c r="P1390" i="2"/>
  <c r="P1393" i="2"/>
  <c r="P1392" i="2"/>
  <c r="P1408" i="2"/>
  <c r="P1407" i="2"/>
  <c r="P1406" i="2"/>
  <c r="P1409" i="2"/>
  <c r="P1444" i="2"/>
  <c r="P1443" i="2"/>
  <c r="P1442" i="2"/>
  <c r="P1441" i="2"/>
  <c r="P1440" i="2"/>
  <c r="P1439" i="2"/>
  <c r="P1438" i="2"/>
  <c r="P1437" i="2"/>
  <c r="P1436" i="2"/>
  <c r="P1435" i="2"/>
  <c r="P1434" i="2"/>
  <c r="P1433" i="2"/>
  <c r="P1432" i="2"/>
  <c r="P1431" i="2"/>
  <c r="P1430" i="2"/>
  <c r="P1429" i="2"/>
  <c r="P1428" i="2"/>
  <c r="P1427" i="2"/>
  <c r="P1426" i="2"/>
  <c r="P1425" i="2"/>
  <c r="P1424" i="2"/>
  <c r="P1423" i="2"/>
  <c r="P1422" i="2"/>
  <c r="P1421" i="2"/>
  <c r="P1420" i="2"/>
  <c r="P1419" i="2"/>
  <c r="P1418" i="2"/>
  <c r="P1417" i="2"/>
  <c r="P1416" i="2"/>
  <c r="P1469" i="2"/>
  <c r="P1470" i="2"/>
  <c r="P1473" i="2"/>
  <c r="P1451" i="2"/>
  <c r="P1454" i="2"/>
  <c r="P1445" i="2"/>
  <c r="P1452" i="2"/>
  <c r="P1472" i="2"/>
  <c r="P1459" i="2"/>
  <c r="P1453" i="2"/>
  <c r="P1447" i="2"/>
  <c r="P1455" i="2"/>
  <c r="P1446" i="2"/>
  <c r="P1464" i="2"/>
  <c r="P1461" i="2"/>
  <c r="P1467" i="2"/>
  <c r="P1458" i="2"/>
  <c r="P1456" i="2"/>
  <c r="P1468" i="2"/>
  <c r="P1465" i="2"/>
  <c r="P1448" i="2"/>
  <c r="P1471" i="2"/>
  <c r="P1463" i="2"/>
  <c r="P1466" i="2"/>
  <c r="P1460" i="2"/>
  <c r="P1462" i="2"/>
  <c r="P1477" i="2"/>
  <c r="P1491" i="2"/>
  <c r="P1490" i="2"/>
  <c r="P1489" i="2"/>
  <c r="P1488" i="2"/>
  <c r="P1487" i="2"/>
  <c r="P1486" i="2"/>
  <c r="P1485" i="2"/>
  <c r="P1484" i="2"/>
  <c r="P1483" i="2"/>
  <c r="P1482" i="2"/>
  <c r="P1481" i="2"/>
  <c r="P1382" i="2"/>
  <c r="P1268" i="2"/>
  <c r="P1257" i="2"/>
  <c r="P1381" i="2"/>
  <c r="P1380" i="2"/>
  <c r="P1379" i="2"/>
  <c r="P1378" i="2"/>
  <c r="P1311" i="2"/>
  <c r="P311" i="2"/>
  <c r="P1327" i="2"/>
  <c r="P1322" i="2"/>
  <c r="P1371" i="2"/>
  <c r="P1370" i="2"/>
  <c r="P1369" i="2"/>
  <c r="P1368" i="2"/>
  <c r="P1367" i="2"/>
  <c r="P1373" i="2"/>
  <c r="P1372" i="2"/>
  <c r="P1375" i="2"/>
  <c r="P1374" i="2"/>
  <c r="P1377" i="2"/>
  <c r="P1376" i="2"/>
  <c r="P1221" i="2"/>
  <c r="P1224" i="2"/>
  <c r="P1223" i="2"/>
  <c r="P1220" i="2"/>
  <c r="P1219" i="2"/>
  <c r="P1222" i="2"/>
  <c r="P1248" i="2"/>
  <c r="P1247" i="2"/>
  <c r="P1246" i="2"/>
  <c r="P1245" i="2"/>
  <c r="P1244" i="2"/>
  <c r="P1243" i="2"/>
  <c r="P1242" i="2"/>
  <c r="P1241" i="2"/>
  <c r="P1240" i="2"/>
  <c r="P1239" i="2"/>
  <c r="P1254" i="2"/>
  <c r="P1253" i="2"/>
  <c r="P1252" i="2"/>
  <c r="P1251" i="2"/>
  <c r="P1250" i="2"/>
  <c r="P1249" i="2"/>
  <c r="P1267" i="2"/>
  <c r="P1266" i="2"/>
  <c r="P1265" i="2"/>
  <c r="P1264" i="2"/>
  <c r="P1263" i="2"/>
  <c r="P1262" i="2"/>
  <c r="P1261" i="2"/>
  <c r="P1260" i="2"/>
  <c r="P1259" i="2"/>
  <c r="P1258" i="2"/>
  <c r="P1256" i="2"/>
  <c r="P1255" i="2"/>
  <c r="P1301" i="2"/>
  <c r="P1300" i="2"/>
  <c r="P1299" i="2"/>
  <c r="P1298" i="2"/>
  <c r="P1297" i="2"/>
  <c r="P1296" i="2"/>
  <c r="P1295" i="2"/>
  <c r="P1294" i="2"/>
  <c r="P1293" i="2"/>
  <c r="P1292" i="2"/>
  <c r="P1291" i="2"/>
  <c r="P1290" i="2"/>
  <c r="P1289" i="2"/>
  <c r="P1288" i="2"/>
  <c r="P1287" i="2"/>
  <c r="P1286" i="2"/>
  <c r="P1285" i="2"/>
  <c r="P1284" i="2"/>
  <c r="P1283" i="2"/>
  <c r="P1306" i="2"/>
  <c r="P1329" i="2"/>
  <c r="P1313" i="2"/>
  <c r="P1323" i="2"/>
  <c r="P1324" i="2"/>
  <c r="P1325" i="2"/>
  <c r="P1321" i="2"/>
  <c r="P1328" i="2"/>
  <c r="P1312" i="2"/>
  <c r="P1317" i="2"/>
  <c r="P1314" i="2"/>
  <c r="P1318" i="2"/>
  <c r="P1307" i="2"/>
  <c r="P1330" i="2"/>
  <c r="P1326" i="2"/>
  <c r="P1308" i="2"/>
  <c r="P1310" i="2"/>
  <c r="P1309" i="2"/>
  <c r="P1315" i="2"/>
  <c r="P1366" i="2"/>
  <c r="P1365" i="2"/>
  <c r="P1364" i="2"/>
  <c r="P1363" i="2"/>
  <c r="P1362" i="2"/>
  <c r="P1361" i="2"/>
  <c r="P1360" i="2"/>
  <c r="P1359" i="2"/>
  <c r="P1358" i="2"/>
  <c r="P1357" i="2"/>
  <c r="P1356" i="2"/>
  <c r="P1355" i="2"/>
  <c r="P1354" i="2"/>
  <c r="P1353" i="2"/>
  <c r="P1352" i="2"/>
  <c r="P1351" i="2"/>
  <c r="P1350" i="2"/>
  <c r="P1349" i="2"/>
  <c r="P1348" i="2"/>
  <c r="P1347" i="2"/>
  <c r="P1346" i="2"/>
  <c r="P1345" i="2"/>
  <c r="P1344" i="2"/>
  <c r="P1343" i="2"/>
  <c r="P1210" i="2"/>
  <c r="P1170" i="2"/>
  <c r="P1169" i="2"/>
  <c r="P1176" i="2"/>
  <c r="P1175" i="2"/>
  <c r="P1174" i="2"/>
  <c r="P1181" i="2"/>
  <c r="P1180" i="2"/>
  <c r="P1179" i="2"/>
  <c r="P1178" i="2"/>
  <c r="P1177" i="2"/>
  <c r="P1182" i="2"/>
  <c r="P1196" i="2"/>
  <c r="P1195" i="2"/>
  <c r="P1194" i="2"/>
  <c r="P1193" i="2"/>
  <c r="P1192" i="2"/>
  <c r="P1191" i="2"/>
  <c r="P1203" i="2"/>
  <c r="P1201" i="2"/>
  <c r="P1198" i="2"/>
  <c r="P1200" i="2"/>
  <c r="P1197" i="2"/>
  <c r="P1202" i="2"/>
  <c r="P1209" i="2"/>
  <c r="P1208" i="2"/>
  <c r="P1207" i="2"/>
  <c r="P1206" i="2"/>
  <c r="P1205" i="2"/>
  <c r="P1204" i="2"/>
  <c r="P1157" i="2"/>
  <c r="P1148" i="2"/>
  <c r="P1147" i="2"/>
  <c r="P1146" i="2"/>
  <c r="P1145" i="2"/>
  <c r="P1144" i="2"/>
  <c r="P1143" i="2"/>
  <c r="P1142" i="2"/>
  <c r="P1154" i="2"/>
  <c r="P1153" i="2"/>
  <c r="P1152" i="2"/>
  <c r="P1151" i="2"/>
  <c r="P1150" i="2"/>
  <c r="P1149" i="2"/>
  <c r="P1155" i="2"/>
  <c r="P1156" i="2"/>
  <c r="P1068" i="2"/>
  <c r="P1069" i="2"/>
  <c r="P1081" i="2"/>
  <c r="P1080" i="2"/>
  <c r="P1079" i="2"/>
  <c r="P1078" i="2"/>
  <c r="P1077" i="2"/>
  <c r="P1076" i="2"/>
  <c r="P1075" i="2"/>
  <c r="P1074" i="2"/>
  <c r="P1073" i="2"/>
  <c r="P1072" i="2"/>
  <c r="P1071" i="2"/>
  <c r="P1082" i="2"/>
  <c r="P1110" i="2"/>
  <c r="P1109" i="2"/>
  <c r="P1108" i="2"/>
  <c r="P1107" i="2"/>
  <c r="P1106" i="2"/>
  <c r="P1105" i="2"/>
  <c r="P1104" i="2"/>
  <c r="P1103" i="2"/>
  <c r="P1102" i="2"/>
  <c r="P1101" i="2"/>
  <c r="P1100" i="2"/>
  <c r="P1099" i="2"/>
  <c r="P1098" i="2"/>
  <c r="P1097" i="2"/>
  <c r="P1096" i="2"/>
  <c r="P1095" i="2"/>
  <c r="P1094" i="2"/>
  <c r="P1093" i="2"/>
  <c r="P1092" i="2"/>
  <c r="P1091" i="2"/>
  <c r="P1090" i="2"/>
  <c r="P1089" i="2"/>
  <c r="P1088" i="2"/>
  <c r="P1115" i="2"/>
  <c r="P1130" i="2"/>
  <c r="P1122" i="2"/>
  <c r="P1129" i="2"/>
  <c r="P1118" i="2"/>
  <c r="P1121" i="2"/>
  <c r="P1119" i="2"/>
  <c r="P1112" i="2"/>
  <c r="P1113" i="2"/>
  <c r="P1127" i="2"/>
  <c r="P1120" i="2"/>
  <c r="P1116" i="2"/>
  <c r="P1117" i="2"/>
  <c r="P1126" i="2"/>
  <c r="P1124" i="2"/>
  <c r="P1125" i="2"/>
  <c r="P1128" i="2"/>
  <c r="P1111" i="2"/>
  <c r="P1123" i="2"/>
  <c r="P1114" i="2"/>
  <c r="P1141" i="2"/>
  <c r="P1140" i="2"/>
  <c r="P1139" i="2"/>
  <c r="P1138" i="2"/>
  <c r="P1137" i="2"/>
  <c r="P1136" i="2"/>
  <c r="P1135" i="2"/>
  <c r="P1061" i="2"/>
  <c r="P855" i="2"/>
  <c r="P1060" i="2"/>
  <c r="P988" i="2"/>
  <c r="P1058" i="2"/>
  <c r="P1059" i="2"/>
  <c r="P1045" i="2"/>
  <c r="P1044" i="2"/>
  <c r="P1049" i="2"/>
  <c r="P1048" i="2"/>
  <c r="P1047" i="2"/>
  <c r="P1046" i="2"/>
  <c r="P1053" i="2"/>
  <c r="P1052" i="2"/>
  <c r="P1051" i="2"/>
  <c r="P1050" i="2"/>
  <c r="P1057" i="2"/>
  <c r="P1056" i="2"/>
  <c r="P1055" i="2"/>
  <c r="P1054" i="2"/>
  <c r="P841" i="2"/>
  <c r="P840" i="2"/>
  <c r="P834" i="2"/>
  <c r="P839" i="2"/>
  <c r="P838" i="2"/>
  <c r="P837" i="2"/>
  <c r="P833" i="2"/>
  <c r="P832" i="2"/>
  <c r="P836" i="2"/>
  <c r="P835" i="2"/>
  <c r="P848" i="2"/>
  <c r="P847" i="2"/>
  <c r="P846" i="2"/>
  <c r="P845" i="2"/>
  <c r="P851" i="2"/>
  <c r="P850" i="2"/>
  <c r="P84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3" i="2"/>
  <c r="P852"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0" i="2"/>
  <c r="P909" i="2"/>
  <c r="P908" i="2"/>
  <c r="P1017" i="2"/>
  <c r="P973" i="2"/>
  <c r="P1021" i="2"/>
  <c r="P970" i="2"/>
  <c r="P972" i="2"/>
  <c r="P997" i="2"/>
  <c r="P985" i="2"/>
  <c r="P978" i="2"/>
  <c r="P995" i="2"/>
  <c r="P1006" i="2"/>
  <c r="P1007" i="2"/>
  <c r="P1011" i="2"/>
  <c r="P982" i="2"/>
  <c r="P996" i="2"/>
  <c r="P1002" i="2"/>
  <c r="P994" i="2"/>
  <c r="P981" i="2"/>
  <c r="P992" i="2"/>
  <c r="P1009" i="2"/>
  <c r="P979" i="2"/>
  <c r="P983" i="2"/>
  <c r="P993" i="2"/>
  <c r="P1000" i="2"/>
  <c r="P1010" i="2"/>
  <c r="P999" i="2"/>
  <c r="P986" i="2"/>
  <c r="P991" i="2"/>
  <c r="P984" i="2"/>
  <c r="P987" i="2"/>
  <c r="P974" i="2"/>
  <c r="P975" i="2"/>
  <c r="P1001" i="2"/>
  <c r="P1004" i="2"/>
  <c r="P1008" i="2"/>
  <c r="P971" i="2"/>
  <c r="P1018" i="2"/>
  <c r="P1005" i="2"/>
  <c r="P998" i="2"/>
  <c r="P1012" i="2"/>
  <c r="P977" i="2"/>
  <c r="P1014" i="2"/>
  <c r="P1015" i="2"/>
  <c r="P1016" i="2"/>
  <c r="P976" i="2"/>
  <c r="P990" i="2"/>
  <c r="P1022" i="2"/>
  <c r="P1028" i="2"/>
  <c r="P1043" i="2"/>
  <c r="P1042" i="2"/>
  <c r="P1041" i="2"/>
  <c r="P1040" i="2"/>
  <c r="P1039" i="2"/>
  <c r="P1038" i="2"/>
  <c r="P1037" i="2"/>
  <c r="P1036" i="2"/>
  <c r="P1035" i="2"/>
  <c r="P1034" i="2"/>
  <c r="P1033" i="2"/>
  <c r="P1032" i="2"/>
  <c r="P1031" i="2"/>
  <c r="P1030" i="2"/>
  <c r="P1029" i="2"/>
  <c r="P817" i="2"/>
  <c r="P816" i="2"/>
  <c r="P815" i="2"/>
  <c r="P807" i="2"/>
  <c r="P811" i="2"/>
  <c r="P810" i="2"/>
  <c r="P809" i="2"/>
  <c r="P813" i="2"/>
  <c r="P806" i="2"/>
  <c r="P791" i="2"/>
  <c r="P790" i="2"/>
  <c r="P789" i="2"/>
  <c r="P793" i="2"/>
  <c r="P792" i="2"/>
  <c r="P795" i="2"/>
  <c r="P794" i="2"/>
  <c r="P798" i="2"/>
  <c r="P797" i="2"/>
  <c r="P796" i="2"/>
  <c r="P773" i="2"/>
  <c r="P800" i="2"/>
  <c r="P805" i="2"/>
  <c r="P787" i="2"/>
  <c r="P786" i="2"/>
  <c r="P785" i="2"/>
  <c r="P779" i="2"/>
  <c r="P784" i="2"/>
  <c r="P783" i="2"/>
  <c r="P782" i="2"/>
  <c r="P781" i="2"/>
  <c r="P780" i="2"/>
  <c r="P758" i="2"/>
  <c r="P757" i="2"/>
  <c r="P756" i="2"/>
  <c r="P755" i="2"/>
  <c r="P754" i="2"/>
  <c r="P753" i="2"/>
  <c r="P752" i="2"/>
  <c r="P751" i="2"/>
  <c r="P750" i="2"/>
  <c r="P749" i="2"/>
  <c r="P760" i="2"/>
  <c r="P759" i="2"/>
  <c r="P763" i="2"/>
  <c r="P762" i="2"/>
  <c r="P761" i="2"/>
  <c r="P767" i="2"/>
  <c r="P766" i="2"/>
  <c r="P765" i="2"/>
  <c r="P764" i="2"/>
  <c r="P614" i="2"/>
  <c r="P772" i="2"/>
  <c r="P771" i="2"/>
  <c r="P776" i="2"/>
  <c r="P778" i="2"/>
  <c r="P777" i="2"/>
  <c r="P748" i="2"/>
  <c r="P747" i="2"/>
  <c r="P733" i="2"/>
  <c r="P736" i="2"/>
  <c r="P735" i="2"/>
  <c r="P734" i="2"/>
  <c r="P739" i="2"/>
  <c r="P738" i="2"/>
  <c r="P737" i="2"/>
  <c r="P804" i="2"/>
  <c r="P740" i="2"/>
  <c r="P745" i="2"/>
  <c r="P746" i="2"/>
  <c r="P731" i="2"/>
  <c r="P718" i="2"/>
  <c r="P717" i="2"/>
  <c r="P720" i="2"/>
  <c r="P719" i="2"/>
  <c r="P726" i="2"/>
  <c r="P729" i="2"/>
  <c r="P728" i="2"/>
  <c r="P730" i="2"/>
  <c r="P715" i="2"/>
  <c r="P714" i="2"/>
  <c r="P713" i="2"/>
  <c r="P708" i="2"/>
  <c r="P707" i="2"/>
  <c r="P706" i="2"/>
  <c r="P705" i="2"/>
  <c r="P704" i="2"/>
  <c r="P709" i="2"/>
  <c r="P769" i="2"/>
  <c r="P712" i="2"/>
  <c r="P702" i="2"/>
  <c r="P700" i="2"/>
  <c r="P699" i="2"/>
  <c r="P686" i="2"/>
  <c r="P688" i="2"/>
  <c r="P687" i="2"/>
  <c r="P695" i="2"/>
  <c r="P694" i="2"/>
  <c r="P693" i="2"/>
  <c r="P692" i="2"/>
  <c r="P691" i="2"/>
  <c r="P690" i="2"/>
  <c r="P698" i="2"/>
  <c r="P697" i="2"/>
  <c r="P696" i="2"/>
  <c r="P682" i="2"/>
  <c r="P681" i="2"/>
  <c r="P680" i="2"/>
  <c r="P670" i="2"/>
  <c r="P673" i="2"/>
  <c r="P674" i="2"/>
  <c r="P675" i="2"/>
  <c r="P676" i="2"/>
  <c r="P679" i="2"/>
  <c r="P667" i="2"/>
  <c r="P655" i="2"/>
  <c r="P657" i="2"/>
  <c r="P656" i="2"/>
  <c r="P659" i="2"/>
  <c r="P658" i="2"/>
  <c r="P666" i="2"/>
  <c r="P665" i="2"/>
  <c r="P664" i="2"/>
  <c r="P653" i="2"/>
  <c r="P663" i="2"/>
  <c r="P652" i="2"/>
  <c r="P645" i="2"/>
  <c r="P638" i="2"/>
  <c r="P637" i="2"/>
  <c r="P639" i="2"/>
  <c r="P642" i="2"/>
  <c r="P641" i="2"/>
  <c r="P648" i="2"/>
  <c r="P649" i="2"/>
  <c r="P651" i="2"/>
  <c r="P635" i="2"/>
  <c r="P621" i="2"/>
  <c r="P626" i="2"/>
  <c r="P625" i="2"/>
  <c r="P627" i="2"/>
  <c r="P629" i="2"/>
  <c r="P634" i="2"/>
  <c r="P633" i="2"/>
  <c r="P632" i="2"/>
  <c r="P631" i="2"/>
  <c r="P630" i="2"/>
  <c r="P616" i="2"/>
  <c r="P615" i="2"/>
  <c r="P604" i="2"/>
  <c r="P605" i="2"/>
  <c r="P609" i="2"/>
  <c r="P608" i="2"/>
  <c r="P612" i="2"/>
  <c r="P611" i="2"/>
  <c r="P600" i="2"/>
  <c r="P484" i="2"/>
  <c r="P483" i="2"/>
  <c r="P482" i="2"/>
  <c r="P485" i="2"/>
  <c r="P490" i="2"/>
  <c r="P489" i="2"/>
  <c r="P488" i="2"/>
  <c r="P487" i="2"/>
  <c r="P486" i="2"/>
  <c r="P547" i="2"/>
  <c r="P546" i="2"/>
  <c r="P545" i="2"/>
  <c r="P544" i="2"/>
  <c r="P543" i="2"/>
  <c r="P542" i="2"/>
  <c r="P541" i="2"/>
  <c r="P540" i="2"/>
  <c r="P539" i="2"/>
  <c r="P538" i="2"/>
  <c r="P537" i="2"/>
  <c r="P536" i="2"/>
  <c r="P535" i="2"/>
  <c r="P534" i="2"/>
  <c r="P533" i="2"/>
  <c r="P532" i="2"/>
  <c r="P2562" i="2"/>
  <c r="P531" i="2"/>
  <c r="P1826"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587" i="2"/>
  <c r="P566" i="2"/>
  <c r="P556" i="2"/>
  <c r="P578" i="2"/>
  <c r="P549" i="2"/>
  <c r="P571" i="2"/>
  <c r="P561" i="2"/>
  <c r="P598" i="2"/>
  <c r="P597" i="2"/>
  <c r="P550" i="2"/>
  <c r="P554" i="2"/>
  <c r="P548" i="2"/>
  <c r="P595" i="2"/>
  <c r="P588" i="2"/>
  <c r="P586" i="2"/>
  <c r="P580" i="2"/>
  <c r="P558" i="2"/>
  <c r="P591" i="2"/>
  <c r="P553" i="2"/>
  <c r="P565" i="2"/>
  <c r="P585" i="2"/>
  <c r="P594" i="2"/>
  <c r="P552" i="2"/>
  <c r="P576" i="2"/>
  <c r="P573" i="2"/>
  <c r="P570" i="2"/>
  <c r="P590" i="2"/>
  <c r="P584" i="2"/>
  <c r="P563" i="2"/>
  <c r="P589" i="2"/>
  <c r="P581" i="2"/>
  <c r="P557" i="2"/>
  <c r="P577" i="2"/>
  <c r="P564" i="2"/>
  <c r="P559" i="2"/>
  <c r="P593" i="2"/>
  <c r="P562" i="2"/>
  <c r="P596" i="2"/>
  <c r="P582" i="2"/>
  <c r="P579" i="2"/>
  <c r="P569" i="2"/>
  <c r="P575" i="2"/>
  <c r="P592" i="2"/>
  <c r="P567" i="2"/>
  <c r="P572" i="2"/>
  <c r="P583" i="2"/>
  <c r="P568" i="2"/>
  <c r="P560" i="2"/>
  <c r="P476" i="2"/>
  <c r="P475" i="2"/>
  <c r="P474" i="2"/>
  <c r="P473" i="2"/>
  <c r="P462" i="2"/>
  <c r="P472" i="2"/>
  <c r="P471" i="2"/>
  <c r="P454" i="2"/>
  <c r="P457" i="2"/>
  <c r="P456" i="2"/>
  <c r="P455" i="2"/>
  <c r="P459" i="2"/>
  <c r="P458" i="2"/>
  <c r="P463" i="2"/>
  <c r="P461" i="2"/>
  <c r="P466" i="2"/>
  <c r="P470" i="2"/>
  <c r="P469" i="2"/>
  <c r="P468" i="2"/>
  <c r="P453" i="2"/>
  <c r="P450" i="2"/>
  <c r="P451" i="2"/>
  <c r="P452" i="2"/>
  <c r="P392" i="2"/>
  <c r="P391" i="2"/>
  <c r="P390" i="2"/>
  <c r="P400" i="2"/>
  <c r="P399" i="2"/>
  <c r="P398" i="2"/>
  <c r="P397" i="2"/>
  <c r="P396" i="2"/>
  <c r="P395" i="2"/>
  <c r="P394" i="2"/>
  <c r="P393" i="2"/>
  <c r="P401" i="2"/>
  <c r="P414" i="2"/>
  <c r="P449" i="2"/>
  <c r="P448" i="2"/>
  <c r="P447" i="2"/>
  <c r="P446" i="2"/>
  <c r="P445" i="2"/>
  <c r="P444" i="2"/>
  <c r="P443" i="2"/>
  <c r="P442" i="2"/>
  <c r="P441" i="2"/>
  <c r="P440" i="2"/>
  <c r="P439" i="2"/>
  <c r="P438" i="2"/>
  <c r="P437" i="2"/>
  <c r="P436" i="2"/>
  <c r="P435" i="2"/>
  <c r="P434" i="2"/>
  <c r="P433" i="2"/>
  <c r="P432" i="2"/>
  <c r="P431" i="2"/>
  <c r="P430" i="2"/>
  <c r="P429" i="2"/>
  <c r="P428" i="2"/>
  <c r="P389" i="2"/>
  <c r="P388" i="2"/>
  <c r="P387" i="2"/>
  <c r="P365" i="2"/>
  <c r="P360" i="2"/>
  <c r="P386" i="2"/>
  <c r="P337" i="2"/>
  <c r="P342" i="2"/>
  <c r="P341" i="2"/>
  <c r="P340" i="2"/>
  <c r="P339" i="2"/>
  <c r="P352" i="2"/>
  <c r="P351" i="2"/>
  <c r="P350" i="2"/>
  <c r="P349" i="2"/>
  <c r="P348" i="2"/>
  <c r="P347" i="2"/>
  <c r="P346" i="2"/>
  <c r="P345" i="2"/>
  <c r="P344" i="2"/>
  <c r="P343" i="2"/>
  <c r="P356" i="2"/>
  <c r="P355" i="2"/>
  <c r="P354" i="2"/>
  <c r="P353" i="2"/>
  <c r="P361" i="2"/>
  <c r="P364" i="2"/>
  <c r="P362" i="2"/>
  <c r="P359" i="2"/>
  <c r="P374" i="2"/>
  <c r="P373" i="2"/>
  <c r="P372" i="2"/>
  <c r="P371" i="2"/>
  <c r="P370" i="2"/>
  <c r="P385" i="2"/>
  <c r="P384" i="2"/>
  <c r="P383" i="2"/>
  <c r="P382" i="2"/>
  <c r="P381" i="2"/>
  <c r="P380" i="2"/>
  <c r="P379" i="2"/>
  <c r="P378" i="2"/>
  <c r="P377" i="2"/>
  <c r="P376" i="2"/>
  <c r="P375" i="2"/>
  <c r="P336" i="2"/>
  <c r="P335" i="2"/>
  <c r="P334" i="2"/>
  <c r="P333" i="2"/>
  <c r="P332" i="2"/>
  <c r="P265" i="2"/>
  <c r="P264" i="2"/>
  <c r="P263" i="2"/>
  <c r="P262" i="2"/>
  <c r="P261" i="2"/>
  <c r="P267" i="2"/>
  <c r="P266" i="2"/>
  <c r="P268" i="2"/>
  <c r="P285" i="2"/>
  <c r="P284" i="2"/>
  <c r="P283" i="2"/>
  <c r="P282" i="2"/>
  <c r="P281" i="2"/>
  <c r="P280" i="2"/>
  <c r="P279" i="2"/>
  <c r="P278" i="2"/>
  <c r="P277" i="2"/>
  <c r="P276" i="2"/>
  <c r="P275" i="2"/>
  <c r="P274" i="2"/>
  <c r="P273" i="2"/>
  <c r="P272" i="2"/>
  <c r="P271" i="2"/>
  <c r="P270" i="2"/>
  <c r="P269" i="2"/>
  <c r="P799" i="2"/>
  <c r="P1303" i="2"/>
  <c r="P405" i="2"/>
  <c r="P411" i="2"/>
  <c r="P410" i="2"/>
  <c r="P407" i="2"/>
  <c r="P406" i="2"/>
  <c r="P4163" i="2"/>
  <c r="P112" i="2"/>
  <c r="P4142" i="2"/>
  <c r="P4104" i="2"/>
  <c r="P409" i="2"/>
  <c r="P1302" i="2"/>
  <c r="P404" i="2"/>
  <c r="P403" i="2"/>
  <c r="P1305" i="2"/>
  <c r="P1954" i="2"/>
  <c r="P1304" i="2"/>
  <c r="P357" i="2"/>
  <c r="P2245" i="2"/>
  <c r="P286" i="2"/>
  <c r="P2628" i="2"/>
  <c r="P710" i="2"/>
  <c r="P1635" i="2"/>
  <c r="P3119" i="2"/>
  <c r="P408" i="2"/>
  <c r="P643" i="2"/>
  <c r="P460" i="2"/>
  <c r="P183" i="2"/>
  <c r="P402" i="2"/>
  <c r="P307" i="2"/>
  <c r="P306" i="2"/>
  <c r="P305" i="2"/>
  <c r="P304" i="2"/>
  <c r="P420" i="2"/>
  <c r="P1975" i="2"/>
  <c r="P288" i="2"/>
  <c r="P302" i="2"/>
  <c r="P711" i="2"/>
  <c r="P4105" i="2"/>
  <c r="P291" i="2"/>
  <c r="P289" i="2"/>
  <c r="P287" i="2"/>
  <c r="P413" i="2"/>
  <c r="P290" i="2"/>
  <c r="P301" i="2"/>
  <c r="P300" i="2"/>
  <c r="P299" i="2"/>
  <c r="P298" i="2"/>
  <c r="P297" i="2"/>
  <c r="P296" i="2"/>
  <c r="P294" i="2"/>
  <c r="P293" i="2"/>
  <c r="P309" i="2"/>
  <c r="P327" i="2"/>
  <c r="P326" i="2"/>
  <c r="P325" i="2"/>
  <c r="P324" i="2"/>
  <c r="P323" i="2"/>
  <c r="P322" i="2"/>
  <c r="P321" i="2"/>
  <c r="P320" i="2"/>
  <c r="P319" i="2"/>
  <c r="P318" i="2"/>
  <c r="P317" i="2"/>
  <c r="P316" i="2"/>
  <c r="P315" i="2"/>
  <c r="P314" i="2"/>
  <c r="P313" i="2"/>
  <c r="P312" i="2"/>
  <c r="P331" i="2"/>
  <c r="P330" i="2"/>
  <c r="P329" i="2"/>
  <c r="P328" i="2"/>
  <c r="P259" i="2"/>
  <c r="P258" i="2"/>
  <c r="P257" i="2"/>
  <c r="P256" i="2"/>
  <c r="P255" i="2"/>
  <c r="P3489" i="2"/>
  <c r="P223" i="2"/>
  <c r="P222" i="2"/>
  <c r="P221" i="2"/>
  <c r="P220" i="2"/>
  <c r="P224" i="2"/>
  <c r="P230" i="2"/>
  <c r="P229" i="2"/>
  <c r="P228" i="2"/>
  <c r="P227" i="2"/>
  <c r="P226" i="2"/>
  <c r="P225" i="2"/>
  <c r="P242" i="2"/>
  <c r="P241" i="2"/>
  <c r="P240" i="2"/>
  <c r="P239" i="2"/>
  <c r="P238" i="2"/>
  <c r="P237" i="2"/>
  <c r="P236" i="2"/>
  <c r="P235" i="2"/>
  <c r="P234" i="2"/>
  <c r="P233" i="2"/>
  <c r="P232" i="2"/>
  <c r="P231" i="2"/>
  <c r="P254" i="2"/>
  <c r="P249" i="2"/>
  <c r="P248" i="2"/>
  <c r="P252" i="2"/>
  <c r="P250" i="2"/>
  <c r="P244" i="2"/>
  <c r="P247" i="2"/>
  <c r="P251" i="2"/>
  <c r="P245" i="2"/>
  <c r="P246" i="2"/>
  <c r="P243" i="2"/>
  <c r="P219" i="2"/>
  <c r="P218" i="2"/>
  <c r="P217" i="2"/>
  <c r="P1199" i="2"/>
  <c r="P2429" i="2"/>
  <c r="P195" i="2"/>
  <c r="P194" i="2"/>
  <c r="P193" i="2"/>
  <c r="P192" i="2"/>
  <c r="P196" i="2"/>
  <c r="P197" i="2"/>
  <c r="P205" i="2"/>
  <c r="P204" i="2"/>
  <c r="P203" i="2"/>
  <c r="P202" i="2"/>
  <c r="P201" i="2"/>
  <c r="P200" i="2"/>
  <c r="P199" i="2"/>
  <c r="P198" i="2"/>
  <c r="P208" i="2"/>
  <c r="P212" i="2"/>
  <c r="P207" i="2"/>
  <c r="P206" i="2"/>
  <c r="P210" i="2"/>
  <c r="P213" i="2"/>
  <c r="P211" i="2"/>
  <c r="P216" i="2"/>
  <c r="P191" i="2"/>
  <c r="P179" i="2"/>
  <c r="P178" i="2"/>
  <c r="P177" i="2"/>
  <c r="P180" i="2"/>
  <c r="P182" i="2"/>
  <c r="P181" i="2"/>
  <c r="P185" i="2"/>
  <c r="P184" i="2"/>
  <c r="P190" i="2"/>
  <c r="P189" i="2"/>
  <c r="P188" i="2"/>
  <c r="P187" i="2"/>
  <c r="P176" i="2"/>
  <c r="P165" i="2"/>
  <c r="P164" i="2"/>
  <c r="P163" i="2"/>
  <c r="P162" i="2"/>
  <c r="P161" i="2"/>
  <c r="P160" i="2"/>
  <c r="P166" i="2"/>
  <c r="P169" i="2"/>
  <c r="P168" i="2"/>
  <c r="P167" i="2"/>
  <c r="P171" i="2"/>
  <c r="P172" i="2"/>
  <c r="P170" i="2"/>
  <c r="P175" i="2"/>
  <c r="P159" i="2"/>
  <c r="P467" i="2"/>
  <c r="P174" i="2"/>
  <c r="P173" i="2"/>
  <c r="P158" i="2"/>
  <c r="P157" i="2"/>
  <c r="P156" i="2"/>
  <c r="P155" i="2"/>
  <c r="P154" i="2"/>
  <c r="P153" i="2"/>
  <c r="P152" i="2"/>
  <c r="P150" i="2"/>
  <c r="P148" i="2"/>
  <c r="P149" i="2"/>
  <c r="P151" i="2"/>
  <c r="P147" i="2"/>
  <c r="P146" i="2"/>
  <c r="P135" i="2"/>
  <c r="P134" i="2"/>
  <c r="P136" i="2"/>
  <c r="P137" i="2"/>
  <c r="P139" i="2"/>
  <c r="P145" i="2"/>
  <c r="P144" i="2"/>
  <c r="P143" i="2"/>
  <c r="P142" i="2"/>
  <c r="P141" i="2"/>
  <c r="P133" i="2"/>
  <c r="P132" i="2"/>
  <c r="P128" i="2"/>
  <c r="P129" i="2"/>
  <c r="P130" i="2"/>
  <c r="P131" i="2"/>
  <c r="P90" i="2"/>
  <c r="P95" i="2"/>
  <c r="P97" i="2"/>
  <c r="P96" i="2"/>
  <c r="P99" i="2"/>
  <c r="P98" i="2"/>
  <c r="P111" i="2"/>
  <c r="P110" i="2"/>
  <c r="P109" i="2"/>
  <c r="P108" i="2"/>
  <c r="P107" i="2"/>
  <c r="P106" i="2"/>
  <c r="P105" i="2"/>
  <c r="P104" i="2"/>
  <c r="P103" i="2"/>
  <c r="P102" i="2"/>
  <c r="P101" i="2"/>
  <c r="P100" i="2"/>
  <c r="P124" i="2"/>
  <c r="P113" i="2"/>
  <c r="P123" i="2"/>
  <c r="P115" i="2"/>
  <c r="P120" i="2"/>
  <c r="P116" i="2"/>
  <c r="P121" i="2"/>
  <c r="P114" i="2"/>
  <c r="P119" i="2"/>
  <c r="P122" i="2"/>
  <c r="P127" i="2"/>
  <c r="P126" i="2"/>
  <c r="P88" i="2"/>
  <c r="P87" i="2"/>
  <c r="P86" i="2"/>
  <c r="P85" i="2"/>
  <c r="P80" i="2"/>
  <c r="P83" i="2"/>
  <c r="P742" i="2"/>
  <c r="P84" i="2"/>
  <c r="P77" i="2"/>
  <c r="P65" i="2"/>
  <c r="P70" i="2"/>
  <c r="P69" i="2"/>
  <c r="P68" i="2"/>
  <c r="P73" i="2"/>
  <c r="P72" i="2"/>
  <c r="P71" i="2"/>
  <c r="P76" i="2"/>
  <c r="P75" i="2"/>
  <c r="P74" i="2"/>
  <c r="P60" i="2"/>
  <c r="P40" i="2"/>
  <c r="P59" i="2"/>
  <c r="P42" i="2"/>
  <c r="P41" i="2"/>
  <c r="P39" i="2"/>
  <c r="P51" i="2"/>
  <c r="P50" i="2"/>
  <c r="P54" i="2"/>
  <c r="P53" i="2"/>
  <c r="P55" i="2"/>
  <c r="P57" i="2"/>
  <c r="P58" i="2"/>
  <c r="P35" i="2"/>
  <c r="P11" i="2"/>
  <c r="P9" i="2"/>
  <c r="P34" i="2"/>
  <c r="P33" i="2"/>
  <c r="P32" i="2"/>
  <c r="P31" i="2"/>
  <c r="P30" i="2"/>
  <c r="P10" i="2"/>
  <c r="P8" i="2"/>
  <c r="P7" i="2"/>
  <c r="P23" i="2"/>
  <c r="P22" i="2"/>
  <c r="P21" i="2"/>
  <c r="P20" i="2"/>
  <c r="P19" i="2"/>
  <c r="P28" i="2"/>
  <c r="P24" i="2"/>
  <c r="P26" i="2"/>
  <c r="P25" i="2"/>
  <c r="P27" i="2"/>
  <c r="P4" i="2"/>
  <c r="P3" i="2"/>
  <c r="P2" i="2"/>
  <c r="P3973" i="2"/>
  <c r="P1238" i="2"/>
  <c r="P1237" i="2"/>
  <c r="P3583" i="2"/>
  <c r="P3931" i="2"/>
  <c r="P3930" i="2"/>
  <c r="P3929" i="2"/>
  <c r="P3928" i="2"/>
  <c r="P3927" i="2"/>
  <c r="P3926" i="2"/>
  <c r="P3267" i="2"/>
  <c r="P2077" i="2"/>
  <c r="P4059" i="2"/>
  <c r="P1611" i="2"/>
  <c r="P808" i="2"/>
  <c r="P672" i="2"/>
  <c r="P338" i="2"/>
  <c r="P4089" i="2"/>
  <c r="P4088" i="2"/>
  <c r="P2312" i="2"/>
  <c r="P481" i="2"/>
  <c r="P3925" i="2"/>
  <c r="P1739" i="2"/>
  <c r="P2076" i="2"/>
  <c r="P2870" i="2"/>
  <c r="P2583" i="2"/>
  <c r="P2206" i="2"/>
  <c r="P2582" i="2"/>
  <c r="P1699" i="2"/>
  <c r="P1698" i="2"/>
  <c r="P1697" i="2"/>
  <c r="P1696" i="2"/>
  <c r="P1695" i="2"/>
  <c r="P1610" i="2"/>
  <c r="P1609" i="2"/>
  <c r="P1694" i="2"/>
  <c r="P1608" i="2"/>
  <c r="P1236" i="2"/>
  <c r="P1405" i="2"/>
  <c r="P3656" i="2"/>
  <c r="P3924" i="2"/>
  <c r="P3623" i="2"/>
  <c r="P2942" i="2"/>
  <c r="P2581" i="2"/>
  <c r="P3655" i="2"/>
  <c r="P2580" i="2"/>
  <c r="P1607" i="2"/>
  <c r="P3713" i="2"/>
  <c r="P1235" i="2"/>
  <c r="P844" i="2"/>
  <c r="P1234" i="2"/>
  <c r="P1233" i="2"/>
  <c r="P1232" i="2"/>
  <c r="P1542" i="2"/>
  <c r="P1231" i="2"/>
  <c r="P3529" i="2"/>
  <c r="P1792" i="2"/>
  <c r="P2075" i="2"/>
  <c r="P64" i="2"/>
  <c r="P843" i="2"/>
  <c r="P3266" i="2"/>
  <c r="P1404" i="2"/>
  <c r="P1853" i="2"/>
  <c r="P3265" i="2"/>
  <c r="P1070" i="2"/>
  <c r="P1403" i="2"/>
  <c r="P3654" i="2"/>
  <c r="P3859" i="2"/>
  <c r="P1541" i="2"/>
  <c r="P3416" i="2"/>
  <c r="P3858" i="2"/>
  <c r="P1802" i="2"/>
  <c r="P1229" i="2"/>
  <c r="P1228" i="2"/>
  <c r="P94" i="2"/>
  <c r="P1852" i="2"/>
  <c r="P3264" i="2"/>
  <c r="P1851" i="2"/>
  <c r="P1402" i="2"/>
  <c r="P842" i="2"/>
  <c r="P1801" i="2"/>
  <c r="P3180" i="2"/>
  <c r="P3179" i="2"/>
  <c r="P1800" i="2"/>
  <c r="P2074" i="2"/>
  <c r="P1540" i="2"/>
  <c r="P2073" i="2"/>
  <c r="P2072" i="2"/>
  <c r="P93" i="2"/>
  <c r="P2071" i="2"/>
  <c r="P3653" i="2"/>
  <c r="P63" i="2"/>
  <c r="P3652" i="2"/>
  <c r="P3651" i="2"/>
  <c r="P3650" i="2"/>
  <c r="P3415" i="2"/>
  <c r="P3263" i="2"/>
  <c r="P3582" i="2"/>
  <c r="P1173" i="2"/>
  <c r="P1172" i="2"/>
  <c r="P3413" i="2"/>
  <c r="P3649" i="2"/>
  <c r="P2803" i="2"/>
  <c r="P1401" i="2"/>
  <c r="P1171" i="2"/>
  <c r="P1400" i="2"/>
  <c r="P3648" i="2"/>
  <c r="P1399" i="2"/>
  <c r="P2755" i="2"/>
  <c r="P3412" i="2"/>
  <c r="P2754" i="2"/>
  <c r="P2753" i="2"/>
  <c r="P2752" i="2"/>
  <c r="P2751" i="2"/>
  <c r="P2349" i="2"/>
  <c r="P2750" i="2"/>
  <c r="P1398" i="2"/>
  <c r="P3262" i="2"/>
  <c r="P3261" i="2"/>
  <c r="P92" i="2"/>
  <c r="P3260" i="2"/>
  <c r="P3972" i="2"/>
  <c r="P3712" i="2"/>
  <c r="P3764" i="2"/>
  <c r="P3178" i="2"/>
  <c r="P3763" i="2"/>
  <c r="P2070" i="2"/>
  <c r="P3762" i="2"/>
  <c r="P3761" i="2"/>
  <c r="P3760" i="2"/>
  <c r="P2069" i="2"/>
  <c r="P2205" i="2"/>
  <c r="P1397" i="2"/>
  <c r="P3711" i="2"/>
  <c r="P3502" i="2"/>
  <c r="P3647" i="2"/>
  <c r="P2579" i="2"/>
  <c r="P3259" i="2"/>
  <c r="P2348" i="2"/>
  <c r="P2347" i="2"/>
  <c r="P4010" i="2"/>
  <c r="P3528" i="2"/>
  <c r="P3581" i="2"/>
  <c r="P3580" i="2"/>
  <c r="P2007" i="2"/>
  <c r="P3527" i="2"/>
  <c r="P3526" i="2"/>
  <c r="P2701" i="2"/>
  <c r="P3525" i="2"/>
  <c r="P2700" i="2"/>
  <c r="P2699" i="2"/>
  <c r="P2204" i="2"/>
  <c r="P2698" i="2"/>
  <c r="P2346" i="2"/>
  <c r="P2697" i="2"/>
  <c r="P3524" i="2"/>
  <c r="P3523" i="2"/>
  <c r="P3258" i="2"/>
  <c r="P1227" i="2"/>
  <c r="P1539" i="2"/>
  <c r="P1538" i="2"/>
  <c r="P1226" i="2"/>
  <c r="P2696" i="2"/>
  <c r="P1225" i="2"/>
  <c r="P671" i="2"/>
  <c r="P3923" i="2"/>
  <c r="P49" i="2"/>
  <c r="P48" i="2"/>
  <c r="P1537" i="2"/>
  <c r="P3922" i="2"/>
  <c r="P2548" i="2"/>
  <c r="P2869" i="2"/>
  <c r="P3257" i="2"/>
  <c r="P3256" i="2"/>
  <c r="P3856" i="2"/>
  <c r="P91" i="2"/>
  <c r="P46" i="2"/>
  <c r="P45" i="2"/>
  <c r="P788" i="2"/>
  <c r="P2203" i="2"/>
  <c r="P2695" i="2"/>
  <c r="P1536" i="2"/>
  <c r="P1535" i="2"/>
  <c r="P1534" i="2"/>
  <c r="P17" i="2"/>
  <c r="P16" i="2"/>
  <c r="P15" i="2"/>
  <c r="P14" i="2"/>
  <c r="P12" i="2"/>
  <c r="P2325" i="2"/>
  <c r="P3342" i="2"/>
  <c r="P801" i="2"/>
  <c r="P812" i="2"/>
  <c r="P551" i="2"/>
  <c r="P2031" i="2"/>
  <c r="P1957" i="2"/>
  <c r="P2279" i="2"/>
  <c r="P29" i="2"/>
  <c r="P741" i="2"/>
  <c r="P1976" i="2"/>
  <c r="P770" i="2"/>
  <c r="P722" i="2"/>
  <c r="P724" i="2"/>
  <c r="P723" i="2"/>
  <c r="P725" i="2"/>
  <c r="P2249" i="2"/>
  <c r="P3010" i="2"/>
  <c r="P2248" i="2"/>
  <c r="P2247" i="2"/>
  <c r="P2323" i="2"/>
  <c r="P308" i="2"/>
  <c r="P2296" i="2"/>
  <c r="P574" i="2"/>
  <c r="P2183" i="2"/>
  <c r="P2052" i="2"/>
  <c r="P3302" i="2"/>
  <c r="P2173" i="2"/>
  <c r="P555" i="2"/>
  <c r="P1985" i="2"/>
  <c r="P1986" i="2"/>
  <c r="P1969" i="2"/>
  <c r="P1981" i="2"/>
  <c r="P1979" i="2"/>
  <c r="P1977" i="2"/>
  <c r="P1958" i="2"/>
  <c r="P1966" i="2"/>
  <c r="P1967" i="2"/>
  <c r="P425" i="2"/>
  <c r="P2295" i="2"/>
  <c r="P2294" i="2"/>
  <c r="P2182" i="2"/>
  <c r="P2293" i="2"/>
  <c r="P2292" i="2"/>
  <c r="P1570" i="2"/>
  <c r="P3298" i="2"/>
  <c r="P1992" i="2"/>
  <c r="P1320" i="2"/>
  <c r="P2631" i="2"/>
  <c r="P2291" i="2"/>
  <c r="P3890" i="2"/>
  <c r="P1478" i="2"/>
  <c r="P1450" i="2"/>
  <c r="P1476" i="2"/>
  <c r="P1449" i="2"/>
  <c r="P1475" i="2"/>
  <c r="P3671" i="2"/>
  <c r="P3314" i="2"/>
  <c r="P3339" i="2"/>
  <c r="P814" i="2"/>
  <c r="P3509" i="2"/>
  <c r="P3512" i="2"/>
  <c r="P1480" i="2"/>
  <c r="P1479" i="2"/>
  <c r="P2723" i="2"/>
  <c r="P2145" i="2"/>
  <c r="P417" i="2"/>
  <c r="P4311" i="2"/>
  <c r="P3784" i="2"/>
  <c r="P3337" i="2"/>
  <c r="P1834" i="2"/>
  <c r="P3508" i="2"/>
  <c r="P3343" i="2"/>
  <c r="P3338" i="2"/>
  <c r="P2290" i="2"/>
  <c r="P2178" i="2"/>
  <c r="P2169" i="2"/>
  <c r="P2270" i="2"/>
  <c r="P2165" i="2"/>
  <c r="P3307" i="2"/>
  <c r="P2725" i="2"/>
  <c r="P2472" i="2"/>
  <c r="P3321" i="2"/>
  <c r="P3306" i="2"/>
  <c r="P2471" i="2"/>
  <c r="P2470" i="2"/>
  <c r="P2469" i="2"/>
  <c r="P2670" i="2"/>
  <c r="P3305" i="2"/>
  <c r="P2467" i="2"/>
  <c r="P2466" i="2"/>
  <c r="P2465" i="2"/>
  <c r="P2051" i="2"/>
  <c r="P650" i="2"/>
  <c r="P2847" i="2"/>
  <c r="P2464" i="2"/>
  <c r="P3120" i="2"/>
  <c r="P2286" i="2"/>
  <c r="P2463" i="2"/>
  <c r="P3304" i="2"/>
  <c r="P2462" i="2"/>
  <c r="P2461" i="2"/>
  <c r="P2460" i="2"/>
  <c r="P2459" i="2"/>
  <c r="P2458" i="2"/>
  <c r="P1336" i="2"/>
  <c r="P3320" i="2"/>
  <c r="P2468" i="2"/>
  <c r="P2288" i="2"/>
  <c r="P1337" i="2"/>
  <c r="P3303" i="2"/>
  <c r="P2641" i="2"/>
  <c r="P2664" i="2"/>
  <c r="P2674" i="2"/>
  <c r="P2673" i="2"/>
  <c r="P2898" i="2"/>
  <c r="P1563" i="2"/>
  <c r="P2897" i="2"/>
  <c r="P215" i="2"/>
  <c r="P3319" i="2"/>
  <c r="P2672" i="2"/>
  <c r="P644" i="2"/>
  <c r="P647" i="2"/>
  <c r="P4255" i="2"/>
  <c r="P4153" i="2"/>
  <c r="P3620" i="2"/>
  <c r="P628" i="2"/>
  <c r="P613" i="2"/>
  <c r="P743" i="2"/>
  <c r="P662" i="2"/>
  <c r="P3900" i="2"/>
  <c r="P1991" i="2"/>
  <c r="P1990" i="2"/>
  <c r="P1989" i="2"/>
  <c r="P1988" i="2"/>
  <c r="P424" i="2"/>
  <c r="P423" i="2"/>
  <c r="P427" i="2"/>
  <c r="P426" i="2"/>
  <c r="P1342" i="2"/>
  <c r="P1339" i="2"/>
  <c r="P186" i="2"/>
  <c r="P1341" i="2"/>
  <c r="P1338" i="2"/>
  <c r="P1335" i="2"/>
  <c r="P303" i="2"/>
  <c r="P2527" i="2"/>
  <c r="P3325" i="2"/>
  <c r="P117" i="2"/>
  <c r="P3332" i="2"/>
  <c r="P744" i="2"/>
  <c r="P689" i="2"/>
  <c r="P701" i="2"/>
  <c r="P363" i="2"/>
  <c r="P2289" i="2"/>
  <c r="P358" i="2"/>
  <c r="P422" i="2"/>
  <c r="P369" i="2"/>
  <c r="P2630" i="2"/>
  <c r="P2629" i="2"/>
  <c r="P1132" i="2"/>
  <c r="P1131" i="2"/>
  <c r="P1133" i="2"/>
  <c r="P125" i="2"/>
  <c r="P1833" i="2"/>
  <c r="P3009" i="2"/>
  <c r="P56" i="2"/>
  <c r="P3055" i="2"/>
  <c r="P2958" i="2"/>
  <c r="P4272" i="2"/>
  <c r="P3739" i="2"/>
  <c r="P3787" i="2"/>
  <c r="P4107" i="2"/>
  <c r="P2896" i="2"/>
  <c r="P1562" i="2"/>
  <c r="P1561" i="2"/>
  <c r="P1595" i="2"/>
  <c r="P1560" i="2"/>
  <c r="P1559" i="2"/>
  <c r="P2246" i="2"/>
  <c r="P2137" i="2"/>
  <c r="P1569" i="2"/>
  <c r="P1568" i="2"/>
  <c r="P1567" i="2"/>
  <c r="P1566" i="2"/>
  <c r="P1565" i="2"/>
  <c r="P1558" i="2"/>
  <c r="P1564" i="2"/>
  <c r="P1340" i="2"/>
  <c r="P3301" i="2"/>
  <c r="P3300" i="2"/>
  <c r="P3299" i="2"/>
  <c r="P2326" i="2"/>
  <c r="P2724" i="2"/>
  <c r="P1987" i="2"/>
  <c r="P2832" i="2"/>
  <c r="P2831" i="2"/>
  <c r="P646" i="2"/>
  <c r="P661" i="2"/>
  <c r="P3555" i="2"/>
  <c r="P368" i="2"/>
  <c r="P367" i="2"/>
  <c r="P465" i="2"/>
  <c r="P464" i="2"/>
  <c r="P295" i="2"/>
  <c r="P2050" i="2"/>
  <c r="P3598" i="2"/>
  <c r="P2495" i="2"/>
  <c r="P3132" i="2"/>
  <c r="P1333" i="2"/>
  <c r="P2180" i="2"/>
  <c r="P2179" i="2"/>
  <c r="P1721" i="2"/>
  <c r="P1648" i="2"/>
  <c r="P3556" i="2"/>
  <c r="P1594" i="2"/>
  <c r="P1593" i="2"/>
  <c r="P3511" i="2"/>
  <c r="P2261" i="2"/>
  <c r="P2042" i="2"/>
  <c r="P2150" i="2"/>
  <c r="P2159" i="2"/>
  <c r="P2170" i="2"/>
  <c r="P2140" i="2"/>
  <c r="P2860" i="2"/>
  <c r="P2157" i="2"/>
  <c r="P2162" i="2"/>
  <c r="P1557" i="2"/>
  <c r="P1316" i="2"/>
  <c r="P1556" i="2"/>
  <c r="P1334" i="2"/>
  <c r="P1555" i="2"/>
  <c r="P3212" i="2"/>
  <c r="P1554" i="2"/>
  <c r="P1020" i="2"/>
  <c r="P1019" i="2"/>
  <c r="B30" i="2"/>
  <c r="B4087" i="2"/>
  <c r="B4086" i="2"/>
  <c r="B4058" i="2"/>
  <c r="B4026" i="2"/>
  <c r="B4025" i="2"/>
  <c r="B3920" i="2"/>
  <c r="B3919" i="2"/>
  <c r="B3918" i="2"/>
  <c r="B3917" i="2"/>
  <c r="B3916" i="2"/>
  <c r="B3915" i="2"/>
  <c r="B3914" i="2"/>
  <c r="B3913" i="2"/>
  <c r="B3921" i="2"/>
  <c r="B3912" i="2"/>
  <c r="B3852" i="2"/>
  <c r="B3851" i="2"/>
  <c r="B3855" i="2"/>
  <c r="B3854" i="2"/>
  <c r="B3850" i="2"/>
  <c r="B3853" i="2"/>
  <c r="B3759" i="2"/>
  <c r="B3758" i="2"/>
  <c r="B3757" i="2"/>
  <c r="B3756" i="2"/>
  <c r="B3755" i="2"/>
  <c r="B3710" i="2"/>
  <c r="B3709" i="2"/>
  <c r="B3708" i="2"/>
  <c r="B3707" i="2"/>
  <c r="B3706" i="2"/>
  <c r="B3646" i="2"/>
  <c r="B3645" i="2"/>
  <c r="B3644" i="2"/>
  <c r="B3643" i="2"/>
  <c r="B3577" i="2"/>
  <c r="B3579" i="2"/>
  <c r="B3576" i="2"/>
  <c r="B3578" i="2"/>
  <c r="B3575" i="2"/>
  <c r="B3522" i="2"/>
  <c r="B3501" i="2"/>
  <c r="B3484" i="2"/>
  <c r="B3410" i="2"/>
  <c r="B3411" i="2"/>
  <c r="B3406" i="2"/>
  <c r="B3409" i="2"/>
  <c r="B3408" i="2"/>
  <c r="B3407" i="2"/>
  <c r="B3248" i="2"/>
  <c r="B3247" i="2"/>
  <c r="B3255" i="2"/>
  <c r="B3254" i="2"/>
  <c r="B3246" i="2"/>
  <c r="B3253" i="2"/>
  <c r="B3245" i="2"/>
  <c r="B3244" i="2"/>
  <c r="B3243" i="2"/>
  <c r="B3252" i="2"/>
  <c r="B3251" i="2"/>
  <c r="B3250" i="2"/>
  <c r="B3242" i="2"/>
  <c r="B3249" i="2"/>
  <c r="B3241" i="2"/>
  <c r="B3177" i="2"/>
  <c r="B3176" i="2"/>
  <c r="B2941" i="2"/>
  <c r="B2867" i="2"/>
  <c r="B2868" i="2"/>
  <c r="B2866" i="2"/>
  <c r="B2802" i="2"/>
  <c r="B2749" i="2"/>
  <c r="B2748" i="2"/>
  <c r="B2747" i="2"/>
  <c r="B2746" i="2"/>
  <c r="B2745" i="2"/>
  <c r="B2694" i="2"/>
  <c r="B2693" i="2"/>
  <c r="B2692" i="2"/>
  <c r="B2691" i="2"/>
  <c r="B2690" i="2"/>
  <c r="B2689" i="2"/>
  <c r="B2688" i="2"/>
  <c r="B2578" i="2"/>
  <c r="B2575" i="2"/>
  <c r="B2577" i="2"/>
  <c r="B2576" i="2"/>
  <c r="B2574" i="2"/>
  <c r="B2573" i="2"/>
  <c r="B2571" i="2"/>
  <c r="B2572" i="2"/>
  <c r="B2547" i="2"/>
  <c r="B2546" i="2"/>
  <c r="B2345" i="2"/>
  <c r="B2344" i="2"/>
  <c r="B2343" i="2"/>
  <c r="B2342" i="2"/>
  <c r="B2341" i="2"/>
  <c r="B2311" i="2"/>
  <c r="B2202" i="2"/>
  <c r="B2201" i="2"/>
  <c r="B2198" i="2"/>
  <c r="B2200" i="2"/>
  <c r="B2199" i="2"/>
  <c r="B2068" i="2"/>
  <c r="B2067" i="2"/>
  <c r="B2066" i="2"/>
  <c r="B2065" i="2"/>
  <c r="B2061" i="2"/>
  <c r="B2064" i="2"/>
  <c r="B2063" i="2"/>
  <c r="B2062" i="2"/>
  <c r="B2006" i="2"/>
  <c r="B1850" i="2"/>
  <c r="B1849" i="2"/>
  <c r="B1848" i="2"/>
  <c r="B1847" i="2"/>
  <c r="B1799" i="2"/>
  <c r="B1798" i="2"/>
  <c r="B1791" i="2"/>
  <c r="B3849" i="2"/>
  <c r="B1693" i="2"/>
  <c r="B1692" i="2"/>
  <c r="B1691" i="2"/>
  <c r="B1690" i="2"/>
  <c r="B1606" i="2"/>
  <c r="B1605" i="2"/>
  <c r="B1604" i="2"/>
  <c r="B1603" i="2"/>
  <c r="B1533" i="2"/>
  <c r="B1530" i="2"/>
  <c r="B1532" i="2"/>
  <c r="B1529" i="2"/>
  <c r="B1531" i="2"/>
  <c r="B1528" i="2"/>
  <c r="B1527" i="2"/>
  <c r="B1526" i="2"/>
  <c r="B1396" i="2"/>
  <c r="B1395" i="2"/>
  <c r="B1391" i="2"/>
  <c r="B1394" i="2"/>
  <c r="B1390" i="2"/>
  <c r="B1393" i="2"/>
  <c r="B1392" i="2"/>
  <c r="B1221" i="2"/>
  <c r="B1224" i="2"/>
  <c r="B1223" i="2"/>
  <c r="B1220" i="2"/>
  <c r="B1219" i="2"/>
  <c r="B1222" i="2"/>
  <c r="B1170" i="2"/>
  <c r="B1169" i="2"/>
  <c r="B1068" i="2"/>
  <c r="B1069" i="2"/>
  <c r="B841" i="2"/>
  <c r="B840" i="2"/>
  <c r="B834" i="2"/>
  <c r="B839" i="2"/>
  <c r="B838" i="2"/>
  <c r="B837" i="2"/>
  <c r="B833" i="2"/>
  <c r="B832" i="2"/>
  <c r="B836" i="2"/>
  <c r="B835" i="2"/>
  <c r="B807" i="2"/>
  <c r="B670" i="2"/>
  <c r="B655" i="2"/>
  <c r="B337" i="2"/>
  <c r="B90" i="2"/>
  <c r="B40" i="2"/>
  <c r="B42" i="2"/>
  <c r="B41" i="2"/>
  <c r="B39" i="2"/>
  <c r="B11" i="2"/>
  <c r="B9" i="2"/>
  <c r="B10" i="2"/>
  <c r="B8" i="2"/>
  <c r="B7" i="2"/>
  <c r="B3973" i="2"/>
  <c r="B1238" i="2"/>
  <c r="B1237" i="2"/>
  <c r="B3583" i="2"/>
  <c r="B3931" i="2"/>
  <c r="B3930" i="2"/>
  <c r="B3929" i="2"/>
  <c r="B3928" i="2"/>
  <c r="B3927" i="2"/>
  <c r="B3926" i="2"/>
  <c r="B3267" i="2"/>
  <c r="B2077" i="2"/>
  <c r="B4059" i="2"/>
  <c r="B1611" i="2"/>
  <c r="B808" i="2"/>
  <c r="B672" i="2"/>
  <c r="B338" i="2"/>
  <c r="B4089" i="2"/>
  <c r="B4088" i="2"/>
  <c r="B2312" i="2"/>
  <c r="B481" i="2"/>
  <c r="B3925" i="2"/>
  <c r="B1739" i="2"/>
  <c r="B2076" i="2"/>
  <c r="B2870" i="2"/>
  <c r="B2583" i="2"/>
  <c r="B2206" i="2"/>
  <c r="B2582" i="2"/>
  <c r="B1699" i="2"/>
  <c r="B1698" i="2"/>
  <c r="B1697" i="2"/>
  <c r="B1696" i="2"/>
  <c r="B1695" i="2"/>
  <c r="B1610" i="2"/>
  <c r="B1609" i="2"/>
  <c r="B1694" i="2"/>
  <c r="B1608" i="2"/>
  <c r="B1236" i="2"/>
  <c r="B1405" i="2"/>
  <c r="B3656" i="2"/>
  <c r="B3924" i="2"/>
  <c r="B3623" i="2"/>
  <c r="B2942" i="2"/>
  <c r="B2581" i="2"/>
  <c r="B3655" i="2"/>
  <c r="B2580" i="2"/>
  <c r="B1607" i="2"/>
  <c r="B3713" i="2"/>
  <c r="B1235" i="2"/>
  <c r="B844" i="2"/>
  <c r="B1234" i="2"/>
  <c r="B1233" i="2"/>
  <c r="B1232" i="2"/>
  <c r="B1542" i="2"/>
  <c r="B1231" i="2"/>
  <c r="B3529" i="2"/>
  <c r="B1792" i="2"/>
  <c r="B2075" i="2"/>
  <c r="B64" i="2"/>
  <c r="B843" i="2"/>
  <c r="B3266" i="2"/>
  <c r="B1404" i="2"/>
  <c r="B1853" i="2"/>
  <c r="B3265" i="2"/>
  <c r="B1070" i="2"/>
  <c r="B1403" i="2"/>
  <c r="B3654" i="2"/>
  <c r="B3859" i="2"/>
  <c r="B1541" i="2"/>
  <c r="B3416" i="2"/>
  <c r="B3858" i="2"/>
  <c r="B1802" i="2"/>
  <c r="B1229" i="2"/>
  <c r="B1228" i="2"/>
  <c r="B94" i="2"/>
  <c r="B1852" i="2"/>
  <c r="B3264" i="2"/>
  <c r="B1851" i="2"/>
  <c r="B1402" i="2"/>
  <c r="B842" i="2"/>
  <c r="B1801" i="2"/>
  <c r="B3180" i="2"/>
  <c r="B3179" i="2"/>
  <c r="B1800" i="2"/>
  <c r="B2074" i="2"/>
  <c r="B1540" i="2"/>
  <c r="B2073" i="2"/>
  <c r="B2072" i="2"/>
  <c r="B93" i="2"/>
  <c r="B2071" i="2"/>
  <c r="B3653" i="2"/>
  <c r="B63" i="2"/>
  <c r="B3652" i="2"/>
  <c r="B3651" i="2"/>
  <c r="B3650" i="2"/>
  <c r="B3415" i="2"/>
  <c r="B3263" i="2"/>
  <c r="B3582" i="2"/>
  <c r="B1173" i="2"/>
  <c r="B1172" i="2"/>
  <c r="B3413" i="2"/>
  <c r="B3649" i="2"/>
  <c r="B2803" i="2"/>
  <c r="B1401" i="2"/>
  <c r="B1171" i="2"/>
  <c r="B1400" i="2"/>
  <c r="B3648" i="2"/>
  <c r="B1399" i="2"/>
  <c r="B2755" i="2"/>
  <c r="B3412" i="2"/>
  <c r="B2754" i="2"/>
  <c r="B2753" i="2"/>
  <c r="B2752" i="2"/>
  <c r="B2751" i="2"/>
  <c r="B2349" i="2"/>
  <c r="B2750" i="2"/>
  <c r="B1398" i="2"/>
  <c r="B3262" i="2"/>
  <c r="B3261" i="2"/>
  <c r="B92" i="2"/>
  <c r="B3260" i="2"/>
  <c r="B3972" i="2"/>
  <c r="B3712" i="2"/>
  <c r="B3764" i="2"/>
  <c r="B3178" i="2"/>
  <c r="B3763" i="2"/>
  <c r="B2070" i="2"/>
  <c r="B3762" i="2"/>
  <c r="B3761" i="2"/>
  <c r="B3760" i="2"/>
  <c r="B2069" i="2"/>
  <c r="B2205" i="2"/>
  <c r="B1397" i="2"/>
  <c r="B3711" i="2"/>
  <c r="B3502" i="2"/>
  <c r="B3647" i="2"/>
  <c r="B2579" i="2"/>
  <c r="B3259" i="2"/>
  <c r="B2348" i="2"/>
  <c r="B2347" i="2"/>
  <c r="B4010" i="2"/>
  <c r="B3528" i="2"/>
  <c r="B3581" i="2"/>
  <c r="B3580" i="2"/>
  <c r="B2007" i="2"/>
  <c r="B3527" i="2"/>
  <c r="B3526" i="2"/>
  <c r="B2701" i="2"/>
  <c r="B3525" i="2"/>
  <c r="B2700" i="2"/>
  <c r="B2699" i="2"/>
  <c r="B2204" i="2"/>
  <c r="B2698" i="2"/>
  <c r="B2346" i="2"/>
  <c r="B2697" i="2"/>
  <c r="B3524" i="2"/>
  <c r="B3523" i="2"/>
  <c r="B3258" i="2"/>
  <c r="B1227" i="2"/>
  <c r="B1539" i="2"/>
  <c r="B1538" i="2"/>
  <c r="B1226" i="2"/>
  <c r="B2696" i="2"/>
  <c r="B1225" i="2"/>
  <c r="B671" i="2"/>
  <c r="B3923" i="2"/>
  <c r="B49" i="2"/>
  <c r="B48" i="2"/>
  <c r="B1537" i="2"/>
  <c r="B3922" i="2"/>
  <c r="B2548" i="2"/>
  <c r="B2869" i="2"/>
  <c r="B3257" i="2"/>
  <c r="B3256" i="2"/>
  <c r="B3856" i="2"/>
  <c r="B91" i="2"/>
  <c r="B46" i="2"/>
  <c r="B45" i="2"/>
  <c r="B788" i="2"/>
  <c r="B2203" i="2"/>
  <c r="B2695" i="2"/>
  <c r="B1536" i="2"/>
  <c r="B1535" i="2"/>
  <c r="B1534" i="2"/>
  <c r="B17" i="2"/>
  <c r="B16" i="2"/>
  <c r="B15" i="2"/>
  <c r="B14" i="2"/>
  <c r="B12" i="2"/>
  <c r="B4317" i="2"/>
  <c r="B4316" i="2"/>
  <c r="B4315" i="2"/>
  <c r="B4303" i="2"/>
  <c r="B4302" i="2"/>
  <c r="B4286" i="2"/>
  <c r="B4285" i="2"/>
  <c r="B4277" i="2"/>
  <c r="B4276" i="2"/>
  <c r="B4275" i="2"/>
  <c r="B4274" i="2"/>
  <c r="B4269" i="2"/>
  <c r="B4268" i="2"/>
  <c r="B4264" i="2"/>
  <c r="B4263" i="2"/>
  <c r="B4222" i="2"/>
  <c r="B4221" i="2"/>
  <c r="B4220" i="2"/>
  <c r="B4219" i="2"/>
  <c r="B4218" i="2"/>
  <c r="B4217" i="2"/>
  <c r="B4197" i="2"/>
  <c r="B4185" i="2"/>
  <c r="B4184" i="2"/>
  <c r="B4177" i="2"/>
  <c r="B4176" i="2"/>
  <c r="B4167" i="2"/>
  <c r="B4159" i="2"/>
  <c r="B4147" i="2"/>
  <c r="B4146" i="2"/>
  <c r="B4138" i="2"/>
  <c r="B4137" i="2"/>
  <c r="B4136" i="2"/>
  <c r="B4119" i="2"/>
  <c r="B4118" i="2"/>
  <c r="B4117" i="2"/>
  <c r="B4116" i="2"/>
  <c r="B4096" i="2"/>
  <c r="B4095" i="2"/>
  <c r="B4094" i="2"/>
  <c r="B4093" i="2"/>
  <c r="B4092" i="2"/>
  <c r="B4091" i="2"/>
  <c r="B4090" i="2"/>
  <c r="B4076" i="2"/>
  <c r="B4063" i="2"/>
  <c r="B4062" i="2"/>
  <c r="B4061" i="2"/>
  <c r="B4060" i="2"/>
  <c r="B4030" i="2"/>
  <c r="B4029" i="2"/>
  <c r="B4028" i="2"/>
  <c r="B4027" i="2"/>
  <c r="B4012" i="2"/>
  <c r="B4011" i="2"/>
  <c r="B3998" i="2"/>
  <c r="B3974" i="2"/>
  <c r="B3959" i="2"/>
  <c r="B3958" i="2"/>
  <c r="B3957" i="2"/>
  <c r="B3956" i="2"/>
  <c r="B3932" i="2"/>
  <c r="B3866" i="2"/>
  <c r="B3865" i="2"/>
  <c r="B3864" i="2"/>
  <c r="B3863" i="2"/>
  <c r="B3862" i="2"/>
  <c r="B3861" i="2"/>
  <c r="B3860" i="2"/>
  <c r="B3822" i="2"/>
  <c r="B3802" i="2"/>
  <c r="B3766" i="2"/>
  <c r="B3765" i="2"/>
  <c r="B3718" i="2"/>
  <c r="B3717" i="2"/>
  <c r="B3716" i="2"/>
  <c r="B3715" i="2"/>
  <c r="B3714" i="2"/>
  <c r="B3688" i="2"/>
  <c r="B3687" i="2"/>
  <c r="B3686" i="2"/>
  <c r="B3659" i="2"/>
  <c r="B3658" i="2"/>
  <c r="B3657" i="2"/>
  <c r="B3624" i="2"/>
  <c r="B3610" i="2"/>
  <c r="B3586" i="2"/>
  <c r="B3585" i="2"/>
  <c r="B3584" i="2"/>
  <c r="B3531" i="2"/>
  <c r="B3530" i="2"/>
  <c r="B3485" i="2"/>
  <c r="B3273" i="2"/>
  <c r="B3272" i="2"/>
  <c r="B3271" i="2"/>
  <c r="B3270" i="2"/>
  <c r="B3269" i="2"/>
  <c r="B3268" i="2"/>
  <c r="B3182" i="2"/>
  <c r="B3181" i="2"/>
  <c r="B3071" i="2"/>
  <c r="B3070" i="2"/>
  <c r="B3069" i="2"/>
  <c r="B3037" i="2"/>
  <c r="B3036" i="2"/>
  <c r="B3035" i="2"/>
  <c r="B3034" i="2"/>
  <c r="B3033" i="2"/>
  <c r="B3032" i="2"/>
  <c r="B2981" i="2"/>
  <c r="B2948" i="2"/>
  <c r="B2947" i="2"/>
  <c r="B2946" i="2"/>
  <c r="B2945" i="2"/>
  <c r="B2944" i="2"/>
  <c r="B2943" i="2"/>
  <c r="B2928" i="2"/>
  <c r="B2876" i="2"/>
  <c r="B2875" i="2"/>
  <c r="B2874" i="2"/>
  <c r="B2873" i="2"/>
  <c r="B2872" i="2"/>
  <c r="B2871" i="2"/>
  <c r="B2851" i="2"/>
  <c r="B2850" i="2"/>
  <c r="B2808" i="2"/>
  <c r="B2807" i="2"/>
  <c r="B2806" i="2"/>
  <c r="B2805" i="2"/>
  <c r="B2804" i="2"/>
  <c r="B2761" i="2"/>
  <c r="B2760" i="2"/>
  <c r="B2759" i="2"/>
  <c r="B2758" i="2"/>
  <c r="B2757" i="2"/>
  <c r="B2756" i="2"/>
  <c r="B2703" i="2"/>
  <c r="B2702" i="2"/>
  <c r="B2511" i="2"/>
  <c r="B2510" i="2"/>
  <c r="B2509" i="2"/>
  <c r="B2508" i="2"/>
  <c r="B2483" i="2"/>
  <c r="B2352" i="2"/>
  <c r="B2351" i="2"/>
  <c r="B2209" i="2"/>
  <c r="B2208" i="2"/>
  <c r="B2207" i="2"/>
  <c r="B2080" i="2"/>
  <c r="B2079" i="2"/>
  <c r="B2078" i="2"/>
  <c r="B2011" i="2"/>
  <c r="B2010" i="2"/>
  <c r="B2009" i="2"/>
  <c r="B2008" i="2"/>
  <c r="B1920" i="2"/>
  <c r="B1919" i="2"/>
  <c r="B1857" i="2"/>
  <c r="B1856" i="2"/>
  <c r="B1855" i="2"/>
  <c r="B1854" i="2"/>
  <c r="B1806" i="2"/>
  <c r="B1805" i="2"/>
  <c r="B1804" i="2"/>
  <c r="B1803" i="2"/>
  <c r="B1768" i="2"/>
  <c r="B1767" i="2"/>
  <c r="B1766" i="2"/>
  <c r="B1753" i="2"/>
  <c r="B1740" i="2"/>
  <c r="B1703" i="2"/>
  <c r="B1702" i="2"/>
  <c r="B1701" i="2"/>
  <c r="B1700" i="2"/>
  <c r="B1614" i="2"/>
  <c r="B1613" i="2"/>
  <c r="B1612" i="2"/>
  <c r="B1543" i="2"/>
  <c r="B1248" i="2"/>
  <c r="B1247" i="2"/>
  <c r="B1246" i="2"/>
  <c r="B1245" i="2"/>
  <c r="B1244" i="2"/>
  <c r="B1243" i="2"/>
  <c r="B1242" i="2"/>
  <c r="B1241" i="2"/>
  <c r="B1240" i="2"/>
  <c r="B1239" i="2"/>
  <c r="B1176" i="2"/>
  <c r="B1175" i="2"/>
  <c r="B1174" i="2"/>
  <c r="B1081" i="2"/>
  <c r="B1080" i="2"/>
  <c r="B1079" i="2"/>
  <c r="B1078" i="2"/>
  <c r="B1077" i="2"/>
  <c r="B1076" i="2"/>
  <c r="B1075" i="2"/>
  <c r="B1074" i="2"/>
  <c r="B1073" i="2"/>
  <c r="B1072" i="2"/>
  <c r="B1071" i="2"/>
  <c r="B848" i="2"/>
  <c r="B847" i="2"/>
  <c r="B846" i="2"/>
  <c r="B845" i="2"/>
  <c r="B791" i="2"/>
  <c r="B790" i="2"/>
  <c r="B789" i="2"/>
  <c r="B758" i="2"/>
  <c r="B757" i="2"/>
  <c r="B756" i="2"/>
  <c r="B755" i="2"/>
  <c r="B754" i="2"/>
  <c r="B753" i="2"/>
  <c r="B752" i="2"/>
  <c r="B751" i="2"/>
  <c r="B750" i="2"/>
  <c r="B749" i="2"/>
  <c r="B708" i="2"/>
  <c r="B707" i="2"/>
  <c r="B706" i="2"/>
  <c r="B705" i="2"/>
  <c r="B704" i="2"/>
  <c r="B686" i="2"/>
  <c r="B673" i="2"/>
  <c r="B657" i="2"/>
  <c r="B656" i="2"/>
  <c r="B638" i="2"/>
  <c r="B637" i="2"/>
  <c r="B621" i="2"/>
  <c r="B604" i="2"/>
  <c r="B484" i="2"/>
  <c r="B483" i="2"/>
  <c r="B482" i="2"/>
  <c r="B454" i="2"/>
  <c r="B392" i="2"/>
  <c r="B391" i="2"/>
  <c r="B390" i="2"/>
  <c r="B342" i="2"/>
  <c r="B341" i="2"/>
  <c r="B340" i="2"/>
  <c r="B339" i="2"/>
  <c r="B265" i="2"/>
  <c r="B264" i="2"/>
  <c r="B263" i="2"/>
  <c r="B262" i="2"/>
  <c r="B261" i="2"/>
  <c r="B223" i="2"/>
  <c r="B222" i="2"/>
  <c r="B221" i="2"/>
  <c r="B220" i="2"/>
  <c r="B195" i="2"/>
  <c r="B194" i="2"/>
  <c r="B193" i="2"/>
  <c r="B192" i="2"/>
  <c r="B179" i="2"/>
  <c r="B178" i="2"/>
  <c r="B177" i="2"/>
  <c r="B165" i="2"/>
  <c r="B164" i="2"/>
  <c r="B163" i="2"/>
  <c r="B162" i="2"/>
  <c r="B161" i="2"/>
  <c r="B160" i="2"/>
  <c r="B158" i="2"/>
  <c r="B157" i="2"/>
  <c r="B156" i="2"/>
  <c r="B155" i="2"/>
  <c r="B135" i="2"/>
  <c r="B134" i="2"/>
  <c r="B95" i="2"/>
  <c r="B4318" i="2"/>
  <c r="B4304" i="2"/>
  <c r="B4287" i="2"/>
  <c r="B4278" i="2"/>
  <c r="B4271" i="2"/>
  <c r="B4270" i="2"/>
  <c r="B4265" i="2"/>
  <c r="B4224" i="2"/>
  <c r="B4226" i="2"/>
  <c r="B4225" i="2"/>
  <c r="B4223" i="2"/>
  <c r="B4200" i="2"/>
  <c r="B4199" i="2"/>
  <c r="B4198" i="2"/>
  <c r="B4186" i="2"/>
  <c r="B4178" i="2"/>
  <c r="B4169" i="2"/>
  <c r="B4168" i="2"/>
  <c r="B4160" i="2"/>
  <c r="B4151" i="2"/>
  <c r="B4148" i="2"/>
  <c r="B4141" i="2"/>
  <c r="B4140" i="2"/>
  <c r="B4099" i="2"/>
  <c r="B4098" i="2"/>
  <c r="B4097" i="2"/>
  <c r="B4073" i="2"/>
  <c r="B4065" i="2"/>
  <c r="B4064" i="2"/>
  <c r="B4035" i="2"/>
  <c r="B4034" i="2"/>
  <c r="B4033" i="2"/>
  <c r="B4032" i="2"/>
  <c r="B4031" i="2"/>
  <c r="B4013" i="2"/>
  <c r="B3999" i="2"/>
  <c r="B3991" i="2"/>
  <c r="B3977" i="2"/>
  <c r="B3976" i="2"/>
  <c r="B3975" i="2"/>
  <c r="B3965" i="2"/>
  <c r="B3964" i="2"/>
  <c r="B3963" i="2"/>
  <c r="B3962" i="2"/>
  <c r="B3961" i="2"/>
  <c r="B3960" i="2"/>
  <c r="B3934" i="2"/>
  <c r="B3933" i="2"/>
  <c r="B3869" i="2"/>
  <c r="B3868" i="2"/>
  <c r="B3867" i="2"/>
  <c r="B3824" i="2"/>
  <c r="B3823" i="2"/>
  <c r="B3803" i="2"/>
  <c r="B3769" i="2"/>
  <c r="B3768" i="2"/>
  <c r="B3767" i="2"/>
  <c r="B3719" i="2"/>
  <c r="B3689" i="2"/>
  <c r="B3661" i="2"/>
  <c r="B3660" i="2"/>
  <c r="B3625" i="2"/>
  <c r="B3611" i="2"/>
  <c r="B3588" i="2"/>
  <c r="B3587" i="2"/>
  <c r="B3533" i="2"/>
  <c r="B3532" i="2"/>
  <c r="B3505" i="2"/>
  <c r="B3421" i="2"/>
  <c r="B3420" i="2"/>
  <c r="B3419" i="2"/>
  <c r="B3418" i="2"/>
  <c r="B3417" i="2"/>
  <c r="B3370" i="2"/>
  <c r="B3277" i="2"/>
  <c r="B3276" i="2"/>
  <c r="B3275" i="2"/>
  <c r="B3274" i="2"/>
  <c r="B3190" i="2"/>
  <c r="B3189" i="2"/>
  <c r="B3188" i="2"/>
  <c r="B3187" i="2"/>
  <c r="B3186" i="2"/>
  <c r="B3185" i="2"/>
  <c r="B3184" i="2"/>
  <c r="B3183" i="2"/>
  <c r="B3076" i="2"/>
  <c r="B3075" i="2"/>
  <c r="B3074" i="2"/>
  <c r="B3073" i="2"/>
  <c r="B3072" i="2"/>
  <c r="B3040" i="2"/>
  <c r="B3039" i="2"/>
  <c r="B3038" i="2"/>
  <c r="B2986" i="2"/>
  <c r="B2985" i="2"/>
  <c r="B2984" i="2"/>
  <c r="B2983" i="2"/>
  <c r="B2982" i="2"/>
  <c r="B2953" i="2"/>
  <c r="B2952" i="2"/>
  <c r="B2951" i="2"/>
  <c r="B2950" i="2"/>
  <c r="B2949" i="2"/>
  <c r="B2929" i="2"/>
  <c r="B4139" i="2"/>
  <c r="B2882" i="2"/>
  <c r="B2881" i="2"/>
  <c r="B2879" i="2"/>
  <c r="B2878" i="2"/>
  <c r="B2877" i="2"/>
  <c r="B2855" i="2"/>
  <c r="B2854" i="2"/>
  <c r="B2853" i="2"/>
  <c r="B2852" i="2"/>
  <c r="B2813" i="2"/>
  <c r="B2812" i="2"/>
  <c r="B2811" i="2"/>
  <c r="B2810" i="2"/>
  <c r="B2809" i="2"/>
  <c r="B2800" i="2"/>
  <c r="B2765" i="2"/>
  <c r="B2764" i="2"/>
  <c r="B2763" i="2"/>
  <c r="B2762" i="2"/>
  <c r="B2709" i="2"/>
  <c r="B2708" i="2"/>
  <c r="B2707" i="2"/>
  <c r="B2706" i="2"/>
  <c r="B2705" i="2"/>
  <c r="B2704" i="2"/>
  <c r="B2589" i="2"/>
  <c r="B2682" i="2"/>
  <c r="B2590" i="2"/>
  <c r="B2588" i="2"/>
  <c r="B2587" i="2"/>
  <c r="B2586" i="2"/>
  <c r="B2585" i="2"/>
  <c r="B2584" i="2"/>
  <c r="B2552" i="2"/>
  <c r="B2551" i="2"/>
  <c r="B2550" i="2"/>
  <c r="B2543" i="2"/>
  <c r="B2517" i="2"/>
  <c r="B2516" i="2"/>
  <c r="B2515" i="2"/>
  <c r="B2514" i="2"/>
  <c r="B2513" i="2"/>
  <c r="B2512" i="2"/>
  <c r="B2484" i="2"/>
  <c r="B2359" i="2"/>
  <c r="B2358" i="2"/>
  <c r="B2357" i="2"/>
  <c r="B2356" i="2"/>
  <c r="B2355" i="2"/>
  <c r="B2354" i="2"/>
  <c r="B2353" i="2"/>
  <c r="B2315" i="2"/>
  <c r="B2314" i="2"/>
  <c r="B2313" i="2"/>
  <c r="B2212" i="2"/>
  <c r="B2211" i="2"/>
  <c r="B2210" i="2"/>
  <c r="B2190" i="2"/>
  <c r="B2094" i="2"/>
  <c r="B2093" i="2"/>
  <c r="B2092" i="2"/>
  <c r="B2091" i="2"/>
  <c r="B2090" i="2"/>
  <c r="B2089" i="2"/>
  <c r="B2088" i="2"/>
  <c r="B2087" i="2"/>
  <c r="B2086" i="2"/>
  <c r="B2085" i="2"/>
  <c r="B2084" i="2"/>
  <c r="B2083" i="2"/>
  <c r="B2082" i="2"/>
  <c r="B2081" i="2"/>
  <c r="B2053" i="2"/>
  <c r="B2015" i="2"/>
  <c r="B2014" i="2"/>
  <c r="B2013" i="2"/>
  <c r="B2012" i="2"/>
  <c r="B2002" i="2"/>
  <c r="B1928" i="2"/>
  <c r="B1927" i="2"/>
  <c r="B1926" i="2"/>
  <c r="B1925" i="2"/>
  <c r="B1924" i="2"/>
  <c r="B1923" i="2"/>
  <c r="B1922" i="2"/>
  <c r="B1921" i="2"/>
  <c r="B1863" i="2"/>
  <c r="B1862" i="2"/>
  <c r="B1861" i="2"/>
  <c r="B1860" i="2"/>
  <c r="B1859" i="2"/>
  <c r="B1858" i="2"/>
  <c r="B1810" i="2"/>
  <c r="B1809" i="2"/>
  <c r="B1812" i="2"/>
  <c r="B1811" i="2"/>
  <c r="B1808" i="2"/>
  <c r="B1807" i="2"/>
  <c r="B1790" i="2"/>
  <c r="B1773" i="2"/>
  <c r="B1772" i="2"/>
  <c r="B1771" i="2"/>
  <c r="B1770" i="2"/>
  <c r="B1769" i="2"/>
  <c r="B1756" i="2"/>
  <c r="B1755" i="2"/>
  <c r="B1754" i="2"/>
  <c r="B1731" i="2"/>
  <c r="B1708" i="2"/>
  <c r="B1707" i="2"/>
  <c r="B1706" i="2"/>
  <c r="B1705" i="2"/>
  <c r="B1704" i="2"/>
  <c r="B1656" i="2"/>
  <c r="B1618" i="2"/>
  <c r="B1617" i="2"/>
  <c r="B1616" i="2"/>
  <c r="B1615" i="2"/>
  <c r="B1544" i="2"/>
  <c r="B1495" i="2"/>
  <c r="B1494" i="2"/>
  <c r="B1492" i="2"/>
  <c r="B1408" i="2"/>
  <c r="B1407" i="2"/>
  <c r="B1406" i="2"/>
  <c r="B1371" i="2"/>
  <c r="B1370" i="2"/>
  <c r="B1369" i="2"/>
  <c r="B1368" i="2"/>
  <c r="B1367" i="2"/>
  <c r="B1254" i="2"/>
  <c r="B1253" i="2"/>
  <c r="B1252" i="2"/>
  <c r="B1251" i="2"/>
  <c r="B1250" i="2"/>
  <c r="B1249" i="2"/>
  <c r="B1181" i="2"/>
  <c r="B1180" i="2"/>
  <c r="B1179" i="2"/>
  <c r="B1178" i="2"/>
  <c r="B1177" i="2"/>
  <c r="B1148" i="2"/>
  <c r="B1147" i="2"/>
  <c r="B1146" i="2"/>
  <c r="B1145" i="2"/>
  <c r="B1144" i="2"/>
  <c r="B1143" i="2"/>
  <c r="B1142" i="2"/>
  <c r="B1082" i="2"/>
  <c r="B1045" i="2"/>
  <c r="B1044" i="2"/>
  <c r="B851" i="2"/>
  <c r="B850" i="2"/>
  <c r="B849" i="2"/>
  <c r="B811" i="2"/>
  <c r="B810" i="2"/>
  <c r="B809" i="2"/>
  <c r="B793" i="2"/>
  <c r="B792" i="2"/>
  <c r="B779" i="2"/>
  <c r="B760" i="2"/>
  <c r="B759" i="2"/>
  <c r="B733" i="2"/>
  <c r="B718" i="2"/>
  <c r="B717" i="2"/>
  <c r="B700" i="2"/>
  <c r="B688" i="2"/>
  <c r="B687" i="2"/>
  <c r="B674" i="2"/>
  <c r="B659" i="2"/>
  <c r="B658" i="2"/>
  <c r="B639" i="2"/>
  <c r="B605" i="2"/>
  <c r="B485" i="2"/>
  <c r="B472" i="2"/>
  <c r="B471" i="2"/>
  <c r="B457" i="2"/>
  <c r="B456" i="2"/>
  <c r="B455" i="2"/>
  <c r="B450" i="2"/>
  <c r="B400" i="2"/>
  <c r="B399" i="2"/>
  <c r="B398" i="2"/>
  <c r="B397" i="2"/>
  <c r="B396" i="2"/>
  <c r="B395" i="2"/>
  <c r="B394" i="2"/>
  <c r="B393" i="2"/>
  <c r="B386" i="2"/>
  <c r="B352" i="2"/>
  <c r="B351" i="2"/>
  <c r="B350" i="2"/>
  <c r="B349" i="2"/>
  <c r="B348" i="2"/>
  <c r="B347" i="2"/>
  <c r="B346" i="2"/>
  <c r="B345" i="2"/>
  <c r="B344" i="2"/>
  <c r="B343" i="2"/>
  <c r="B335" i="2"/>
  <c r="B334" i="2"/>
  <c r="B333" i="2"/>
  <c r="B332" i="2"/>
  <c r="B267" i="2"/>
  <c r="B266" i="2"/>
  <c r="B224" i="2"/>
  <c r="B196" i="2"/>
  <c r="B147" i="2"/>
  <c r="B146" i="2"/>
  <c r="B136" i="2"/>
  <c r="B128" i="2"/>
  <c r="B97" i="2"/>
  <c r="B96" i="2"/>
  <c r="B85" i="2"/>
  <c r="B65" i="2"/>
  <c r="B59" i="2"/>
  <c r="B51" i="2"/>
  <c r="B50" i="2"/>
  <c r="B34" i="2"/>
  <c r="B33" i="2"/>
  <c r="B4187" i="2"/>
  <c r="B4066" i="2"/>
  <c r="B854" i="2"/>
  <c r="B4036" i="2"/>
  <c r="B4014" i="2"/>
  <c r="B3936" i="2"/>
  <c r="B3935" i="2"/>
  <c r="B3871" i="2"/>
  <c r="B3870" i="2"/>
  <c r="B3826" i="2"/>
  <c r="B3825" i="2"/>
  <c r="B3722" i="2"/>
  <c r="B3721" i="2"/>
  <c r="B3720" i="2"/>
  <c r="B3662" i="2"/>
  <c r="B3612" i="2"/>
  <c r="B3589" i="2"/>
  <c r="B3506" i="2"/>
  <c r="B3475" i="2"/>
  <c r="B3423" i="2"/>
  <c r="B3422" i="2"/>
  <c r="B3282" i="2"/>
  <c r="B3281" i="2"/>
  <c r="B3280" i="2"/>
  <c r="B3371" i="2"/>
  <c r="B3279" i="2"/>
  <c r="B3278" i="2"/>
  <c r="B3193" i="2"/>
  <c r="B3192" i="2"/>
  <c r="B3191" i="2"/>
  <c r="B3085" i="2"/>
  <c r="B3084" i="2"/>
  <c r="B3083" i="2"/>
  <c r="B3082" i="2"/>
  <c r="B3081" i="2"/>
  <c r="B3080" i="2"/>
  <c r="B3079" i="2"/>
  <c r="B3078" i="2"/>
  <c r="B3077" i="2"/>
  <c r="B2930" i="2"/>
  <c r="B2883" i="2"/>
  <c r="B2848" i="2"/>
  <c r="B2814" i="2"/>
  <c r="B2771" i="2"/>
  <c r="B2770" i="2"/>
  <c r="B2769" i="2"/>
  <c r="B2768" i="2"/>
  <c r="B2767" i="2"/>
  <c r="B2766" i="2"/>
  <c r="B2710" i="2"/>
  <c r="B2681" i="2"/>
  <c r="B2553" i="2"/>
  <c r="B2321" i="2"/>
  <c r="B2215" i="2"/>
  <c r="B2214" i="2"/>
  <c r="B2213" i="2"/>
  <c r="B2095" i="2"/>
  <c r="B2016" i="2"/>
  <c r="B2000" i="2"/>
  <c r="B1929" i="2"/>
  <c r="B1900" i="2"/>
  <c r="B1899" i="2"/>
  <c r="B1867" i="2"/>
  <c r="B1866" i="2"/>
  <c r="B1865" i="2"/>
  <c r="B1864" i="2"/>
  <c r="B1814" i="2"/>
  <c r="B1813" i="2"/>
  <c r="B1730" i="2"/>
  <c r="B1709" i="2"/>
  <c r="B1622" i="2"/>
  <c r="B1621" i="2"/>
  <c r="B1620" i="2"/>
  <c r="B1619" i="2"/>
  <c r="B1578" i="2"/>
  <c r="B1577" i="2"/>
  <c r="B1576" i="2"/>
  <c r="B1575" i="2"/>
  <c r="B1409" i="2"/>
  <c r="B1268" i="2"/>
  <c r="B1257" i="2"/>
  <c r="B1373" i="2"/>
  <c r="B1372" i="2"/>
  <c r="B1267" i="2"/>
  <c r="B1266" i="2"/>
  <c r="B1265" i="2"/>
  <c r="B1264" i="2"/>
  <c r="B1263" i="2"/>
  <c r="B1262" i="2"/>
  <c r="B1261" i="2"/>
  <c r="B1260" i="2"/>
  <c r="B1259" i="2"/>
  <c r="B1258" i="2"/>
  <c r="B1256" i="2"/>
  <c r="B1255" i="2"/>
  <c r="B1182" i="2"/>
  <c r="B1154" i="2"/>
  <c r="B1153" i="2"/>
  <c r="B1152" i="2"/>
  <c r="B1151" i="2"/>
  <c r="B1150" i="2"/>
  <c r="B1149" i="2"/>
  <c r="B855" i="2"/>
  <c r="B1049" i="2"/>
  <c r="B1048" i="2"/>
  <c r="B1047" i="2"/>
  <c r="B1046"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3" i="2"/>
  <c r="B852" i="2"/>
  <c r="B795" i="2"/>
  <c r="B794" i="2"/>
  <c r="B763" i="2"/>
  <c r="B762" i="2"/>
  <c r="B761" i="2"/>
  <c r="B747" i="2"/>
  <c r="B736" i="2"/>
  <c r="B735" i="2"/>
  <c r="B734" i="2"/>
  <c r="B615" i="2"/>
  <c r="B490" i="2"/>
  <c r="B489" i="2"/>
  <c r="B488" i="2"/>
  <c r="B487" i="2"/>
  <c r="B486" i="2"/>
  <c r="B268" i="2"/>
  <c r="B256" i="2"/>
  <c r="B230" i="2"/>
  <c r="B229" i="2"/>
  <c r="B228" i="2"/>
  <c r="B227" i="2"/>
  <c r="B226" i="2"/>
  <c r="B225" i="2"/>
  <c r="B197" i="2"/>
  <c r="B180" i="2"/>
  <c r="B166" i="2"/>
  <c r="B148" i="2"/>
  <c r="B129" i="2"/>
  <c r="B99" i="2"/>
  <c r="B98" i="2"/>
  <c r="B80" i="2"/>
  <c r="B4314" i="2"/>
  <c r="B4313" i="2"/>
  <c r="B4312" i="2"/>
  <c r="B4300" i="2"/>
  <c r="B4283" i="2"/>
  <c r="B4282" i="2"/>
  <c r="B4281" i="2"/>
  <c r="B4273" i="2"/>
  <c r="B4267" i="2"/>
  <c r="B4262" i="2"/>
  <c r="B4261" i="2"/>
  <c r="B4260" i="2"/>
  <c r="B4214" i="2"/>
  <c r="B4213" i="2"/>
  <c r="B4212" i="2"/>
  <c r="B4193" i="2"/>
  <c r="B4183" i="2"/>
  <c r="B4175" i="2"/>
  <c r="B4174" i="2"/>
  <c r="B4173" i="2"/>
  <c r="B4165" i="2"/>
  <c r="B4157" i="2"/>
  <c r="B4156" i="2"/>
  <c r="B4155" i="2"/>
  <c r="B4150" i="2"/>
  <c r="B4145" i="2"/>
  <c r="B4134" i="2"/>
  <c r="B4112" i="2"/>
  <c r="B4085" i="2"/>
  <c r="B4084" i="2"/>
  <c r="B4083" i="2"/>
  <c r="B4075" i="2"/>
  <c r="B4070" i="2"/>
  <c r="B4056" i="2"/>
  <c r="B4024" i="2"/>
  <c r="B4023" i="2"/>
  <c r="B4022" i="2"/>
  <c r="B4007" i="2"/>
  <c r="B3996" i="2"/>
  <c r="B3988" i="2"/>
  <c r="B3970" i="2"/>
  <c r="B3954" i="2"/>
  <c r="B3953" i="2"/>
  <c r="B3952" i="2"/>
  <c r="B3910" i="2"/>
  <c r="B3840" i="2"/>
  <c r="B3820" i="2"/>
  <c r="B3797" i="2"/>
  <c r="B3750" i="2"/>
  <c r="B3699" i="2"/>
  <c r="B3683" i="2"/>
  <c r="B3634" i="2"/>
  <c r="B3633" i="2"/>
  <c r="B3632" i="2"/>
  <c r="B3622" i="2"/>
  <c r="B3607" i="2"/>
  <c r="B3571" i="2"/>
  <c r="B3516" i="2"/>
  <c r="B3495" i="2"/>
  <c r="B3494" i="2"/>
  <c r="B3493" i="2"/>
  <c r="B3483" i="2"/>
  <c r="B3391" i="2"/>
  <c r="B3229" i="2"/>
  <c r="B3166" i="2"/>
  <c r="B3061" i="2"/>
  <c r="B3060" i="2"/>
  <c r="B3059" i="2"/>
  <c r="B3030" i="2"/>
  <c r="B2977" i="2"/>
  <c r="B2976" i="2"/>
  <c r="B2975" i="2"/>
  <c r="B2939" i="2"/>
  <c r="B2927" i="2"/>
  <c r="B2862" i="2"/>
  <c r="B2849" i="2"/>
  <c r="B2801" i="2"/>
  <c r="B2741" i="2"/>
  <c r="B2684" i="2"/>
  <c r="B2567" i="2"/>
  <c r="B2545" i="2"/>
  <c r="B2506" i="2"/>
  <c r="B2482" i="2"/>
  <c r="B2331" i="2"/>
  <c r="B2330" i="2"/>
  <c r="B2329" i="2"/>
  <c r="B2319" i="2"/>
  <c r="B2308" i="2"/>
  <c r="B2194" i="2"/>
  <c r="B2055" i="2"/>
  <c r="B2004" i="2"/>
  <c r="B1913" i="2"/>
  <c r="B1843" i="2"/>
  <c r="B1795" i="2"/>
  <c r="B1794" i="2"/>
  <c r="B1793" i="2"/>
  <c r="B1761" i="2"/>
  <c r="B1748" i="2"/>
  <c r="B1734" i="2"/>
  <c r="B1684" i="2"/>
  <c r="B1598" i="2"/>
  <c r="B1597" i="2"/>
  <c r="B1596" i="2"/>
  <c r="B1592" i="2"/>
  <c r="B1382" i="2"/>
  <c r="B1210" i="2"/>
  <c r="B1157" i="2"/>
  <c r="B1061" i="2"/>
  <c r="B817" i="2"/>
  <c r="B816" i="2"/>
  <c r="B815" i="2"/>
  <c r="B806" i="2"/>
  <c r="B787" i="2"/>
  <c r="B748" i="2"/>
  <c r="B731" i="2"/>
  <c r="B715" i="2"/>
  <c r="B714" i="2"/>
  <c r="B713" i="2"/>
  <c r="B702" i="2"/>
  <c r="B699" i="2"/>
  <c r="B682" i="2"/>
  <c r="B681" i="2"/>
  <c r="B680" i="2"/>
  <c r="B667" i="2"/>
  <c r="B653" i="2"/>
  <c r="B635" i="2"/>
  <c r="B616" i="2"/>
  <c r="B600" i="2"/>
  <c r="B476" i="2"/>
  <c r="B475" i="2"/>
  <c r="B474" i="2"/>
  <c r="B453" i="2"/>
  <c r="B389" i="2"/>
  <c r="B336" i="2"/>
  <c r="B259" i="2"/>
  <c r="B258" i="2"/>
  <c r="B257" i="2"/>
  <c r="B219" i="2"/>
  <c r="B191" i="2"/>
  <c r="B176" i="2"/>
  <c r="B159" i="2"/>
  <c r="B154" i="2"/>
  <c r="B153" i="2"/>
  <c r="B152" i="2"/>
  <c r="B133" i="2"/>
  <c r="B88" i="2"/>
  <c r="B77" i="2"/>
  <c r="B60" i="2"/>
  <c r="B35" i="2"/>
  <c r="B4" i="2"/>
  <c r="B3" i="2"/>
  <c r="B2" i="2"/>
  <c r="B4328" i="2"/>
  <c r="B4327" i="2"/>
  <c r="B4326" i="2"/>
  <c r="B4325" i="2"/>
  <c r="B4324" i="2"/>
  <c r="B4323" i="2"/>
  <c r="B4322" i="2"/>
  <c r="B4321" i="2"/>
  <c r="B4310" i="2"/>
  <c r="B4309" i="2"/>
  <c r="B4299" i="2"/>
  <c r="B4298" i="2"/>
  <c r="B4297" i="2"/>
  <c r="B4296" i="2"/>
  <c r="B4295" i="2"/>
  <c r="B4266" i="2"/>
  <c r="B4243" i="2"/>
  <c r="B4242" i="2"/>
  <c r="B4241" i="2"/>
  <c r="B4240" i="2"/>
  <c r="B4239" i="2"/>
  <c r="B4238" i="2"/>
  <c r="B4237" i="2"/>
  <c r="B4236" i="2"/>
  <c r="B4235" i="2"/>
  <c r="B4234" i="2"/>
  <c r="B4233" i="2"/>
  <c r="B4232" i="2"/>
  <c r="B4231" i="2"/>
  <c r="B4230" i="2"/>
  <c r="B4229" i="2"/>
  <c r="B4228" i="2"/>
  <c r="B4190" i="2"/>
  <c r="B4181" i="2"/>
  <c r="B4152" i="2"/>
  <c r="B4125" i="2"/>
  <c r="B4124" i="2"/>
  <c r="B4123" i="2"/>
  <c r="B4122" i="2"/>
  <c r="B4121" i="2"/>
  <c r="B4103" i="2"/>
  <c r="B4102" i="2"/>
  <c r="B4101" i="2"/>
  <c r="B4079" i="2"/>
  <c r="B4068" i="2"/>
  <c r="B911" i="2"/>
  <c r="B4040" i="2"/>
  <c r="B4015" i="2"/>
  <c r="B4006" i="2"/>
  <c r="B3966" i="2"/>
  <c r="B3939" i="2"/>
  <c r="B3938" i="2"/>
  <c r="B3889" i="2"/>
  <c r="B3888" i="2"/>
  <c r="B3887" i="2"/>
  <c r="B3886" i="2"/>
  <c r="B3885" i="2"/>
  <c r="B3884" i="2"/>
  <c r="B3883" i="2"/>
  <c r="B3882" i="2"/>
  <c r="B3881" i="2"/>
  <c r="B3880" i="2"/>
  <c r="B3879" i="2"/>
  <c r="B3878" i="2"/>
  <c r="B3831" i="2"/>
  <c r="B3830" i="2"/>
  <c r="B3829" i="2"/>
  <c r="B3811" i="2"/>
  <c r="B3810" i="2"/>
  <c r="B3809" i="2"/>
  <c r="B3808" i="2"/>
  <c r="B3807" i="2"/>
  <c r="B3806" i="2"/>
  <c r="B3805" i="2"/>
  <c r="B3796" i="2"/>
  <c r="B3783" i="2"/>
  <c r="B3782" i="2"/>
  <c r="B3781" i="2"/>
  <c r="B3780" i="2"/>
  <c r="B3779" i="2"/>
  <c r="B3778" i="2"/>
  <c r="B3777" i="2"/>
  <c r="B3776" i="2"/>
  <c r="B3775" i="2"/>
  <c r="B3736" i="2"/>
  <c r="B3735" i="2"/>
  <c r="B3734" i="2"/>
  <c r="B3733" i="2"/>
  <c r="B3732" i="2"/>
  <c r="B3731" i="2"/>
  <c r="B3730" i="2"/>
  <c r="B3729" i="2"/>
  <c r="B3728" i="2"/>
  <c r="B3727" i="2"/>
  <c r="B3693" i="2"/>
  <c r="B3692" i="2"/>
  <c r="B3682" i="2"/>
  <c r="B3670" i="2"/>
  <c r="B3669" i="2"/>
  <c r="B3668" i="2"/>
  <c r="B3667" i="2"/>
  <c r="B3628" i="2"/>
  <c r="B3616" i="2"/>
  <c r="B3615" i="2"/>
  <c r="B3614" i="2"/>
  <c r="B3606" i="2"/>
  <c r="B3596" i="2"/>
  <c r="B3595" i="2"/>
  <c r="B3594" i="2"/>
  <c r="B3593" i="2"/>
  <c r="B3592" i="2"/>
  <c r="B3591" i="2"/>
  <c r="B3570" i="2"/>
  <c r="B3569" i="2"/>
  <c r="B3568" i="2"/>
  <c r="B3567" i="2"/>
  <c r="B3547" i="2"/>
  <c r="B3546" i="2"/>
  <c r="B3545" i="2"/>
  <c r="B3544" i="2"/>
  <c r="B3543" i="2"/>
  <c r="B3542" i="2"/>
  <c r="B3541" i="2"/>
  <c r="B3540" i="2"/>
  <c r="B3515" i="2"/>
  <c r="B3514" i="2"/>
  <c r="B3507" i="2"/>
  <c r="B3487" i="2"/>
  <c r="B3486" i="2"/>
  <c r="B3482" i="2"/>
  <c r="B3481" i="2"/>
  <c r="B3480" i="2"/>
  <c r="B3479" i="2"/>
  <c r="B3478" i="2"/>
  <c r="B3477" i="2"/>
  <c r="B3476" i="2"/>
  <c r="B3445" i="2"/>
  <c r="B3444" i="2"/>
  <c r="B3443" i="2"/>
  <c r="B3442" i="2"/>
  <c r="B3441" i="2"/>
  <c r="B3440" i="2"/>
  <c r="B3439" i="2"/>
  <c r="B3438" i="2"/>
  <c r="B3437" i="2"/>
  <c r="B3436" i="2"/>
  <c r="B3435" i="2"/>
  <c r="B3434" i="2"/>
  <c r="B3433" i="2"/>
  <c r="B3390" i="2"/>
  <c r="B3389" i="2"/>
  <c r="B3388" i="2"/>
  <c r="B3387" i="2"/>
  <c r="B3386" i="2"/>
  <c r="B3385" i="2"/>
  <c r="B3384" i="2"/>
  <c r="B3383" i="2"/>
  <c r="B3382" i="2"/>
  <c r="B3381" i="2"/>
  <c r="B3380" i="2"/>
  <c r="B3379" i="2"/>
  <c r="B3378" i="2"/>
  <c r="B3377" i="2"/>
  <c r="B3376" i="2"/>
  <c r="B3375" i="2"/>
  <c r="B3374" i="2"/>
  <c r="B3373" i="2"/>
  <c r="B3372" i="2"/>
  <c r="B3297" i="2"/>
  <c r="B3296" i="2"/>
  <c r="B3295" i="2"/>
  <c r="B3294" i="2"/>
  <c r="B3293" i="2"/>
  <c r="B3292" i="2"/>
  <c r="B3291" i="2"/>
  <c r="B3290" i="2"/>
  <c r="B3289" i="2"/>
  <c r="B3288" i="2"/>
  <c r="B3227" i="2"/>
  <c r="B3211" i="2"/>
  <c r="B3210" i="2"/>
  <c r="B3209" i="2"/>
  <c r="B3208" i="2"/>
  <c r="B3207" i="2"/>
  <c r="B3206" i="2"/>
  <c r="B3205" i="2"/>
  <c r="B3204" i="2"/>
  <c r="B3203" i="2"/>
  <c r="B3202" i="2"/>
  <c r="B3164" i="2"/>
  <c r="B3163" i="2"/>
  <c r="B3118" i="2"/>
  <c r="B3117" i="2"/>
  <c r="B3116" i="2"/>
  <c r="B3115" i="2"/>
  <c r="B3114" i="2"/>
  <c r="B3113" i="2"/>
  <c r="B3112" i="2"/>
  <c r="B3111" i="2"/>
  <c r="B3110" i="2"/>
  <c r="B3109" i="2"/>
  <c r="B3108" i="2"/>
  <c r="B3106" i="2"/>
  <c r="B3105" i="2"/>
  <c r="B3104" i="2"/>
  <c r="B3103" i="2"/>
  <c r="B3102" i="2"/>
  <c r="B3101" i="2"/>
  <c r="B3100" i="2"/>
  <c r="B3099" i="2"/>
  <c r="B3098" i="2"/>
  <c r="B3097" i="2"/>
  <c r="B3096" i="2"/>
  <c r="B3095" i="2"/>
  <c r="B3049" i="2"/>
  <c r="B3048" i="2"/>
  <c r="B3047" i="2"/>
  <c r="B3046" i="2"/>
  <c r="B3045" i="2"/>
  <c r="B3044" i="2"/>
  <c r="B3043" i="2"/>
  <c r="B3042" i="2"/>
  <c r="B3028" i="2"/>
  <c r="B3008" i="2"/>
  <c r="B3007" i="2"/>
  <c r="B3006" i="2"/>
  <c r="B3005" i="2"/>
  <c r="B3004" i="2"/>
  <c r="B3003" i="2"/>
  <c r="B3002" i="2"/>
  <c r="B3001" i="2"/>
  <c r="B3000" i="2"/>
  <c r="B2999" i="2"/>
  <c r="B2998" i="2"/>
  <c r="B2997" i="2"/>
  <c r="B2996" i="2"/>
  <c r="B2995" i="2"/>
  <c r="B2994" i="2"/>
  <c r="B2993" i="2"/>
  <c r="B2992" i="2"/>
  <c r="B2957" i="2"/>
  <c r="B2956" i="2"/>
  <c r="B2931" i="2"/>
  <c r="B2926" i="2"/>
  <c r="B2925" i="2"/>
  <c r="B2924" i="2"/>
  <c r="B2923" i="2"/>
  <c r="B2922" i="2"/>
  <c r="B2921" i="2"/>
  <c r="B2920" i="2"/>
  <c r="B2919" i="2"/>
  <c r="B2918" i="2"/>
  <c r="B2917" i="2"/>
  <c r="B2916" i="2"/>
  <c r="B2915" i="2"/>
  <c r="B2914" i="2"/>
  <c r="B2889" i="2"/>
  <c r="B2888" i="2"/>
  <c r="B2887" i="2"/>
  <c r="B2886" i="2"/>
  <c r="B2885" i="2"/>
  <c r="B2884" i="2"/>
  <c r="B2858" i="2"/>
  <c r="B2857" i="2"/>
  <c r="B2830" i="2"/>
  <c r="B2829" i="2"/>
  <c r="B2828" i="2"/>
  <c r="B2827" i="2"/>
  <c r="B2826" i="2"/>
  <c r="B2825" i="2"/>
  <c r="B2824" i="2"/>
  <c r="B2823" i="2"/>
  <c r="B2822" i="2"/>
  <c r="B2821" i="2"/>
  <c r="B2820" i="2"/>
  <c r="B2819" i="2"/>
  <c r="B2818" i="2"/>
  <c r="B2817" i="2"/>
  <c r="B2816" i="2"/>
  <c r="B2815" i="2"/>
  <c r="B2784" i="2"/>
  <c r="B2783" i="2"/>
  <c r="B2782" i="2"/>
  <c r="B2781" i="2"/>
  <c r="B2780" i="2"/>
  <c r="B2779" i="2"/>
  <c r="B2778" i="2"/>
  <c r="B2777" i="2"/>
  <c r="B2776" i="2"/>
  <c r="B2775" i="2"/>
  <c r="B2774" i="2"/>
  <c r="B2773" i="2"/>
  <c r="B2772" i="2"/>
  <c r="B2740" i="2"/>
  <c r="B2717" i="2"/>
  <c r="B2716" i="2"/>
  <c r="B2715" i="2"/>
  <c r="B2714" i="2"/>
  <c r="B2683"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61" i="2"/>
  <c r="B2544" i="2"/>
  <c r="B2526" i="2"/>
  <c r="B2525" i="2"/>
  <c r="B2524" i="2"/>
  <c r="B2523" i="2"/>
  <c r="B2522" i="2"/>
  <c r="B2521" i="2"/>
  <c r="B2520" i="2"/>
  <c r="B2494" i="2"/>
  <c r="B2493" i="2"/>
  <c r="B2492" i="2"/>
  <c r="B2491" i="2"/>
  <c r="B2490" i="2"/>
  <c r="B2489" i="2"/>
  <c r="B2488" i="2"/>
  <c r="B2487" i="2"/>
  <c r="B2486" i="2"/>
  <c r="B2481" i="2"/>
  <c r="B2480"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22" i="2"/>
  <c r="B2316" i="2"/>
  <c r="B2307" i="2"/>
  <c r="B2306" i="2"/>
  <c r="B2305" i="2"/>
  <c r="B2304" i="2"/>
  <c r="B2303" i="2"/>
  <c r="B2302" i="2"/>
  <c r="B2301" i="2"/>
  <c r="B2300" i="2"/>
  <c r="B2299"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193" i="2"/>
  <c r="B2192" i="2"/>
  <c r="B2191"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054" i="2"/>
  <c r="B2030" i="2"/>
  <c r="B2029" i="2"/>
  <c r="B2028" i="2"/>
  <c r="B2027" i="2"/>
  <c r="B2026" i="2"/>
  <c r="B2025" i="2"/>
  <c r="B2024" i="2"/>
  <c r="B2023" i="2"/>
  <c r="B2022" i="2"/>
  <c r="B2021" i="2"/>
  <c r="B2020" i="2"/>
  <c r="B2019" i="2"/>
  <c r="B2018" i="2"/>
  <c r="B2017" i="2"/>
  <c r="B2003" i="2"/>
  <c r="B1953" i="2"/>
  <c r="B1952" i="2"/>
  <c r="B1951" i="2"/>
  <c r="B1950" i="2"/>
  <c r="B1949" i="2"/>
  <c r="B1948" i="2"/>
  <c r="B1947" i="2"/>
  <c r="B1946" i="2"/>
  <c r="B1945" i="2"/>
  <c r="B1944" i="2"/>
  <c r="B1943" i="2"/>
  <c r="B1942" i="2"/>
  <c r="B1941" i="2"/>
  <c r="B1940" i="2"/>
  <c r="B1939" i="2"/>
  <c r="B1938" i="2"/>
  <c r="B1937" i="2"/>
  <c r="B1936" i="2"/>
  <c r="B1935" i="2"/>
  <c r="B1912" i="2"/>
  <c r="B1911" i="2"/>
  <c r="B1910" i="2"/>
  <c r="B1909" i="2"/>
  <c r="B1907" i="2"/>
  <c r="B1902" i="2"/>
  <c r="B1903" i="2"/>
  <c r="B1901" i="2"/>
  <c r="B1877" i="2"/>
  <c r="B1876" i="2"/>
  <c r="B1875" i="2"/>
  <c r="B1874" i="2"/>
  <c r="B1873" i="2"/>
  <c r="B1825" i="2"/>
  <c r="B1824" i="2"/>
  <c r="B1823" i="2"/>
  <c r="B1822" i="2"/>
  <c r="B1821" i="2"/>
  <c r="B1820" i="2"/>
  <c r="B1779" i="2"/>
  <c r="B1778" i="2"/>
  <c r="B1777" i="2"/>
  <c r="B1776" i="2"/>
  <c r="B1759" i="2"/>
  <c r="B1742" i="2"/>
  <c r="B1741" i="2"/>
  <c r="B3228" i="2"/>
  <c r="B1717" i="2"/>
  <c r="B1716" i="2"/>
  <c r="B1715" i="2"/>
  <c r="B1714" i="2"/>
  <c r="B1713" i="2"/>
  <c r="B1683" i="2"/>
  <c r="B1634" i="2"/>
  <c r="B1633" i="2"/>
  <c r="B1632" i="2"/>
  <c r="B1631" i="2"/>
  <c r="B1630" i="2"/>
  <c r="B1629" i="2"/>
  <c r="B1628" i="2"/>
  <c r="B1627" i="2"/>
  <c r="B1626" i="2"/>
  <c r="B1589" i="2"/>
  <c r="B1588" i="2"/>
  <c r="B1583" i="2"/>
  <c r="B1582" i="2"/>
  <c r="B1581" i="2"/>
  <c r="B1580" i="2"/>
  <c r="B1579" i="2"/>
  <c r="B1548" i="2"/>
  <c r="B1547" i="2"/>
  <c r="B1546" i="2"/>
  <c r="B1500" i="2"/>
  <c r="B1499" i="2"/>
  <c r="B1498" i="2"/>
  <c r="B1497" i="2"/>
  <c r="B1496" i="2"/>
  <c r="B1493"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381" i="2"/>
  <c r="B1380" i="2"/>
  <c r="B1379" i="2"/>
  <c r="B1378" i="2"/>
  <c r="B1375" i="2"/>
  <c r="B1374" i="2"/>
  <c r="B1301" i="2"/>
  <c r="B1300" i="2"/>
  <c r="B1299" i="2"/>
  <c r="B1298" i="2"/>
  <c r="B1297" i="2"/>
  <c r="B1296" i="2"/>
  <c r="B1295" i="2"/>
  <c r="B1294" i="2"/>
  <c r="B1293" i="2"/>
  <c r="B1292" i="2"/>
  <c r="B1291" i="2"/>
  <c r="B1290" i="2"/>
  <c r="B1289" i="2"/>
  <c r="B1288" i="2"/>
  <c r="B1287" i="2"/>
  <c r="B1286" i="2"/>
  <c r="B1285" i="2"/>
  <c r="B1284" i="2"/>
  <c r="B1283" i="2"/>
  <c r="B1196" i="2"/>
  <c r="B1195" i="2"/>
  <c r="B1194" i="2"/>
  <c r="B1193" i="2"/>
  <c r="B1192" i="2"/>
  <c r="B1191" i="2"/>
  <c r="B1155"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60" i="2"/>
  <c r="B1058" i="2"/>
  <c r="B1053" i="2"/>
  <c r="B1052" i="2"/>
  <c r="B1051" i="2"/>
  <c r="B105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0" i="2"/>
  <c r="B909" i="2"/>
  <c r="B908" i="2"/>
  <c r="B798" i="2"/>
  <c r="B797" i="2"/>
  <c r="B796" i="2"/>
  <c r="B767" i="2"/>
  <c r="B766" i="2"/>
  <c r="B765" i="2"/>
  <c r="B764" i="2"/>
  <c r="B739" i="2"/>
  <c r="B738" i="2"/>
  <c r="B737" i="2"/>
  <c r="B720" i="2"/>
  <c r="B719" i="2"/>
  <c r="B709" i="2"/>
  <c r="B675" i="2"/>
  <c r="B652" i="2"/>
  <c r="B642" i="2"/>
  <c r="B641" i="2"/>
  <c r="B626" i="2"/>
  <c r="B625" i="2"/>
  <c r="B609" i="2"/>
  <c r="B608" i="2"/>
  <c r="B547" i="2"/>
  <c r="B546" i="2"/>
  <c r="B545" i="2"/>
  <c r="B544" i="2"/>
  <c r="B543" i="2"/>
  <c r="B542" i="2"/>
  <c r="B541" i="2"/>
  <c r="B540" i="2"/>
  <c r="B539" i="2"/>
  <c r="B538" i="2"/>
  <c r="B537" i="2"/>
  <c r="B536" i="2"/>
  <c r="B535" i="2"/>
  <c r="B534" i="2"/>
  <c r="B533" i="2"/>
  <c r="B532" i="2"/>
  <c r="B2562" i="2"/>
  <c r="B531" i="2"/>
  <c r="B1826"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73" i="2"/>
  <c r="B459" i="2"/>
  <c r="B458" i="2"/>
  <c r="B451" i="2"/>
  <c r="B401" i="2"/>
  <c r="B388" i="2"/>
  <c r="B387" i="2"/>
  <c r="B356" i="2"/>
  <c r="B355" i="2"/>
  <c r="B354" i="2"/>
  <c r="B353" i="2"/>
  <c r="B285" i="2"/>
  <c r="B284" i="2"/>
  <c r="B283" i="2"/>
  <c r="B282" i="2"/>
  <c r="B281" i="2"/>
  <c r="B280" i="2"/>
  <c r="B279" i="2"/>
  <c r="B278" i="2"/>
  <c r="B277" i="2"/>
  <c r="B276" i="2"/>
  <c r="B275" i="2"/>
  <c r="B274" i="2"/>
  <c r="B273" i="2"/>
  <c r="B272" i="2"/>
  <c r="B271" i="2"/>
  <c r="B270" i="2"/>
  <c r="B269" i="2"/>
  <c r="B255" i="2"/>
  <c r="B242" i="2"/>
  <c r="B241" i="2"/>
  <c r="B240" i="2"/>
  <c r="B239" i="2"/>
  <c r="B238" i="2"/>
  <c r="B237" i="2"/>
  <c r="B236" i="2"/>
  <c r="B235" i="2"/>
  <c r="B234" i="2"/>
  <c r="B233" i="2"/>
  <c r="B232" i="2"/>
  <c r="B231" i="2"/>
  <c r="B218" i="2"/>
  <c r="B217" i="2"/>
  <c r="B205" i="2"/>
  <c r="B204" i="2"/>
  <c r="B203" i="2"/>
  <c r="B202" i="2"/>
  <c r="B201" i="2"/>
  <c r="B200" i="2"/>
  <c r="B199" i="2"/>
  <c r="B198" i="2"/>
  <c r="B182" i="2"/>
  <c r="B181" i="2"/>
  <c r="B169" i="2"/>
  <c r="B168" i="2"/>
  <c r="B167" i="2"/>
  <c r="B150" i="2"/>
  <c r="B149" i="2"/>
  <c r="B137" i="2"/>
  <c r="B130" i="2"/>
  <c r="B111" i="2"/>
  <c r="B110" i="2"/>
  <c r="B109" i="2"/>
  <c r="B108" i="2"/>
  <c r="B107" i="2"/>
  <c r="B106" i="2"/>
  <c r="B105" i="2"/>
  <c r="B104" i="2"/>
  <c r="B103" i="2"/>
  <c r="B102" i="2"/>
  <c r="B101" i="2"/>
  <c r="B100" i="2"/>
  <c r="B87" i="2"/>
  <c r="B86" i="2"/>
  <c r="B83" i="2"/>
  <c r="B70" i="2"/>
  <c r="B69" i="2"/>
  <c r="B68" i="2"/>
  <c r="B54" i="2"/>
  <c r="B53" i="2"/>
  <c r="B23" i="2"/>
  <c r="B22" i="2"/>
  <c r="B21" i="2"/>
  <c r="B20" i="2"/>
  <c r="B19" i="2"/>
  <c r="B799" i="2"/>
  <c r="B1303" i="2"/>
  <c r="B405" i="2"/>
  <c r="B411" i="2"/>
  <c r="B410" i="2"/>
  <c r="B407" i="2"/>
  <c r="B406" i="2"/>
  <c r="B4163" i="2"/>
  <c r="B112" i="2"/>
  <c r="B4142" i="2"/>
  <c r="B4104" i="2"/>
  <c r="B409" i="2"/>
  <c r="B1302" i="2"/>
  <c r="B404" i="2"/>
  <c r="B403" i="2"/>
  <c r="B1305" i="2"/>
  <c r="B1954" i="2"/>
  <c r="B1304" i="2"/>
  <c r="B357" i="2"/>
  <c r="B2245" i="2"/>
  <c r="B286" i="2"/>
  <c r="B2628" i="2"/>
  <c r="B710" i="2"/>
  <c r="B1635" i="2"/>
  <c r="B3119" i="2"/>
  <c r="B408" i="2"/>
  <c r="B643" i="2"/>
  <c r="B460" i="2"/>
  <c r="B183" i="2"/>
  <c r="B402" i="2"/>
  <c r="B4333" i="2"/>
  <c r="B4334" i="2"/>
  <c r="B4335" i="2"/>
  <c r="B4329" i="2"/>
  <c r="B4337" i="2"/>
  <c r="B4330" i="2"/>
  <c r="B4331" i="2"/>
  <c r="B4336" i="2"/>
  <c r="B4332" i="2"/>
  <c r="B4308" i="2"/>
  <c r="B4307" i="2"/>
  <c r="B4290" i="2"/>
  <c r="B4293" i="2"/>
  <c r="B4291" i="2"/>
  <c r="B4294" i="2"/>
  <c r="B4292" i="2"/>
  <c r="B3490" i="2"/>
  <c r="B4248" i="2"/>
  <c r="B4253" i="2"/>
  <c r="B4258" i="2"/>
  <c r="B4251" i="2"/>
  <c r="B4247" i="2"/>
  <c r="B4245" i="2"/>
  <c r="B4249" i="2"/>
  <c r="B4244" i="2"/>
  <c r="B4256" i="2"/>
  <c r="B4250" i="2"/>
  <c r="B4246" i="2"/>
  <c r="B4254" i="2"/>
  <c r="B4259" i="2"/>
  <c r="B4257" i="2"/>
  <c r="B4191" i="2"/>
  <c r="B4182" i="2"/>
  <c r="B4154" i="2"/>
  <c r="B4129" i="2"/>
  <c r="B4130" i="2"/>
  <c r="B4126" i="2"/>
  <c r="B4127" i="2"/>
  <c r="B2039" i="2"/>
  <c r="B4108" i="2"/>
  <c r="B4109" i="2"/>
  <c r="B4106" i="2"/>
  <c r="B4080" i="2"/>
  <c r="B4069" i="2"/>
  <c r="B989" i="2"/>
  <c r="B4042" i="2"/>
  <c r="B4001" i="2"/>
  <c r="B3967" i="2"/>
  <c r="B802" i="2"/>
  <c r="B3892" i="2"/>
  <c r="B3903" i="2"/>
  <c r="B3898" i="2"/>
  <c r="B3899" i="2"/>
  <c r="B3902" i="2"/>
  <c r="B3901" i="2"/>
  <c r="B3896" i="2"/>
  <c r="B3895" i="2"/>
  <c r="B3894" i="2"/>
  <c r="B3893" i="2"/>
  <c r="B3897" i="2"/>
  <c r="B3834" i="2"/>
  <c r="B3833" i="2"/>
  <c r="B3832" i="2"/>
  <c r="B3814" i="2"/>
  <c r="B3813" i="2"/>
  <c r="B3817" i="2"/>
  <c r="B3818" i="2"/>
  <c r="B3812" i="2"/>
  <c r="B3815" i="2"/>
  <c r="B3816" i="2"/>
  <c r="B3785" i="2"/>
  <c r="B3789" i="2"/>
  <c r="B3790" i="2"/>
  <c r="B3786" i="2"/>
  <c r="B3788" i="2"/>
  <c r="B3744" i="2"/>
  <c r="B3746" i="2"/>
  <c r="B3742" i="2"/>
  <c r="B3745" i="2"/>
  <c r="B3740" i="2"/>
  <c r="B3738" i="2"/>
  <c r="B3743" i="2"/>
  <c r="B3741" i="2"/>
  <c r="B3737" i="2"/>
  <c r="B3695" i="2"/>
  <c r="B3694" i="2"/>
  <c r="B3672" i="2"/>
  <c r="B3674" i="2"/>
  <c r="B3675" i="2"/>
  <c r="B3629" i="2"/>
  <c r="B3617" i="2"/>
  <c r="B3619" i="2"/>
  <c r="B3618" i="2"/>
  <c r="B4128" i="2"/>
  <c r="B3600" i="2"/>
  <c r="B3599" i="2"/>
  <c r="B3601" i="2"/>
  <c r="B3597" i="2"/>
  <c r="B3602" i="2"/>
  <c r="B3551" i="2"/>
  <c r="B2890" i="2"/>
  <c r="B3559" i="2"/>
  <c r="B3553" i="2"/>
  <c r="B3550" i="2"/>
  <c r="B3552" i="2"/>
  <c r="B3558" i="2"/>
  <c r="B3548" i="2"/>
  <c r="B3554" i="2"/>
  <c r="B4082" i="2"/>
  <c r="B980" i="2"/>
  <c r="B3510" i="2"/>
  <c r="B3673" i="2"/>
  <c r="B4000" i="2"/>
  <c r="B4002" i="2"/>
  <c r="B3488" i="2"/>
  <c r="B3491" i="2"/>
  <c r="B3457" i="2"/>
  <c r="B3459" i="2"/>
  <c r="B3449" i="2"/>
  <c r="B3455" i="2"/>
  <c r="B3448" i="2"/>
  <c r="B3461" i="2"/>
  <c r="B3447" i="2"/>
  <c r="B3456" i="2"/>
  <c r="B3446" i="2"/>
  <c r="B3454" i="2"/>
  <c r="B3458" i="2"/>
  <c r="B3460" i="2"/>
  <c r="B3453" i="2"/>
  <c r="B3451" i="2"/>
  <c r="B3452" i="2"/>
  <c r="B3450" i="2"/>
  <c r="B3345" i="2"/>
  <c r="B1332" i="2"/>
  <c r="B3344" i="2"/>
  <c r="B3315" i="2"/>
  <c r="B3336" i="2"/>
  <c r="B3313" i="2"/>
  <c r="B3330" i="2"/>
  <c r="B1553" i="2"/>
  <c r="B3326" i="2"/>
  <c r="B3341" i="2"/>
  <c r="B3329" i="2"/>
  <c r="B1331" i="2"/>
  <c r="B3331" i="2"/>
  <c r="B1552" i="2"/>
  <c r="B3311" i="2"/>
  <c r="B3328" i="2"/>
  <c r="B3309" i="2"/>
  <c r="B3340" i="2"/>
  <c r="B3316" i="2"/>
  <c r="B3318" i="2"/>
  <c r="B3308" i="2"/>
  <c r="B3312" i="2"/>
  <c r="B3334" i="2"/>
  <c r="B3333" i="2"/>
  <c r="B3335" i="2"/>
  <c r="B3324" i="2"/>
  <c r="B3220" i="2"/>
  <c r="B3221" i="2"/>
  <c r="B3219" i="2"/>
  <c r="B3215" i="2"/>
  <c r="B3218" i="2"/>
  <c r="B3214" i="2"/>
  <c r="B3217" i="2"/>
  <c r="B3216" i="2"/>
  <c r="B3213" i="2"/>
  <c r="B3127" i="2"/>
  <c r="B3136" i="2"/>
  <c r="B3140" i="2"/>
  <c r="B3126" i="2"/>
  <c r="B3123" i="2"/>
  <c r="B3130" i="2"/>
  <c r="B3133" i="2"/>
  <c r="B3135" i="2"/>
  <c r="B3131" i="2"/>
  <c r="B3134" i="2"/>
  <c r="B3129" i="2"/>
  <c r="B3125" i="2"/>
  <c r="B3124" i="2"/>
  <c r="B3121" i="2"/>
  <c r="B3128" i="2"/>
  <c r="B3138" i="2"/>
  <c r="B3137" i="2"/>
  <c r="B3139" i="2"/>
  <c r="B3122" i="2"/>
  <c r="B3054" i="2"/>
  <c r="B3053" i="2"/>
  <c r="B3050" i="2"/>
  <c r="B3051" i="2"/>
  <c r="B3052" i="2"/>
  <c r="B3056" i="2"/>
  <c r="B3057" i="2"/>
  <c r="B3029" i="2"/>
  <c r="B3012" i="2"/>
  <c r="B3022" i="2"/>
  <c r="B3024" i="2"/>
  <c r="B3026" i="2"/>
  <c r="B3021" i="2"/>
  <c r="B3015" i="2"/>
  <c r="B3013" i="2"/>
  <c r="B3016" i="2"/>
  <c r="B3019" i="2"/>
  <c r="B3025" i="2"/>
  <c r="B3023" i="2"/>
  <c r="B3017" i="2"/>
  <c r="B3018" i="2"/>
  <c r="B3020" i="2"/>
  <c r="B3011" i="2"/>
  <c r="B3014" i="2"/>
  <c r="B2960" i="2"/>
  <c r="B2959" i="2"/>
  <c r="B2932" i="2"/>
  <c r="B2669" i="2"/>
  <c r="B2283" i="2"/>
  <c r="B2284" i="2"/>
  <c r="B2285" i="2"/>
  <c r="B1026" i="2"/>
  <c r="B1023" i="2"/>
  <c r="B1024" i="2"/>
  <c r="B1027" i="2"/>
  <c r="B1025" i="2"/>
  <c r="B2049" i="2"/>
  <c r="B214" i="2"/>
  <c r="B678" i="2"/>
  <c r="B2893" i="2"/>
  <c r="B2891" i="2"/>
  <c r="B2892" i="2"/>
  <c r="B2895" i="2"/>
  <c r="B2894" i="2"/>
  <c r="B2859" i="2"/>
  <c r="B2842" i="2"/>
  <c r="B2834" i="2"/>
  <c r="B2846" i="2"/>
  <c r="B2843" i="2"/>
  <c r="B2833" i="2"/>
  <c r="B2838" i="2"/>
  <c r="B2841" i="2"/>
  <c r="B2845" i="2"/>
  <c r="B2835" i="2"/>
  <c r="B2840" i="2"/>
  <c r="B2839" i="2"/>
  <c r="B2836" i="2"/>
  <c r="B2837" i="2"/>
  <c r="B2844" i="2"/>
  <c r="B2787" i="2"/>
  <c r="B2790" i="2"/>
  <c r="B2797" i="2"/>
  <c r="B2791" i="2"/>
  <c r="B2795" i="2"/>
  <c r="B2796" i="2"/>
  <c r="B2794" i="2"/>
  <c r="B2785" i="2"/>
  <c r="B2789" i="2"/>
  <c r="B2792" i="2"/>
  <c r="B2786" i="2"/>
  <c r="B2793" i="2"/>
  <c r="B2788" i="2"/>
  <c r="B415" i="2"/>
  <c r="B2720" i="2"/>
  <c r="B2718" i="2"/>
  <c r="B2719" i="2"/>
  <c r="B2636" i="2"/>
  <c r="B2657" i="2"/>
  <c r="B2650" i="2"/>
  <c r="B2639" i="2"/>
  <c r="B2654" i="2"/>
  <c r="B2668" i="2"/>
  <c r="B2665" i="2"/>
  <c r="B2644" i="2"/>
  <c r="B2642" i="2"/>
  <c r="B2667" i="2"/>
  <c r="B2649" i="2"/>
  <c r="B2632" i="2"/>
  <c r="B2663" i="2"/>
  <c r="B2666" i="2"/>
  <c r="B2661" i="2"/>
  <c r="B2662" i="2"/>
  <c r="B2637" i="2"/>
  <c r="B2652" i="2"/>
  <c r="B2647" i="2"/>
  <c r="B2659" i="2"/>
  <c r="B2648" i="2"/>
  <c r="B2643" i="2"/>
  <c r="B2656" i="2"/>
  <c r="B2635" i="2"/>
  <c r="B2638" i="2"/>
  <c r="B2634" i="2"/>
  <c r="B2640" i="2"/>
  <c r="B2658" i="2"/>
  <c r="B2633" i="2"/>
  <c r="B2651" i="2"/>
  <c r="B2655" i="2"/>
  <c r="B2645" i="2"/>
  <c r="B2646" i="2"/>
  <c r="B2660" i="2"/>
  <c r="B803" i="2"/>
  <c r="B2530" i="2"/>
  <c r="B2529" i="2"/>
  <c r="B2532" i="2"/>
  <c r="B2528" i="2"/>
  <c r="B2534" i="2"/>
  <c r="B2531" i="2"/>
  <c r="B2533" i="2"/>
  <c r="B2504" i="2"/>
  <c r="B2501" i="2"/>
  <c r="B2498" i="2"/>
  <c r="B2503" i="2"/>
  <c r="B2502" i="2"/>
  <c r="B2497" i="2"/>
  <c r="B2496" i="2"/>
  <c r="B2500" i="2"/>
  <c r="B2499" i="2"/>
  <c r="B2447" i="2"/>
  <c r="B2443" i="2"/>
  <c r="B2454" i="2"/>
  <c r="B2440" i="2"/>
  <c r="B2455" i="2"/>
  <c r="B2435" i="2"/>
  <c r="B2412" i="2"/>
  <c r="B2430" i="2"/>
  <c r="B2423" i="2"/>
  <c r="B2427" i="2"/>
  <c r="B2434" i="2"/>
  <c r="B2432" i="2"/>
  <c r="B2441" i="2"/>
  <c r="B2442" i="2"/>
  <c r="B2437" i="2"/>
  <c r="B2414" i="2"/>
  <c r="B2425" i="2"/>
  <c r="B2413" i="2"/>
  <c r="B2415" i="2"/>
  <c r="B2456" i="2"/>
  <c r="B2448" i="2"/>
  <c r="B2445" i="2"/>
  <c r="B2444" i="2"/>
  <c r="B2438" i="2"/>
  <c r="B2449" i="2"/>
  <c r="B2419" i="2"/>
  <c r="B2426" i="2"/>
  <c r="B2439" i="2"/>
  <c r="B2446" i="2"/>
  <c r="B2433" i="2"/>
  <c r="B2416" i="2"/>
  <c r="B2411" i="2"/>
  <c r="B2457" i="2"/>
  <c r="B2451" i="2"/>
  <c r="B2436" i="2"/>
  <c r="B2428" i="2"/>
  <c r="B2420" i="2"/>
  <c r="B2450" i="2"/>
  <c r="B2417" i="2"/>
  <c r="B2453" i="2"/>
  <c r="B2418" i="2"/>
  <c r="B2424" i="2"/>
  <c r="B2421" i="2"/>
  <c r="B2422" i="2"/>
  <c r="B2431" i="2"/>
  <c r="B2317" i="2"/>
  <c r="B1013" i="2"/>
  <c r="B2278" i="2"/>
  <c r="B3630" i="2"/>
  <c r="B4041" i="2"/>
  <c r="B1003" i="2"/>
  <c r="B2263" i="2"/>
  <c r="B2273" i="2"/>
  <c r="B2258" i="2"/>
  <c r="B2266" i="2"/>
  <c r="B2282" i="2"/>
  <c r="B2251" i="2"/>
  <c r="B2264" i="2"/>
  <c r="B2257" i="2"/>
  <c r="B2253" i="2"/>
  <c r="B2254" i="2"/>
  <c r="B2252" i="2"/>
  <c r="B2277" i="2"/>
  <c r="B2255" i="2"/>
  <c r="B2267" i="2"/>
  <c r="B2271" i="2"/>
  <c r="B2265" i="2"/>
  <c r="B2275" i="2"/>
  <c r="B140" i="2"/>
  <c r="B2272" i="2"/>
  <c r="B2262" i="2"/>
  <c r="B2281" i="2"/>
  <c r="B2280" i="2"/>
  <c r="B2269" i="2"/>
  <c r="B2260" i="2"/>
  <c r="B2259" i="2"/>
  <c r="B2250" i="2"/>
  <c r="B2256" i="2"/>
  <c r="B2324" i="2"/>
  <c r="B2154" i="2"/>
  <c r="B2175" i="2"/>
  <c r="B2141" i="2"/>
  <c r="B2152" i="2"/>
  <c r="B2176" i="2"/>
  <c r="B2168" i="2"/>
  <c r="B2142" i="2"/>
  <c r="B2172" i="2"/>
  <c r="B2161" i="2"/>
  <c r="B2160" i="2"/>
  <c r="B2174" i="2"/>
  <c r="B2147" i="2"/>
  <c r="B2148" i="2"/>
  <c r="B2167" i="2"/>
  <c r="B2144" i="2"/>
  <c r="B2138" i="2"/>
  <c r="B2156" i="2"/>
  <c r="B2151" i="2"/>
  <c r="B2143" i="2"/>
  <c r="B2166" i="2"/>
  <c r="B2164" i="2"/>
  <c r="B2153" i="2"/>
  <c r="B2171" i="2"/>
  <c r="B2177" i="2"/>
  <c r="B2163" i="2"/>
  <c r="B2146" i="2"/>
  <c r="B2149" i="2"/>
  <c r="B2155" i="2"/>
  <c r="B2139" i="2"/>
  <c r="B2043" i="2"/>
  <c r="B2041" i="2"/>
  <c r="B2037" i="2"/>
  <c r="B2045" i="2"/>
  <c r="B2040" i="2"/>
  <c r="B2034" i="2"/>
  <c r="B209" i="2"/>
  <c r="B2033" i="2"/>
  <c r="B2046" i="2"/>
  <c r="B2047" i="2"/>
  <c r="B2044" i="2"/>
  <c r="B2048" i="2"/>
  <c r="B2035" i="2"/>
  <c r="B1972" i="2"/>
  <c r="B1968" i="2"/>
  <c r="B1978" i="2"/>
  <c r="B1970" i="2"/>
  <c r="B1974" i="2"/>
  <c r="B1971" i="2"/>
  <c r="B1980" i="2"/>
  <c r="B1973" i="2"/>
  <c r="B1960" i="2"/>
  <c r="B1962" i="2"/>
  <c r="B1964" i="2"/>
  <c r="B1959" i="2"/>
  <c r="B1956" i="2"/>
  <c r="B1963" i="2"/>
  <c r="B1984" i="2"/>
  <c r="B1982" i="2"/>
  <c r="B1965" i="2"/>
  <c r="B1961" i="2"/>
  <c r="B1878" i="2"/>
  <c r="B1882" i="2"/>
  <c r="B1884" i="2"/>
  <c r="B1908" i="2"/>
  <c r="B1904" i="2"/>
  <c r="B1906" i="2"/>
  <c r="B1905" i="2"/>
  <c r="B1879" i="2"/>
  <c r="B1881" i="2"/>
  <c r="B1883" i="2"/>
  <c r="B1880" i="2"/>
  <c r="B1885" i="2"/>
  <c r="B1830" i="2"/>
  <c r="B1828" i="2"/>
  <c r="B1831" i="2"/>
  <c r="B1827" i="2"/>
  <c r="B1832" i="2"/>
  <c r="B1783" i="2"/>
  <c r="B1782" i="2"/>
  <c r="B1784" i="2"/>
  <c r="B1744" i="2"/>
  <c r="B1743" i="2"/>
  <c r="B1720" i="2"/>
  <c r="B1723" i="2"/>
  <c r="B1718" i="2"/>
  <c r="B1719" i="2"/>
  <c r="B1722" i="2"/>
  <c r="B1645" i="2"/>
  <c r="B1639" i="2"/>
  <c r="B1646" i="2"/>
  <c r="B1649" i="2"/>
  <c r="B1682" i="2"/>
  <c r="B1638" i="2"/>
  <c r="B1636" i="2"/>
  <c r="B1641" i="2"/>
  <c r="B1643" i="2"/>
  <c r="B1642" i="2"/>
  <c r="B1644" i="2"/>
  <c r="B1590" i="2"/>
  <c r="B1591" i="2"/>
  <c r="B1586" i="2"/>
  <c r="B1587" i="2"/>
  <c r="B1585" i="2"/>
  <c r="B1550" i="2"/>
  <c r="B1457" i="2"/>
  <c r="B1474" i="2"/>
  <c r="B3323" i="2"/>
  <c r="B1469" i="2"/>
  <c r="B1470" i="2"/>
  <c r="B1473" i="2"/>
  <c r="B1451" i="2"/>
  <c r="B1454" i="2"/>
  <c r="B1445" i="2"/>
  <c r="B1452" i="2"/>
  <c r="B1472" i="2"/>
  <c r="B1459" i="2"/>
  <c r="B1453" i="2"/>
  <c r="B1447" i="2"/>
  <c r="B1455" i="2"/>
  <c r="B1446" i="2"/>
  <c r="B1464" i="2"/>
  <c r="B1461" i="2"/>
  <c r="B1467" i="2"/>
  <c r="B1458" i="2"/>
  <c r="B1456" i="2"/>
  <c r="B1468" i="2"/>
  <c r="B1465" i="2"/>
  <c r="B1448" i="2"/>
  <c r="B1471" i="2"/>
  <c r="B1463" i="2"/>
  <c r="B1466" i="2"/>
  <c r="B1460" i="2"/>
  <c r="B1462" i="2"/>
  <c r="B1477" i="2"/>
  <c r="B1311" i="2"/>
  <c r="B311" i="2"/>
  <c r="B1327" i="2"/>
  <c r="B1322" i="2"/>
  <c r="B1377" i="2"/>
  <c r="B1376" i="2"/>
  <c r="B1306" i="2"/>
  <c r="B1329" i="2"/>
  <c r="B1313" i="2"/>
  <c r="B1323" i="2"/>
  <c r="B1324" i="2"/>
  <c r="B1325" i="2"/>
  <c r="B1321" i="2"/>
  <c r="B1328" i="2"/>
  <c r="B1312" i="2"/>
  <c r="B1317" i="2"/>
  <c r="B1314" i="2"/>
  <c r="B1318" i="2"/>
  <c r="B1307" i="2"/>
  <c r="B1330" i="2"/>
  <c r="B1326" i="2"/>
  <c r="B1308" i="2"/>
  <c r="B1310" i="2"/>
  <c r="B1309" i="2"/>
  <c r="B1315" i="2"/>
  <c r="B1203" i="2"/>
  <c r="B1201" i="2"/>
  <c r="B1198" i="2"/>
  <c r="B1200" i="2"/>
  <c r="B1197" i="2"/>
  <c r="B1202" i="2"/>
  <c r="B1156" i="2"/>
  <c r="B1115" i="2"/>
  <c r="B1130" i="2"/>
  <c r="B1122" i="2"/>
  <c r="B1129" i="2"/>
  <c r="B1118" i="2"/>
  <c r="B1121" i="2"/>
  <c r="B1119" i="2"/>
  <c r="B1112" i="2"/>
  <c r="B1113" i="2"/>
  <c r="B1127" i="2"/>
  <c r="B1120" i="2"/>
  <c r="B1116" i="2"/>
  <c r="B1117" i="2"/>
  <c r="B1126" i="2"/>
  <c r="B1124" i="2"/>
  <c r="B1125" i="2"/>
  <c r="B1128" i="2"/>
  <c r="B1111" i="2"/>
  <c r="B1123" i="2"/>
  <c r="B1114" i="2"/>
  <c r="B988" i="2"/>
  <c r="B1059" i="2"/>
  <c r="B1057" i="2"/>
  <c r="B1056" i="2"/>
  <c r="B1055" i="2"/>
  <c r="B1054" i="2"/>
  <c r="B1017" i="2"/>
  <c r="B973" i="2"/>
  <c r="B1021" i="2"/>
  <c r="B970" i="2"/>
  <c r="B972" i="2"/>
  <c r="B997" i="2"/>
  <c r="B985" i="2"/>
  <c r="B978" i="2"/>
  <c r="B995" i="2"/>
  <c r="B1006" i="2"/>
  <c r="B1007" i="2"/>
  <c r="B1011" i="2"/>
  <c r="B982" i="2"/>
  <c r="B996" i="2"/>
  <c r="B1002" i="2"/>
  <c r="B994" i="2"/>
  <c r="B981" i="2"/>
  <c r="B992" i="2"/>
  <c r="B1009" i="2"/>
  <c r="B979" i="2"/>
  <c r="B983" i="2"/>
  <c r="B993" i="2"/>
  <c r="B1000" i="2"/>
  <c r="B1010" i="2"/>
  <c r="B999" i="2"/>
  <c r="B986" i="2"/>
  <c r="B991" i="2"/>
  <c r="B984" i="2"/>
  <c r="B987" i="2"/>
  <c r="B974" i="2"/>
  <c r="B975" i="2"/>
  <c r="B1001" i="2"/>
  <c r="B1004" i="2"/>
  <c r="B1008" i="2"/>
  <c r="B971" i="2"/>
  <c r="B1018" i="2"/>
  <c r="B1005" i="2"/>
  <c r="B998" i="2"/>
  <c r="B1012" i="2"/>
  <c r="B977" i="2"/>
  <c r="B1014" i="2"/>
  <c r="B1015" i="2"/>
  <c r="B1016" i="2"/>
  <c r="B976" i="2"/>
  <c r="B990" i="2"/>
  <c r="B1022" i="2"/>
  <c r="B773" i="2"/>
  <c r="B800" i="2"/>
  <c r="B614" i="2"/>
  <c r="B772" i="2"/>
  <c r="B771" i="2"/>
  <c r="B804" i="2"/>
  <c r="B740" i="2"/>
  <c r="B726" i="2"/>
  <c r="B769" i="2"/>
  <c r="B676" i="2"/>
  <c r="B645" i="2"/>
  <c r="B648" i="2"/>
  <c r="B649" i="2"/>
  <c r="B627" i="2"/>
  <c r="B629" i="2"/>
  <c r="B612" i="2"/>
  <c r="B611" i="2"/>
  <c r="B587" i="2"/>
  <c r="B566" i="2"/>
  <c r="B556" i="2"/>
  <c r="B578" i="2"/>
  <c r="B549" i="2"/>
  <c r="B571" i="2"/>
  <c r="B561" i="2"/>
  <c r="B598" i="2"/>
  <c r="B597" i="2"/>
  <c r="B550" i="2"/>
  <c r="B554" i="2"/>
  <c r="B548" i="2"/>
  <c r="B595" i="2"/>
  <c r="B588" i="2"/>
  <c r="B586" i="2"/>
  <c r="B580" i="2"/>
  <c r="B558" i="2"/>
  <c r="B591" i="2"/>
  <c r="B553" i="2"/>
  <c r="B565" i="2"/>
  <c r="B585" i="2"/>
  <c r="B594" i="2"/>
  <c r="B552" i="2"/>
  <c r="B576" i="2"/>
  <c r="B573" i="2"/>
  <c r="B570" i="2"/>
  <c r="B590" i="2"/>
  <c r="B584" i="2"/>
  <c r="B563" i="2"/>
  <c r="B589" i="2"/>
  <c r="B581" i="2"/>
  <c r="B557" i="2"/>
  <c r="B577" i="2"/>
  <c r="B564" i="2"/>
  <c r="B559" i="2"/>
  <c r="B593" i="2"/>
  <c r="B562" i="2"/>
  <c r="B596" i="2"/>
  <c r="B582" i="2"/>
  <c r="B579" i="2"/>
  <c r="B569" i="2"/>
  <c r="B575" i="2"/>
  <c r="B592" i="2"/>
  <c r="B567" i="2"/>
  <c r="B572" i="2"/>
  <c r="B583" i="2"/>
  <c r="B568" i="2"/>
  <c r="B560" i="2"/>
  <c r="B462" i="2"/>
  <c r="B463" i="2"/>
  <c r="B461" i="2"/>
  <c r="B452" i="2"/>
  <c r="B414" i="2"/>
  <c r="B365" i="2"/>
  <c r="B360" i="2"/>
  <c r="B361" i="2"/>
  <c r="B364" i="2"/>
  <c r="B362" i="2"/>
  <c r="B359" i="2"/>
  <c r="B307" i="2"/>
  <c r="B306" i="2"/>
  <c r="B305" i="2"/>
  <c r="B304" i="2"/>
  <c r="B420" i="2"/>
  <c r="B1975" i="2"/>
  <c r="B288" i="2"/>
  <c r="B302" i="2"/>
  <c r="B711" i="2"/>
  <c r="B4105" i="2"/>
  <c r="B291" i="2"/>
  <c r="B289" i="2"/>
  <c r="B287" i="2"/>
  <c r="B413" i="2"/>
  <c r="B290" i="2"/>
  <c r="B301" i="2"/>
  <c r="B300" i="2"/>
  <c r="B299" i="2"/>
  <c r="B298" i="2"/>
  <c r="B297" i="2"/>
  <c r="B296" i="2"/>
  <c r="B294" i="2"/>
  <c r="B293" i="2"/>
  <c r="B309" i="2"/>
  <c r="B3489" i="2"/>
  <c r="B254" i="2"/>
  <c r="B249" i="2"/>
  <c r="B248" i="2"/>
  <c r="B252" i="2"/>
  <c r="B250" i="2"/>
  <c r="B244" i="2"/>
  <c r="B247" i="2"/>
  <c r="B251" i="2"/>
  <c r="B245" i="2"/>
  <c r="B246" i="2"/>
  <c r="B243" i="2"/>
  <c r="B1199" i="2"/>
  <c r="B2429" i="2"/>
  <c r="B208" i="2"/>
  <c r="B212" i="2"/>
  <c r="B207" i="2"/>
  <c r="B206" i="2"/>
  <c r="B210" i="2"/>
  <c r="B213" i="2"/>
  <c r="B211" i="2"/>
  <c r="B185" i="2"/>
  <c r="B184" i="2"/>
  <c r="B171" i="2"/>
  <c r="B172" i="2"/>
  <c r="B170" i="2"/>
  <c r="B151" i="2"/>
  <c r="B139" i="2"/>
  <c r="B131" i="2"/>
  <c r="B124" i="2"/>
  <c r="B113" i="2"/>
  <c r="B123" i="2"/>
  <c r="B115" i="2"/>
  <c r="B120" i="2"/>
  <c r="B116" i="2"/>
  <c r="B121" i="2"/>
  <c r="B114" i="2"/>
  <c r="B119" i="2"/>
  <c r="B122" i="2"/>
  <c r="B742" i="2"/>
  <c r="B73" i="2"/>
  <c r="B72" i="2"/>
  <c r="B71" i="2"/>
  <c r="B55" i="2"/>
  <c r="B57" i="2"/>
  <c r="B28" i="2"/>
  <c r="B24" i="2"/>
  <c r="B26" i="2"/>
  <c r="B25" i="2"/>
  <c r="B27" i="2"/>
  <c r="B4338" i="2"/>
  <c r="B4192" i="2"/>
  <c r="B4143" i="2"/>
  <c r="B3943" i="2"/>
  <c r="B3942" i="2"/>
  <c r="B3941" i="2"/>
  <c r="B3940" i="2"/>
  <c r="B3560" i="2"/>
  <c r="B3145" i="2"/>
  <c r="B3144" i="2"/>
  <c r="B3143" i="2"/>
  <c r="B3142" i="2"/>
  <c r="B3141" i="2"/>
  <c r="B2971" i="2"/>
  <c r="B2970" i="2"/>
  <c r="B2969" i="2"/>
  <c r="B2968" i="2"/>
  <c r="B2967" i="2"/>
  <c r="B2966" i="2"/>
  <c r="B2965" i="2"/>
  <c r="B2964" i="2"/>
  <c r="B2963" i="2"/>
  <c r="B2961" i="2"/>
  <c r="B2962" i="2"/>
  <c r="B2938" i="2"/>
  <c r="B2937" i="2"/>
  <c r="B2936" i="2"/>
  <c r="B2935" i="2"/>
  <c r="B2934" i="2"/>
  <c r="B2933" i="2"/>
  <c r="B2899" i="2"/>
  <c r="B2861" i="2"/>
  <c r="B2676" i="2"/>
  <c r="B2675" i="2"/>
  <c r="B2536" i="2"/>
  <c r="B2535" i="2"/>
  <c r="B1889" i="2"/>
  <c r="B1888" i="2"/>
  <c r="B1837" i="2"/>
  <c r="B1836" i="2"/>
  <c r="B1835" i="2"/>
  <c r="B1733" i="2"/>
  <c r="B1732" i="2"/>
  <c r="B1725" i="2"/>
  <c r="B1724"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2" i="2"/>
  <c r="B1651" i="2"/>
  <c r="B1650" i="2"/>
  <c r="B1573" i="2"/>
  <c r="B1572" i="2"/>
  <c r="B1571" i="2"/>
  <c r="B1028" i="2"/>
  <c r="B813" i="2"/>
  <c r="B805" i="2"/>
  <c r="B785" i="2"/>
  <c r="B784" i="2"/>
  <c r="B783" i="2"/>
  <c r="B782" i="2"/>
  <c r="B781" i="2"/>
  <c r="B780" i="2"/>
  <c r="B776" i="2"/>
  <c r="B745" i="2"/>
  <c r="B729" i="2"/>
  <c r="B728" i="2"/>
  <c r="B712" i="2"/>
  <c r="B695" i="2"/>
  <c r="B694" i="2"/>
  <c r="B693" i="2"/>
  <c r="B692" i="2"/>
  <c r="B691" i="2"/>
  <c r="B690" i="2"/>
  <c r="B679" i="2"/>
  <c r="B663" i="2"/>
  <c r="B634" i="2"/>
  <c r="B633" i="2"/>
  <c r="B632" i="2"/>
  <c r="B631" i="2"/>
  <c r="B630" i="2"/>
  <c r="B466" i="2"/>
  <c r="B449" i="2"/>
  <c r="B448" i="2"/>
  <c r="B447" i="2"/>
  <c r="B446" i="2"/>
  <c r="B445" i="2"/>
  <c r="B444" i="2"/>
  <c r="B443" i="2"/>
  <c r="B442" i="2"/>
  <c r="B441" i="2"/>
  <c r="B440" i="2"/>
  <c r="B439" i="2"/>
  <c r="B438" i="2"/>
  <c r="B437" i="2"/>
  <c r="B436" i="2"/>
  <c r="B435" i="2"/>
  <c r="B434" i="2"/>
  <c r="B433" i="2"/>
  <c r="B432" i="2"/>
  <c r="B431" i="2"/>
  <c r="B430" i="2"/>
  <c r="B429" i="2"/>
  <c r="B428" i="2"/>
  <c r="B374" i="2"/>
  <c r="B373" i="2"/>
  <c r="B372" i="2"/>
  <c r="B371" i="2"/>
  <c r="B370" i="2"/>
  <c r="B327" i="2"/>
  <c r="B326" i="2"/>
  <c r="B325" i="2"/>
  <c r="B324" i="2"/>
  <c r="B323" i="2"/>
  <c r="B322" i="2"/>
  <c r="B321" i="2"/>
  <c r="B320" i="2"/>
  <c r="B319" i="2"/>
  <c r="B318" i="2"/>
  <c r="B317" i="2"/>
  <c r="B316" i="2"/>
  <c r="B315" i="2"/>
  <c r="B314" i="2"/>
  <c r="B313" i="2"/>
  <c r="B312" i="2"/>
  <c r="B467" i="2"/>
  <c r="B174" i="2"/>
  <c r="B173" i="2"/>
  <c r="B4211" i="2"/>
  <c r="B4210" i="2"/>
  <c r="B4209" i="2"/>
  <c r="B4208" i="2"/>
  <c r="B4207" i="2"/>
  <c r="B4172" i="2"/>
  <c r="B4171" i="2"/>
  <c r="B4164" i="2"/>
  <c r="B4144" i="2"/>
  <c r="B4133" i="2"/>
  <c r="B4132" i="2"/>
  <c r="B4131" i="2"/>
  <c r="B4111" i="2"/>
  <c r="B4110" i="2"/>
  <c r="B4055" i="2"/>
  <c r="B4054" i="2"/>
  <c r="B4053" i="2"/>
  <c r="B4052" i="2"/>
  <c r="B4051" i="2"/>
  <c r="B4050" i="2"/>
  <c r="B4049" i="2"/>
  <c r="B4048" i="2"/>
  <c r="B4047" i="2"/>
  <c r="B4046" i="2"/>
  <c r="B4045" i="2"/>
  <c r="B4044" i="2"/>
  <c r="B4043" i="2"/>
  <c r="B4021" i="2"/>
  <c r="B4019" i="2"/>
  <c r="B4018" i="2"/>
  <c r="B4017" i="2"/>
  <c r="B4005" i="2"/>
  <c r="B4004" i="2"/>
  <c r="B4003" i="2"/>
  <c r="B3995" i="2"/>
  <c r="B3987" i="2"/>
  <c r="B3986" i="2"/>
  <c r="B3985" i="2"/>
  <c r="B3984" i="2"/>
  <c r="B3969" i="2"/>
  <c r="B3968" i="2"/>
  <c r="B3951" i="2"/>
  <c r="B3950" i="2"/>
  <c r="B3949" i="2"/>
  <c r="B3948" i="2"/>
  <c r="B3947" i="2"/>
  <c r="B3946" i="2"/>
  <c r="B3945" i="2"/>
  <c r="B3944" i="2"/>
  <c r="B3909" i="2"/>
  <c r="B3908" i="2"/>
  <c r="B3907" i="2"/>
  <c r="B3906" i="2"/>
  <c r="B3905" i="2"/>
  <c r="B3904" i="2"/>
  <c r="B3839" i="2"/>
  <c r="B3838" i="2"/>
  <c r="B3837" i="2"/>
  <c r="B3836" i="2"/>
  <c r="B3835" i="2"/>
  <c r="B3819" i="2"/>
  <c r="B3795" i="2"/>
  <c r="B3794" i="2"/>
  <c r="B3793" i="2"/>
  <c r="B3792" i="2"/>
  <c r="B3791" i="2"/>
  <c r="B3749" i="2"/>
  <c r="B3748" i="2"/>
  <c r="B3747" i="2"/>
  <c r="B3698" i="2"/>
  <c r="B3697" i="2"/>
  <c r="B3681" i="2"/>
  <c r="B3680" i="2"/>
  <c r="B3679" i="2"/>
  <c r="B3678" i="2"/>
  <c r="B3677" i="2"/>
  <c r="B3676" i="2"/>
  <c r="B3631" i="2"/>
  <c r="B3621" i="2"/>
  <c r="B3605" i="2"/>
  <c r="B3604" i="2"/>
  <c r="B3603" i="2"/>
  <c r="B3566" i="2"/>
  <c r="B3565" i="2"/>
  <c r="B3564" i="2"/>
  <c r="B3563" i="2"/>
  <c r="B3562" i="2"/>
  <c r="B3561" i="2"/>
  <c r="B3513" i="2"/>
  <c r="B3492" i="2"/>
  <c r="B3474" i="2"/>
  <c r="B3473" i="2"/>
  <c r="B3472" i="2"/>
  <c r="B3471" i="2"/>
  <c r="B3470" i="2"/>
  <c r="B3469" i="2"/>
  <c r="B3468" i="2"/>
  <c r="B3467" i="2"/>
  <c r="B3466" i="2"/>
  <c r="B3465" i="2"/>
  <c r="B3464" i="2"/>
  <c r="B3463" i="2"/>
  <c r="B3462" i="2"/>
  <c r="B3369" i="2"/>
  <c r="B3368" i="2"/>
  <c r="B3367" i="2"/>
  <c r="B3366" i="2"/>
  <c r="B3365" i="2"/>
  <c r="B3364" i="2"/>
  <c r="B3363" i="2"/>
  <c r="B3362" i="2"/>
  <c r="B3361" i="2"/>
  <c r="B3360" i="2"/>
  <c r="B3359" i="2"/>
  <c r="B3358" i="2"/>
  <c r="B3357" i="2"/>
  <c r="B3356" i="2"/>
  <c r="B3355" i="2"/>
  <c r="B3354" i="2"/>
  <c r="B3353" i="2"/>
  <c r="B3352" i="2"/>
  <c r="B3351" i="2"/>
  <c r="B3350" i="2"/>
  <c r="B3349" i="2"/>
  <c r="B3348" i="2"/>
  <c r="B3347" i="2"/>
  <c r="B3346" i="2"/>
  <c r="B3226" i="2"/>
  <c r="B3225" i="2"/>
  <c r="B3224" i="2"/>
  <c r="B3223" i="2"/>
  <c r="B3222" i="2"/>
  <c r="B3165" i="2"/>
  <c r="B3162" i="2"/>
  <c r="B3161" i="2"/>
  <c r="B3160" i="2"/>
  <c r="B3159" i="2"/>
  <c r="B3158" i="2"/>
  <c r="B3157" i="2"/>
  <c r="B3156" i="2"/>
  <c r="B3155" i="2"/>
  <c r="B3154" i="2"/>
  <c r="B3153" i="2"/>
  <c r="B3152" i="2"/>
  <c r="B3151" i="2"/>
  <c r="B3150" i="2"/>
  <c r="B3149" i="2"/>
  <c r="B3148" i="2"/>
  <c r="B3147" i="2"/>
  <c r="B3146" i="2"/>
  <c r="B3058" i="2"/>
  <c r="B3027" i="2"/>
  <c r="B2974" i="2"/>
  <c r="B2973" i="2"/>
  <c r="B2972" i="2"/>
  <c r="B2913" i="2"/>
  <c r="B2912" i="2"/>
  <c r="B2911" i="2"/>
  <c r="B2910" i="2"/>
  <c r="B2909" i="2"/>
  <c r="B2908" i="2"/>
  <c r="B2907" i="2"/>
  <c r="B2906" i="2"/>
  <c r="B2905" i="2"/>
  <c r="B2904" i="2"/>
  <c r="B2903" i="2"/>
  <c r="B2902" i="2"/>
  <c r="B2901" i="2"/>
  <c r="B2900" i="2"/>
  <c r="B2799" i="2"/>
  <c r="B2798" i="2"/>
  <c r="B2739" i="2"/>
  <c r="B2738" i="2"/>
  <c r="B2737" i="2"/>
  <c r="B2736" i="2"/>
  <c r="B2735" i="2"/>
  <c r="B2734" i="2"/>
  <c r="B2733" i="2"/>
  <c r="B2732" i="2"/>
  <c r="B2731" i="2"/>
  <c r="B2730" i="2"/>
  <c r="B2729" i="2"/>
  <c r="B2728" i="2"/>
  <c r="B2727" i="2"/>
  <c r="B2726" i="2"/>
  <c r="B2680" i="2"/>
  <c r="B2679" i="2"/>
  <c r="B2678" i="2"/>
  <c r="B2677" i="2"/>
  <c r="B2566" i="2"/>
  <c r="B2565" i="2"/>
  <c r="B2564" i="2"/>
  <c r="B2563" i="2"/>
  <c r="B2542" i="2"/>
  <c r="B2541" i="2"/>
  <c r="B2540" i="2"/>
  <c r="B2539" i="2"/>
  <c r="B2538" i="2"/>
  <c r="B2537" i="2"/>
  <c r="B2505" i="2"/>
  <c r="B2479" i="2"/>
  <c r="B2478" i="2"/>
  <c r="B2477" i="2"/>
  <c r="B2476" i="2"/>
  <c r="B2475" i="2"/>
  <c r="B2474" i="2"/>
  <c r="B2473" i="2"/>
  <c r="B2318" i="2"/>
  <c r="B2298" i="2"/>
  <c r="B2297" i="2"/>
  <c r="B2189" i="2"/>
  <c r="B2188" i="2"/>
  <c r="B2187" i="2"/>
  <c r="B2186" i="2"/>
  <c r="B2185" i="2"/>
  <c r="B2184" i="2"/>
  <c r="B2001" i="2"/>
  <c r="B1999" i="2"/>
  <c r="B1998" i="2"/>
  <c r="B1997" i="2"/>
  <c r="B1996" i="2"/>
  <c r="B1995" i="2"/>
  <c r="B1994" i="2"/>
  <c r="B1993" i="2"/>
  <c r="B1898" i="2"/>
  <c r="B1897" i="2"/>
  <c r="B1896" i="2"/>
  <c r="B1895" i="2"/>
  <c r="B1894" i="2"/>
  <c r="B1893" i="2"/>
  <c r="B1892" i="2"/>
  <c r="B1891" i="2"/>
  <c r="B1890" i="2"/>
  <c r="B1842" i="2"/>
  <c r="B1841" i="2"/>
  <c r="B1840" i="2"/>
  <c r="B1839" i="2"/>
  <c r="B1838" i="2"/>
  <c r="B1789" i="2"/>
  <c r="B1788" i="2"/>
  <c r="B1787" i="2"/>
  <c r="B1786" i="2"/>
  <c r="B1760" i="2"/>
  <c r="B1747" i="2"/>
  <c r="B1746" i="2"/>
  <c r="B1745" i="2"/>
  <c r="B1729" i="2"/>
  <c r="B1728" i="2"/>
  <c r="B1727" i="2"/>
  <c r="B1726" i="2"/>
  <c r="B1655" i="2"/>
  <c r="B1654" i="2"/>
  <c r="B1653" i="2"/>
  <c r="B1574" i="2"/>
  <c r="B1491" i="2"/>
  <c r="B1490" i="2"/>
  <c r="B1489" i="2"/>
  <c r="B1488" i="2"/>
  <c r="B1487" i="2"/>
  <c r="B1486" i="2"/>
  <c r="B1485" i="2"/>
  <c r="B1484" i="2"/>
  <c r="B1483" i="2"/>
  <c r="B1482" i="2"/>
  <c r="B1481"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209" i="2"/>
  <c r="B1208" i="2"/>
  <c r="B1207" i="2"/>
  <c r="B1206" i="2"/>
  <c r="B1205" i="2"/>
  <c r="B1204" i="2"/>
  <c r="B1141" i="2"/>
  <c r="B1140" i="2"/>
  <c r="B1139" i="2"/>
  <c r="B1138" i="2"/>
  <c r="B1137" i="2"/>
  <c r="B1136" i="2"/>
  <c r="B1135" i="2"/>
  <c r="B1043" i="2"/>
  <c r="B1042" i="2"/>
  <c r="B1041" i="2"/>
  <c r="B1040" i="2"/>
  <c r="B1039" i="2"/>
  <c r="B1038" i="2"/>
  <c r="B1037" i="2"/>
  <c r="B1036" i="2"/>
  <c r="B1035" i="2"/>
  <c r="B1034" i="2"/>
  <c r="B1033" i="2"/>
  <c r="B1032" i="2"/>
  <c r="B1031" i="2"/>
  <c r="B1030" i="2"/>
  <c r="B1029" i="2"/>
  <c r="B786" i="2"/>
  <c r="B778" i="2"/>
  <c r="B777" i="2"/>
  <c r="B746" i="2"/>
  <c r="B730" i="2"/>
  <c r="B698" i="2"/>
  <c r="B697" i="2"/>
  <c r="B696" i="2"/>
  <c r="B666" i="2"/>
  <c r="B665" i="2"/>
  <c r="B664" i="2"/>
  <c r="B651" i="2"/>
  <c r="B470" i="2"/>
  <c r="B469" i="2"/>
  <c r="B468" i="2"/>
  <c r="B385" i="2"/>
  <c r="B384" i="2"/>
  <c r="B383" i="2"/>
  <c r="B382" i="2"/>
  <c r="B381" i="2"/>
  <c r="B380" i="2"/>
  <c r="B379" i="2"/>
  <c r="B378" i="2"/>
  <c r="B377" i="2"/>
  <c r="B376" i="2"/>
  <c r="B375" i="2"/>
  <c r="B331" i="2"/>
  <c r="B330" i="2"/>
  <c r="B329" i="2"/>
  <c r="B328" i="2"/>
  <c r="B216" i="2"/>
  <c r="B190" i="2"/>
  <c r="B189" i="2"/>
  <c r="B188" i="2"/>
  <c r="B187" i="2"/>
  <c r="B175" i="2"/>
  <c r="B145" i="2"/>
  <c r="B144" i="2"/>
  <c r="B143" i="2"/>
  <c r="B142" i="2"/>
  <c r="B141" i="2"/>
  <c r="B132" i="2"/>
  <c r="B127" i="2"/>
  <c r="B126" i="2"/>
  <c r="B84" i="2"/>
  <c r="B76" i="2"/>
  <c r="B75" i="2"/>
  <c r="B74" i="2"/>
  <c r="B58" i="2"/>
  <c r="B32" i="2"/>
  <c r="B31" i="2"/>
  <c r="L32" i="1"/>
  <c r="D1" i="4"/>
  <c r="L31" i="1"/>
  <c r="A3967" i="2"/>
  <c r="A802" i="2"/>
  <c r="A3892" i="2"/>
  <c r="A3903" i="2"/>
  <c r="A3893" i="2"/>
  <c r="A3834" i="2"/>
  <c r="A3833" i="2"/>
  <c r="A3740" i="2"/>
  <c r="A3619" i="2"/>
  <c r="A3618" i="2"/>
  <c r="A803" i="2"/>
  <c r="A2413" i="2"/>
  <c r="A140" i="2"/>
  <c r="A2146" i="2"/>
  <c r="A209" i="2"/>
  <c r="A1960" i="2"/>
  <c r="A1964" i="2"/>
  <c r="A1959" i="2"/>
  <c r="A1956" i="2"/>
  <c r="A1984" i="2"/>
  <c r="A1982" i="2"/>
  <c r="A1908" i="2"/>
  <c r="A1720" i="2"/>
  <c r="A1649" i="2"/>
  <c r="A1682" i="2"/>
  <c r="A1638" i="2"/>
  <c r="A1636" i="2"/>
  <c r="A1641" i="2"/>
  <c r="A1643" i="2"/>
  <c r="A1591" i="2"/>
  <c r="A1313" i="2"/>
  <c r="A773" i="2"/>
  <c r="A772" i="2"/>
  <c r="A804" i="2"/>
  <c r="A740" i="2"/>
  <c r="A769" i="2"/>
  <c r="A649" i="2"/>
  <c r="A248" i="2"/>
  <c r="A151" i="2"/>
  <c r="A139" i="2"/>
  <c r="A131" i="2"/>
  <c r="A123" i="2"/>
  <c r="A115" i="2"/>
  <c r="A116" i="2"/>
  <c r="A742" i="2"/>
  <c r="A55" i="2"/>
  <c r="A57" i="2"/>
  <c r="A24" i="2"/>
  <c r="A26" i="2"/>
  <c r="A25" i="2"/>
  <c r="A27" i="2"/>
  <c r="A3784" i="2"/>
  <c r="A3508" i="2"/>
  <c r="A1561" i="2"/>
  <c r="A367" i="2"/>
  <c r="A295" i="2"/>
  <c r="A3132" i="2"/>
  <c r="O1501" i="2" l="1"/>
  <c r="L1501" i="2" s="1"/>
  <c r="O2287" i="2"/>
  <c r="L2287" i="2" s="1"/>
  <c r="O1134" i="2"/>
  <c r="L1134" i="2" s="1"/>
  <c r="O768" i="2"/>
  <c r="L768" i="2" s="1"/>
  <c r="O2880" i="2"/>
  <c r="L2880" i="2" s="1"/>
  <c r="O138" i="2"/>
  <c r="L138" i="2" s="1"/>
  <c r="O2340" i="2"/>
  <c r="L2340" i="2" s="1"/>
  <c r="O412" i="2"/>
  <c r="L412" i="2" s="1"/>
  <c r="O159" i="2"/>
  <c r="O2268" i="2"/>
  <c r="L2268" i="2" s="1"/>
  <c r="O721" i="2"/>
  <c r="L721" i="2" s="1"/>
  <c r="O1319" i="2"/>
  <c r="L1319" i="2" s="1"/>
  <c r="O3696" i="2"/>
  <c r="L3696" i="2" s="1"/>
  <c r="O4016" i="2"/>
  <c r="L4016" i="2" s="1"/>
  <c r="O2158" i="2"/>
  <c r="L2158" i="2" s="1"/>
  <c r="O4074" i="2"/>
  <c r="L4074" i="2" s="1"/>
  <c r="O677" i="2"/>
  <c r="L677" i="2" s="1"/>
  <c r="O2274" i="2"/>
  <c r="L2274" i="2" s="1"/>
  <c r="O310" i="2"/>
  <c r="L310" i="2" s="1"/>
  <c r="O3982" i="2"/>
  <c r="L3982" i="2" s="1"/>
  <c r="O2452" i="2"/>
  <c r="L2452" i="2" s="1"/>
  <c r="O3557" i="2"/>
  <c r="L3557" i="2" s="1"/>
  <c r="O3983" i="2"/>
  <c r="L3983" i="2" s="1"/>
  <c r="O2653" i="2"/>
  <c r="L2653" i="2" s="1"/>
  <c r="O3322" i="2"/>
  <c r="L3322" i="2" s="1"/>
  <c r="O3233" i="2"/>
  <c r="L3233" i="2" s="1"/>
  <c r="O3497" i="2"/>
  <c r="L3497" i="2" s="1"/>
  <c r="O3857" i="2"/>
  <c r="L3857" i="2" s="1"/>
  <c r="O43" i="2"/>
  <c r="L43" i="2" s="1"/>
  <c r="O3066" i="2"/>
  <c r="L3066" i="2" s="1"/>
  <c r="O1230" i="2"/>
  <c r="L1230" i="2" s="1"/>
  <c r="O2195" i="2"/>
  <c r="L2195" i="2" s="1"/>
  <c r="O3841" i="2"/>
  <c r="L3841" i="2" s="1"/>
  <c r="O3107" i="2"/>
  <c r="L3107" i="2" s="1"/>
  <c r="O2350" i="2"/>
  <c r="L2350" i="2" s="1"/>
  <c r="O2549" i="2"/>
  <c r="L2549" i="2" s="1"/>
  <c r="O2685" i="2"/>
  <c r="L2685" i="2" s="1"/>
  <c r="O3503" i="2"/>
  <c r="L3503" i="2" s="1"/>
  <c r="O2333" i="2"/>
  <c r="L2333" i="2" s="1"/>
  <c r="O13" i="2"/>
  <c r="L13" i="2" s="1"/>
  <c r="O47" i="2"/>
  <c r="L47" i="2" s="1"/>
  <c r="O3414" i="2"/>
  <c r="L3414" i="2" s="1"/>
  <c r="O44" i="2"/>
  <c r="L44" i="2" s="1"/>
  <c r="O3504" i="2"/>
  <c r="L3504" i="2" s="1"/>
  <c r="O1710" i="2"/>
  <c r="L1710" i="2" s="1"/>
  <c r="O2097" i="2"/>
  <c r="L2097" i="2" s="1"/>
  <c r="O2099" i="2"/>
  <c r="L2099" i="2" s="1"/>
  <c r="O3427" i="2"/>
  <c r="L3427" i="2" s="1"/>
  <c r="O1640" i="2"/>
  <c r="L1640" i="2" s="1"/>
  <c r="O4180" i="2"/>
  <c r="L4180" i="2" s="1"/>
  <c r="O3534" i="2"/>
  <c r="L3534" i="2" s="1"/>
  <c r="O2519" i="2"/>
  <c r="L2519" i="2" s="1"/>
  <c r="O607" i="2"/>
  <c r="L607" i="2" s="1"/>
  <c r="O3876" i="2"/>
  <c r="L3876" i="2" s="1"/>
  <c r="O2103" i="2"/>
  <c r="L2103" i="2" s="1"/>
  <c r="O4206" i="2"/>
  <c r="L4206" i="2" s="1"/>
  <c r="O3666" i="2"/>
  <c r="L3666" i="2" s="1"/>
  <c r="O3994" i="2"/>
  <c r="L3994" i="2" s="1"/>
  <c r="O4305" i="2"/>
  <c r="L4305" i="2" s="1"/>
  <c r="O3771" i="2"/>
  <c r="L3771" i="2" s="1"/>
  <c r="O4067" i="2"/>
  <c r="L4067" i="2" s="1"/>
  <c r="O3536" i="2"/>
  <c r="L3536" i="2" s="1"/>
  <c r="O496" i="2"/>
  <c r="L496" i="2" s="1"/>
  <c r="O3877" i="2"/>
  <c r="L3877" i="2" s="1"/>
  <c r="O3195" i="2"/>
  <c r="L3195" i="2" s="1"/>
  <c r="O2096" i="2"/>
  <c r="L2096" i="2" s="1"/>
  <c r="O4202" i="2"/>
  <c r="L4202" i="2" s="1"/>
  <c r="O3626" i="2"/>
  <c r="L3626" i="2" s="1"/>
  <c r="O2557" i="2"/>
  <c r="L2557" i="2" s="1"/>
  <c r="O1757" i="2"/>
  <c r="L1757" i="2" s="1"/>
  <c r="O640" i="2"/>
  <c r="L640" i="2" s="1"/>
  <c r="O3980" i="2"/>
  <c r="L3980" i="2" s="1"/>
  <c r="O3284" i="2"/>
  <c r="L3284" i="2" s="1"/>
  <c r="O4319" i="2"/>
  <c r="L4319" i="2" s="1"/>
  <c r="O3724" i="2"/>
  <c r="L3724" i="2" s="1"/>
  <c r="O4149" i="2"/>
  <c r="L4149" i="2" s="1"/>
  <c r="O3430" i="2"/>
  <c r="L3430" i="2" s="1"/>
  <c r="O492" i="2"/>
  <c r="L492" i="2" s="1"/>
  <c r="O1183" i="2"/>
  <c r="L1183" i="2" s="1"/>
  <c r="O3770" i="2"/>
  <c r="L3770" i="2" s="1"/>
  <c r="O3196" i="2"/>
  <c r="L3196" i="2" s="1"/>
  <c r="O1870" i="2"/>
  <c r="L1870" i="2" s="1"/>
  <c r="O4162" i="2"/>
  <c r="L4162" i="2" s="1"/>
  <c r="O3978" i="2"/>
  <c r="L3978" i="2" s="1"/>
  <c r="O3590" i="2"/>
  <c r="L3590" i="2" s="1"/>
  <c r="O52" i="2"/>
  <c r="L52" i="2" s="1"/>
  <c r="O3992" i="2"/>
  <c r="L3992" i="2" s="1"/>
  <c r="O3287" i="2"/>
  <c r="L3287" i="2" s="1"/>
  <c r="O2560" i="2"/>
  <c r="L2560" i="2" s="1"/>
  <c r="O2100" i="2"/>
  <c r="L2100" i="2" s="1"/>
  <c r="O82" i="2"/>
  <c r="L82" i="2" s="1"/>
  <c r="O4100" i="2"/>
  <c r="L4100" i="2" s="1"/>
  <c r="O1272" i="2"/>
  <c r="L1272" i="2" s="1"/>
  <c r="O622" i="2"/>
  <c r="L622" i="2" s="1"/>
  <c r="O4188" i="2"/>
  <c r="L4188" i="2" s="1"/>
  <c r="O3827" i="2"/>
  <c r="L3827" i="2" s="1"/>
  <c r="O3431" i="2"/>
  <c r="L3431" i="2" s="1"/>
  <c r="O660" i="2"/>
  <c r="L660" i="2" s="1"/>
  <c r="O4203" i="2"/>
  <c r="L4203" i="2" s="1"/>
  <c r="O3663" i="2"/>
  <c r="L3663" i="2" s="1"/>
  <c r="O4161" i="2"/>
  <c r="L4161" i="2" s="1"/>
  <c r="O4170" i="2"/>
  <c r="L4170" i="2" s="1"/>
  <c r="O3979" i="2"/>
  <c r="L3979" i="2" s="1"/>
  <c r="O3613" i="2"/>
  <c r="L3613" i="2" s="1"/>
  <c r="O3194" i="2"/>
  <c r="L3194" i="2" s="1"/>
  <c r="O4289" i="2"/>
  <c r="L4289" i="2" s="1"/>
  <c r="O3873" i="2"/>
  <c r="L3873" i="2" s="1"/>
  <c r="O3537" i="2"/>
  <c r="L3537" i="2" s="1"/>
  <c r="O1930" i="2"/>
  <c r="L1930" i="2" s="1"/>
  <c r="O4280" i="2"/>
  <c r="L4280" i="2" s="1"/>
  <c r="O623" i="2"/>
  <c r="L623" i="2" s="1"/>
  <c r="O4189" i="2"/>
  <c r="L4189" i="2" s="1"/>
  <c r="O3828" i="2"/>
  <c r="L3828" i="2" s="1"/>
  <c r="O3432" i="2"/>
  <c r="L3432" i="2" s="1"/>
  <c r="O2102" i="2"/>
  <c r="L2102" i="2" s="1"/>
  <c r="O3993" i="2"/>
  <c r="L3993" i="2" s="1"/>
  <c r="O3665" i="2"/>
  <c r="L3665" i="2" s="1"/>
  <c r="O3198" i="2"/>
  <c r="L3198" i="2" s="1"/>
  <c r="O2104" i="2"/>
  <c r="L2104" i="2" s="1"/>
  <c r="O4037" i="2"/>
  <c r="L4037" i="2" s="1"/>
  <c r="O3725" i="2"/>
  <c r="L3725" i="2" s="1"/>
  <c r="O2856" i="2"/>
  <c r="L2856" i="2" s="1"/>
  <c r="O1758" i="2"/>
  <c r="L1758" i="2" s="1"/>
  <c r="O4204" i="2"/>
  <c r="L4204" i="2" s="1"/>
  <c r="O3874" i="2"/>
  <c r="L3874" i="2" s="1"/>
  <c r="O3538" i="2"/>
  <c r="L3538" i="2" s="1"/>
  <c r="O4205" i="2"/>
  <c r="L4205" i="2" s="1"/>
  <c r="O624" i="2"/>
  <c r="L624" i="2" s="1"/>
  <c r="O4201" i="2"/>
  <c r="L4201" i="2" s="1"/>
  <c r="O3872" i="2"/>
  <c r="L3872" i="2" s="1"/>
  <c r="O1188" i="2"/>
  <c r="L1188" i="2" s="1"/>
  <c r="O4077" i="2"/>
  <c r="L4077" i="2" s="1"/>
  <c r="O3772" i="2"/>
  <c r="L3772" i="2" s="1"/>
  <c r="O1931" i="2"/>
  <c r="L1931" i="2" s="1"/>
  <c r="O2105" i="2"/>
  <c r="L2105" i="2" s="1"/>
  <c r="O1711" i="2"/>
  <c r="L1711" i="2" s="1"/>
  <c r="O494" i="2"/>
  <c r="L494" i="2" s="1"/>
  <c r="O4038" i="2"/>
  <c r="L4038" i="2" s="1"/>
  <c r="O3285" i="2"/>
  <c r="L3285" i="2" s="1"/>
  <c r="O2107" i="2"/>
  <c r="L2107" i="2" s="1"/>
  <c r="O3875" i="2"/>
  <c r="L3875" i="2" s="1"/>
  <c r="O3425" i="2"/>
  <c r="L3425" i="2" s="1"/>
  <c r="O2554" i="2"/>
  <c r="L2554" i="2" s="1"/>
  <c r="O1410" i="2"/>
  <c r="L1410" i="2" s="1"/>
  <c r="O4320" i="2"/>
  <c r="L4320" i="2" s="1"/>
  <c r="O2558" i="2"/>
  <c r="L2558" i="2" s="1"/>
  <c r="O1774" i="2"/>
  <c r="L1774" i="2" s="1"/>
  <c r="O498" i="2"/>
  <c r="L498" i="2" s="1"/>
  <c r="O4078" i="2"/>
  <c r="L4078" i="2" s="1"/>
  <c r="O3539" i="2"/>
  <c r="L3539" i="2" s="1"/>
  <c r="O3429" i="2"/>
  <c r="L3429" i="2" s="1"/>
  <c r="O2106" i="2"/>
  <c r="L2106" i="2" s="1"/>
  <c r="O1712" i="2"/>
  <c r="L1712" i="2" s="1"/>
  <c r="O1584" i="2"/>
  <c r="L1584" i="2" s="1"/>
  <c r="O2108" i="2"/>
  <c r="L2108" i="2" s="1"/>
  <c r="O4306" i="2"/>
  <c r="L4306" i="2" s="1"/>
  <c r="O3691" i="2"/>
  <c r="L3691" i="2" s="1"/>
  <c r="O1934" i="2"/>
  <c r="L1934" i="2" s="1"/>
  <c r="O1411" i="2"/>
  <c r="L1411" i="2" s="1"/>
  <c r="O3981" i="2"/>
  <c r="L3981" i="2" s="1"/>
  <c r="O3286" i="2"/>
  <c r="L3286" i="2" s="1"/>
  <c r="O2360" i="2"/>
  <c r="L2360" i="2" s="1"/>
  <c r="O1775" i="2"/>
  <c r="L1775" i="2" s="1"/>
  <c r="O4227" i="2"/>
  <c r="L4227" i="2" s="1"/>
  <c r="O3426" i="2"/>
  <c r="L3426" i="2" s="1"/>
  <c r="O4120" i="2"/>
  <c r="L4120" i="2" s="1"/>
  <c r="O3937" i="2"/>
  <c r="L3937" i="2" s="1"/>
  <c r="O3535" i="2"/>
  <c r="L3535" i="2" s="1"/>
  <c r="O4039" i="2"/>
  <c r="L4039" i="2" s="1"/>
  <c r="O3627" i="2"/>
  <c r="L3627" i="2" s="1"/>
  <c r="O606" i="2"/>
  <c r="L606" i="2" s="1"/>
  <c r="O4179" i="2"/>
  <c r="L4179" i="2" s="1"/>
  <c r="O3690" i="2"/>
  <c r="L3690" i="2" s="1"/>
  <c r="O3283" i="2"/>
  <c r="L3283" i="2" s="1"/>
  <c r="O2098" i="2"/>
  <c r="L2098" i="2" s="1"/>
  <c r="O4288" i="2"/>
  <c r="L4288" i="2" s="1"/>
  <c r="O4279" i="2"/>
  <c r="L4279" i="2" s="1"/>
  <c r="O4252" i="2"/>
  <c r="L4252" i="2" s="1"/>
  <c r="O1647" i="2"/>
  <c r="L1647" i="2" s="1"/>
  <c r="O1637" i="2"/>
  <c r="L1637" i="2" s="1"/>
  <c r="O1886" i="2"/>
  <c r="L1886" i="2" s="1"/>
  <c r="O3642" i="2"/>
  <c r="L3642" i="2" s="1"/>
  <c r="O1276" i="2"/>
  <c r="L1276" i="2" s="1"/>
  <c r="O819" i="2"/>
  <c r="L819" i="2" s="1"/>
  <c r="O3702" i="2"/>
  <c r="L3702" i="2" s="1"/>
  <c r="O1277" i="2"/>
  <c r="L1277" i="2" s="1"/>
  <c r="O3848" i="2"/>
  <c r="L3848" i="2" s="1"/>
  <c r="O1686" i="2"/>
  <c r="L1686" i="2" s="1"/>
  <c r="O3240" i="2"/>
  <c r="L3240" i="2" s="1"/>
  <c r="O253" i="2"/>
  <c r="L253" i="2" s="1"/>
  <c r="O1737" i="2"/>
  <c r="L1737" i="2" s="1"/>
  <c r="O3845" i="2"/>
  <c r="L3845" i="2" s="1"/>
  <c r="O1522" i="2"/>
  <c r="L1522" i="2" s="1"/>
  <c r="O3235" i="2"/>
  <c r="L3235" i="2" s="1"/>
  <c r="O3753" i="2"/>
  <c r="L3753" i="2" s="1"/>
  <c r="O1524" i="2"/>
  <c r="L1524" i="2" s="1"/>
  <c r="O1736" i="2"/>
  <c r="L1736" i="2" s="1"/>
  <c r="O3752" i="2"/>
  <c r="L3752" i="2" s="1"/>
  <c r="O1508" i="2"/>
  <c r="L1508" i="2" s="1"/>
  <c r="O3392" i="2"/>
  <c r="L3392" i="2" s="1"/>
  <c r="O3521" i="2"/>
  <c r="L3521" i="2" s="1"/>
  <c r="O1507" i="2"/>
  <c r="L1507" i="2" s="1"/>
  <c r="O3401" i="2"/>
  <c r="L3401" i="2" s="1"/>
  <c r="O3609" i="2"/>
  <c r="L3609" i="2" s="1"/>
  <c r="O1515" i="2"/>
  <c r="L1515" i="2" s="1"/>
  <c r="O3704" i="2"/>
  <c r="L3704" i="2" s="1"/>
  <c r="O1521" i="2"/>
  <c r="L1521" i="2" s="1"/>
  <c r="O1749" i="2"/>
  <c r="L1749" i="2" s="1"/>
  <c r="O3703" i="2"/>
  <c r="L3703" i="2" s="1"/>
  <c r="O1517" i="2"/>
  <c r="L1517" i="2" s="1"/>
  <c r="O3428" i="2"/>
  <c r="L3428" i="2" s="1"/>
  <c r="O3846" i="2"/>
  <c r="L3846" i="2" s="1"/>
  <c r="O4215" i="2"/>
  <c r="L4215" i="2" s="1"/>
  <c r="O1817" i="2"/>
  <c r="L1817" i="2" s="1"/>
  <c r="O3847" i="2"/>
  <c r="L3847" i="2" s="1"/>
  <c r="O4115" i="2"/>
  <c r="L4115" i="2" s="1"/>
  <c r="O1815" i="2"/>
  <c r="L1815" i="2" s="1"/>
  <c r="O1602" i="2"/>
  <c r="L1602" i="2" s="1"/>
  <c r="O1845" i="2"/>
  <c r="L1845" i="2" s="1"/>
  <c r="O81" i="2"/>
  <c r="L81" i="2" s="1"/>
  <c r="O2940" i="2"/>
  <c r="L2940" i="2" s="1"/>
  <c r="O3997" i="2"/>
  <c r="L3997" i="2" s="1"/>
  <c r="O3067" i="2"/>
  <c r="L3067" i="2" s="1"/>
  <c r="O2568" i="2"/>
  <c r="L2568" i="2" s="1"/>
  <c r="O3638" i="2"/>
  <c r="L3638" i="2" s="1"/>
  <c r="O1271" i="2"/>
  <c r="L1271" i="2" s="1"/>
  <c r="O1844" i="2"/>
  <c r="L1844" i="2" s="1"/>
  <c r="O260" i="2"/>
  <c r="L260" i="2" s="1"/>
  <c r="O3723" i="2"/>
  <c r="L3723" i="2" s="1"/>
  <c r="O1688" i="2"/>
  <c r="L1688" i="2" s="1"/>
  <c r="O669" i="2"/>
  <c r="L669" i="2" s="1"/>
  <c r="O1269" i="2"/>
  <c r="L1269" i="2" s="1"/>
  <c r="O3573" i="2"/>
  <c r="L3573" i="2" s="1"/>
  <c r="O1506" i="2"/>
  <c r="L1506" i="2" s="1"/>
  <c r="O1211" i="2"/>
  <c r="L1211" i="2" s="1"/>
  <c r="O3519" i="2"/>
  <c r="L3519" i="2" s="1"/>
  <c r="O1514" i="2"/>
  <c r="L1514" i="2" s="1"/>
  <c r="O3393" i="2"/>
  <c r="L3393" i="2" s="1"/>
  <c r="O3641" i="2"/>
  <c r="L3641" i="2" s="1"/>
  <c r="O1520" i="2"/>
  <c r="L1520" i="2" s="1"/>
  <c r="O3799" i="2"/>
  <c r="L3799" i="2" s="1"/>
  <c r="O3399" i="2"/>
  <c r="L3399" i="2" s="1"/>
  <c r="O3700" i="2"/>
  <c r="L3700" i="2" s="1"/>
  <c r="O3396" i="2"/>
  <c r="L3396" i="2" s="1"/>
  <c r="O3705" i="2"/>
  <c r="L3705" i="2" s="1"/>
  <c r="O1511" i="2"/>
  <c r="L1511" i="2" s="1"/>
  <c r="O38" i="2"/>
  <c r="L38" i="2" s="1"/>
  <c r="O477" i="2"/>
  <c r="L477" i="2" s="1"/>
  <c r="O654" i="2"/>
  <c r="L654" i="2" s="1"/>
  <c r="O1270" i="2"/>
  <c r="L1270" i="2" s="1"/>
  <c r="O1915" i="2"/>
  <c r="L1915" i="2" s="1"/>
  <c r="O1513" i="2"/>
  <c r="L1513" i="2" s="1"/>
  <c r="O3091" i="2"/>
  <c r="L3091" i="2" s="1"/>
  <c r="O2334" i="2"/>
  <c r="L2334" i="2" s="1"/>
  <c r="O3092" i="2"/>
  <c r="L3092" i="2" s="1"/>
  <c r="O2337" i="2"/>
  <c r="L2337" i="2" s="1"/>
  <c r="O3093" i="2"/>
  <c r="L3093" i="2" s="1"/>
  <c r="O1067" i="2"/>
  <c r="L1067" i="2" s="1"/>
  <c r="O1545" i="2"/>
  <c r="L1545" i="2" s="1"/>
  <c r="O3173" i="2"/>
  <c r="L3173" i="2" s="1"/>
  <c r="O3800" i="2"/>
  <c r="L3800" i="2" s="1"/>
  <c r="O1623" i="2"/>
  <c r="L1623" i="2" s="1"/>
  <c r="O3174" i="2"/>
  <c r="L3174" i="2" s="1"/>
  <c r="O3518" i="2"/>
  <c r="L3518" i="2" s="1"/>
  <c r="O1624" i="2"/>
  <c r="L1624" i="2" s="1"/>
  <c r="O3172" i="2"/>
  <c r="L3172" i="2" s="1"/>
  <c r="O4057" i="2"/>
  <c r="L4057" i="2" s="1"/>
  <c r="O1868" i="2"/>
  <c r="L1868" i="2" s="1"/>
  <c r="O3167" i="2"/>
  <c r="L3167" i="2" s="1"/>
  <c r="O3520" i="2"/>
  <c r="L3520" i="2" s="1"/>
  <c r="O775" i="2"/>
  <c r="L775" i="2" s="1"/>
  <c r="O1914" i="2"/>
  <c r="L1914" i="2" s="1"/>
  <c r="O3701" i="2"/>
  <c r="L3701" i="2" s="1"/>
  <c r="O1502" i="2"/>
  <c r="L1502" i="2" s="1"/>
  <c r="O1738" i="2"/>
  <c r="L1738" i="2" s="1"/>
  <c r="O3635" i="2"/>
  <c r="L3635" i="2" s="1"/>
  <c r="O1159" i="2"/>
  <c r="L1159" i="2" s="1"/>
  <c r="O3754" i="2"/>
  <c r="L3754" i="2" s="1"/>
  <c r="O2057" i="2"/>
  <c r="L2057" i="2" s="1"/>
  <c r="O3231" i="2"/>
  <c r="L3231" i="2" s="1"/>
  <c r="O3989" i="2"/>
  <c r="L3989" i="2" s="1"/>
  <c r="O1505" i="2"/>
  <c r="L1505" i="2" s="1"/>
  <c r="O3234" i="2"/>
  <c r="L3234" i="2" s="1"/>
  <c r="O3637" i="2"/>
  <c r="L3637" i="2" s="1"/>
  <c r="O1516" i="2"/>
  <c r="L1516" i="2" s="1"/>
  <c r="O3169" i="2"/>
  <c r="L3169" i="2" s="1"/>
  <c r="O1687" i="2"/>
  <c r="L1687" i="2" s="1"/>
  <c r="O2060" i="2"/>
  <c r="L2060" i="2" s="1"/>
  <c r="O1689" i="2"/>
  <c r="L1689" i="2" s="1"/>
  <c r="O1166" i="2"/>
  <c r="L1166" i="2" s="1"/>
  <c r="O1273" i="2"/>
  <c r="L1273" i="2" s="1"/>
  <c r="O2058" i="2"/>
  <c r="L2058" i="2" s="1"/>
  <c r="O1983" i="2"/>
  <c r="L1983" i="2" s="1"/>
  <c r="O3572" i="2"/>
  <c r="L3572" i="2" s="1"/>
  <c r="O1384" i="2"/>
  <c r="L1384" i="2" s="1"/>
  <c r="O1158" i="2"/>
  <c r="L1158" i="2" s="1"/>
  <c r="O2990" i="2"/>
  <c r="L2990" i="2" s="1"/>
  <c r="O1385" i="2"/>
  <c r="L1385" i="2" s="1"/>
  <c r="O2687" i="2"/>
  <c r="L2687" i="2" s="1"/>
  <c r="O1217" i="2"/>
  <c r="L1217" i="2" s="1"/>
  <c r="O1413" i="2"/>
  <c r="L1413" i="2" s="1"/>
  <c r="O3517" i="2"/>
  <c r="L3517" i="2" s="1"/>
  <c r="O3064" i="2"/>
  <c r="L3064" i="2" s="1"/>
  <c r="O2555" i="2"/>
  <c r="L2555" i="2" s="1"/>
  <c r="O1161" i="2"/>
  <c r="L1161" i="2" s="1"/>
  <c r="O478" i="2"/>
  <c r="L478" i="2" s="1"/>
  <c r="O2363" i="2"/>
  <c r="L2363" i="2" s="1"/>
  <c r="O1168" i="2"/>
  <c r="L1168" i="2" s="1"/>
  <c r="O495" i="2"/>
  <c r="L495" i="2" s="1"/>
  <c r="O1190" i="2"/>
  <c r="L1190" i="2" s="1"/>
  <c r="O2556" i="2"/>
  <c r="L2556" i="2" s="1"/>
  <c r="O2991" i="2"/>
  <c r="L2991" i="2" s="1"/>
  <c r="O900" i="2"/>
  <c r="L900" i="2" s="1"/>
  <c r="O3726" i="2"/>
  <c r="L3726" i="2" s="1"/>
  <c r="O3402" i="2"/>
  <c r="L3402" i="2" s="1"/>
  <c r="O3065" i="2"/>
  <c r="L3065" i="2" s="1"/>
  <c r="O899" i="2"/>
  <c r="L899" i="2" s="1"/>
  <c r="O1062" i="2"/>
  <c r="L1062" i="2" s="1"/>
  <c r="O1387" i="2"/>
  <c r="L1387" i="2" s="1"/>
  <c r="O902" i="2"/>
  <c r="L902" i="2" s="1"/>
  <c r="O1917" i="2"/>
  <c r="L1917" i="2" s="1"/>
  <c r="O1386" i="2"/>
  <c r="L1386" i="2" s="1"/>
  <c r="O3094" i="2"/>
  <c r="L3094" i="2" s="1"/>
  <c r="O1167" i="2"/>
  <c r="L1167" i="2" s="1"/>
  <c r="O18" i="2"/>
  <c r="L18" i="2" s="1"/>
  <c r="O2863" i="2"/>
  <c r="L2863" i="2" s="1"/>
  <c r="O2361" i="2"/>
  <c r="L2361" i="2" s="1"/>
  <c r="O2865" i="2"/>
  <c r="L2865" i="2" s="1"/>
  <c r="O2507" i="2"/>
  <c r="L2507" i="2" s="1"/>
  <c r="O1625" i="2"/>
  <c r="L1625" i="2" s="1"/>
  <c r="O1187" i="2"/>
  <c r="L1187" i="2" s="1"/>
  <c r="O66" i="2"/>
  <c r="L66" i="2" s="1"/>
  <c r="O3230" i="2"/>
  <c r="L3230" i="2" s="1"/>
  <c r="O1214" i="2"/>
  <c r="L1214" i="2" s="1"/>
  <c r="O601" i="2"/>
  <c r="L601" i="2" s="1"/>
  <c r="O3068" i="2"/>
  <c r="L3068" i="2" s="1"/>
  <c r="O3238" i="2"/>
  <c r="L3238" i="2" s="1"/>
  <c r="O829" i="2"/>
  <c r="L829" i="2" s="1"/>
  <c r="O2339" i="2"/>
  <c r="L2339" i="2" s="1"/>
  <c r="O3171" i="2"/>
  <c r="L3171" i="2" s="1"/>
  <c r="O2954" i="2"/>
  <c r="L2954" i="2" s="1"/>
  <c r="O1846" i="2"/>
  <c r="L1846" i="2" s="1"/>
  <c r="O3971" i="2"/>
  <c r="L3971" i="2" s="1"/>
  <c r="O2955" i="2"/>
  <c r="L2955" i="2" s="1"/>
  <c r="O3063" i="2"/>
  <c r="L3063" i="2" s="1"/>
  <c r="O619" i="2"/>
  <c r="L619" i="2" s="1"/>
  <c r="O2485" i="2"/>
  <c r="L2485" i="2" s="1"/>
  <c r="O3062" i="2"/>
  <c r="L3062" i="2" s="1"/>
  <c r="O1281" i="2"/>
  <c r="L1281" i="2" s="1"/>
  <c r="O1599" i="2"/>
  <c r="L1599" i="2" s="1"/>
  <c r="O3239" i="2"/>
  <c r="L3239" i="2" s="1"/>
  <c r="O1282" i="2"/>
  <c r="L1282" i="2" s="1"/>
  <c r="O2059" i="2"/>
  <c r="L2059" i="2" s="1"/>
  <c r="O2197" i="2"/>
  <c r="L2197" i="2" s="1"/>
  <c r="O903" i="2"/>
  <c r="L903" i="2" s="1"/>
  <c r="O1797" i="2"/>
  <c r="L1797" i="2" s="1"/>
  <c r="O3404" i="2"/>
  <c r="L3404" i="2" s="1"/>
  <c r="O2711" i="2"/>
  <c r="L2711" i="2" s="1"/>
  <c r="O1066" i="2"/>
  <c r="L1066" i="2" s="1"/>
  <c r="O2743" i="2"/>
  <c r="L2743" i="2" s="1"/>
  <c r="O1184" i="2"/>
  <c r="L1184" i="2" s="1"/>
  <c r="O3031" i="2"/>
  <c r="L3031" i="2" s="1"/>
  <c r="O1185" i="2"/>
  <c r="L1185" i="2" s="1"/>
  <c r="O2979" i="2"/>
  <c r="L2979" i="2" s="1"/>
  <c r="O3424" i="2"/>
  <c r="L3424" i="2" s="1"/>
  <c r="O2978" i="2"/>
  <c r="L2978" i="2" s="1"/>
  <c r="O1274" i="2"/>
  <c r="L1274" i="2" s="1"/>
  <c r="O2335" i="2"/>
  <c r="L2335" i="2" s="1"/>
  <c r="O1275" i="2"/>
  <c r="L1275" i="2" s="1"/>
  <c r="O2332" i="2"/>
  <c r="L2332" i="2" s="1"/>
  <c r="O3197" i="2"/>
  <c r="L3197" i="2" s="1"/>
  <c r="O3086" i="2"/>
  <c r="L3086" i="2" s="1"/>
  <c r="O1216" i="2"/>
  <c r="L1216" i="2" s="1"/>
  <c r="O3088" i="2"/>
  <c r="L3088" i="2" s="1"/>
  <c r="O1916" i="2"/>
  <c r="L1916" i="2" s="1"/>
  <c r="O1869" i="2"/>
  <c r="L1869" i="2" s="1"/>
  <c r="O1186" i="2"/>
  <c r="L1186" i="2" s="1"/>
  <c r="O826" i="2"/>
  <c r="L826" i="2" s="1"/>
  <c r="O1414" i="2"/>
  <c r="L1414" i="2" s="1"/>
  <c r="O2559" i="2"/>
  <c r="L2559" i="2" s="1"/>
  <c r="O2570" i="2"/>
  <c r="L2570" i="2" s="1"/>
  <c r="O78" i="2"/>
  <c r="L78" i="2" s="1"/>
  <c r="O36" i="2"/>
  <c r="L36" i="2" s="1"/>
  <c r="O1816" i="2"/>
  <c r="L1816" i="2" s="1"/>
  <c r="O3041" i="2"/>
  <c r="L3041" i="2" s="1"/>
  <c r="O1389" i="2"/>
  <c r="L1389" i="2" s="1"/>
  <c r="O1160" i="2"/>
  <c r="L1160" i="2" s="1"/>
  <c r="O1872" i="2"/>
  <c r="L1872" i="2" s="1"/>
  <c r="O2742" i="2"/>
  <c r="L2742" i="2" s="1"/>
  <c r="O3199" i="2"/>
  <c r="L3199" i="2" s="1"/>
  <c r="O1215" i="2"/>
  <c r="L1215" i="2" s="1"/>
  <c r="O3232" i="2"/>
  <c r="L3232" i="2" s="1"/>
  <c r="O2987" i="2"/>
  <c r="L2987" i="2" s="1"/>
  <c r="O2196" i="2"/>
  <c r="L2196" i="2" s="1"/>
  <c r="O1065" i="2"/>
  <c r="L1065" i="2" s="1"/>
  <c r="O2988" i="2"/>
  <c r="L2988" i="2" s="1"/>
  <c r="O825" i="2"/>
  <c r="L825" i="2" s="1"/>
  <c r="O1064" i="2"/>
  <c r="L1064" i="2" s="1"/>
  <c r="O2989" i="2"/>
  <c r="L2989" i="2" s="1"/>
  <c r="O3398" i="2"/>
  <c r="L3398" i="2" s="1"/>
  <c r="O1063" i="2"/>
  <c r="L1063" i="2" s="1"/>
  <c r="O904" i="2"/>
  <c r="L904" i="2" s="1"/>
  <c r="O3170" i="2"/>
  <c r="L3170" i="2" s="1"/>
  <c r="O1918" i="2"/>
  <c r="L1918" i="2" s="1"/>
  <c r="O1503" i="2"/>
  <c r="L1503" i="2" s="1"/>
  <c r="O2980" i="2"/>
  <c r="L2980" i="2" s="1"/>
  <c r="O3087" i="2"/>
  <c r="L3087" i="2" s="1"/>
  <c r="O3168" i="2"/>
  <c r="L3168" i="2" s="1"/>
  <c r="O831" i="2"/>
  <c r="L831" i="2" s="1"/>
  <c r="O824" i="2"/>
  <c r="L824" i="2" s="1"/>
  <c r="O3089" i="2"/>
  <c r="L3089" i="2" s="1"/>
  <c r="O2005" i="2"/>
  <c r="L2005" i="2" s="1"/>
  <c r="O1415" i="2"/>
  <c r="L1415" i="2" s="1"/>
  <c r="O3574" i="2"/>
  <c r="L3574" i="2" s="1"/>
  <c r="O493" i="2"/>
  <c r="L493" i="2" s="1"/>
  <c r="O2518" i="2"/>
  <c r="L2518" i="2" s="1"/>
  <c r="O905" i="2"/>
  <c r="L905" i="2" s="1"/>
  <c r="O906" i="2"/>
  <c r="L906" i="2" s="1"/>
  <c r="O907" i="2"/>
  <c r="L907" i="2" s="1"/>
  <c r="O1165" i="2"/>
  <c r="L1165" i="2" s="1"/>
  <c r="O3955" i="2"/>
  <c r="L3955" i="2" s="1"/>
  <c r="O603" i="2"/>
  <c r="L603" i="2" s="1"/>
  <c r="O4194" i="2"/>
  <c r="L4194" i="2" s="1"/>
  <c r="O3403" i="2"/>
  <c r="L3403" i="2" s="1"/>
  <c r="O830" i="2"/>
  <c r="L830" i="2" s="1"/>
  <c r="O901" i="2"/>
  <c r="L901" i="2" s="1"/>
  <c r="O1087" i="2"/>
  <c r="L1087" i="2" s="1"/>
  <c r="O821" i="2"/>
  <c r="L821" i="2" s="1"/>
  <c r="O3175" i="2"/>
  <c r="L3175" i="2" s="1"/>
  <c r="O1278" i="2"/>
  <c r="L1278" i="2" s="1"/>
  <c r="O820" i="2"/>
  <c r="L820" i="2" s="1"/>
  <c r="O491" i="2"/>
  <c r="L491" i="2" s="1"/>
  <c r="O1600" i="2"/>
  <c r="L1600" i="2" s="1"/>
  <c r="O3200" i="2"/>
  <c r="L3200" i="2" s="1"/>
  <c r="O823" i="2"/>
  <c r="L823" i="2" s="1"/>
  <c r="O3201" i="2"/>
  <c r="L3201" i="2" s="1"/>
  <c r="O822" i="2"/>
  <c r="L822" i="2" s="1"/>
  <c r="O1819" i="2"/>
  <c r="L1819" i="2" s="1"/>
  <c r="O1601" i="2"/>
  <c r="L1601" i="2" s="1"/>
  <c r="O1162" i="2"/>
  <c r="L1162" i="2" s="1"/>
  <c r="O89" i="2"/>
  <c r="L89" i="2" s="1"/>
  <c r="O2712" i="2"/>
  <c r="L2712" i="2" s="1"/>
  <c r="O2864" i="2"/>
  <c r="L2864" i="2" s="1"/>
  <c r="O2713" i="2"/>
  <c r="L2713" i="2" s="1"/>
  <c r="O1388" i="2"/>
  <c r="L1388" i="2" s="1"/>
  <c r="O684" i="2"/>
  <c r="L684" i="2" s="1"/>
  <c r="O2362" i="2"/>
  <c r="L2362" i="2" s="1"/>
  <c r="O1685" i="2"/>
  <c r="L1685" i="2" s="1"/>
  <c r="O828" i="2"/>
  <c r="L828" i="2" s="1"/>
  <c r="O3090" i="2"/>
  <c r="L3090" i="2" s="1"/>
  <c r="O1218" i="2"/>
  <c r="L1218" i="2" s="1"/>
  <c r="O732" i="2"/>
  <c r="L732" i="2" s="1"/>
  <c r="O37" i="2"/>
  <c r="L37" i="2" s="1"/>
  <c r="O3236" i="2"/>
  <c r="L3236" i="2" s="1"/>
  <c r="O3237" i="2"/>
  <c r="L3237" i="2" s="1"/>
  <c r="O818" i="2"/>
  <c r="L818" i="2" s="1"/>
  <c r="O1163" i="2"/>
  <c r="L1163" i="2" s="1"/>
  <c r="O3394" i="2"/>
  <c r="L3394" i="2" s="1"/>
  <c r="O1796" i="2"/>
  <c r="L1796" i="2" s="1"/>
  <c r="O2364" i="2"/>
  <c r="L2364" i="2" s="1"/>
  <c r="O2744" i="2"/>
  <c r="L2744" i="2" s="1"/>
  <c r="O1871" i="2"/>
  <c r="L1871" i="2" s="1"/>
  <c r="O685" i="2"/>
  <c r="L685" i="2" s="1"/>
  <c r="O2338" i="2"/>
  <c r="L2338" i="2" s="1"/>
  <c r="O1818" i="2"/>
  <c r="L1818" i="2" s="1"/>
  <c r="O4009" i="2"/>
  <c r="L4009" i="2" s="1"/>
  <c r="O1762" i="2"/>
  <c r="L1762" i="2" s="1"/>
  <c r="O3842" i="2"/>
  <c r="L3842" i="2" s="1"/>
  <c r="O4114" i="2"/>
  <c r="L4114" i="2" s="1"/>
  <c r="O1764" i="2"/>
  <c r="L1764" i="2" s="1"/>
  <c r="O3843" i="2"/>
  <c r="L3843" i="2" s="1"/>
  <c r="O4216" i="2"/>
  <c r="L4216" i="2" s="1"/>
  <c r="O1763" i="2"/>
  <c r="L1763" i="2" s="1"/>
  <c r="O3844" i="2"/>
  <c r="L3844" i="2" s="1"/>
  <c r="O4195" i="2"/>
  <c r="L4195" i="2" s="1"/>
  <c r="O3773" i="2"/>
  <c r="L3773" i="2" s="1"/>
  <c r="O480" i="2"/>
  <c r="L480" i="2" s="1"/>
  <c r="O4196" i="2"/>
  <c r="L4196" i="2" s="1"/>
  <c r="O3774" i="2"/>
  <c r="L3774" i="2" s="1"/>
  <c r="O79" i="2"/>
  <c r="L79" i="2" s="1"/>
  <c r="O4135" i="2"/>
  <c r="L4135" i="2" s="1"/>
  <c r="O497" i="2"/>
  <c r="L497" i="2" s="1"/>
  <c r="O6" i="2"/>
  <c r="L6" i="2" s="1"/>
  <c r="O4113" i="2"/>
  <c r="L4113" i="2" s="1"/>
  <c r="O2101" i="2"/>
  <c r="L2101" i="2" s="1"/>
  <c r="O668" i="2"/>
  <c r="L668" i="2" s="1"/>
  <c r="O2569" i="2"/>
  <c r="L2569" i="2" s="1"/>
  <c r="O2109" i="2"/>
  <c r="L2109" i="2" s="1"/>
  <c r="O4020" i="2"/>
  <c r="L4020" i="2" s="1"/>
  <c r="O1083" i="2"/>
  <c r="L1083" i="2" s="1"/>
  <c r="O636" i="2"/>
  <c r="L636" i="2" s="1"/>
  <c r="O1084" i="2"/>
  <c r="L1084" i="2" s="1"/>
  <c r="O618" i="2"/>
  <c r="L618" i="2" s="1"/>
  <c r="O3405" i="2"/>
  <c r="L3405" i="2" s="1"/>
  <c r="O1932" i="2"/>
  <c r="L1932" i="2" s="1"/>
  <c r="O1164" i="2"/>
  <c r="L1164" i="2" s="1"/>
  <c r="O1933" i="2"/>
  <c r="L1933" i="2" s="1"/>
  <c r="O827" i="2"/>
  <c r="L827" i="2" s="1"/>
  <c r="O3395" i="2"/>
  <c r="L3395" i="2" s="1"/>
  <c r="O3498" i="2"/>
  <c r="L3498" i="2" s="1"/>
  <c r="O1765" i="2"/>
  <c r="L1765" i="2" s="1"/>
  <c r="O4081" i="2"/>
  <c r="L4081" i="2" s="1"/>
  <c r="O2056" i="2"/>
  <c r="L2056" i="2" s="1"/>
  <c r="O3798" i="2"/>
  <c r="L3798" i="2" s="1"/>
  <c r="O1383" i="2"/>
  <c r="L1383" i="2" s="1"/>
  <c r="O4008" i="2"/>
  <c r="L4008" i="2" s="1"/>
  <c r="O2336" i="2"/>
  <c r="L2336" i="2" s="1"/>
  <c r="O602" i="2"/>
  <c r="L602" i="2" s="1"/>
  <c r="O67" i="2"/>
  <c r="L67" i="2" s="1"/>
  <c r="O1212" i="2"/>
  <c r="L1212" i="2" s="1"/>
  <c r="O617" i="2"/>
  <c r="L617" i="2" s="1"/>
  <c r="O1085" i="2"/>
  <c r="L1085" i="2" s="1"/>
  <c r="O3639" i="2"/>
  <c r="L3639" i="2" s="1"/>
  <c r="O62" i="2"/>
  <c r="L62" i="2" s="1"/>
  <c r="O3801" i="2"/>
  <c r="L3801" i="2" s="1"/>
  <c r="O1510" i="2"/>
  <c r="L1510" i="2" s="1"/>
  <c r="O5" i="2"/>
  <c r="L5" i="2" s="1"/>
  <c r="O3804" i="2"/>
  <c r="L3804" i="2" s="1"/>
  <c r="O4072" i="2"/>
  <c r="L4072" i="2" s="1"/>
  <c r="O3911" i="2"/>
  <c r="L3911" i="2" s="1"/>
  <c r="O1279" i="2"/>
  <c r="L1279" i="2" s="1"/>
  <c r="O1504" i="2"/>
  <c r="L1504" i="2" s="1"/>
  <c r="O716" i="2"/>
  <c r="L716" i="2" s="1"/>
  <c r="O3685" i="2"/>
  <c r="L3685" i="2" s="1"/>
  <c r="O1519" i="2"/>
  <c r="L1519" i="2" s="1"/>
  <c r="O1751" i="2"/>
  <c r="L1751" i="2" s="1"/>
  <c r="O3684" i="2"/>
  <c r="L3684" i="2" s="1"/>
  <c r="O1523" i="2"/>
  <c r="L1523" i="2" s="1"/>
  <c r="O3400" i="2"/>
  <c r="L3400" i="2" s="1"/>
  <c r="O1525" i="2"/>
  <c r="L1525" i="2" s="1"/>
  <c r="O3821" i="2"/>
  <c r="L3821" i="2" s="1"/>
  <c r="O4301" i="2"/>
  <c r="L4301" i="2" s="1"/>
  <c r="O4284" i="2"/>
  <c r="L4284" i="2" s="1"/>
  <c r="O4166" i="2"/>
  <c r="L4166" i="2" s="1"/>
  <c r="O1213" i="2"/>
  <c r="L1213" i="2" s="1"/>
  <c r="O683" i="2"/>
  <c r="L683" i="2" s="1"/>
  <c r="O1412" i="2"/>
  <c r="L1412" i="2" s="1"/>
  <c r="O703" i="2"/>
  <c r="L703" i="2" s="1"/>
  <c r="O620" i="2"/>
  <c r="L620" i="2" s="1"/>
  <c r="O1086" i="2"/>
  <c r="L1086" i="2" s="1"/>
  <c r="O2686" i="2"/>
  <c r="L2686" i="2" s="1"/>
  <c r="O3990" i="2"/>
  <c r="L3990" i="2" s="1"/>
  <c r="O1512" i="2"/>
  <c r="L1512" i="2" s="1"/>
  <c r="O3636" i="2"/>
  <c r="L3636" i="2" s="1"/>
  <c r="O1735" i="2"/>
  <c r="L1735" i="2" s="1"/>
  <c r="O3640" i="2"/>
  <c r="L3640" i="2" s="1"/>
  <c r="O1518" i="2"/>
  <c r="L1518" i="2" s="1"/>
  <c r="O1750" i="2"/>
  <c r="L1750" i="2" s="1"/>
  <c r="O3496" i="2"/>
  <c r="L3496" i="2" s="1"/>
  <c r="O2310" i="2"/>
  <c r="L2310" i="2" s="1"/>
  <c r="O1752" i="2"/>
  <c r="L1752" i="2" s="1"/>
  <c r="O3500" i="2"/>
  <c r="L3500" i="2" s="1"/>
  <c r="O2309" i="2"/>
  <c r="L2309" i="2" s="1"/>
  <c r="O3397" i="2"/>
  <c r="L3397" i="2" s="1"/>
  <c r="O3499" i="2"/>
  <c r="L3499" i="2" s="1"/>
  <c r="O1509" i="2"/>
  <c r="L1509" i="2" s="1"/>
  <c r="O3751" i="2"/>
  <c r="L3751" i="2" s="1"/>
  <c r="O2320" i="2"/>
  <c r="L2320" i="2" s="1"/>
  <c r="O1189" i="2"/>
  <c r="L1189" i="2" s="1"/>
  <c r="O4158" i="2"/>
  <c r="L4158" i="2" s="1"/>
  <c r="O61" i="2"/>
  <c r="L61" i="2" s="1"/>
  <c r="O3664" i="2"/>
  <c r="L3664" i="2" s="1"/>
  <c r="O4071" i="2"/>
  <c r="L4071" i="2" s="1"/>
  <c r="O479" i="2"/>
  <c r="L479" i="2" s="1"/>
  <c r="O1280" i="2"/>
  <c r="L1280" i="2" s="1"/>
  <c r="O3608" i="2"/>
  <c r="L3608" i="2" s="1"/>
  <c r="O2032" i="2"/>
  <c r="L2032" i="2" s="1"/>
  <c r="A2038" i="2"/>
  <c r="O292" i="2"/>
  <c r="L292" i="2" s="1"/>
  <c r="O2328" i="2"/>
  <c r="L2328" i="2" s="1"/>
  <c r="O419" i="2"/>
  <c r="L419" i="2" s="1"/>
  <c r="O2038" i="2"/>
  <c r="L2038" i="2" s="1"/>
  <c r="O3891" i="2"/>
  <c r="L3891" i="2" s="1"/>
  <c r="O3310" i="2"/>
  <c r="L3310" i="2" s="1"/>
  <c r="O2327" i="2"/>
  <c r="L2327" i="2" s="1"/>
  <c r="O3317" i="2"/>
  <c r="L3317" i="2" s="1"/>
  <c r="O3327" i="2"/>
  <c r="L3327" i="2" s="1"/>
  <c r="O599" i="2"/>
  <c r="L599" i="2" s="1"/>
  <c r="O2671" i="2"/>
  <c r="L2671" i="2" s="1"/>
  <c r="O1551" i="2"/>
  <c r="L1551" i="2" s="1"/>
  <c r="O1785" i="2"/>
  <c r="L1785" i="2" s="1"/>
  <c r="O1887" i="2"/>
  <c r="L1887" i="2" s="1"/>
  <c r="O1549" i="2"/>
  <c r="L1549" i="2" s="1"/>
  <c r="O3549" i="2"/>
  <c r="L3549" i="2" s="1"/>
  <c r="O2722" i="2"/>
  <c r="L2722" i="2" s="1"/>
  <c r="O118" i="2"/>
  <c r="L118" i="2" s="1"/>
  <c r="O2181" i="2"/>
  <c r="L2181" i="2" s="1"/>
  <c r="O2721" i="2"/>
  <c r="L2721" i="2" s="1"/>
  <c r="O1829" i="2"/>
  <c r="L1829" i="2" s="1"/>
  <c r="O418" i="2"/>
  <c r="L418" i="2" s="1"/>
  <c r="O774" i="2"/>
  <c r="L774" i="2" s="1"/>
  <c r="O1780" i="2"/>
  <c r="L1780" i="2" s="1"/>
  <c r="O727" i="2"/>
  <c r="L727" i="2" s="1"/>
  <c r="O2276" i="2"/>
  <c r="L2276" i="2" s="1"/>
  <c r="O1781" i="2"/>
  <c r="L1781" i="2" s="1"/>
  <c r="O366" i="2"/>
  <c r="L366" i="2" s="1"/>
  <c r="O1955" i="2"/>
  <c r="L1955" i="2" s="1"/>
  <c r="O610" i="2"/>
  <c r="L610" i="2" s="1"/>
  <c r="O421" i="2"/>
  <c r="L421" i="2" s="1"/>
  <c r="O1657" i="2"/>
  <c r="L1657" i="2" s="1"/>
  <c r="O2036" i="2"/>
  <c r="L2036" i="2" s="1"/>
  <c r="O416" i="2"/>
  <c r="L416" i="2" s="1"/>
  <c r="A118" i="2"/>
  <c r="A3310" i="2"/>
  <c r="A2181" i="2"/>
  <c r="A3549" i="2"/>
  <c r="A1785" i="2"/>
  <c r="A727" i="2"/>
  <c r="A1781" i="2"/>
  <c r="A2036" i="2"/>
  <c r="A416" i="2"/>
  <c r="A1887" i="2"/>
  <c r="A2721" i="2"/>
  <c r="A3333" i="2"/>
  <c r="A3340" i="2"/>
  <c r="A1331" i="2"/>
  <c r="A3313" i="2"/>
  <c r="A3450" i="2"/>
  <c r="A3601" i="2"/>
  <c r="A3629" i="2"/>
  <c r="A3694" i="2"/>
  <c r="A610" i="2"/>
  <c r="A1549" i="2"/>
  <c r="A774" i="2"/>
  <c r="A1780" i="2"/>
  <c r="A1657" i="2"/>
  <c r="A2671" i="2"/>
  <c r="A421" i="2"/>
  <c r="A2276" i="2"/>
  <c r="A366" i="2"/>
  <c r="A419" i="2"/>
  <c r="A2328" i="2"/>
  <c r="A1551" i="2"/>
  <c r="A3891" i="2"/>
  <c r="A1955" i="2"/>
  <c r="A2722" i="2"/>
  <c r="A3317" i="2"/>
  <c r="A418" i="2"/>
  <c r="A599" i="2"/>
  <c r="A2327" i="2"/>
  <c r="A3327" i="2"/>
  <c r="A1829" i="2"/>
  <c r="A292" i="2"/>
  <c r="A1364" i="2"/>
  <c r="A2896" i="2"/>
  <c r="A1633" i="2"/>
  <c r="A1936" i="2"/>
  <c r="A1646" i="2"/>
  <c r="A1963" i="2"/>
  <c r="A3943" i="2"/>
  <c r="A2467" i="2"/>
  <c r="A3415" i="2"/>
  <c r="A423" i="2"/>
  <c r="A298" i="2"/>
  <c r="A987" i="2"/>
  <c r="A1002" i="2"/>
  <c r="A1059" i="2"/>
  <c r="A3580" i="2"/>
  <c r="A1783" i="2"/>
  <c r="A2433" i="2"/>
  <c r="A3453" i="2"/>
  <c r="A4128" i="2"/>
  <c r="A613" i="2"/>
  <c r="A1125" i="2"/>
  <c r="A2267" i="2"/>
  <c r="A2414" i="2"/>
  <c r="A880" i="2"/>
  <c r="A1925" i="2"/>
  <c r="A369" i="2"/>
  <c r="A738" i="2"/>
  <c r="A954" i="2"/>
  <c r="A1052" i="2"/>
  <c r="A1102" i="2"/>
  <c r="A1630" i="2"/>
  <c r="A3711" i="2"/>
  <c r="A3972" i="2"/>
  <c r="A3252" i="2"/>
  <c r="A420" i="2"/>
  <c r="A362" i="2"/>
  <c r="A579" i="2"/>
  <c r="A553" i="2"/>
  <c r="A977" i="2"/>
  <c r="A1946" i="2"/>
  <c r="A2134" i="2"/>
  <c r="A2222" i="2"/>
  <c r="A2300" i="2"/>
  <c r="A2605" i="2"/>
  <c r="A2815" i="2"/>
  <c r="A2914" i="2"/>
  <c r="A2926" i="2"/>
  <c r="A3591" i="2"/>
  <c r="A893" i="2"/>
  <c r="A356" i="2"/>
  <c r="A459" i="2"/>
  <c r="A1286" i="2"/>
  <c r="A4317" i="2"/>
  <c r="A2288" i="2"/>
  <c r="A2471" i="2"/>
  <c r="A2165" i="2"/>
  <c r="A2250" i="2"/>
  <c r="A2647" i="2"/>
  <c r="A16" i="2"/>
  <c r="A1226" i="2"/>
  <c r="A3524" i="2"/>
  <c r="A4177" i="2"/>
  <c r="A273" i="2"/>
  <c r="A285" i="2"/>
  <c r="A529" i="2"/>
  <c r="A719" i="2"/>
  <c r="A908" i="2"/>
  <c r="A969" i="2"/>
  <c r="A1060" i="2"/>
  <c r="A1444" i="2"/>
  <c r="A1500" i="2"/>
  <c r="A1581" i="2"/>
  <c r="A1627" i="2"/>
  <c r="A4268" i="2"/>
  <c r="A3032" i="2"/>
  <c r="A3036" i="2"/>
  <c r="A2869" i="2"/>
  <c r="A3923" i="2"/>
  <c r="A4138" i="2"/>
  <c r="A3697" i="2"/>
  <c r="A3836" i="2"/>
  <c r="A3906" i="2"/>
  <c r="A174" i="2"/>
  <c r="A728" i="2"/>
  <c r="A1663" i="2"/>
  <c r="A1675" i="2"/>
  <c r="A3144" i="2"/>
  <c r="A1987" i="2"/>
  <c r="A1784" i="2"/>
  <c r="A2139" i="2"/>
  <c r="A3530" i="2"/>
  <c r="A4011" i="2"/>
  <c r="A4091" i="2"/>
  <c r="A2153" i="2"/>
  <c r="A911" i="2"/>
  <c r="A190" i="2"/>
  <c r="A3986" i="2"/>
  <c r="A374" i="2"/>
  <c r="A630" i="2"/>
  <c r="A2962" i="2"/>
  <c r="A711" i="2"/>
  <c r="A1004" i="2"/>
  <c r="A2657" i="2"/>
  <c r="A2840" i="2"/>
  <c r="A980" i="2"/>
  <c r="A130" i="2"/>
  <c r="A169" i="2"/>
  <c r="A218" i="2"/>
  <c r="A1048" i="2"/>
  <c r="A1867" i="2"/>
  <c r="A343" i="2"/>
  <c r="A809" i="2"/>
  <c r="A2512" i="2"/>
  <c r="A3587" i="2"/>
  <c r="A4223" i="2"/>
  <c r="A1555" i="2"/>
  <c r="A2031" i="2"/>
  <c r="A113" i="2"/>
  <c r="A244" i="2"/>
  <c r="A360" i="2"/>
  <c r="A2166" i="2"/>
  <c r="A4327" i="2"/>
  <c r="A153" i="2"/>
  <c r="A1598" i="2"/>
  <c r="A2194" i="2"/>
  <c r="A1619" i="2"/>
  <c r="A1041" i="2"/>
  <c r="A1345" i="2"/>
  <c r="A1655" i="2"/>
  <c r="A3556" i="2"/>
  <c r="A1645" i="2"/>
  <c r="A2163" i="2"/>
  <c r="A667" i="2"/>
  <c r="A4187" i="2"/>
  <c r="A1924" i="2"/>
  <c r="A3867" i="2"/>
  <c r="A3961" i="2"/>
  <c r="A3976" i="2"/>
  <c r="A4148" i="2"/>
  <c r="A4186" i="2"/>
  <c r="A749" i="2"/>
  <c r="A1072" i="2"/>
  <c r="A1176" i="2"/>
  <c r="A1244" i="2"/>
  <c r="A2509" i="2"/>
  <c r="A4143" i="2"/>
  <c r="A1556" i="2"/>
  <c r="A2407" i="2"/>
  <c r="A2486" i="2"/>
  <c r="A2591" i="2"/>
  <c r="A2597" i="2"/>
  <c r="A194" i="2"/>
  <c r="A637" i="2"/>
  <c r="A312" i="2"/>
  <c r="A372" i="2"/>
  <c r="A443" i="2"/>
  <c r="A1665" i="2"/>
  <c r="A1888" i="2"/>
  <c r="A4192" i="2"/>
  <c r="A1333" i="2"/>
  <c r="A2958" i="2"/>
  <c r="A1342" i="2"/>
  <c r="A3307" i="2"/>
  <c r="A1126" i="2"/>
  <c r="A1113" i="2"/>
  <c r="A2753" i="2"/>
  <c r="A3855" i="2"/>
  <c r="A1896" i="2"/>
  <c r="A2477" i="2"/>
  <c r="A2726" i="2"/>
  <c r="A3153" i="2"/>
  <c r="A3470" i="2"/>
  <c r="A3676" i="2"/>
  <c r="A302" i="2"/>
  <c r="A2264" i="2"/>
  <c r="A2449" i="2"/>
  <c r="A2534" i="2"/>
  <c r="A3895" i="2"/>
  <c r="A709" i="2"/>
  <c r="A950" i="2"/>
  <c r="A1058" i="2"/>
  <c r="A228" i="2"/>
  <c r="A870" i="2"/>
  <c r="A876" i="2"/>
  <c r="A882" i="2"/>
  <c r="A1151" i="2"/>
  <c r="A50" i="2"/>
  <c r="A1921" i="2"/>
  <c r="A2015" i="2"/>
  <c r="A3933" i="2"/>
  <c r="A3964" i="2"/>
  <c r="A4168" i="2"/>
  <c r="A4200" i="2"/>
  <c r="A1400" i="2"/>
  <c r="A2072" i="2"/>
  <c r="A3698" i="2"/>
  <c r="A3907" i="2"/>
  <c r="A1020" i="2"/>
  <c r="A3555" i="2"/>
  <c r="A1449" i="2"/>
  <c r="A1201" i="2"/>
  <c r="A1312" i="2"/>
  <c r="A2167" i="2"/>
  <c r="A2260" i="2"/>
  <c r="A2794" i="2"/>
  <c r="A4292" i="2"/>
  <c r="A523" i="2"/>
  <c r="A2823" i="2"/>
  <c r="A2829" i="2"/>
  <c r="A2996" i="2"/>
  <c r="A3002" i="2"/>
  <c r="A3008" i="2"/>
  <c r="A3103" i="2"/>
  <c r="A3376" i="2"/>
  <c r="A3567" i="2"/>
  <c r="A3880" i="2"/>
  <c r="A865" i="2"/>
  <c r="A883" i="2"/>
  <c r="A2681" i="2"/>
  <c r="A3422" i="2"/>
  <c r="A854" i="2"/>
  <c r="A4093" i="2"/>
  <c r="A1401" i="2"/>
  <c r="A42" i="2"/>
  <c r="A670" i="2"/>
  <c r="A1069" i="2"/>
  <c r="A3643" i="2"/>
  <c r="A3356" i="2"/>
  <c r="A3368" i="2"/>
  <c r="A4055" i="2"/>
  <c r="A2469" i="2"/>
  <c r="A2292" i="2"/>
  <c r="A212" i="2"/>
  <c r="A1452" i="2"/>
  <c r="A3744" i="2"/>
  <c r="A70" i="2"/>
  <c r="A1106" i="2"/>
  <c r="A1943" i="2"/>
  <c r="A2125" i="2"/>
  <c r="A2191" i="2"/>
  <c r="A2225" i="2"/>
  <c r="A2303" i="2"/>
  <c r="A2522" i="2"/>
  <c r="A2561" i="2"/>
  <c r="A2608" i="2"/>
  <c r="A2923" i="2"/>
  <c r="A3389" i="2"/>
  <c r="A3568" i="2"/>
  <c r="A3616" i="2"/>
  <c r="A3682" i="2"/>
  <c r="A3730" i="2"/>
  <c r="A3495" i="2"/>
  <c r="A3820" i="2"/>
  <c r="A4139" i="2"/>
  <c r="A4141" i="2"/>
  <c r="A2203" i="2"/>
  <c r="A2349" i="2"/>
  <c r="A3247" i="2"/>
  <c r="A3645" i="2"/>
  <c r="A3710" i="2"/>
  <c r="A3912" i="2"/>
  <c r="A3917" i="2"/>
  <c r="A4307" i="2"/>
  <c r="A3778" i="2"/>
  <c r="A1690" i="2"/>
  <c r="A646" i="2"/>
  <c r="A2724" i="2"/>
  <c r="A2246" i="2"/>
  <c r="A3332" i="2"/>
  <c r="A208" i="2"/>
  <c r="A991" i="2"/>
  <c r="A1938" i="2"/>
  <c r="A1950" i="2"/>
  <c r="A2226" i="2"/>
  <c r="A2232" i="2"/>
  <c r="A2238" i="2"/>
  <c r="A1900" i="2"/>
  <c r="A3686" i="2"/>
  <c r="A3974" i="2"/>
  <c r="A2289" i="2"/>
  <c r="A1990" i="2"/>
  <c r="A662" i="2"/>
  <c r="A215" i="2"/>
  <c r="A170" i="2"/>
  <c r="A213" i="2"/>
  <c r="A294" i="2"/>
  <c r="A594" i="2"/>
  <c r="A2156" i="2"/>
  <c r="A2420" i="2"/>
  <c r="A2416" i="2"/>
  <c r="A2667" i="2"/>
  <c r="A2639" i="2"/>
  <c r="A2841" i="2"/>
  <c r="A2842" i="2"/>
  <c r="A2049" i="2"/>
  <c r="A2285" i="2"/>
  <c r="A2959" i="2"/>
  <c r="A3017" i="2"/>
  <c r="A3015" i="2"/>
  <c r="A3051" i="2"/>
  <c r="A3137" i="2"/>
  <c r="A3125" i="2"/>
  <c r="A3133" i="2"/>
  <c r="A3217" i="2"/>
  <c r="A1182" i="2"/>
  <c r="A1261" i="2"/>
  <c r="A2215" i="2"/>
  <c r="A3722" i="2"/>
  <c r="A4182" i="2"/>
  <c r="A3796" i="2"/>
  <c r="A3950" i="2"/>
  <c r="A1992" i="2"/>
  <c r="A4253" i="2"/>
  <c r="A4293" i="2"/>
  <c r="A357" i="2"/>
  <c r="A234" i="2"/>
  <c r="A240" i="2"/>
  <c r="A271" i="2"/>
  <c r="A2013" i="2"/>
  <c r="A3687" i="2"/>
  <c r="A4137" i="2"/>
  <c r="A4217" i="2"/>
  <c r="A743" i="2"/>
  <c r="A724" i="2"/>
  <c r="A296" i="2"/>
  <c r="A596" i="2"/>
  <c r="A590" i="2"/>
  <c r="A999" i="2"/>
  <c r="A1056" i="2"/>
  <c r="A2152" i="2"/>
  <c r="A2428" i="2"/>
  <c r="A3898" i="2"/>
  <c r="A869" i="2"/>
  <c r="A887" i="2"/>
  <c r="A457" i="2"/>
  <c r="A1706" i="2"/>
  <c r="A2353" i="2"/>
  <c r="A2359" i="2"/>
  <c r="A262" i="2"/>
  <c r="A341" i="2"/>
  <c r="A482" i="2"/>
  <c r="A781" i="2"/>
  <c r="A1680" i="2"/>
  <c r="A3143" i="2"/>
  <c r="A1568" i="2"/>
  <c r="A3010" i="2"/>
  <c r="A1324" i="2"/>
  <c r="A1554" i="2"/>
  <c r="A368" i="2"/>
  <c r="A3301" i="2"/>
  <c r="A1475" i="2"/>
  <c r="A3890" i="2"/>
  <c r="A2279" i="2"/>
  <c r="A304" i="2"/>
  <c r="A364" i="2"/>
  <c r="A559" i="2"/>
  <c r="A552" i="2"/>
  <c r="A1127" i="2"/>
  <c r="A1115" i="2"/>
  <c r="A1723" i="2"/>
  <c r="A1782" i="2"/>
  <c r="A2281" i="2"/>
  <c r="A2273" i="2"/>
  <c r="A1013" i="2"/>
  <c r="A2437" i="2"/>
  <c r="A2651" i="2"/>
  <c r="A214" i="2"/>
  <c r="A3013" i="2"/>
  <c r="A3124" i="2"/>
  <c r="A3219" i="2"/>
  <c r="A3330" i="2"/>
  <c r="A3788" i="2"/>
  <c r="A3812" i="2"/>
  <c r="A403" i="2"/>
  <c r="A388" i="2"/>
  <c r="A505" i="2"/>
  <c r="A511" i="2"/>
  <c r="A517" i="2"/>
  <c r="A1195" i="2"/>
  <c r="A2235" i="2"/>
  <c r="A2489" i="2"/>
  <c r="A2520" i="2"/>
  <c r="A2600" i="2"/>
  <c r="A3375" i="2"/>
  <c r="A191" i="2"/>
  <c r="A616" i="2"/>
  <c r="A682" i="2"/>
  <c r="A3493" i="2"/>
  <c r="A1262" i="2"/>
  <c r="A1142" i="2"/>
  <c r="A1407" i="2"/>
  <c r="A2083" i="2"/>
  <c r="A2358" i="2"/>
  <c r="A2813" i="2"/>
  <c r="A3505" i="2"/>
  <c r="A3962" i="2"/>
  <c r="A4198" i="2"/>
  <c r="A4224" i="2"/>
  <c r="A164" i="2"/>
  <c r="A339" i="2"/>
  <c r="A392" i="2"/>
  <c r="A3865" i="2"/>
  <c r="A2070" i="2"/>
  <c r="A3409" i="2"/>
  <c r="A1485" i="2"/>
  <c r="A2473" i="2"/>
  <c r="A2728" i="2"/>
  <c r="A3155" i="2"/>
  <c r="A3161" i="2"/>
  <c r="A3350" i="2"/>
  <c r="A3472" i="2"/>
  <c r="A316" i="2"/>
  <c r="A429" i="2"/>
  <c r="A447" i="2"/>
  <c r="A1836" i="2"/>
  <c r="A2675" i="2"/>
  <c r="A1594" i="2"/>
  <c r="A2050" i="2"/>
  <c r="A1340" i="2"/>
  <c r="A1559" i="2"/>
  <c r="A4107" i="2"/>
  <c r="A3319" i="2"/>
  <c r="A3298" i="2"/>
  <c r="A290" i="2"/>
  <c r="A361" i="2"/>
  <c r="A645" i="2"/>
  <c r="A1000" i="2"/>
  <c r="A1465" i="2"/>
  <c r="A2144" i="2"/>
  <c r="A3785" i="2"/>
  <c r="A149" i="2"/>
  <c r="A269" i="2"/>
  <c r="A765" i="2"/>
  <c r="A1716" i="2"/>
  <c r="A1875" i="2"/>
  <c r="A1907" i="2"/>
  <c r="A1948" i="2"/>
  <c r="A2118" i="2"/>
  <c r="A2124" i="2"/>
  <c r="A2230" i="2"/>
  <c r="A2236" i="2"/>
  <c r="A4233" i="2"/>
  <c r="A864" i="2"/>
  <c r="A2883" i="2"/>
  <c r="A3825" i="2"/>
  <c r="A4014" i="2"/>
  <c r="A1612" i="2"/>
  <c r="A1703" i="2"/>
  <c r="A2871" i="2"/>
  <c r="A2928" i="2"/>
  <c r="A1691" i="2"/>
  <c r="A3747" i="2"/>
  <c r="A3794" i="2"/>
  <c r="A3908" i="2"/>
  <c r="A3948" i="2"/>
  <c r="A2150" i="2"/>
  <c r="A463" i="2"/>
  <c r="A1879" i="2"/>
  <c r="A2045" i="2"/>
  <c r="A2149" i="2"/>
  <c r="A281" i="2"/>
  <c r="A641" i="2"/>
  <c r="A958" i="2"/>
  <c r="A1050" i="2"/>
  <c r="A1088" i="2"/>
  <c r="A1094" i="2"/>
  <c r="A1100" i="2"/>
  <c r="A3116" i="2"/>
  <c r="A3209" i="2"/>
  <c r="A3436" i="2"/>
  <c r="A3478" i="2"/>
  <c r="A4079" i="2"/>
  <c r="A4321" i="2"/>
  <c r="A34" i="2"/>
  <c r="A347" i="2"/>
  <c r="A158" i="2"/>
  <c r="A756" i="2"/>
  <c r="A845" i="2"/>
  <c r="A1857" i="2"/>
  <c r="A2011" i="2"/>
  <c r="A3273" i="2"/>
  <c r="A4029" i="2"/>
  <c r="A4136" i="2"/>
  <c r="A4276" i="2"/>
  <c r="A4315" i="2"/>
  <c r="A2755" i="2"/>
  <c r="A3654" i="2"/>
  <c r="A1697" i="2"/>
  <c r="A2870" i="2"/>
  <c r="A1068" i="2"/>
  <c r="A1223" i="2"/>
  <c r="A1394" i="2"/>
  <c r="A2690" i="2"/>
  <c r="A3406" i="2"/>
  <c r="A3644" i="2"/>
  <c r="A1033" i="2"/>
  <c r="A1487" i="2"/>
  <c r="A4004" i="2"/>
  <c r="A1677" i="2"/>
  <c r="A3212" i="2"/>
  <c r="A2157" i="2"/>
  <c r="A2042" i="2"/>
  <c r="A3739" i="2"/>
  <c r="A3009" i="2"/>
  <c r="A701" i="2"/>
  <c r="A2465" i="2"/>
  <c r="A425" i="2"/>
  <c r="A114" i="2"/>
  <c r="A612" i="2"/>
  <c r="A976" i="2"/>
  <c r="A998" i="2"/>
  <c r="A1307" i="2"/>
  <c r="A2172" i="2"/>
  <c r="A2271" i="2"/>
  <c r="A2453" i="2"/>
  <c r="A2644" i="2"/>
  <c r="A104" i="2"/>
  <c r="A519" i="2"/>
  <c r="A535" i="2"/>
  <c r="A935" i="2"/>
  <c r="A941" i="2"/>
  <c r="A947" i="2"/>
  <c r="A959" i="2"/>
  <c r="A965" i="2"/>
  <c r="A1101" i="2"/>
  <c r="A2482" i="2"/>
  <c r="A3662" i="2"/>
  <c r="A2709" i="2"/>
  <c r="A195" i="2"/>
  <c r="A1240" i="2"/>
  <c r="A1614" i="2"/>
  <c r="A2078" i="2"/>
  <c r="A2701" i="2"/>
  <c r="A3581" i="2"/>
  <c r="A3261" i="2"/>
  <c r="A3411" i="2"/>
  <c r="A58" i="2"/>
  <c r="A1350" i="2"/>
  <c r="A1994" i="2"/>
  <c r="A2001" i="2"/>
  <c r="A2189" i="2"/>
  <c r="A2900" i="2"/>
  <c r="A3151" i="2"/>
  <c r="A3358" i="2"/>
  <c r="A3749" i="2"/>
  <c r="A3819" i="2"/>
  <c r="A3904" i="2"/>
  <c r="A2290" i="2"/>
  <c r="A365" i="2"/>
  <c r="A1878" i="2"/>
  <c r="A2154" i="2"/>
  <c r="A3438" i="2"/>
  <c r="A3595" i="2"/>
  <c r="A14" i="2"/>
  <c r="A836" i="2"/>
  <c r="A1221" i="2"/>
  <c r="A2748" i="2"/>
  <c r="A2941" i="2"/>
  <c r="A3576" i="2"/>
  <c r="A4051" i="2"/>
  <c r="A661" i="2"/>
  <c r="A186" i="2"/>
  <c r="A3314" i="2"/>
  <c r="A73" i="2"/>
  <c r="A299" i="2"/>
  <c r="A573" i="2"/>
  <c r="A1116" i="2"/>
  <c r="A1122" i="2"/>
  <c r="A1719" i="2"/>
  <c r="A2151" i="2"/>
  <c r="A3448" i="2"/>
  <c r="A410" i="2"/>
  <c r="A521" i="2"/>
  <c r="A1741" i="2"/>
  <c r="A1825" i="2"/>
  <c r="A1901" i="2"/>
  <c r="A2121" i="2"/>
  <c r="A2233" i="2"/>
  <c r="A2993" i="2"/>
  <c r="A2999" i="2"/>
  <c r="A3049" i="2"/>
  <c r="A3100" i="2"/>
  <c r="A3545" i="2"/>
  <c r="A3782" i="2"/>
  <c r="A3883" i="2"/>
  <c r="A2545" i="2"/>
  <c r="A3391" i="2"/>
  <c r="A1266" i="2"/>
  <c r="A1409" i="2"/>
  <c r="A1814" i="2"/>
  <c r="A59" i="2"/>
  <c r="A267" i="2"/>
  <c r="A344" i="2"/>
  <c r="A1656" i="2"/>
  <c r="A2356" i="2"/>
  <c r="A2513" i="2"/>
  <c r="A2811" i="2"/>
  <c r="A221" i="2"/>
  <c r="A484" i="2"/>
  <c r="A707" i="2"/>
  <c r="A3407" i="2"/>
  <c r="A175" i="2"/>
  <c r="A328" i="2"/>
  <c r="A651" i="2"/>
  <c r="A1029" i="2"/>
  <c r="A1206" i="2"/>
  <c r="A1357" i="2"/>
  <c r="A1363" i="2"/>
  <c r="A1890" i="2"/>
  <c r="A3905" i="2"/>
  <c r="A1650" i="2"/>
  <c r="A1733" i="2"/>
  <c r="A3941" i="2"/>
  <c r="A2140" i="2"/>
  <c r="A2247" i="2"/>
  <c r="A565" i="2"/>
  <c r="A586" i="2"/>
  <c r="A1018" i="2"/>
  <c r="A1310" i="2"/>
  <c r="A1314" i="2"/>
  <c r="A1904" i="2"/>
  <c r="A1962" i="2"/>
  <c r="A2168" i="2"/>
  <c r="A2450" i="2"/>
  <c r="A2668" i="2"/>
  <c r="A3318" i="2"/>
  <c r="A1552" i="2"/>
  <c r="A1553" i="2"/>
  <c r="A1332" i="2"/>
  <c r="A100" i="2"/>
  <c r="A2562" i="2"/>
  <c r="A543" i="2"/>
  <c r="A609" i="2"/>
  <c r="A675" i="2"/>
  <c r="A797" i="2"/>
  <c r="A955" i="2"/>
  <c r="A1091" i="2"/>
  <c r="A1103" i="2"/>
  <c r="A1424" i="2"/>
  <c r="A1589" i="2"/>
  <c r="A4103" i="2"/>
  <c r="A762" i="2"/>
  <c r="A862" i="2"/>
  <c r="A2766" i="2"/>
  <c r="A3475" i="2"/>
  <c r="A2008" i="2"/>
  <c r="A2204" i="2"/>
  <c r="A39" i="2"/>
  <c r="A2732" i="2"/>
  <c r="A2738" i="2"/>
  <c r="A3360" i="2"/>
  <c r="A1132" i="2"/>
  <c r="A2898" i="2"/>
  <c r="A3305" i="2"/>
  <c r="A2182" i="2"/>
  <c r="A1958" i="2"/>
  <c r="A1007" i="2"/>
  <c r="A2445" i="2"/>
  <c r="A201" i="2"/>
  <c r="A1714" i="2"/>
  <c r="A3108" i="2"/>
  <c r="A3540" i="2"/>
  <c r="A146" i="2"/>
  <c r="A455" i="2"/>
  <c r="A605" i="2"/>
  <c r="A156" i="2"/>
  <c r="A1077" i="2"/>
  <c r="A2207" i="2"/>
  <c r="A4062" i="2"/>
  <c r="A4221" i="2"/>
  <c r="A2347" i="2"/>
  <c r="A841" i="2"/>
  <c r="A1219" i="2"/>
  <c r="A1526" i="2"/>
  <c r="A1530" i="2"/>
  <c r="A2802" i="2"/>
  <c r="A3177" i="2"/>
  <c r="A3501" i="2"/>
  <c r="O4283" i="2"/>
  <c r="L4283" i="2" s="1"/>
  <c r="O4087" i="2"/>
  <c r="L4087" i="2" s="1"/>
  <c r="O3938" i="2"/>
  <c r="L3938" i="2" s="1"/>
  <c r="O3716" i="2"/>
  <c r="L3716" i="2" s="1"/>
  <c r="O3558" i="2"/>
  <c r="L3558" i="2" s="1"/>
  <c r="O3328" i="2"/>
  <c r="L3328" i="2" s="1"/>
  <c r="O3084" i="2"/>
  <c r="L3084" i="2" s="1"/>
  <c r="O2976" i="2"/>
  <c r="L2976" i="2" s="1"/>
  <c r="O2809" i="2"/>
  <c r="L2809" i="2" s="1"/>
  <c r="O2590" i="2"/>
  <c r="L2590" i="2" s="1"/>
  <c r="O2493" i="2"/>
  <c r="L2493" i="2" s="1"/>
  <c r="O2321" i="2"/>
  <c r="L2321" i="2" s="1"/>
  <c r="O2132" i="2"/>
  <c r="L2132" i="2" s="1"/>
  <c r="O1960" i="2"/>
  <c r="L1960" i="2" s="1"/>
  <c r="O1761" i="2"/>
  <c r="L1761" i="2" s="1"/>
  <c r="O1582" i="2"/>
  <c r="L1582" i="2" s="1"/>
  <c r="O1221" i="2"/>
  <c r="L1221" i="2" s="1"/>
  <c r="O1156" i="2"/>
  <c r="L1156" i="2" s="1"/>
  <c r="O863" i="2"/>
  <c r="L863" i="2" s="1"/>
  <c r="O1031" i="2"/>
  <c r="L1031" i="2" s="1"/>
  <c r="O638" i="2"/>
  <c r="L638" i="2" s="1"/>
  <c r="O583" i="2"/>
  <c r="L583" i="2" s="1"/>
  <c r="O405" i="2"/>
  <c r="L405" i="2" s="1"/>
  <c r="O58" i="2"/>
  <c r="L58" i="2" s="1"/>
  <c r="O2751" i="2"/>
  <c r="L2751" i="2" s="1"/>
  <c r="O2291" i="2"/>
  <c r="L2291" i="2" s="1"/>
  <c r="O422" i="2"/>
  <c r="L422" i="2" s="1"/>
  <c r="O4271" i="2"/>
  <c r="L4271" i="2" s="1"/>
  <c r="O4103" i="2"/>
  <c r="L4103" i="2" s="1"/>
  <c r="O3946" i="2"/>
  <c r="L3946" i="2" s="1"/>
  <c r="O3731" i="2"/>
  <c r="L3731" i="2" s="1"/>
  <c r="O3506" i="2"/>
  <c r="L3506" i="2" s="1"/>
  <c r="O3245" i="2"/>
  <c r="L3245" i="2" s="1"/>
  <c r="O3114" i="2"/>
  <c r="L3114" i="2" s="1"/>
  <c r="O2951" i="2"/>
  <c r="L2951" i="2" s="1"/>
  <c r="O2820" i="2"/>
  <c r="L2820" i="2" s="1"/>
  <c r="O2621" i="2"/>
  <c r="L2621" i="2" s="1"/>
  <c r="O2502" i="2"/>
  <c r="L2502" i="2" s="1"/>
  <c r="O2308" i="2"/>
  <c r="L2308" i="2" s="1"/>
  <c r="O2120" i="2"/>
  <c r="L2120" i="2" s="1"/>
  <c r="O1998" i="2"/>
  <c r="L1998" i="2" s="1"/>
  <c r="O1740" i="2"/>
  <c r="L1740" i="2" s="1"/>
  <c r="O1528" i="2"/>
  <c r="L1528" i="2" s="1"/>
  <c r="O1242" i="2"/>
  <c r="L1242" i="2" s="1"/>
  <c r="O1074" i="2"/>
  <c r="L1074" i="2" s="1"/>
  <c r="O967" i="2"/>
  <c r="L967" i="2" s="1"/>
  <c r="O806" i="2"/>
  <c r="L806" i="2" s="1"/>
  <c r="O457" i="2"/>
  <c r="L457" i="2" s="1"/>
  <c r="O403" i="2"/>
  <c r="L403" i="2" s="1"/>
  <c r="O189" i="2"/>
  <c r="L189" i="2" s="1"/>
  <c r="O31" i="2"/>
  <c r="L31" i="2" s="1"/>
  <c r="O3178" i="2"/>
  <c r="L3178" i="2" s="1"/>
  <c r="O3509" i="2"/>
  <c r="L3509" i="2" s="1"/>
  <c r="O1131" i="2"/>
  <c r="L1131" i="2" s="1"/>
  <c r="O4079" i="2"/>
  <c r="L4079" i="2" s="1"/>
  <c r="O3864" i="2"/>
  <c r="L3864" i="2" s="1"/>
  <c r="O3743" i="2"/>
  <c r="L3743" i="2" s="1"/>
  <c r="O3494" i="2"/>
  <c r="L3494" i="2" s="1"/>
  <c r="O3270" i="2"/>
  <c r="L3270" i="2" s="1"/>
  <c r="O3101" i="2"/>
  <c r="L3101" i="2" s="1"/>
  <c r="O2966" i="2"/>
  <c r="L2966" i="2" s="1"/>
  <c r="O2838" i="2"/>
  <c r="L2838" i="2" s="1"/>
  <c r="O2609" i="2"/>
  <c r="L2609" i="2" s="1"/>
  <c r="O3630" i="2"/>
  <c r="L3630" i="2" s="1"/>
  <c r="O2152" i="2"/>
  <c r="L2152" i="2" s="1"/>
  <c r="O1731" i="2"/>
  <c r="L1731" i="2" s="1"/>
  <c r="O1571" i="2"/>
  <c r="L1571" i="2" s="1"/>
  <c r="O1265" i="2"/>
  <c r="L1265" i="2" s="1"/>
  <c r="O1103" i="2"/>
  <c r="L1103" i="2" s="1"/>
  <c r="O955" i="2"/>
  <c r="L955" i="2" s="1"/>
  <c r="O773" i="2"/>
  <c r="L773" i="2" s="1"/>
  <c r="O615" i="2"/>
  <c r="L615" i="2" s="1"/>
  <c r="O450" i="2"/>
  <c r="L450" i="2" s="1"/>
  <c r="O643" i="2"/>
  <c r="L643" i="2" s="1"/>
  <c r="O166" i="2"/>
  <c r="L166" i="2" s="1"/>
  <c r="O26" i="2"/>
  <c r="L26" i="2" s="1"/>
  <c r="O2579" i="2"/>
  <c r="L2579" i="2" s="1"/>
  <c r="O4243" i="2"/>
  <c r="L4243" i="2" s="1"/>
  <c r="O4066" i="2"/>
  <c r="L4066" i="2" s="1"/>
  <c r="O3887" i="2"/>
  <c r="L3887" i="2" s="1"/>
  <c r="O3692" i="2"/>
  <c r="L3692" i="2" s="1"/>
  <c r="O3483" i="2"/>
  <c r="L3483" i="2" s="1"/>
  <c r="O3294" i="2"/>
  <c r="L3294" i="2" s="1"/>
  <c r="O3123" i="2"/>
  <c r="L3123" i="2" s="1"/>
  <c r="O2929" i="2"/>
  <c r="L2929" i="2" s="1"/>
  <c r="O2597" i="2"/>
  <c r="L2597" i="2" s="1"/>
  <c r="O2358" i="2"/>
  <c r="L2358" i="2" s="1"/>
  <c r="O2209" i="2"/>
  <c r="L2209" i="2" s="1"/>
  <c r="O2138" i="2"/>
  <c r="L2138" i="2" s="1"/>
  <c r="O1901" i="2"/>
  <c r="L1901" i="2" s="1"/>
  <c r="O1700" i="2"/>
  <c r="L1700" i="2" s="1"/>
  <c r="O1494" i="2"/>
  <c r="L1494" i="2" s="1"/>
  <c r="O1299" i="2"/>
  <c r="L1299" i="2" s="1"/>
  <c r="O1091" i="2"/>
  <c r="L1091" i="2" s="1"/>
  <c r="O943" i="2"/>
  <c r="L943" i="2" s="1"/>
  <c r="O758" i="2"/>
  <c r="L758" i="2" s="1"/>
  <c r="O484" i="2"/>
  <c r="L484" i="2" s="1"/>
  <c r="O396" i="2"/>
  <c r="L396" i="2" s="1"/>
  <c r="O711" i="2"/>
  <c r="L711" i="2" s="1"/>
  <c r="O3930" i="2"/>
  <c r="L3930" i="2" s="1"/>
  <c r="O3525" i="2"/>
  <c r="L3525" i="2" s="1"/>
  <c r="O1561" i="2"/>
  <c r="L1561" i="2" s="1"/>
  <c r="O4231" i="2"/>
  <c r="L4231" i="2" s="1"/>
  <c r="O4028" i="2"/>
  <c r="L4028" i="2" s="1"/>
  <c r="O3903" i="2"/>
  <c r="L3903" i="2" s="1"/>
  <c r="O3643" i="2"/>
  <c r="L3643" i="2" s="1"/>
  <c r="O3448" i="2"/>
  <c r="L3448" i="2" s="1"/>
  <c r="O3333" i="2"/>
  <c r="L3333" i="2" s="1"/>
  <c r="O2926" i="2"/>
  <c r="L2926" i="2" s="1"/>
  <c r="O2765" i="2"/>
  <c r="L2765" i="2" s="1"/>
  <c r="O2665" i="2"/>
  <c r="L2665" i="2" s="1"/>
  <c r="O2404" i="2"/>
  <c r="L2404" i="2" s="1"/>
  <c r="O2241" i="2"/>
  <c r="L2241" i="2" s="1"/>
  <c r="O2155" i="2"/>
  <c r="L2155" i="2" s="1"/>
  <c r="O1862" i="2"/>
  <c r="L1862" i="2" s="1"/>
  <c r="O1720" i="2"/>
  <c r="L1720" i="2" s="1"/>
  <c r="O1392" i="2"/>
  <c r="L1392" i="2" s="1"/>
  <c r="O1287" i="2"/>
  <c r="L1287" i="2" s="1"/>
  <c r="O931" i="2"/>
  <c r="L931" i="2" s="1"/>
  <c r="O763" i="2"/>
  <c r="L763" i="2" s="1"/>
  <c r="O544" i="2"/>
  <c r="L544" i="2" s="1"/>
  <c r="O443" i="2"/>
  <c r="L443" i="2" s="1"/>
  <c r="O296" i="2"/>
  <c r="L296" i="2" s="1"/>
  <c r="O150" i="2"/>
  <c r="L150" i="2" s="1"/>
  <c r="O4089" i="2"/>
  <c r="L4089" i="2" s="1"/>
  <c r="O1538" i="2"/>
  <c r="L1538" i="2" s="1"/>
  <c r="O2725" i="2"/>
  <c r="L2725" i="2" s="1"/>
  <c r="O1558" i="2"/>
  <c r="L1558" i="2" s="1"/>
  <c r="O4244" i="2"/>
  <c r="L4244" i="2" s="1"/>
  <c r="O4053" i="2"/>
  <c r="L4053" i="2" s="1"/>
  <c r="O3907" i="2"/>
  <c r="L3907" i="2" s="1"/>
  <c r="O3672" i="2"/>
  <c r="L3672" i="2" s="1"/>
  <c r="O3421" i="2"/>
  <c r="L3421" i="2" s="1"/>
  <c r="O3361" i="2"/>
  <c r="L3361" i="2" s="1"/>
  <c r="O3153" i="2"/>
  <c r="L3153" i="2" s="1"/>
  <c r="O2914" i="2"/>
  <c r="L2914" i="2" s="1"/>
  <c r="O2782" i="2"/>
  <c r="L2782" i="2" s="1"/>
  <c r="O2637" i="2"/>
  <c r="L2637" i="2" s="1"/>
  <c r="O2392" i="2"/>
  <c r="L2392" i="2" s="1"/>
  <c r="O2229" i="2"/>
  <c r="L2229" i="2" s="1"/>
  <c r="O1874" i="2"/>
  <c r="L1874" i="2" s="1"/>
  <c r="O1683" i="2"/>
  <c r="L1683" i="2" s="1"/>
  <c r="O1437" i="2"/>
  <c r="L1437" i="2" s="1"/>
  <c r="O1328" i="2"/>
  <c r="L1328" i="2" s="1"/>
  <c r="O1111" i="2"/>
  <c r="L1111" i="2" s="1"/>
  <c r="O919" i="2"/>
  <c r="L919" i="2" s="1"/>
  <c r="O778" i="2"/>
  <c r="L778" i="2" s="1"/>
  <c r="O532" i="2"/>
  <c r="L532" i="2" s="1"/>
  <c r="O431" i="2"/>
  <c r="L431" i="2" s="1"/>
  <c r="O320" i="2"/>
  <c r="L320" i="2" s="1"/>
  <c r="O139" i="2"/>
  <c r="L139" i="2" s="1"/>
  <c r="O1698" i="2"/>
  <c r="L1698" i="2" s="1"/>
  <c r="O3257" i="2"/>
  <c r="L3257" i="2" s="1"/>
  <c r="O2051" i="2"/>
  <c r="L2051" i="2" s="1"/>
  <c r="O3299" i="2"/>
  <c r="L3299" i="2" s="1"/>
  <c r="O4200" i="2"/>
  <c r="L4200" i="2" s="1"/>
  <c r="O4023" i="2"/>
  <c r="L4023" i="2" s="1"/>
  <c r="O3830" i="2"/>
  <c r="L3830" i="2" s="1"/>
  <c r="O3440" i="2"/>
  <c r="L3440" i="2" s="1"/>
  <c r="O3349" i="2"/>
  <c r="L3349" i="2" s="1"/>
  <c r="O3037" i="2"/>
  <c r="L3037" i="2" s="1"/>
  <c r="O214" i="2"/>
  <c r="L214" i="2" s="1"/>
  <c r="O2790" i="2"/>
  <c r="L2790" i="2" s="1"/>
  <c r="O2640" i="2"/>
  <c r="L2640" i="2" s="1"/>
  <c r="O2380" i="2"/>
  <c r="L2380" i="2" s="1"/>
  <c r="O2217" i="2"/>
  <c r="L2217" i="2" s="1"/>
  <c r="O2029" i="2"/>
  <c r="L2029" i="2" s="1"/>
  <c r="O1895" i="2"/>
  <c r="L1895" i="2" s="1"/>
  <c r="O1672" i="2"/>
  <c r="L1672" i="2" s="1"/>
  <c r="O1425" i="2"/>
  <c r="L1425" i="2" s="1"/>
  <c r="O1366" i="2"/>
  <c r="L1366" i="2" s="1"/>
  <c r="O1060" i="2"/>
  <c r="L1060" i="2" s="1"/>
  <c r="O804" i="2"/>
  <c r="L804" i="2" s="1"/>
  <c r="O522" i="2"/>
  <c r="L522" i="2" s="1"/>
  <c r="O341" i="2"/>
  <c r="L341" i="2" s="1"/>
  <c r="O328" i="2"/>
  <c r="L328" i="2" s="1"/>
  <c r="O3623" i="2"/>
  <c r="L3623" i="2" s="1"/>
  <c r="O17" i="2"/>
  <c r="L17" i="2" s="1"/>
  <c r="O2458" i="2"/>
  <c r="L2458" i="2" s="1"/>
  <c r="O661" i="2"/>
  <c r="L661" i="2" s="1"/>
  <c r="O4187" i="2"/>
  <c r="L4187" i="2" s="1"/>
  <c r="O4018" i="2"/>
  <c r="L4018" i="2" s="1"/>
  <c r="O3803" i="2"/>
  <c r="L3803" i="2" s="1"/>
  <c r="O3615" i="2"/>
  <c r="L3615" i="2" s="1"/>
  <c r="O3456" i="2"/>
  <c r="L3456" i="2" s="1"/>
  <c r="O3046" i="2"/>
  <c r="L3046" i="2" s="1"/>
  <c r="O2871" i="2"/>
  <c r="L2871" i="2" s="1"/>
  <c r="O2799" i="2"/>
  <c r="L2799" i="2" s="1"/>
  <c r="O2678" i="2"/>
  <c r="L2678" i="2" s="1"/>
  <c r="O2368" i="2"/>
  <c r="L2368" i="2" s="1"/>
  <c r="O2017" i="2"/>
  <c r="L2017" i="2" s="1"/>
  <c r="O1660" i="2"/>
  <c r="L1660" i="2" s="1"/>
  <c r="O1473" i="2"/>
  <c r="L1473" i="2" s="1"/>
  <c r="O1354" i="2"/>
  <c r="L1354" i="2" s="1"/>
  <c r="O1051" i="2"/>
  <c r="L1051" i="2" s="1"/>
  <c r="O1007" i="2"/>
  <c r="L1007" i="2" s="1"/>
  <c r="O728" i="2"/>
  <c r="L728" i="2" s="1"/>
  <c r="O510" i="2"/>
  <c r="L510" i="2" s="1"/>
  <c r="O343" i="2"/>
  <c r="L343" i="2" s="1"/>
  <c r="O224" i="2"/>
  <c r="L224" i="2" s="1"/>
  <c r="O108" i="2"/>
  <c r="L108" i="2" s="1"/>
  <c r="O1542" i="2"/>
  <c r="L1542" i="2" s="1"/>
  <c r="O2325" i="2"/>
  <c r="L2325" i="2" s="1"/>
  <c r="O4317" i="2"/>
  <c r="L4317" i="2" s="1"/>
  <c r="O4173" i="2"/>
  <c r="L4173" i="2" s="1"/>
  <c r="O3812" i="2"/>
  <c r="L3812" i="2" s="1"/>
  <c r="O3578" i="2"/>
  <c r="L3578" i="2" s="1"/>
  <c r="O3471" i="2"/>
  <c r="L3471" i="2" s="1"/>
  <c r="O3183" i="2"/>
  <c r="L3183" i="2" s="1"/>
  <c r="O3057" i="2"/>
  <c r="L3057" i="2" s="1"/>
  <c r="O2893" i="2"/>
  <c r="L2893" i="2" s="1"/>
  <c r="O2689" i="2"/>
  <c r="L2689" i="2" s="1"/>
  <c r="O2565" i="2"/>
  <c r="L2565" i="2" s="1"/>
  <c r="O2434" i="2"/>
  <c r="L2434" i="2" s="1"/>
  <c r="O2281" i="2"/>
  <c r="L2281" i="2" s="1"/>
  <c r="O2035" i="2"/>
  <c r="L2035" i="2" s="1"/>
  <c r="O1813" i="2"/>
  <c r="L1813" i="2" s="1"/>
  <c r="O1618" i="2"/>
  <c r="L1618" i="2" s="1"/>
  <c r="O1461" i="2"/>
  <c r="L1461" i="2" s="1"/>
  <c r="O1210" i="2"/>
  <c r="L1210" i="2" s="1"/>
  <c r="O838" i="2"/>
  <c r="L838" i="2" s="1"/>
  <c r="O979" i="2"/>
  <c r="L979" i="2" s="1"/>
  <c r="O712" i="2"/>
  <c r="L712" i="2" s="1"/>
  <c r="O587" i="2"/>
  <c r="L587" i="2" s="1"/>
  <c r="O371" i="2"/>
  <c r="L371" i="2" s="1"/>
  <c r="O237" i="2"/>
  <c r="L237" i="2" s="1"/>
  <c r="O115" i="2"/>
  <c r="L115" i="2" s="1"/>
  <c r="O1403" i="2"/>
  <c r="L1403" i="2" s="1"/>
  <c r="O1976" i="2"/>
  <c r="L1976" i="2" s="1"/>
  <c r="O1721" i="2"/>
  <c r="L1721" i="2" s="1"/>
  <c r="O4316" i="2"/>
  <c r="L4316" i="2" s="1"/>
  <c r="O4333" i="2"/>
  <c r="L4333" i="2" s="1"/>
  <c r="O4156" i="2"/>
  <c r="L4156" i="2" s="1"/>
  <c r="O3970" i="2"/>
  <c r="L3970" i="2" s="1"/>
  <c r="O3766" i="2"/>
  <c r="L3766" i="2" s="1"/>
  <c r="O3592" i="2"/>
  <c r="L3592" i="2" s="1"/>
  <c r="O3281" i="2"/>
  <c r="L3281" i="2" s="1"/>
  <c r="O3203" i="2"/>
  <c r="L3203" i="2" s="1"/>
  <c r="O3008" i="2"/>
  <c r="L3008" i="2" s="1"/>
  <c r="O2908" i="2"/>
  <c r="L2908" i="2" s="1"/>
  <c r="O2716" i="2"/>
  <c r="L2716" i="2" s="1"/>
  <c r="O2511" i="2"/>
  <c r="L2511" i="2" s="1"/>
  <c r="O2444" i="2"/>
  <c r="L2444" i="2" s="1"/>
  <c r="O2191" i="2"/>
  <c r="L2191" i="2" s="1"/>
  <c r="O1928" i="2"/>
  <c r="L1928" i="2" s="1"/>
  <c r="O1832" i="2"/>
  <c r="L1832" i="2" s="1"/>
  <c r="O1630" i="2"/>
  <c r="L1630" i="2" s="1"/>
  <c r="O1460" i="2"/>
  <c r="L1460" i="2" s="1"/>
  <c r="O1178" i="2"/>
  <c r="L1178" i="2" s="1"/>
  <c r="O849" i="2"/>
  <c r="L849" i="2" s="1"/>
  <c r="O987" i="2"/>
  <c r="L987" i="2" s="1"/>
  <c r="O687" i="2"/>
  <c r="L687" i="2" s="1"/>
  <c r="O595" i="2"/>
  <c r="L595" i="2" s="1"/>
  <c r="O375" i="2"/>
  <c r="L375" i="2" s="1"/>
  <c r="O244" i="2"/>
  <c r="L244" i="2" s="1"/>
  <c r="O87" i="2"/>
  <c r="L87" i="2" s="1"/>
  <c r="O1851" i="2"/>
  <c r="L1851" i="2" s="1"/>
  <c r="O308" i="2"/>
  <c r="L308" i="2" s="1"/>
  <c r="O3620" i="2"/>
  <c r="L3620" i="2" s="1"/>
  <c r="O2170" i="2"/>
  <c r="L2170" i="2" s="1"/>
  <c r="O4315" i="2"/>
  <c r="L4315" i="2" s="1"/>
  <c r="O4312" i="2"/>
  <c r="L4312" i="2" s="1"/>
  <c r="O4136" i="2"/>
  <c r="L4136" i="2" s="1"/>
  <c r="O3966" i="2"/>
  <c r="L3966" i="2" s="1"/>
  <c r="O3776" i="2"/>
  <c r="L3776" i="2" s="1"/>
  <c r="O3570" i="2"/>
  <c r="L3570" i="2" s="1"/>
  <c r="O3380" i="2"/>
  <c r="L3380" i="2" s="1"/>
  <c r="O3222" i="2"/>
  <c r="L3222" i="2" s="1"/>
  <c r="O2996" i="2"/>
  <c r="L2996" i="2" s="1"/>
  <c r="O2850" i="2"/>
  <c r="L2850" i="2" s="1"/>
  <c r="O2734" i="2"/>
  <c r="L2734" i="2" s="1"/>
  <c r="O2524" i="2"/>
  <c r="L2524" i="2" s="1"/>
  <c r="O2457" i="2"/>
  <c r="L2457" i="2" s="1"/>
  <c r="O2063" i="2"/>
  <c r="L2063" i="2" s="1"/>
  <c r="O1950" i="2"/>
  <c r="L1950" i="2" s="1"/>
  <c r="O1791" i="2"/>
  <c r="L1791" i="2" s="1"/>
  <c r="O1641" i="2"/>
  <c r="L1641" i="2" s="1"/>
  <c r="O1482" i="2"/>
  <c r="L1482" i="2" s="1"/>
  <c r="O1200" i="2"/>
  <c r="L1200" i="2" s="1"/>
  <c r="O887" i="2"/>
  <c r="L887" i="2" s="1"/>
  <c r="O1018" i="2"/>
  <c r="L1018" i="2" s="1"/>
  <c r="O680" i="2"/>
  <c r="L680" i="2" s="1"/>
  <c r="O552" i="2"/>
  <c r="L552" i="2" s="1"/>
  <c r="O262" i="2"/>
  <c r="L262" i="2" s="1"/>
  <c r="O195" i="2"/>
  <c r="L195" i="2" s="1"/>
  <c r="O69" i="2"/>
  <c r="L69" i="2" s="1"/>
  <c r="O2071" i="2"/>
  <c r="L2071" i="2" s="1"/>
  <c r="O3302" i="2"/>
  <c r="L3302" i="2" s="1"/>
  <c r="O1988" i="2"/>
  <c r="L1988" i="2" s="1"/>
  <c r="O4318" i="2"/>
  <c r="L4318" i="2" s="1"/>
  <c r="O4297" i="2"/>
  <c r="L4297" i="2" s="1"/>
  <c r="O4123" i="2"/>
  <c r="L4123" i="2" s="1"/>
  <c r="O3916" i="2"/>
  <c r="L3916" i="2" s="1"/>
  <c r="O3794" i="2"/>
  <c r="L3794" i="2" s="1"/>
  <c r="O3547" i="2"/>
  <c r="L3547" i="2" s="1"/>
  <c r="O3315" i="2"/>
  <c r="L3315" i="2" s="1"/>
  <c r="O3157" i="2"/>
  <c r="L3157" i="2" s="1"/>
  <c r="O3013" i="2"/>
  <c r="L3013" i="2" s="1"/>
  <c r="O2636" i="2"/>
  <c r="L2636" i="2" s="1"/>
  <c r="O2536" i="2"/>
  <c r="L2536" i="2" s="1"/>
  <c r="O2422" i="2"/>
  <c r="L2422" i="2" s="1"/>
  <c r="O2087" i="2"/>
  <c r="L2087" i="2" s="1"/>
  <c r="O1938" i="2"/>
  <c r="L1938" i="2" s="1"/>
  <c r="O1779" i="2"/>
  <c r="L1779" i="2" s="1"/>
  <c r="O1596" i="2"/>
  <c r="L1596" i="2" s="1"/>
  <c r="O1322" i="2"/>
  <c r="L1322" i="2" s="1"/>
  <c r="O1146" i="2"/>
  <c r="L1146" i="2" s="1"/>
  <c r="O875" i="2"/>
  <c r="L875" i="2" s="1"/>
  <c r="O1043" i="2"/>
  <c r="L1043" i="2" s="1"/>
  <c r="O657" i="2"/>
  <c r="L657" i="2" s="1"/>
  <c r="O559" i="2"/>
  <c r="L559" i="2" s="1"/>
  <c r="O278" i="2"/>
  <c r="L278" i="2" s="1"/>
  <c r="O199" i="2"/>
  <c r="L199" i="2" s="1"/>
  <c r="O3649" i="2"/>
  <c r="L3649" i="2" s="1"/>
  <c r="O425" i="2"/>
  <c r="L425" i="2" s="1"/>
  <c r="O4322" i="2"/>
  <c r="L4322" i="2" s="1"/>
  <c r="O4313" i="2"/>
  <c r="L4313" i="2" s="1"/>
  <c r="O4296" i="2"/>
  <c r="L4296" i="2" s="1"/>
  <c r="O4281" i="2"/>
  <c r="L4281" i="2" s="1"/>
  <c r="O4266" i="2"/>
  <c r="L4266" i="2" s="1"/>
  <c r="O4221" i="2"/>
  <c r="L4221" i="2" s="1"/>
  <c r="O4238" i="2"/>
  <c r="L4238" i="2" s="1"/>
  <c r="O4258" i="2"/>
  <c r="L4258" i="2" s="1"/>
  <c r="O4257" i="2"/>
  <c r="L4257" i="2" s="1"/>
  <c r="O4193" i="2"/>
  <c r="L4193" i="2" s="1"/>
  <c r="O4182" i="2"/>
  <c r="L4182" i="2" s="1"/>
  <c r="O4164" i="2"/>
  <c r="L4164" i="2" s="1"/>
  <c r="O4137" i="2"/>
  <c r="L4137" i="2" s="1"/>
  <c r="O4122" i="2"/>
  <c r="L4122" i="2" s="1"/>
  <c r="O4096" i="2"/>
  <c r="L4096" i="2" s="1"/>
  <c r="O4108" i="2"/>
  <c r="L4108" i="2" s="1"/>
  <c r="O4070" i="2"/>
  <c r="L4070" i="2" s="1"/>
  <c r="O911" i="2"/>
  <c r="L911" i="2" s="1"/>
  <c r="O4031" i="2"/>
  <c r="L4031" i="2" s="1"/>
  <c r="O4046" i="2"/>
  <c r="L4046" i="2" s="1"/>
  <c r="O4014" i="2"/>
  <c r="L4014" i="2" s="1"/>
  <c r="O4004" i="2"/>
  <c r="L4004" i="2" s="1"/>
  <c r="O3985" i="2"/>
  <c r="L3985" i="2" s="1"/>
  <c r="O3960" i="2"/>
  <c r="L3960" i="2" s="1"/>
  <c r="O3915" i="2"/>
  <c r="L3915" i="2" s="1"/>
  <c r="O802" i="2"/>
  <c r="L802" i="2" s="1"/>
  <c r="O3910" i="2"/>
  <c r="L3910" i="2" s="1"/>
  <c r="O3860" i="2"/>
  <c r="L3860" i="2" s="1"/>
  <c r="O3882" i="2"/>
  <c r="L3882" i="2" s="1"/>
  <c r="O3895" i="2"/>
  <c r="L3895" i="2" s="1"/>
  <c r="O3824" i="2"/>
  <c r="L3824" i="2" s="1"/>
  <c r="O3836" i="2"/>
  <c r="L3836" i="2" s="1"/>
  <c r="O3813" i="2"/>
  <c r="L3813" i="2" s="1"/>
  <c r="O3756" i="2"/>
  <c r="L3756" i="2" s="1"/>
  <c r="O3777" i="2"/>
  <c r="L3777" i="2" s="1"/>
  <c r="O3793" i="2"/>
  <c r="L3793" i="2" s="1"/>
  <c r="O3714" i="2"/>
  <c r="L3714" i="2" s="1"/>
  <c r="O3728" i="2"/>
  <c r="L3728" i="2" s="1"/>
  <c r="O3748" i="2"/>
  <c r="L3748" i="2" s="1"/>
  <c r="O3683" i="2"/>
  <c r="L3683" i="2" s="1"/>
  <c r="O3662" i="2"/>
  <c r="L3662" i="2" s="1"/>
  <c r="O3677" i="2"/>
  <c r="L3677" i="2" s="1"/>
  <c r="O3610" i="2"/>
  <c r="L3610" i="2" s="1"/>
  <c r="O3577" i="2"/>
  <c r="L3577" i="2" s="1"/>
  <c r="O3594" i="2"/>
  <c r="L3594" i="2" s="1"/>
  <c r="O3571" i="2"/>
  <c r="L3571" i="2" s="1"/>
  <c r="O3546" i="2"/>
  <c r="L3546" i="2" s="1"/>
  <c r="O3554" i="2"/>
  <c r="L3554" i="2" s="1"/>
  <c r="O4082" i="2"/>
  <c r="L4082" i="2" s="1"/>
  <c r="O4002" i="2"/>
  <c r="L4002" i="2" s="1"/>
  <c r="O3478" i="2"/>
  <c r="L3478" i="2" s="1"/>
  <c r="O3410" i="2"/>
  <c r="L3410" i="2" s="1"/>
  <c r="O3445" i="2"/>
  <c r="L3445" i="2" s="1"/>
  <c r="O3474" i="2"/>
  <c r="L3474" i="2" s="1"/>
  <c r="O3391" i="2"/>
  <c r="L3391" i="2" s="1"/>
  <c r="O3381" i="2"/>
  <c r="L3381" i="2" s="1"/>
  <c r="O3336" i="2"/>
  <c r="L3336" i="2" s="1"/>
  <c r="O3340" i="2"/>
  <c r="L3340" i="2" s="1"/>
  <c r="O3252" i="2"/>
  <c r="L3252" i="2" s="1"/>
  <c r="O3276" i="2"/>
  <c r="L3276" i="2" s="1"/>
  <c r="O3289" i="2"/>
  <c r="L3289" i="2" s="1"/>
  <c r="O3367" i="2"/>
  <c r="L3367" i="2" s="1"/>
  <c r="O3354" i="2"/>
  <c r="L3354" i="2" s="1"/>
  <c r="O3225" i="2"/>
  <c r="L3225" i="2" s="1"/>
  <c r="O3186" i="2"/>
  <c r="L3186" i="2" s="1"/>
  <c r="O3205" i="2"/>
  <c r="L3205" i="2" s="1"/>
  <c r="O3213" i="2"/>
  <c r="L3213" i="2" s="1"/>
  <c r="O3156" i="2"/>
  <c r="L3156" i="2" s="1"/>
  <c r="O3082" i="2"/>
  <c r="L3082" i="2" s="1"/>
  <c r="O3111" i="2"/>
  <c r="L3111" i="2" s="1"/>
  <c r="O3097" i="2"/>
  <c r="L3097" i="2" s="1"/>
  <c r="O4321" i="2"/>
  <c r="L4321" i="2" s="1"/>
  <c r="O4310" i="2"/>
  <c r="L4310" i="2" s="1"/>
  <c r="O4295" i="2"/>
  <c r="L4295" i="2" s="1"/>
  <c r="O4277" i="2"/>
  <c r="L4277" i="2" s="1"/>
  <c r="O3490" i="2"/>
  <c r="L3490" i="2" s="1"/>
  <c r="O4220" i="2"/>
  <c r="L4220" i="2" s="1"/>
  <c r="O4237" i="2"/>
  <c r="L4237" i="2" s="1"/>
  <c r="O4214" i="2"/>
  <c r="L4214" i="2" s="1"/>
  <c r="O4185" i="2"/>
  <c r="L4185" i="2" s="1"/>
  <c r="O4175" i="2"/>
  <c r="L4175" i="2" s="1"/>
  <c r="O4157" i="2"/>
  <c r="L4157" i="2" s="1"/>
  <c r="O4141" i="2"/>
  <c r="L4141" i="2" s="1"/>
  <c r="O4121" i="2"/>
  <c r="L4121" i="2" s="1"/>
  <c r="O4095" i="2"/>
  <c r="L4095" i="2" s="1"/>
  <c r="O4109" i="2"/>
  <c r="L4109" i="2" s="1"/>
  <c r="O4058" i="2"/>
  <c r="L4058" i="2" s="1"/>
  <c r="O989" i="2"/>
  <c r="L989" i="2" s="1"/>
  <c r="O4036" i="2"/>
  <c r="L4036" i="2" s="1"/>
  <c r="O4045" i="2"/>
  <c r="L4045" i="2" s="1"/>
  <c r="O4015" i="2"/>
  <c r="L4015" i="2" s="1"/>
  <c r="O4003" i="2"/>
  <c r="L4003" i="2" s="1"/>
  <c r="O3984" i="2"/>
  <c r="L3984" i="2" s="1"/>
  <c r="O3967" i="2"/>
  <c r="L3967" i="2" s="1"/>
  <c r="O3914" i="2"/>
  <c r="L3914" i="2" s="1"/>
  <c r="O3943" i="2"/>
  <c r="L3943" i="2" s="1"/>
  <c r="O3852" i="2"/>
  <c r="L3852" i="2" s="1"/>
  <c r="O3869" i="2"/>
  <c r="L3869" i="2" s="1"/>
  <c r="O3881" i="2"/>
  <c r="L3881" i="2" s="1"/>
  <c r="O3894" i="2"/>
  <c r="L3894" i="2" s="1"/>
  <c r="O3823" i="2"/>
  <c r="L3823" i="2" s="1"/>
  <c r="O3835" i="2"/>
  <c r="L3835" i="2" s="1"/>
  <c r="O3817" i="2"/>
  <c r="L3817" i="2" s="1"/>
  <c r="O3755" i="2"/>
  <c r="L3755" i="2" s="1"/>
  <c r="O3775" i="2"/>
  <c r="L3775" i="2" s="1"/>
  <c r="O3792" i="2"/>
  <c r="L3792" i="2" s="1"/>
  <c r="O3719" i="2"/>
  <c r="L3719" i="2" s="1"/>
  <c r="O3727" i="2"/>
  <c r="L3727" i="2" s="1"/>
  <c r="O3747" i="2"/>
  <c r="L3747" i="2" s="1"/>
  <c r="O3682" i="2"/>
  <c r="L3682" i="2" s="1"/>
  <c r="O3670" i="2"/>
  <c r="L3670" i="2" s="1"/>
  <c r="O3676" i="2"/>
  <c r="L3676" i="2" s="1"/>
  <c r="O3611" i="2"/>
  <c r="L3611" i="2" s="1"/>
  <c r="O3579" i="2"/>
  <c r="L3579" i="2" s="1"/>
  <c r="O3593" i="2"/>
  <c r="L3593" i="2" s="1"/>
  <c r="O3569" i="2"/>
  <c r="L3569" i="2" s="1"/>
  <c r="O3545" i="2"/>
  <c r="L3545" i="2" s="1"/>
  <c r="O980" i="2"/>
  <c r="L980" i="2" s="1"/>
  <c r="O3484" i="2"/>
  <c r="L3484" i="2" s="1"/>
  <c r="O3477" i="2"/>
  <c r="L3477" i="2" s="1"/>
  <c r="O3411" i="2"/>
  <c r="L3411" i="2" s="1"/>
  <c r="O3444" i="2"/>
  <c r="L3444" i="2" s="1"/>
  <c r="O3473" i="2"/>
  <c r="L3473" i="2" s="1"/>
  <c r="O3282" i="2"/>
  <c r="L3282" i="2" s="1"/>
  <c r="O3379" i="2"/>
  <c r="L3379" i="2" s="1"/>
  <c r="O3313" i="2"/>
  <c r="L3313" i="2" s="1"/>
  <c r="O3370" i="2"/>
  <c r="L3370" i="2" s="1"/>
  <c r="O3251" i="2"/>
  <c r="L3251" i="2" s="1"/>
  <c r="O3275" i="2"/>
  <c r="L3275" i="2" s="1"/>
  <c r="O3288" i="2"/>
  <c r="L3288" i="2" s="1"/>
  <c r="O3366" i="2"/>
  <c r="L3366" i="2" s="1"/>
  <c r="O3353" i="2"/>
  <c r="L3353" i="2" s="1"/>
  <c r="O3224" i="2"/>
  <c r="L3224" i="2" s="1"/>
  <c r="O3185" i="2"/>
  <c r="L3185" i="2" s="1"/>
  <c r="O3204" i="2"/>
  <c r="L3204" i="2" s="1"/>
  <c r="O3166" i="2"/>
  <c r="L3166" i="2" s="1"/>
  <c r="O3081" i="2"/>
  <c r="L3081" i="2" s="1"/>
  <c r="O3110" i="2"/>
  <c r="L3110" i="2" s="1"/>
  <c r="O3096" i="2"/>
  <c r="L3096" i="2" s="1"/>
  <c r="O3129" i="2"/>
  <c r="L3129" i="2" s="1"/>
  <c r="O3143" i="2"/>
  <c r="L3143" i="2" s="1"/>
  <c r="O3061" i="2"/>
  <c r="L3061" i="2" s="1"/>
  <c r="O3049" i="2"/>
  <c r="L3049" i="2" s="1"/>
  <c r="O2982" i="2"/>
  <c r="L2982" i="2" s="1"/>
  <c r="O2995" i="2"/>
  <c r="L2995" i="2" s="1"/>
  <c r="O3019" i="2"/>
  <c r="L3019" i="2" s="1"/>
  <c r="O2941" i="2"/>
  <c r="L2941" i="2" s="1"/>
  <c r="O2956" i="2"/>
  <c r="L2956" i="2" s="1"/>
  <c r="O2974" i="2"/>
  <c r="L2974" i="2" s="1"/>
  <c r="O2935" i="2"/>
  <c r="L2935" i="2" s="1"/>
  <c r="O2919" i="2"/>
  <c r="L2919" i="2" s="1"/>
  <c r="O4334" i="2"/>
  <c r="L4334" i="2" s="1"/>
  <c r="O4309" i="2"/>
  <c r="L4309" i="2" s="1"/>
  <c r="O4290" i="2"/>
  <c r="L4290" i="2" s="1"/>
  <c r="O4276" i="2"/>
  <c r="L4276" i="2" s="1"/>
  <c r="O4219" i="2"/>
  <c r="L4219" i="2" s="1"/>
  <c r="O4236" i="2"/>
  <c r="L4236" i="2" s="1"/>
  <c r="O4251" i="2"/>
  <c r="L4251" i="2" s="1"/>
  <c r="O4213" i="2"/>
  <c r="L4213" i="2" s="1"/>
  <c r="O4184" i="2"/>
  <c r="L4184" i="2" s="1"/>
  <c r="O4174" i="2"/>
  <c r="L4174" i="2" s="1"/>
  <c r="O4155" i="2"/>
  <c r="L4155" i="2" s="1"/>
  <c r="O4140" i="2"/>
  <c r="L4140" i="2" s="1"/>
  <c r="O4129" i="2"/>
  <c r="L4129" i="2" s="1"/>
  <c r="O4094" i="2"/>
  <c r="L4094" i="2" s="1"/>
  <c r="O4106" i="2"/>
  <c r="L4106" i="2" s="1"/>
  <c r="O4063" i="2"/>
  <c r="L4063" i="2" s="1"/>
  <c r="O4040" i="2"/>
  <c r="L4040" i="2" s="1"/>
  <c r="O4044" i="2"/>
  <c r="L4044" i="2" s="1"/>
  <c r="O3996" i="2"/>
  <c r="L3996" i="2" s="1"/>
  <c r="O3969" i="2"/>
  <c r="L3969" i="2" s="1"/>
  <c r="O3913" i="2"/>
  <c r="L3913" i="2" s="1"/>
  <c r="O3942" i="2"/>
  <c r="L3942" i="2" s="1"/>
  <c r="O3851" i="2"/>
  <c r="L3851" i="2" s="1"/>
  <c r="O3868" i="2"/>
  <c r="L3868" i="2" s="1"/>
  <c r="O3880" i="2"/>
  <c r="L3880" i="2" s="1"/>
  <c r="O3893" i="2"/>
  <c r="L3893" i="2" s="1"/>
  <c r="O3826" i="2"/>
  <c r="L3826" i="2" s="1"/>
  <c r="O3820" i="2"/>
  <c r="L3820" i="2" s="1"/>
  <c r="O3818" i="2"/>
  <c r="L3818" i="2" s="1"/>
  <c r="O3765" i="2"/>
  <c r="L3765" i="2" s="1"/>
  <c r="O3791" i="2"/>
  <c r="L3791" i="2" s="1"/>
  <c r="O3722" i="2"/>
  <c r="L3722" i="2" s="1"/>
  <c r="O3744" i="2"/>
  <c r="L3744" i="2" s="1"/>
  <c r="O3699" i="2"/>
  <c r="L3699" i="2" s="1"/>
  <c r="O3669" i="2"/>
  <c r="L3669" i="2" s="1"/>
  <c r="O3634" i="2"/>
  <c r="L3634" i="2" s="1"/>
  <c r="O3612" i="2"/>
  <c r="L3612" i="2" s="1"/>
  <c r="O3576" i="2"/>
  <c r="L3576" i="2" s="1"/>
  <c r="O3591" i="2"/>
  <c r="L3591" i="2" s="1"/>
  <c r="O3568" i="2"/>
  <c r="L3568" i="2" s="1"/>
  <c r="O3544" i="2"/>
  <c r="L3544" i="2" s="1"/>
  <c r="O3560" i="2"/>
  <c r="L3560" i="2" s="1"/>
  <c r="O4335" i="2"/>
  <c r="L4335" i="2" s="1"/>
  <c r="O4308" i="2"/>
  <c r="L4308" i="2" s="1"/>
  <c r="O4293" i="2"/>
  <c r="L4293" i="2" s="1"/>
  <c r="O4275" i="2"/>
  <c r="L4275" i="2" s="1"/>
  <c r="O4264" i="2"/>
  <c r="L4264" i="2" s="1"/>
  <c r="O4218" i="2"/>
  <c r="L4218" i="2" s="1"/>
  <c r="O4235" i="2"/>
  <c r="L4235" i="2" s="1"/>
  <c r="O4247" i="2"/>
  <c r="L4247" i="2" s="1"/>
  <c r="O4212" i="2"/>
  <c r="L4212" i="2" s="1"/>
  <c r="O4186" i="2"/>
  <c r="L4186" i="2" s="1"/>
  <c r="O4167" i="2"/>
  <c r="L4167" i="2" s="1"/>
  <c r="O4151" i="2"/>
  <c r="L4151" i="2" s="1"/>
  <c r="O4143" i="2"/>
  <c r="L4143" i="2" s="1"/>
  <c r="O4130" i="2"/>
  <c r="L4130" i="2" s="1"/>
  <c r="O4093" i="2"/>
  <c r="L4093" i="2" s="1"/>
  <c r="O4111" i="2"/>
  <c r="L4111" i="2" s="1"/>
  <c r="O4062" i="2"/>
  <c r="L4062" i="2" s="1"/>
  <c r="O4026" i="2"/>
  <c r="L4026" i="2" s="1"/>
  <c r="O4042" i="2"/>
  <c r="L4042" i="2" s="1"/>
  <c r="O4043" i="2"/>
  <c r="L4043" i="2" s="1"/>
  <c r="O4019" i="2"/>
  <c r="L4019" i="2" s="1"/>
  <c r="O3991" i="2"/>
  <c r="L3991" i="2" s="1"/>
  <c r="O3959" i="2"/>
  <c r="L3959" i="2" s="1"/>
  <c r="O3968" i="2"/>
  <c r="L3968" i="2" s="1"/>
  <c r="O3921" i="2"/>
  <c r="L3921" i="2" s="1"/>
  <c r="O3941" i="2"/>
  <c r="L3941" i="2" s="1"/>
  <c r="O3855" i="2"/>
  <c r="L3855" i="2" s="1"/>
  <c r="O3867" i="2"/>
  <c r="L3867" i="2" s="1"/>
  <c r="O3879" i="2"/>
  <c r="L3879" i="2" s="1"/>
  <c r="O3897" i="2"/>
  <c r="L3897" i="2" s="1"/>
  <c r="O3825" i="2"/>
  <c r="L3825" i="2" s="1"/>
  <c r="O3802" i="2"/>
  <c r="L3802" i="2" s="1"/>
  <c r="O3815" i="2"/>
  <c r="L3815" i="2" s="1"/>
  <c r="O3769" i="2"/>
  <c r="L3769" i="2" s="1"/>
  <c r="O3785" i="2"/>
  <c r="L3785" i="2" s="1"/>
  <c r="O3750" i="2"/>
  <c r="L3750" i="2" s="1"/>
  <c r="O3721" i="2"/>
  <c r="L3721" i="2" s="1"/>
  <c r="O3688" i="2"/>
  <c r="L3688" i="2" s="1"/>
  <c r="O3668" i="2"/>
  <c r="L3668" i="2" s="1"/>
  <c r="O3633" i="2"/>
  <c r="L3633" i="2" s="1"/>
  <c r="O3616" i="2"/>
  <c r="L3616" i="2" s="1"/>
  <c r="O3575" i="2"/>
  <c r="L3575" i="2" s="1"/>
  <c r="O3600" i="2"/>
  <c r="L3600" i="2" s="1"/>
  <c r="O3567" i="2"/>
  <c r="L3567" i="2" s="1"/>
  <c r="O3543" i="2"/>
  <c r="L3543" i="2" s="1"/>
  <c r="O3566" i="2"/>
  <c r="L3566" i="2" s="1"/>
  <c r="O3501" i="2"/>
  <c r="L3501" i="2" s="1"/>
  <c r="O4329" i="2"/>
  <c r="L4329" i="2" s="1"/>
  <c r="O4307" i="2"/>
  <c r="L4307" i="2" s="1"/>
  <c r="O4291" i="2"/>
  <c r="L4291" i="2" s="1"/>
  <c r="O4274" i="2"/>
  <c r="L4274" i="2" s="1"/>
  <c r="O4263" i="2"/>
  <c r="L4263" i="2" s="1"/>
  <c r="O4217" i="2"/>
  <c r="L4217" i="2" s="1"/>
  <c r="O4234" i="2"/>
  <c r="L4234" i="2" s="1"/>
  <c r="O4245" i="2"/>
  <c r="L4245" i="2" s="1"/>
  <c r="O4197" i="2"/>
  <c r="L4197" i="2" s="1"/>
  <c r="O4190" i="2"/>
  <c r="L4190" i="2" s="1"/>
  <c r="O4169" i="2"/>
  <c r="L4169" i="2" s="1"/>
  <c r="O4152" i="2"/>
  <c r="L4152" i="2" s="1"/>
  <c r="O4144" i="2"/>
  <c r="L4144" i="2" s="1"/>
  <c r="O4126" i="2"/>
  <c r="L4126" i="2" s="1"/>
  <c r="O4092" i="2"/>
  <c r="L4092" i="2" s="1"/>
  <c r="O4110" i="2"/>
  <c r="L4110" i="2" s="1"/>
  <c r="O4061" i="2"/>
  <c r="L4061" i="2" s="1"/>
  <c r="O4025" i="2"/>
  <c r="L4025" i="2" s="1"/>
  <c r="O4055" i="2"/>
  <c r="L4055" i="2" s="1"/>
  <c r="O4024" i="2"/>
  <c r="L4024" i="2" s="1"/>
  <c r="O4017" i="2"/>
  <c r="L4017" i="2" s="1"/>
  <c r="O3995" i="2"/>
  <c r="L3995" i="2" s="1"/>
  <c r="O3958" i="2"/>
  <c r="L3958" i="2" s="1"/>
  <c r="O3954" i="2"/>
  <c r="L3954" i="2" s="1"/>
  <c r="O3912" i="2"/>
  <c r="L3912" i="2" s="1"/>
  <c r="O3940" i="2"/>
  <c r="L3940" i="2" s="1"/>
  <c r="O3854" i="2"/>
  <c r="L3854" i="2" s="1"/>
  <c r="O3871" i="2"/>
  <c r="L3871" i="2" s="1"/>
  <c r="O3878" i="2"/>
  <c r="L3878" i="2" s="1"/>
  <c r="O3909" i="2"/>
  <c r="L3909" i="2" s="1"/>
  <c r="O3831" i="2"/>
  <c r="L3831" i="2" s="1"/>
  <c r="O3811" i="2"/>
  <c r="L3811" i="2" s="1"/>
  <c r="O3816" i="2"/>
  <c r="L3816" i="2" s="1"/>
  <c r="O3768" i="2"/>
  <c r="L3768" i="2" s="1"/>
  <c r="O3710" i="2"/>
  <c r="L3710" i="2" s="1"/>
  <c r="O3720" i="2"/>
  <c r="L3720" i="2" s="1"/>
  <c r="O3746" i="2"/>
  <c r="L3746" i="2" s="1"/>
  <c r="O3687" i="2"/>
  <c r="L3687" i="2" s="1"/>
  <c r="O3646" i="2"/>
  <c r="L3646" i="2" s="1"/>
  <c r="O3667" i="2"/>
  <c r="L3667" i="2" s="1"/>
  <c r="O3632" i="2"/>
  <c r="L3632" i="2" s="1"/>
  <c r="O3614" i="2"/>
  <c r="L3614" i="2" s="1"/>
  <c r="O3586" i="2"/>
  <c r="L3586" i="2" s="1"/>
  <c r="O3599" i="2"/>
  <c r="L3599" i="2" s="1"/>
  <c r="O3551" i="2"/>
  <c r="L3551" i="2" s="1"/>
  <c r="O3542" i="2"/>
  <c r="L3542" i="2" s="1"/>
  <c r="O3565" i="2"/>
  <c r="L3565" i="2" s="1"/>
  <c r="O3505" i="2"/>
  <c r="L3505" i="2" s="1"/>
  <c r="O3486" i="2"/>
  <c r="L3486" i="2" s="1"/>
  <c r="O3459" i="2"/>
  <c r="L3459" i="2" s="1"/>
  <c r="O3408" i="2"/>
  <c r="L3408" i="2" s="1"/>
  <c r="O3441" i="2"/>
  <c r="L3441" i="2" s="1"/>
  <c r="O3446" i="2"/>
  <c r="L3446" i="2" s="1"/>
  <c r="O3469" i="2"/>
  <c r="L3469" i="2" s="1"/>
  <c r="O3389" i="2"/>
  <c r="L3389" i="2" s="1"/>
  <c r="O3376" i="2"/>
  <c r="L3376" i="2" s="1"/>
  <c r="O3326" i="2"/>
  <c r="L3326" i="2" s="1"/>
  <c r="O3248" i="2"/>
  <c r="L3248" i="2" s="1"/>
  <c r="O3249" i="2"/>
  <c r="L3249" i="2" s="1"/>
  <c r="O3278" i="2"/>
  <c r="L3278" i="2" s="1"/>
  <c r="O3308" i="2"/>
  <c r="L3308" i="2" s="1"/>
  <c r="O3363" i="2"/>
  <c r="L3363" i="2" s="1"/>
  <c r="O3350" i="2"/>
  <c r="L3350" i="2" s="1"/>
  <c r="O3177" i="2"/>
  <c r="L3177" i="2" s="1"/>
  <c r="O3192" i="2"/>
  <c r="L3192" i="2" s="1"/>
  <c r="O3127" i="2"/>
  <c r="L3127" i="2" s="1"/>
  <c r="O3069" i="2"/>
  <c r="L3069" i="2" s="1"/>
  <c r="O3078" i="2"/>
  <c r="L3078" i="2" s="1"/>
  <c r="O3106" i="2"/>
  <c r="L3106" i="2" s="1"/>
  <c r="O4337" i="2"/>
  <c r="L4337" i="2" s="1"/>
  <c r="O4294" i="2"/>
  <c r="L4294" i="2" s="1"/>
  <c r="O4278" i="2"/>
  <c r="L4278" i="2" s="1"/>
  <c r="O4265" i="2"/>
  <c r="L4265" i="2" s="1"/>
  <c r="O4226" i="2"/>
  <c r="L4226" i="2" s="1"/>
  <c r="O4233" i="2"/>
  <c r="L4233" i="2" s="1"/>
  <c r="O4249" i="2"/>
  <c r="L4249" i="2" s="1"/>
  <c r="O4199" i="2"/>
  <c r="L4199" i="2" s="1"/>
  <c r="O4191" i="2"/>
  <c r="L4191" i="2" s="1"/>
  <c r="O4168" i="2"/>
  <c r="L4168" i="2" s="1"/>
  <c r="O4154" i="2"/>
  <c r="L4154" i="2" s="1"/>
  <c r="O4134" i="2"/>
  <c r="L4134" i="2" s="1"/>
  <c r="O4127" i="2"/>
  <c r="L4127" i="2" s="1"/>
  <c r="O4091" i="2"/>
  <c r="L4091" i="2" s="1"/>
  <c r="O4085" i="2"/>
  <c r="L4085" i="2" s="1"/>
  <c r="O4060" i="2"/>
  <c r="L4060" i="2" s="1"/>
  <c r="O4030" i="2"/>
  <c r="L4030" i="2" s="1"/>
  <c r="O4054" i="2"/>
  <c r="L4054" i="2" s="1"/>
  <c r="O4022" i="2"/>
  <c r="L4022" i="2" s="1"/>
  <c r="O4007" i="2"/>
  <c r="L4007" i="2" s="1"/>
  <c r="O3988" i="2"/>
  <c r="L3988" i="2" s="1"/>
  <c r="O3957" i="2"/>
  <c r="L3957" i="2" s="1"/>
  <c r="O3953" i="2"/>
  <c r="L3953" i="2" s="1"/>
  <c r="O3932" i="2"/>
  <c r="L3932" i="2" s="1"/>
  <c r="O3951" i="2"/>
  <c r="L3951" i="2" s="1"/>
  <c r="O3850" i="2"/>
  <c r="L3850" i="2" s="1"/>
  <c r="O3870" i="2"/>
  <c r="L3870" i="2" s="1"/>
  <c r="O3908" i="2"/>
  <c r="L3908" i="2" s="1"/>
  <c r="O3829" i="2"/>
  <c r="L3829" i="2" s="1"/>
  <c r="O3810" i="2"/>
  <c r="L3810" i="2" s="1"/>
  <c r="O3819" i="2"/>
  <c r="L3819" i="2" s="1"/>
  <c r="O3767" i="2"/>
  <c r="L3767" i="2" s="1"/>
  <c r="O3789" i="2"/>
  <c r="L3789" i="2" s="1"/>
  <c r="O3709" i="2"/>
  <c r="L3709" i="2" s="1"/>
  <c r="O3736" i="2"/>
  <c r="L3736" i="2" s="1"/>
  <c r="O3742" i="2"/>
  <c r="L3742" i="2" s="1"/>
  <c r="O3686" i="2"/>
  <c r="L3686" i="2" s="1"/>
  <c r="O3645" i="2"/>
  <c r="L3645" i="2" s="1"/>
  <c r="O3624" i="2"/>
  <c r="L3624" i="2" s="1"/>
  <c r="O3617" i="2"/>
  <c r="L3617" i="2" s="1"/>
  <c r="O3585" i="2"/>
  <c r="L3585" i="2" s="1"/>
  <c r="O3601" i="2"/>
  <c r="L3601" i="2" s="1"/>
  <c r="O2890" i="2"/>
  <c r="L2890" i="2" s="1"/>
  <c r="O3541" i="2"/>
  <c r="L3541" i="2" s="1"/>
  <c r="O3564" i="2"/>
  <c r="L3564" i="2" s="1"/>
  <c r="O3507" i="2"/>
  <c r="L3507" i="2" s="1"/>
  <c r="O3488" i="2"/>
  <c r="L3488" i="2" s="1"/>
  <c r="O3449" i="2"/>
  <c r="L3449" i="2" s="1"/>
  <c r="O3407" i="2"/>
  <c r="L3407" i="2" s="1"/>
  <c r="O3439" i="2"/>
  <c r="L3439" i="2" s="1"/>
  <c r="O3454" i="2"/>
  <c r="L3454" i="2" s="1"/>
  <c r="O3468" i="2"/>
  <c r="L3468" i="2" s="1"/>
  <c r="O3388" i="2"/>
  <c r="L3388" i="2" s="1"/>
  <c r="O3375" i="2"/>
  <c r="L3375" i="2" s="1"/>
  <c r="O3341" i="2"/>
  <c r="L3341" i="2" s="1"/>
  <c r="O3247" i="2"/>
  <c r="L3247" i="2" s="1"/>
  <c r="O3241" i="2"/>
  <c r="L3241" i="2" s="1"/>
  <c r="O3297" i="2"/>
  <c r="L3297" i="2" s="1"/>
  <c r="O3312" i="2"/>
  <c r="L3312" i="2" s="1"/>
  <c r="O3362" i="2"/>
  <c r="L3362" i="2" s="1"/>
  <c r="O3348" i="2"/>
  <c r="L3348" i="2" s="1"/>
  <c r="O3176" i="2"/>
  <c r="L3176" i="2" s="1"/>
  <c r="O3191" i="2"/>
  <c r="L3191" i="2" s="1"/>
  <c r="O3219" i="2"/>
  <c r="L3219" i="2" s="1"/>
  <c r="O3136" i="2"/>
  <c r="L3136" i="2" s="1"/>
  <c r="O3076" i="2"/>
  <c r="L3076" i="2" s="1"/>
  <c r="O3077" i="2"/>
  <c r="L3077" i="2" s="1"/>
  <c r="O3105" i="2"/>
  <c r="L3105" i="2" s="1"/>
  <c r="O3140" i="2"/>
  <c r="L3140" i="2" s="1"/>
  <c r="O3121" i="2"/>
  <c r="L3121" i="2" s="1"/>
  <c r="O3154" i="2"/>
  <c r="L3154" i="2" s="1"/>
  <c r="O3036" i="2"/>
  <c r="L3036" i="2" s="1"/>
  <c r="O3044" i="2"/>
  <c r="L3044" i="2" s="1"/>
  <c r="O3028" i="2"/>
  <c r="L3028" i="2" s="1"/>
  <c r="O3004" i="2"/>
  <c r="L3004" i="2" s="1"/>
  <c r="O3018" i="2"/>
  <c r="L3018" i="2" s="1"/>
  <c r="O2945" i="2"/>
  <c r="L2945" i="2" s="1"/>
  <c r="O2970" i="2"/>
  <c r="L2970" i="2" s="1"/>
  <c r="O2962" i="2"/>
  <c r="L2962" i="2" s="1"/>
  <c r="O4139" i="2"/>
  <c r="L4139" i="2" s="1"/>
  <c r="O2915" i="2"/>
  <c r="L2915" i="2" s="1"/>
  <c r="O4328" i="2"/>
  <c r="L4328" i="2" s="1"/>
  <c r="O4330" i="2"/>
  <c r="L4330" i="2" s="1"/>
  <c r="O4303" i="2"/>
  <c r="L4303" i="2" s="1"/>
  <c r="O4292" i="2"/>
  <c r="L4292" i="2" s="1"/>
  <c r="O4273" i="2"/>
  <c r="L4273" i="2" s="1"/>
  <c r="O4262" i="2"/>
  <c r="L4262" i="2" s="1"/>
  <c r="O4225" i="2"/>
  <c r="L4225" i="2" s="1"/>
  <c r="O4232" i="2"/>
  <c r="L4232" i="2" s="1"/>
  <c r="O4256" i="2"/>
  <c r="L4256" i="2" s="1"/>
  <c r="O4198" i="2"/>
  <c r="L4198" i="2" s="1"/>
  <c r="O4192" i="2"/>
  <c r="L4192" i="2" s="1"/>
  <c r="O4172" i="2"/>
  <c r="L4172" i="2" s="1"/>
  <c r="O4150" i="2"/>
  <c r="L4150" i="2" s="1"/>
  <c r="O4119" i="2"/>
  <c r="L4119" i="2" s="1"/>
  <c r="O2039" i="2"/>
  <c r="L2039" i="2" s="1"/>
  <c r="O4090" i="2"/>
  <c r="L4090" i="2" s="1"/>
  <c r="O4084" i="2"/>
  <c r="L4084" i="2" s="1"/>
  <c r="O4065" i="2"/>
  <c r="L4065" i="2" s="1"/>
  <c r="O4029" i="2"/>
  <c r="L4029" i="2" s="1"/>
  <c r="O4052" i="2"/>
  <c r="L4052" i="2" s="1"/>
  <c r="O4021" i="2"/>
  <c r="L4021" i="2" s="1"/>
  <c r="O4006" i="2"/>
  <c r="L4006" i="2" s="1"/>
  <c r="O3974" i="2"/>
  <c r="L3974" i="2" s="1"/>
  <c r="O3956" i="2"/>
  <c r="L3956" i="2" s="1"/>
  <c r="O3952" i="2"/>
  <c r="L3952" i="2" s="1"/>
  <c r="O3934" i="2"/>
  <c r="L3934" i="2" s="1"/>
  <c r="O3950" i="2"/>
  <c r="L3950" i="2" s="1"/>
  <c r="O3853" i="2"/>
  <c r="L3853" i="2" s="1"/>
  <c r="O3889" i="2"/>
  <c r="L3889" i="2" s="1"/>
  <c r="O3892" i="2"/>
  <c r="L3892" i="2" s="1"/>
  <c r="O3906" i="2"/>
  <c r="L3906" i="2" s="1"/>
  <c r="O3834" i="2"/>
  <c r="L3834" i="2" s="1"/>
  <c r="O3809" i="2"/>
  <c r="L3809" i="2" s="1"/>
  <c r="O3797" i="2"/>
  <c r="L3797" i="2" s="1"/>
  <c r="O3783" i="2"/>
  <c r="L3783" i="2" s="1"/>
  <c r="O3790" i="2"/>
  <c r="L3790" i="2" s="1"/>
  <c r="O3708" i="2"/>
  <c r="L3708" i="2" s="1"/>
  <c r="O3735" i="2"/>
  <c r="L3735" i="2" s="1"/>
  <c r="O3745" i="2"/>
  <c r="L3745" i="2" s="1"/>
  <c r="O3689" i="2"/>
  <c r="L3689" i="2" s="1"/>
  <c r="O3644" i="2"/>
  <c r="L3644" i="2" s="1"/>
  <c r="O3674" i="2"/>
  <c r="L3674" i="2" s="1"/>
  <c r="O3625" i="2"/>
  <c r="L3625" i="2" s="1"/>
  <c r="O3619" i="2"/>
  <c r="L3619" i="2" s="1"/>
  <c r="O3584" i="2"/>
  <c r="L3584" i="2" s="1"/>
  <c r="O3597" i="2"/>
  <c r="L3597" i="2" s="1"/>
  <c r="O3540" i="2"/>
  <c r="L3540" i="2" s="1"/>
  <c r="O3563" i="2"/>
  <c r="L3563" i="2" s="1"/>
  <c r="O3510" i="2"/>
  <c r="L3510" i="2" s="1"/>
  <c r="O3491" i="2"/>
  <c r="L3491" i="2" s="1"/>
  <c r="O3455" i="2"/>
  <c r="L3455" i="2" s="1"/>
  <c r="O3420" i="2"/>
  <c r="L3420" i="2" s="1"/>
  <c r="O3438" i="2"/>
  <c r="L3438" i="2" s="1"/>
  <c r="O3458" i="2"/>
  <c r="L3458" i="2" s="1"/>
  <c r="O3467" i="2"/>
  <c r="L3467" i="2" s="1"/>
  <c r="O3387" i="2"/>
  <c r="L3387" i="2" s="1"/>
  <c r="O3374" i="2"/>
  <c r="L3374" i="2" s="1"/>
  <c r="O3329" i="2"/>
  <c r="L3329" i="2" s="1"/>
  <c r="O3255" i="2"/>
  <c r="L3255" i="2" s="1"/>
  <c r="O3273" i="2"/>
  <c r="L3273" i="2" s="1"/>
  <c r="O3296" i="2"/>
  <c r="L3296" i="2" s="1"/>
  <c r="O3334" i="2"/>
  <c r="L3334" i="2" s="1"/>
  <c r="O3360" i="2"/>
  <c r="L3360" i="2" s="1"/>
  <c r="O3347" i="2"/>
  <c r="L3347" i="2" s="1"/>
  <c r="O3182" i="2"/>
  <c r="L3182" i="2" s="1"/>
  <c r="O3211" i="2"/>
  <c r="L3211" i="2" s="1"/>
  <c r="O3165" i="2"/>
  <c r="L3165" i="2" s="1"/>
  <c r="O3075" i="2"/>
  <c r="L3075" i="2" s="1"/>
  <c r="O3118" i="2"/>
  <c r="L3118" i="2" s="1"/>
  <c r="O3104" i="2"/>
  <c r="L3104" i="2" s="1"/>
  <c r="O3128" i="2"/>
  <c r="L3128" i="2" s="1"/>
  <c r="O3152" i="2"/>
  <c r="L3152" i="2" s="1"/>
  <c r="O3035" i="2"/>
  <c r="L3035" i="2" s="1"/>
  <c r="O3043" i="2"/>
  <c r="L3043" i="2" s="1"/>
  <c r="O3029" i="2"/>
  <c r="L3029" i="2" s="1"/>
  <c r="O3003" i="2"/>
  <c r="L3003" i="2" s="1"/>
  <c r="O3012" i="2"/>
  <c r="L3012" i="2" s="1"/>
  <c r="O3020" i="2"/>
  <c r="L3020" i="2" s="1"/>
  <c r="O2944" i="2"/>
  <c r="L2944" i="2" s="1"/>
  <c r="O2969" i="2"/>
  <c r="L2969" i="2" s="1"/>
  <c r="O2930" i="2"/>
  <c r="L2930" i="2" s="1"/>
  <c r="O2883" i="2"/>
  <c r="L2883" i="2" s="1"/>
  <c r="O4327" i="2"/>
  <c r="L4327" i="2" s="1"/>
  <c r="O4331" i="2"/>
  <c r="L4331" i="2" s="1"/>
  <c r="O4302" i="2"/>
  <c r="L4302" i="2" s="1"/>
  <c r="O4261" i="2"/>
  <c r="L4261" i="2" s="1"/>
  <c r="O4223" i="2"/>
  <c r="L4223" i="2" s="1"/>
  <c r="O4230" i="2"/>
  <c r="L4230" i="2" s="1"/>
  <c r="O4250" i="2"/>
  <c r="L4250" i="2" s="1"/>
  <c r="O4211" i="2"/>
  <c r="L4211" i="2" s="1"/>
  <c r="O4183" i="2"/>
  <c r="L4183" i="2" s="1"/>
  <c r="O4171" i="2"/>
  <c r="L4171" i="2" s="1"/>
  <c r="O4148" i="2"/>
  <c r="L4148" i="2" s="1"/>
  <c r="O4118" i="2"/>
  <c r="L4118" i="2" s="1"/>
  <c r="O4133" i="2"/>
  <c r="L4133" i="2" s="1"/>
  <c r="O4099" i="2"/>
  <c r="L4099" i="2" s="1"/>
  <c r="O4083" i="2"/>
  <c r="L4083" i="2" s="1"/>
  <c r="O4064" i="2"/>
  <c r="L4064" i="2" s="1"/>
  <c r="O4027" i="2"/>
  <c r="L4027" i="2" s="1"/>
  <c r="O4051" i="2"/>
  <c r="L4051" i="2" s="1"/>
  <c r="O4001" i="2"/>
  <c r="L4001" i="2" s="1"/>
  <c r="O3977" i="2"/>
  <c r="L3977" i="2" s="1"/>
  <c r="O3965" i="2"/>
  <c r="L3965" i="2" s="1"/>
  <c r="O3933" i="2"/>
  <c r="L3933" i="2" s="1"/>
  <c r="O3949" i="2"/>
  <c r="L3949" i="2" s="1"/>
  <c r="O3866" i="2"/>
  <c r="L3866" i="2" s="1"/>
  <c r="O3888" i="2"/>
  <c r="L3888" i="2" s="1"/>
  <c r="O3898" i="2"/>
  <c r="L3898" i="2" s="1"/>
  <c r="O3905" i="2"/>
  <c r="L3905" i="2" s="1"/>
  <c r="O3833" i="2"/>
  <c r="L3833" i="2" s="1"/>
  <c r="O3808" i="2"/>
  <c r="L3808" i="2" s="1"/>
  <c r="O3796" i="2"/>
  <c r="L3796" i="2" s="1"/>
  <c r="O3782" i="2"/>
  <c r="L3782" i="2" s="1"/>
  <c r="O3707" i="2"/>
  <c r="L3707" i="2" s="1"/>
  <c r="O3734" i="2"/>
  <c r="L3734" i="2" s="1"/>
  <c r="O3740" i="2"/>
  <c r="L3740" i="2" s="1"/>
  <c r="O3693" i="2"/>
  <c r="L3693" i="2" s="1"/>
  <c r="O3659" i="2"/>
  <c r="L3659" i="2" s="1"/>
  <c r="O3675" i="2"/>
  <c r="L3675" i="2" s="1"/>
  <c r="O3628" i="2"/>
  <c r="L3628" i="2" s="1"/>
  <c r="O3618" i="2"/>
  <c r="L3618" i="2" s="1"/>
  <c r="O3588" i="2"/>
  <c r="L3588" i="2" s="1"/>
  <c r="O3522" i="2"/>
  <c r="L3522" i="2" s="1"/>
  <c r="O3559" i="2"/>
  <c r="L3559" i="2" s="1"/>
  <c r="O3562" i="2"/>
  <c r="L3562" i="2" s="1"/>
  <c r="O3513" i="2"/>
  <c r="L3513" i="2" s="1"/>
  <c r="O3492" i="2"/>
  <c r="L3492" i="2" s="1"/>
  <c r="O3461" i="2"/>
  <c r="L3461" i="2" s="1"/>
  <c r="O3419" i="2"/>
  <c r="L3419" i="2" s="1"/>
  <c r="O3437" i="2"/>
  <c r="L3437" i="2" s="1"/>
  <c r="O3460" i="2"/>
  <c r="L3460" i="2" s="1"/>
  <c r="O3466" i="2"/>
  <c r="L3466" i="2" s="1"/>
  <c r="O3386" i="2"/>
  <c r="L3386" i="2" s="1"/>
  <c r="O3373" i="2"/>
  <c r="L3373" i="2" s="1"/>
  <c r="O1331" i="2"/>
  <c r="L1331" i="2" s="1"/>
  <c r="O3254" i="2"/>
  <c r="L3254" i="2" s="1"/>
  <c r="O3272" i="2"/>
  <c r="L3272" i="2" s="1"/>
  <c r="O3295" i="2"/>
  <c r="L3295" i="2" s="1"/>
  <c r="O3335" i="2"/>
  <c r="L3335" i="2" s="1"/>
  <c r="O3359" i="2"/>
  <c r="L3359" i="2" s="1"/>
  <c r="O3346" i="2"/>
  <c r="L3346" i="2" s="1"/>
  <c r="O3181" i="2"/>
  <c r="L3181" i="2" s="1"/>
  <c r="O3210" i="2"/>
  <c r="L3210" i="2" s="1"/>
  <c r="O3215" i="2"/>
  <c r="L3215" i="2" s="1"/>
  <c r="O3162" i="2"/>
  <c r="L3162" i="2" s="1"/>
  <c r="O3074" i="2"/>
  <c r="L3074" i="2" s="1"/>
  <c r="O3117" i="2"/>
  <c r="L3117" i="2" s="1"/>
  <c r="O3103" i="2"/>
  <c r="L3103" i="2" s="1"/>
  <c r="O3126" i="2"/>
  <c r="L3126" i="2" s="1"/>
  <c r="O3138" i="2"/>
  <c r="L3138" i="2" s="1"/>
  <c r="O3151" i="2"/>
  <c r="L3151" i="2" s="1"/>
  <c r="O3034" i="2"/>
  <c r="L3034" i="2" s="1"/>
  <c r="O3042" i="2"/>
  <c r="L3042" i="2" s="1"/>
  <c r="O3002" i="2"/>
  <c r="L3002" i="2" s="1"/>
  <c r="O3022" i="2"/>
  <c r="L3022" i="2" s="1"/>
  <c r="O3011" i="2"/>
  <c r="L3011" i="2" s="1"/>
  <c r="O2943" i="2"/>
  <c r="L2943" i="2" s="1"/>
  <c r="O2968" i="2"/>
  <c r="L2968" i="2" s="1"/>
  <c r="O2928" i="2"/>
  <c r="L2928" i="2" s="1"/>
  <c r="O2925" i="2"/>
  <c r="L2925" i="2" s="1"/>
  <c r="O4326" i="2"/>
  <c r="L4326" i="2" s="1"/>
  <c r="O4336" i="2"/>
  <c r="L4336" i="2" s="1"/>
  <c r="O4304" i="2"/>
  <c r="L4304" i="2" s="1"/>
  <c r="O4286" i="2"/>
  <c r="L4286" i="2" s="1"/>
  <c r="O4269" i="2"/>
  <c r="L4269" i="2" s="1"/>
  <c r="O4260" i="2"/>
  <c r="L4260" i="2" s="1"/>
  <c r="O4242" i="2"/>
  <c r="L4242" i="2" s="1"/>
  <c r="O4229" i="2"/>
  <c r="L4229" i="2" s="1"/>
  <c r="O4210" i="2"/>
  <c r="L4210" i="2" s="1"/>
  <c r="O4177" i="2"/>
  <c r="L4177" i="2" s="1"/>
  <c r="O4165" i="2"/>
  <c r="L4165" i="2" s="1"/>
  <c r="O4147" i="2"/>
  <c r="L4147" i="2" s="1"/>
  <c r="O4117" i="2"/>
  <c r="L4117" i="2" s="1"/>
  <c r="O4132" i="2"/>
  <c r="L4132" i="2" s="1"/>
  <c r="O4098" i="2"/>
  <c r="L4098" i="2" s="1"/>
  <c r="O4076" i="2"/>
  <c r="L4076" i="2" s="1"/>
  <c r="O4068" i="2"/>
  <c r="L4068" i="2" s="1"/>
  <c r="O4035" i="2"/>
  <c r="L4035" i="2" s="1"/>
  <c r="O4050" i="2"/>
  <c r="L4050" i="2" s="1"/>
  <c r="O3976" i="2"/>
  <c r="L3976" i="2" s="1"/>
  <c r="O3964" i="2"/>
  <c r="L3964" i="2" s="1"/>
  <c r="O3920" i="2"/>
  <c r="L3920" i="2" s="1"/>
  <c r="O3936" i="2"/>
  <c r="L3936" i="2" s="1"/>
  <c r="O3948" i="2"/>
  <c r="L3948" i="2" s="1"/>
  <c r="O3865" i="2"/>
  <c r="L3865" i="2" s="1"/>
  <c r="O3886" i="2"/>
  <c r="L3886" i="2" s="1"/>
  <c r="O3899" i="2"/>
  <c r="L3899" i="2" s="1"/>
  <c r="O3904" i="2"/>
  <c r="L3904" i="2" s="1"/>
  <c r="O3832" i="2"/>
  <c r="L3832" i="2" s="1"/>
  <c r="O3807" i="2"/>
  <c r="L3807" i="2" s="1"/>
  <c r="O3781" i="2"/>
  <c r="L3781" i="2" s="1"/>
  <c r="O3786" i="2"/>
  <c r="L3786" i="2" s="1"/>
  <c r="O3706" i="2"/>
  <c r="L3706" i="2" s="1"/>
  <c r="O3733" i="2"/>
  <c r="L3733" i="2" s="1"/>
  <c r="O3738" i="2"/>
  <c r="L3738" i="2" s="1"/>
  <c r="O3695" i="2"/>
  <c r="L3695" i="2" s="1"/>
  <c r="O3658" i="2"/>
  <c r="L3658" i="2" s="1"/>
  <c r="O3681" i="2"/>
  <c r="L3681" i="2" s="1"/>
  <c r="O3629" i="2"/>
  <c r="L3629" i="2" s="1"/>
  <c r="O3621" i="2"/>
  <c r="L3621" i="2" s="1"/>
  <c r="O3587" i="2"/>
  <c r="L3587" i="2" s="1"/>
  <c r="O3602" i="2"/>
  <c r="L3602" i="2" s="1"/>
  <c r="O3531" i="2"/>
  <c r="L3531" i="2" s="1"/>
  <c r="O3553" i="2"/>
  <c r="L3553" i="2" s="1"/>
  <c r="O4325" i="2"/>
  <c r="L4325" i="2" s="1"/>
  <c r="O4332" i="2"/>
  <c r="L4332" i="2" s="1"/>
  <c r="O4300" i="2"/>
  <c r="L4300" i="2" s="1"/>
  <c r="O4285" i="2"/>
  <c r="L4285" i="2" s="1"/>
  <c r="O4268" i="2"/>
  <c r="L4268" i="2" s="1"/>
  <c r="O4224" i="2"/>
  <c r="L4224" i="2" s="1"/>
  <c r="O4241" i="2"/>
  <c r="L4241" i="2" s="1"/>
  <c r="O4228" i="2"/>
  <c r="L4228" i="2" s="1"/>
  <c r="O4246" i="2"/>
  <c r="L4246" i="2" s="1"/>
  <c r="O4209" i="2"/>
  <c r="L4209" i="2" s="1"/>
  <c r="O4176" i="2"/>
  <c r="L4176" i="2" s="1"/>
  <c r="O4146" i="2"/>
  <c r="L4146" i="2" s="1"/>
  <c r="O4116" i="2"/>
  <c r="L4116" i="2" s="1"/>
  <c r="O4131" i="2"/>
  <c r="L4131" i="2" s="1"/>
  <c r="O4097" i="2"/>
  <c r="L4097" i="2" s="1"/>
  <c r="O4080" i="2"/>
  <c r="L4080" i="2" s="1"/>
  <c r="O4069" i="2"/>
  <c r="L4069" i="2" s="1"/>
  <c r="O4034" i="2"/>
  <c r="L4034" i="2" s="1"/>
  <c r="O4049" i="2"/>
  <c r="L4049" i="2" s="1"/>
  <c r="O4012" i="2"/>
  <c r="L4012" i="2" s="1"/>
  <c r="O3998" i="2"/>
  <c r="L3998" i="2" s="1"/>
  <c r="O3975" i="2"/>
  <c r="L3975" i="2" s="1"/>
  <c r="O3963" i="2"/>
  <c r="L3963" i="2" s="1"/>
  <c r="O3919" i="2"/>
  <c r="L3919" i="2" s="1"/>
  <c r="O3935" i="2"/>
  <c r="L3935" i="2" s="1"/>
  <c r="O3947" i="2"/>
  <c r="L3947" i="2" s="1"/>
  <c r="O3863" i="2"/>
  <c r="L3863" i="2" s="1"/>
  <c r="O3885" i="2"/>
  <c r="L3885" i="2" s="1"/>
  <c r="O3902" i="2"/>
  <c r="L3902" i="2" s="1"/>
  <c r="O3840" i="2"/>
  <c r="L3840" i="2" s="1"/>
  <c r="O3839" i="2"/>
  <c r="L3839" i="2" s="1"/>
  <c r="O3806" i="2"/>
  <c r="L3806" i="2" s="1"/>
  <c r="O3759" i="2"/>
  <c r="L3759" i="2" s="1"/>
  <c r="O3780" i="2"/>
  <c r="L3780" i="2" s="1"/>
  <c r="O3718" i="2"/>
  <c r="L3718" i="2" s="1"/>
  <c r="O3732" i="2"/>
  <c r="L3732" i="2" s="1"/>
  <c r="O3741" i="2"/>
  <c r="L3741" i="2" s="1"/>
  <c r="O3694" i="2"/>
  <c r="L3694" i="2" s="1"/>
  <c r="O3657" i="2"/>
  <c r="L3657" i="2" s="1"/>
  <c r="O3680" i="2"/>
  <c r="L3680" i="2" s="1"/>
  <c r="O3631" i="2"/>
  <c r="L3631" i="2" s="1"/>
  <c r="O3607" i="2"/>
  <c r="L3607" i="2" s="1"/>
  <c r="O3589" i="2"/>
  <c r="L3589" i="2" s="1"/>
  <c r="O3605" i="2"/>
  <c r="L3605" i="2" s="1"/>
  <c r="O3530" i="2"/>
  <c r="L3530" i="2" s="1"/>
  <c r="O3550" i="2"/>
  <c r="L3550" i="2" s="1"/>
  <c r="O3516" i="2"/>
  <c r="L3516" i="2" s="1"/>
  <c r="O4323" i="2"/>
  <c r="L4323" i="2" s="1"/>
  <c r="O4314" i="2"/>
  <c r="L4314" i="2" s="1"/>
  <c r="O4298" i="2"/>
  <c r="L4298" i="2" s="1"/>
  <c r="O4282" i="2"/>
  <c r="L4282" i="2" s="1"/>
  <c r="O4267" i="2"/>
  <c r="L4267" i="2" s="1"/>
  <c r="O4222" i="2"/>
  <c r="L4222" i="2" s="1"/>
  <c r="O4239" i="2"/>
  <c r="L4239" i="2" s="1"/>
  <c r="O4253" i="2"/>
  <c r="L4253" i="2" s="1"/>
  <c r="O4259" i="2"/>
  <c r="L4259" i="2" s="1"/>
  <c r="O4207" i="2"/>
  <c r="L4207" i="2" s="1"/>
  <c r="O4181" i="2"/>
  <c r="L4181" i="2" s="1"/>
  <c r="O4160" i="2"/>
  <c r="L4160" i="2" s="1"/>
  <c r="O4138" i="2"/>
  <c r="L4138" i="2" s="1"/>
  <c r="O4124" i="2"/>
  <c r="L4124" i="2" s="1"/>
  <c r="O4086" i="2"/>
  <c r="L4086" i="2" s="1"/>
  <c r="O4101" i="2"/>
  <c r="L4101" i="2" s="1"/>
  <c r="O4073" i="2"/>
  <c r="L4073" i="2" s="1"/>
  <c r="O854" i="2"/>
  <c r="L854" i="2" s="1"/>
  <c r="O4032" i="2"/>
  <c r="L4032" i="2" s="1"/>
  <c r="O4047" i="2"/>
  <c r="L4047" i="2" s="1"/>
  <c r="O4013" i="2"/>
  <c r="L4013" i="2" s="1"/>
  <c r="O4005" i="2"/>
  <c r="L4005" i="2" s="1"/>
  <c r="O3986" i="2"/>
  <c r="L3986" i="2" s="1"/>
  <c r="O3961" i="2"/>
  <c r="L3961" i="2" s="1"/>
  <c r="O3917" i="2"/>
  <c r="L3917" i="2" s="1"/>
  <c r="O3944" i="2"/>
  <c r="L3944" i="2" s="1"/>
  <c r="O3861" i="2"/>
  <c r="L3861" i="2" s="1"/>
  <c r="O3883" i="2"/>
  <c r="L3883" i="2" s="1"/>
  <c r="O3896" i="2"/>
  <c r="L3896" i="2" s="1"/>
  <c r="O3822" i="2"/>
  <c r="L3822" i="2" s="1"/>
  <c r="O3837" i="2"/>
  <c r="L3837" i="2" s="1"/>
  <c r="O3814" i="2"/>
  <c r="L3814" i="2" s="1"/>
  <c r="O3757" i="2"/>
  <c r="L3757" i="2" s="1"/>
  <c r="O3778" i="2"/>
  <c r="L3778" i="2" s="1"/>
  <c r="O3795" i="2"/>
  <c r="L3795" i="2" s="1"/>
  <c r="O3715" i="2"/>
  <c r="L3715" i="2" s="1"/>
  <c r="O3729" i="2"/>
  <c r="L3729" i="2" s="1"/>
  <c r="O3749" i="2"/>
  <c r="L3749" i="2" s="1"/>
  <c r="O3697" i="2"/>
  <c r="L3697" i="2" s="1"/>
  <c r="O3660" i="2"/>
  <c r="L3660" i="2" s="1"/>
  <c r="O3678" i="2"/>
  <c r="L3678" i="2" s="1"/>
  <c r="O4128" i="2"/>
  <c r="L4128" i="2" s="1"/>
  <c r="O3595" i="2"/>
  <c r="L3595" i="2" s="1"/>
  <c r="O3603" i="2"/>
  <c r="L3603" i="2" s="1"/>
  <c r="O3532" i="2"/>
  <c r="L3532" i="2" s="1"/>
  <c r="O3548" i="2"/>
  <c r="L3548" i="2" s="1"/>
  <c r="O3514" i="2"/>
  <c r="L3514" i="2" s="1"/>
  <c r="O4000" i="2"/>
  <c r="L4000" i="2" s="1"/>
  <c r="O3479" i="2"/>
  <c r="L3479" i="2" s="1"/>
  <c r="O3422" i="2"/>
  <c r="L3422" i="2" s="1"/>
  <c r="O3433" i="2"/>
  <c r="L3433" i="2" s="1"/>
  <c r="O3450" i="2"/>
  <c r="L3450" i="2" s="1"/>
  <c r="O3462" i="2"/>
  <c r="L3462" i="2" s="1"/>
  <c r="O3382" i="2"/>
  <c r="L3382" i="2" s="1"/>
  <c r="O3344" i="2"/>
  <c r="L3344" i="2" s="1"/>
  <c r="O3309" i="2"/>
  <c r="L3309" i="2" s="1"/>
  <c r="O3243" i="2"/>
  <c r="L3243" i="2" s="1"/>
  <c r="O3277" i="2"/>
  <c r="L3277" i="2" s="1"/>
  <c r="O3290" i="2"/>
  <c r="L3290" i="2" s="1"/>
  <c r="O3368" i="2"/>
  <c r="L3368" i="2" s="1"/>
  <c r="O3355" i="2"/>
  <c r="L3355" i="2" s="1"/>
  <c r="O3226" i="2"/>
  <c r="L3226" i="2" s="1"/>
  <c r="O3187" i="2"/>
  <c r="L3187" i="2" s="1"/>
  <c r="O3206" i="2"/>
  <c r="L3206" i="2" s="1"/>
  <c r="O3216" i="2"/>
  <c r="L3216" i="2" s="1"/>
  <c r="O3158" i="2"/>
  <c r="L3158" i="2" s="1"/>
  <c r="O3083" i="2"/>
  <c r="L3083" i="2" s="1"/>
  <c r="O3112" i="2"/>
  <c r="L3112" i="2" s="1"/>
  <c r="O3098" i="2"/>
  <c r="L3098" i="2" s="1"/>
  <c r="O3131" i="2"/>
  <c r="L3131" i="2" s="1"/>
  <c r="O3145" i="2"/>
  <c r="L3145" i="2" s="1"/>
  <c r="O3147" i="2"/>
  <c r="L3147" i="2" s="1"/>
  <c r="O3039" i="2"/>
  <c r="L3039" i="2" s="1"/>
  <c r="O3051" i="2"/>
  <c r="L3051" i="2" s="1"/>
  <c r="O2984" i="2"/>
  <c r="L2984" i="2" s="1"/>
  <c r="O2998" i="2"/>
  <c r="L2998" i="2" s="1"/>
  <c r="O3015" i="2"/>
  <c r="L3015" i="2" s="1"/>
  <c r="O2975" i="2"/>
  <c r="L2975" i="2" s="1"/>
  <c r="O2949" i="2"/>
  <c r="L2949" i="2" s="1"/>
  <c r="O2963" i="2"/>
  <c r="L2963" i="2" s="1"/>
  <c r="O2937" i="2"/>
  <c r="L2937" i="2" s="1"/>
  <c r="O2921" i="2"/>
  <c r="L2921" i="2" s="1"/>
  <c r="O4240" i="2"/>
  <c r="L4240" i="2" s="1"/>
  <c r="O4033" i="2"/>
  <c r="L4033" i="2" s="1"/>
  <c r="O3622" i="2"/>
  <c r="L3622" i="2" s="1"/>
  <c r="O3485" i="2"/>
  <c r="L3485" i="2" s="1"/>
  <c r="O3418" i="2"/>
  <c r="L3418" i="2" s="1"/>
  <c r="O3452" i="2"/>
  <c r="L3452" i="2" s="1"/>
  <c r="O3377" i="2"/>
  <c r="L3377" i="2" s="1"/>
  <c r="O3253" i="2"/>
  <c r="L3253" i="2" s="1"/>
  <c r="O3316" i="2"/>
  <c r="L3316" i="2" s="1"/>
  <c r="O3229" i="2"/>
  <c r="L3229" i="2" s="1"/>
  <c r="O3207" i="2"/>
  <c r="L3207" i="2" s="1"/>
  <c r="O3070" i="2"/>
  <c r="L3070" i="2" s="1"/>
  <c r="O3100" i="2"/>
  <c r="L3100" i="2" s="1"/>
  <c r="O3139" i="2"/>
  <c r="L3139" i="2" s="1"/>
  <c r="O3056" i="2"/>
  <c r="L3056" i="2" s="1"/>
  <c r="O2999" i="2"/>
  <c r="L2999" i="2" s="1"/>
  <c r="O3014" i="2"/>
  <c r="L3014" i="2" s="1"/>
  <c r="O2959" i="2"/>
  <c r="L2959" i="2" s="1"/>
  <c r="O2936" i="2"/>
  <c r="L2936" i="2" s="1"/>
  <c r="O2878" i="2"/>
  <c r="L2878" i="2" s="1"/>
  <c r="O2894" i="2"/>
  <c r="L2894" i="2" s="1"/>
  <c r="O2902" i="2"/>
  <c r="L2902" i="2" s="1"/>
  <c r="O2813" i="2"/>
  <c r="L2813" i="2" s="1"/>
  <c r="O2823" i="2"/>
  <c r="L2823" i="2" s="1"/>
  <c r="O2843" i="2"/>
  <c r="L2843" i="2" s="1"/>
  <c r="O2800" i="2"/>
  <c r="L2800" i="2" s="1"/>
  <c r="O4248" i="2"/>
  <c r="L4248" i="2" s="1"/>
  <c r="O4048" i="2"/>
  <c r="L4048" i="2" s="1"/>
  <c r="O3838" i="2"/>
  <c r="L3838" i="2" s="1"/>
  <c r="O3606" i="2"/>
  <c r="L3606" i="2" s="1"/>
  <c r="O3487" i="2"/>
  <c r="L3487" i="2" s="1"/>
  <c r="O3417" i="2"/>
  <c r="L3417" i="2" s="1"/>
  <c r="O3472" i="2"/>
  <c r="L3472" i="2" s="1"/>
  <c r="O3372" i="2"/>
  <c r="L3372" i="2" s="1"/>
  <c r="O3244" i="2"/>
  <c r="L3244" i="2" s="1"/>
  <c r="O3318" i="2"/>
  <c r="L3318" i="2" s="1"/>
  <c r="O3227" i="2"/>
  <c r="L3227" i="2" s="1"/>
  <c r="O3202" i="2"/>
  <c r="L3202" i="2" s="1"/>
  <c r="O3073" i="2"/>
  <c r="L3073" i="2" s="1"/>
  <c r="O3099" i="2"/>
  <c r="L3099" i="2" s="1"/>
  <c r="O3122" i="2"/>
  <c r="L3122" i="2" s="1"/>
  <c r="O3033" i="2"/>
  <c r="L3033" i="2" s="1"/>
  <c r="O3058" i="2"/>
  <c r="L3058" i="2" s="1"/>
  <c r="O2997" i="2"/>
  <c r="L2997" i="2" s="1"/>
  <c r="O3027" i="2"/>
  <c r="L3027" i="2" s="1"/>
  <c r="O2971" i="2"/>
  <c r="L2971" i="2" s="1"/>
  <c r="O2934" i="2"/>
  <c r="L2934" i="2" s="1"/>
  <c r="O2283" i="2"/>
  <c r="L2283" i="2" s="1"/>
  <c r="O2867" i="2"/>
  <c r="L2867" i="2" s="1"/>
  <c r="O2877" i="2"/>
  <c r="L2877" i="2" s="1"/>
  <c r="O2899" i="2"/>
  <c r="L2899" i="2" s="1"/>
  <c r="O2901" i="2"/>
  <c r="L2901" i="2" s="1"/>
  <c r="O2859" i="2"/>
  <c r="L2859" i="2" s="1"/>
  <c r="O2812" i="2"/>
  <c r="L2812" i="2" s="1"/>
  <c r="O2822" i="2"/>
  <c r="L2822" i="2" s="1"/>
  <c r="O2833" i="2"/>
  <c r="L2833" i="2" s="1"/>
  <c r="O2749" i="2"/>
  <c r="L2749" i="2" s="1"/>
  <c r="O2763" i="2"/>
  <c r="L2763" i="2" s="1"/>
  <c r="O2779" i="2"/>
  <c r="L2779" i="2" s="1"/>
  <c r="O2796" i="2"/>
  <c r="L2796" i="2" s="1"/>
  <c r="O2707" i="2"/>
  <c r="L2707" i="2" s="1"/>
  <c r="O2739" i="2"/>
  <c r="L2739" i="2" s="1"/>
  <c r="O2726" i="2"/>
  <c r="L2726" i="2" s="1"/>
  <c r="O2573" i="2"/>
  <c r="L2573" i="2" s="1"/>
  <c r="O2623" i="2"/>
  <c r="L2623" i="2" s="1"/>
  <c r="O2610" i="2"/>
  <c r="L2610" i="2" s="1"/>
  <c r="O2596" i="2"/>
  <c r="L2596" i="2" s="1"/>
  <c r="O2642" i="2"/>
  <c r="L2642" i="2" s="1"/>
  <c r="O2659" i="2"/>
  <c r="L2659" i="2" s="1"/>
  <c r="O2655" i="2"/>
  <c r="L2655" i="2" s="1"/>
  <c r="O2552" i="2"/>
  <c r="L2552" i="2" s="1"/>
  <c r="O2543" i="2"/>
  <c r="L2543" i="2" s="1"/>
  <c r="O2514" i="2"/>
  <c r="L2514" i="2" s="1"/>
  <c r="O2528" i="2"/>
  <c r="L2528" i="2" s="1"/>
  <c r="O2483" i="2"/>
  <c r="L2483" i="2" s="1"/>
  <c r="O2498" i="2"/>
  <c r="L2498" i="2" s="1"/>
  <c r="O2357" i="2"/>
  <c r="L2357" i="2" s="1"/>
  <c r="O2402" i="2"/>
  <c r="L2402" i="2" s="1"/>
  <c r="O2389" i="2"/>
  <c r="L2389" i="2" s="1"/>
  <c r="O2376" i="2"/>
  <c r="L2376" i="2" s="1"/>
  <c r="O2440" i="2"/>
  <c r="L2440" i="2" s="1"/>
  <c r="O2425" i="2"/>
  <c r="L2425" i="2" s="1"/>
  <c r="O2433" i="2"/>
  <c r="L2433" i="2" s="1"/>
  <c r="O2418" i="2"/>
  <c r="L2418" i="2" s="1"/>
  <c r="O2331" i="2"/>
  <c r="L2331" i="2" s="1"/>
  <c r="O2317" i="2"/>
  <c r="L2317" i="2" s="1"/>
  <c r="O2278" i="2"/>
  <c r="L2278" i="2" s="1"/>
  <c r="O2208" i="2"/>
  <c r="L2208" i="2" s="1"/>
  <c r="O2239" i="2"/>
  <c r="L2239" i="2" s="1"/>
  <c r="O2226" i="2"/>
  <c r="L2226" i="2" s="1"/>
  <c r="O2264" i="2"/>
  <c r="L2264" i="2" s="1"/>
  <c r="O2275" i="2"/>
  <c r="L2275" i="2" s="1"/>
  <c r="O2256" i="2"/>
  <c r="L2256" i="2" s="1"/>
  <c r="O2067" i="2"/>
  <c r="L2067" i="2" s="1"/>
  <c r="O2091" i="2"/>
  <c r="L2091" i="2" s="1"/>
  <c r="O2135" i="2"/>
  <c r="L2135" i="2" s="1"/>
  <c r="O2122" i="2"/>
  <c r="L2122" i="2" s="1"/>
  <c r="O2141" i="2"/>
  <c r="L2141" i="2" s="1"/>
  <c r="O2156" i="2"/>
  <c r="L2156" i="2" s="1"/>
  <c r="O2189" i="2"/>
  <c r="L2189" i="2" s="1"/>
  <c r="O2010" i="2"/>
  <c r="L2010" i="2" s="1"/>
  <c r="O2025" i="2"/>
  <c r="L2025" i="2" s="1"/>
  <c r="O2034" i="2"/>
  <c r="L2034" i="2" s="1"/>
  <c r="O2002" i="2"/>
  <c r="L2002" i="2" s="1"/>
  <c r="O1921" i="2"/>
  <c r="L1921" i="2" s="1"/>
  <c r="O1942" i="2"/>
  <c r="L1942" i="2" s="1"/>
  <c r="O1971" i="2"/>
  <c r="L1971" i="2" s="1"/>
  <c r="O1961" i="2"/>
  <c r="L1961" i="2" s="1"/>
  <c r="O1878" i="2"/>
  <c r="L1878" i="2" s="1"/>
  <c r="O4254" i="2"/>
  <c r="L4254" i="2" s="1"/>
  <c r="O4011" i="2"/>
  <c r="L4011" i="2" s="1"/>
  <c r="O3805" i="2"/>
  <c r="L3805" i="2" s="1"/>
  <c r="O3596" i="2"/>
  <c r="L3596" i="2" s="1"/>
  <c r="O3482" i="2"/>
  <c r="L3482" i="2" s="1"/>
  <c r="O3423" i="2"/>
  <c r="L3423" i="2" s="1"/>
  <c r="O3470" i="2"/>
  <c r="L3470" i="2" s="1"/>
  <c r="O3345" i="2"/>
  <c r="L3345" i="2" s="1"/>
  <c r="O3250" i="2"/>
  <c r="L3250" i="2" s="1"/>
  <c r="O3324" i="2"/>
  <c r="L3324" i="2" s="1"/>
  <c r="O3220" i="2"/>
  <c r="L3220" i="2" s="1"/>
  <c r="O3221" i="2"/>
  <c r="L3221" i="2" s="1"/>
  <c r="O3072" i="2"/>
  <c r="L3072" i="2" s="1"/>
  <c r="O3095" i="2"/>
  <c r="L3095" i="2" s="1"/>
  <c r="O3144" i="2"/>
  <c r="L3144" i="2" s="1"/>
  <c r="O3032" i="2"/>
  <c r="L3032" i="2" s="1"/>
  <c r="O3030" i="2"/>
  <c r="L3030" i="2" s="1"/>
  <c r="O2994" i="2"/>
  <c r="L2994" i="2" s="1"/>
  <c r="O2977" i="2"/>
  <c r="L2977" i="2" s="1"/>
  <c r="O2967" i="2"/>
  <c r="L2967" i="2" s="1"/>
  <c r="O2933" i="2"/>
  <c r="L2933" i="2" s="1"/>
  <c r="O2284" i="2"/>
  <c r="L2284" i="2" s="1"/>
  <c r="O2868" i="2"/>
  <c r="L2868" i="2" s="1"/>
  <c r="O2889" i="2"/>
  <c r="L2889" i="2" s="1"/>
  <c r="O2913" i="2"/>
  <c r="L2913" i="2" s="1"/>
  <c r="O2900" i="2"/>
  <c r="L2900" i="2" s="1"/>
  <c r="O2861" i="2"/>
  <c r="L2861" i="2" s="1"/>
  <c r="O4208" i="2"/>
  <c r="L4208" i="2" s="1"/>
  <c r="O3999" i="2"/>
  <c r="L3999" i="2" s="1"/>
  <c r="O3758" i="2"/>
  <c r="L3758" i="2" s="1"/>
  <c r="O3604" i="2"/>
  <c r="L3604" i="2" s="1"/>
  <c r="O3481" i="2"/>
  <c r="L3481" i="2" s="1"/>
  <c r="O3443" i="2"/>
  <c r="L3443" i="2" s="1"/>
  <c r="O3465" i="2"/>
  <c r="L3465" i="2" s="1"/>
  <c r="O1332" i="2"/>
  <c r="L1332" i="2" s="1"/>
  <c r="O3242" i="2"/>
  <c r="L3242" i="2" s="1"/>
  <c r="O3223" i="2"/>
  <c r="L3223" i="2" s="1"/>
  <c r="O3218" i="2"/>
  <c r="L3218" i="2" s="1"/>
  <c r="O3085" i="2"/>
  <c r="L3085" i="2" s="1"/>
  <c r="O3142" i="2"/>
  <c r="L3142" i="2" s="1"/>
  <c r="O3040" i="2"/>
  <c r="L3040" i="2" s="1"/>
  <c r="O2981" i="2"/>
  <c r="L2981" i="2" s="1"/>
  <c r="O2993" i="2"/>
  <c r="L2993" i="2" s="1"/>
  <c r="O2965" i="2"/>
  <c r="L2965" i="2" s="1"/>
  <c r="O2927" i="2"/>
  <c r="L2927" i="2" s="1"/>
  <c r="O2285" i="2"/>
  <c r="L2285" i="2" s="1"/>
  <c r="O2866" i="2"/>
  <c r="L2866" i="2" s="1"/>
  <c r="O2888" i="2"/>
  <c r="L2888" i="2" s="1"/>
  <c r="O2912" i="2"/>
  <c r="L2912" i="2" s="1"/>
  <c r="O2862" i="2"/>
  <c r="L2862" i="2" s="1"/>
  <c r="O2849" i="2"/>
  <c r="L2849" i="2" s="1"/>
  <c r="O2810" i="2"/>
  <c r="L2810" i="2" s="1"/>
  <c r="O2819" i="2"/>
  <c r="L2819" i="2" s="1"/>
  <c r="O2747" i="2"/>
  <c r="L2747" i="2" s="1"/>
  <c r="O2771" i="2"/>
  <c r="L2771" i="2" s="1"/>
  <c r="O2777" i="2"/>
  <c r="L2777" i="2" s="1"/>
  <c r="O2785" i="2"/>
  <c r="L2785" i="2" s="1"/>
  <c r="O2694" i="2"/>
  <c r="L2694" i="2" s="1"/>
  <c r="O2705" i="2"/>
  <c r="L2705" i="2" s="1"/>
  <c r="O2737" i="2"/>
  <c r="L2737" i="2" s="1"/>
  <c r="O2589" i="2"/>
  <c r="L2589" i="2" s="1"/>
  <c r="O2572" i="2"/>
  <c r="L2572" i="2" s="1"/>
  <c r="O2620" i="2"/>
  <c r="L2620" i="2" s="1"/>
  <c r="O2607" i="2"/>
  <c r="L2607" i="2" s="1"/>
  <c r="O2594" i="2"/>
  <c r="L2594" i="2" s="1"/>
  <c r="O2649" i="2"/>
  <c r="L2649" i="2" s="1"/>
  <c r="O2643" i="2"/>
  <c r="L2643" i="2" s="1"/>
  <c r="O2646" i="2"/>
  <c r="L2646" i="2" s="1"/>
  <c r="O2550" i="2"/>
  <c r="L2550" i="2" s="1"/>
  <c r="O2512" i="2"/>
  <c r="L2512" i="2" s="1"/>
  <c r="O2531" i="2"/>
  <c r="L2531" i="2" s="1"/>
  <c r="O2494" i="2"/>
  <c r="L2494" i="2" s="1"/>
  <c r="O2497" i="2"/>
  <c r="L2497" i="2" s="1"/>
  <c r="O2355" i="2"/>
  <c r="L2355" i="2" s="1"/>
  <c r="O2400" i="2"/>
  <c r="L2400" i="2" s="1"/>
  <c r="O2387" i="2"/>
  <c r="L2387" i="2" s="1"/>
  <c r="O2374" i="2"/>
  <c r="L2374" i="2" s="1"/>
  <c r="O2435" i="2"/>
  <c r="L2435" i="2" s="1"/>
  <c r="O2415" i="2"/>
  <c r="L2415" i="2" s="1"/>
  <c r="O2421" i="2"/>
  <c r="L2421" i="2" s="1"/>
  <c r="O2329" i="2"/>
  <c r="L2329" i="2" s="1"/>
  <c r="O2307" i="2"/>
  <c r="L2307" i="2" s="1"/>
  <c r="O1003" i="2"/>
  <c r="L1003" i="2" s="1"/>
  <c r="O2212" i="2"/>
  <c r="L2212" i="2" s="1"/>
  <c r="O2237" i="2"/>
  <c r="L2237" i="2" s="1"/>
  <c r="O4178" i="2"/>
  <c r="L4178" i="2" s="1"/>
  <c r="O3987" i="2"/>
  <c r="L3987" i="2" s="1"/>
  <c r="O3779" i="2"/>
  <c r="L3779" i="2" s="1"/>
  <c r="O3533" i="2"/>
  <c r="L3533" i="2" s="1"/>
  <c r="O3480" i="2"/>
  <c r="L3480" i="2" s="1"/>
  <c r="O3442" i="2"/>
  <c r="L3442" i="2" s="1"/>
  <c r="O3464" i="2"/>
  <c r="L3464" i="2" s="1"/>
  <c r="O3330" i="2"/>
  <c r="L3330" i="2" s="1"/>
  <c r="O3271" i="2"/>
  <c r="L3271" i="2" s="1"/>
  <c r="O3369" i="2"/>
  <c r="L3369" i="2" s="1"/>
  <c r="O3214" i="2"/>
  <c r="L3214" i="2" s="1"/>
  <c r="O3080" i="2"/>
  <c r="L3080" i="2" s="1"/>
  <c r="O3130" i="2"/>
  <c r="L3130" i="2" s="1"/>
  <c r="O3141" i="2"/>
  <c r="L3141" i="2" s="1"/>
  <c r="O3038" i="2"/>
  <c r="L3038" i="2" s="1"/>
  <c r="O2986" i="2"/>
  <c r="L2986" i="2" s="1"/>
  <c r="O2992" i="2"/>
  <c r="L2992" i="2" s="1"/>
  <c r="O2948" i="2"/>
  <c r="L2948" i="2" s="1"/>
  <c r="O2964" i="2"/>
  <c r="L2964" i="2" s="1"/>
  <c r="O2924" i="2"/>
  <c r="L2924" i="2" s="1"/>
  <c r="O1026" i="2"/>
  <c r="L1026" i="2" s="1"/>
  <c r="O2876" i="2"/>
  <c r="L2876" i="2" s="1"/>
  <c r="O2887" i="2"/>
  <c r="L2887" i="2" s="1"/>
  <c r="O2911" i="2"/>
  <c r="L2911" i="2" s="1"/>
  <c r="O2848" i="2"/>
  <c r="L2848" i="2" s="1"/>
  <c r="O2814" i="2"/>
  <c r="L2814" i="2" s="1"/>
  <c r="O2818" i="2"/>
  <c r="L2818" i="2" s="1"/>
  <c r="O2845" i="2"/>
  <c r="L2845" i="2" s="1"/>
  <c r="O2746" i="2"/>
  <c r="L2746" i="2" s="1"/>
  <c r="O2770" i="2"/>
  <c r="L2770" i="2" s="1"/>
  <c r="O2776" i="2"/>
  <c r="L2776" i="2" s="1"/>
  <c r="O2789" i="2"/>
  <c r="L2789" i="2" s="1"/>
  <c r="O2693" i="2"/>
  <c r="L2693" i="2" s="1"/>
  <c r="O2704" i="2"/>
  <c r="L2704" i="2" s="1"/>
  <c r="O2736" i="2"/>
  <c r="L2736" i="2" s="1"/>
  <c r="O2683" i="2"/>
  <c r="L2683" i="2" s="1"/>
  <c r="O2588" i="2"/>
  <c r="L2588" i="2" s="1"/>
  <c r="O2619" i="2"/>
  <c r="L2619" i="2" s="1"/>
  <c r="O2606" i="2"/>
  <c r="L2606" i="2" s="1"/>
  <c r="O2593" i="2"/>
  <c r="L2593" i="2" s="1"/>
  <c r="O2632" i="2"/>
  <c r="L2632" i="2" s="1"/>
  <c r="O2660" i="2"/>
  <c r="L2660" i="2" s="1"/>
  <c r="O2553" i="2"/>
  <c r="L2553" i="2" s="1"/>
  <c r="O2526" i="2"/>
  <c r="L2526" i="2" s="1"/>
  <c r="O2533" i="2"/>
  <c r="L2533" i="2" s="1"/>
  <c r="O2492" i="2"/>
  <c r="L2492" i="2" s="1"/>
  <c r="O2496" i="2"/>
  <c r="L2496" i="2" s="1"/>
  <c r="O2354" i="2"/>
  <c r="L2354" i="2" s="1"/>
  <c r="O2399" i="2"/>
  <c r="L2399" i="2" s="1"/>
  <c r="O2386" i="2"/>
  <c r="L2386" i="2" s="1"/>
  <c r="O2373" i="2"/>
  <c r="L2373" i="2" s="1"/>
  <c r="O2412" i="2"/>
  <c r="L2412" i="2" s="1"/>
  <c r="O2456" i="2"/>
  <c r="L2456" i="2" s="1"/>
  <c r="O2416" i="2"/>
  <c r="L2416" i="2" s="1"/>
  <c r="O2322" i="2"/>
  <c r="L2322" i="2" s="1"/>
  <c r="O2306" i="2"/>
  <c r="L2306" i="2" s="1"/>
  <c r="O2263" i="2"/>
  <c r="L2263" i="2" s="1"/>
  <c r="O2211" i="2"/>
  <c r="L2211" i="2" s="1"/>
  <c r="O2236" i="2"/>
  <c r="L2236" i="2" s="1"/>
  <c r="O2223" i="2"/>
  <c r="L2223" i="2" s="1"/>
  <c r="O2254" i="2"/>
  <c r="L2254" i="2" s="1"/>
  <c r="O140" i="2"/>
  <c r="L140" i="2" s="1"/>
  <c r="O2194" i="2"/>
  <c r="L2194" i="2" s="1"/>
  <c r="O2061" i="2"/>
  <c r="L2061" i="2" s="1"/>
  <c r="O2088" i="2"/>
  <c r="L2088" i="2" s="1"/>
  <c r="O2131" i="2"/>
  <c r="L2131" i="2" s="1"/>
  <c r="O2118" i="2"/>
  <c r="L2118" i="2" s="1"/>
  <c r="O2142" i="2"/>
  <c r="L2142" i="2" s="1"/>
  <c r="O2166" i="2"/>
  <c r="L2166" i="2" s="1"/>
  <c r="O2186" i="2"/>
  <c r="L2186" i="2" s="1"/>
  <c r="O2015" i="2"/>
  <c r="L2015" i="2" s="1"/>
  <c r="O2022" i="2"/>
  <c r="L2022" i="2" s="1"/>
  <c r="O2046" i="2"/>
  <c r="L2046" i="2" s="1"/>
  <c r="O1952" i="2"/>
  <c r="L1952" i="2" s="1"/>
  <c r="O1939" i="2"/>
  <c r="L1939" i="2" s="1"/>
  <c r="O1962" i="2"/>
  <c r="L1962" i="2" s="1"/>
  <c r="O1996" i="2"/>
  <c r="L1996" i="2" s="1"/>
  <c r="O1907" i="2"/>
  <c r="L1907" i="2" s="1"/>
  <c r="O4159" i="2"/>
  <c r="L4159" i="2" s="1"/>
  <c r="O3962" i="2"/>
  <c r="L3962" i="2" s="1"/>
  <c r="O3788" i="2"/>
  <c r="L3788" i="2" s="1"/>
  <c r="O3552" i="2"/>
  <c r="L3552" i="2" s="1"/>
  <c r="O3476" i="2"/>
  <c r="L3476" i="2" s="1"/>
  <c r="O3436" i="2"/>
  <c r="L3436" i="2" s="1"/>
  <c r="O3463" i="2"/>
  <c r="L3463" i="2" s="1"/>
  <c r="O1553" i="2"/>
  <c r="L1553" i="2" s="1"/>
  <c r="O3269" i="2"/>
  <c r="L3269" i="2" s="1"/>
  <c r="O3365" i="2"/>
  <c r="L3365" i="2" s="1"/>
  <c r="O3190" i="2"/>
  <c r="L3190" i="2" s="1"/>
  <c r="O3217" i="2"/>
  <c r="L3217" i="2" s="1"/>
  <c r="O3079" i="2"/>
  <c r="L3079" i="2" s="1"/>
  <c r="O3133" i="2"/>
  <c r="L3133" i="2" s="1"/>
  <c r="O3155" i="2"/>
  <c r="L3155" i="2" s="1"/>
  <c r="O3048" i="2"/>
  <c r="L3048" i="2" s="1"/>
  <c r="O2985" i="2"/>
  <c r="L2985" i="2" s="1"/>
  <c r="O3024" i="2"/>
  <c r="L3024" i="2" s="1"/>
  <c r="O2947" i="2"/>
  <c r="L2947" i="2" s="1"/>
  <c r="O2961" i="2"/>
  <c r="L2961" i="2" s="1"/>
  <c r="O2923" i="2"/>
  <c r="L2923" i="2" s="1"/>
  <c r="O1023" i="2"/>
  <c r="L1023" i="2" s="1"/>
  <c r="O2875" i="2"/>
  <c r="L2875" i="2" s="1"/>
  <c r="O2886" i="2"/>
  <c r="L2886" i="2" s="1"/>
  <c r="O2910" i="2"/>
  <c r="L2910" i="2" s="1"/>
  <c r="O2851" i="2"/>
  <c r="L2851" i="2" s="1"/>
  <c r="O2830" i="2"/>
  <c r="L2830" i="2" s="1"/>
  <c r="O2817" i="2"/>
  <c r="L2817" i="2" s="1"/>
  <c r="O2835" i="2"/>
  <c r="L2835" i="2" s="1"/>
  <c r="O2745" i="2"/>
  <c r="L2745" i="2" s="1"/>
  <c r="O2769" i="2"/>
  <c r="L2769" i="2" s="1"/>
  <c r="O2775" i="2"/>
  <c r="L2775" i="2" s="1"/>
  <c r="O2792" i="2"/>
  <c r="L2792" i="2" s="1"/>
  <c r="O2692" i="2"/>
  <c r="L2692" i="2" s="1"/>
  <c r="O2710" i="2"/>
  <c r="L2710" i="2" s="1"/>
  <c r="O2735" i="2"/>
  <c r="L2735" i="2" s="1"/>
  <c r="O2682" i="2"/>
  <c r="L2682" i="2" s="1"/>
  <c r="O2587" i="2"/>
  <c r="L2587" i="2" s="1"/>
  <c r="O2618" i="2"/>
  <c r="L2618" i="2" s="1"/>
  <c r="O2605" i="2"/>
  <c r="L2605" i="2" s="1"/>
  <c r="O2592" i="2"/>
  <c r="L2592" i="2" s="1"/>
  <c r="O2663" i="2"/>
  <c r="L2663" i="2" s="1"/>
  <c r="O2656" i="2"/>
  <c r="L2656" i="2" s="1"/>
  <c r="O2676" i="2"/>
  <c r="L2676" i="2" s="1"/>
  <c r="O2561" i="2"/>
  <c r="L2561" i="2" s="1"/>
  <c r="O2525" i="2"/>
  <c r="L2525" i="2" s="1"/>
  <c r="O2535" i="2"/>
  <c r="L2535" i="2" s="1"/>
  <c r="O2491" i="2"/>
  <c r="L2491" i="2" s="1"/>
  <c r="O2500" i="2"/>
  <c r="L2500" i="2" s="1"/>
  <c r="O2345" i="2"/>
  <c r="L2345" i="2" s="1"/>
  <c r="O2353" i="2"/>
  <c r="L2353" i="2" s="1"/>
  <c r="O2398" i="2"/>
  <c r="L2398" i="2" s="1"/>
  <c r="O2385" i="2"/>
  <c r="L2385" i="2" s="1"/>
  <c r="O2372" i="2"/>
  <c r="L2372" i="2" s="1"/>
  <c r="O2430" i="2"/>
  <c r="L2430" i="2" s="1"/>
  <c r="O2448" i="2"/>
  <c r="L2448" i="2" s="1"/>
  <c r="O2411" i="2"/>
  <c r="L2411" i="2" s="1"/>
  <c r="O2431" i="2"/>
  <c r="L2431" i="2" s="1"/>
  <c r="O2305" i="2"/>
  <c r="L2305" i="2" s="1"/>
  <c r="O2273" i="2"/>
  <c r="L2273" i="2" s="1"/>
  <c r="O2210" i="2"/>
  <c r="L2210" i="2" s="1"/>
  <c r="O2235" i="2"/>
  <c r="L2235" i="2" s="1"/>
  <c r="O2222" i="2"/>
  <c r="L2222" i="2" s="1"/>
  <c r="O2252" i="2"/>
  <c r="L2252" i="2" s="1"/>
  <c r="O2193" i="2"/>
  <c r="L2193" i="2" s="1"/>
  <c r="O2064" i="2"/>
  <c r="L2064" i="2" s="1"/>
  <c r="O2086" i="2"/>
  <c r="L2086" i="2" s="1"/>
  <c r="O2130" i="2"/>
  <c r="L2130" i="2" s="1"/>
  <c r="O2117" i="2"/>
  <c r="L2117" i="2" s="1"/>
  <c r="O2172" i="2"/>
  <c r="L2172" i="2" s="1"/>
  <c r="O2164" i="2"/>
  <c r="L2164" i="2" s="1"/>
  <c r="O2185" i="2"/>
  <c r="L2185" i="2" s="1"/>
  <c r="O2014" i="2"/>
  <c r="L2014" i="2" s="1"/>
  <c r="O2021" i="2"/>
  <c r="L2021" i="2" s="1"/>
  <c r="O2047" i="2"/>
  <c r="L2047" i="2" s="1"/>
  <c r="O1920" i="2"/>
  <c r="L1920" i="2" s="1"/>
  <c r="O1951" i="2"/>
  <c r="L1951" i="2" s="1"/>
  <c r="O1937" i="2"/>
  <c r="L1937" i="2" s="1"/>
  <c r="O1964" i="2"/>
  <c r="L1964" i="2" s="1"/>
  <c r="O1995" i="2"/>
  <c r="L1995" i="2" s="1"/>
  <c r="O1908" i="2"/>
  <c r="L1908" i="2" s="1"/>
  <c r="O4324" i="2"/>
  <c r="L4324" i="2" s="1"/>
  <c r="O4145" i="2"/>
  <c r="L4145" i="2" s="1"/>
  <c r="O3918" i="2"/>
  <c r="L3918" i="2" s="1"/>
  <c r="O3717" i="2"/>
  <c r="L3717" i="2" s="1"/>
  <c r="O3561" i="2"/>
  <c r="L3561" i="2" s="1"/>
  <c r="O3457" i="2"/>
  <c r="L3457" i="2" s="1"/>
  <c r="O3435" i="2"/>
  <c r="L3435" i="2" s="1"/>
  <c r="O3280" i="2"/>
  <c r="L3280" i="2" s="1"/>
  <c r="O3331" i="2"/>
  <c r="L3331" i="2" s="1"/>
  <c r="O3268" i="2"/>
  <c r="L3268" i="2" s="1"/>
  <c r="O3364" i="2"/>
  <c r="L3364" i="2" s="1"/>
  <c r="O3189" i="2"/>
  <c r="L3189" i="2" s="1"/>
  <c r="O3164" i="2"/>
  <c r="L3164" i="2" s="1"/>
  <c r="O3116" i="2"/>
  <c r="L3116" i="2" s="1"/>
  <c r="O3135" i="2"/>
  <c r="L3135" i="2" s="1"/>
  <c r="O3150" i="2"/>
  <c r="L3150" i="2" s="1"/>
  <c r="O3047" i="2"/>
  <c r="L3047" i="2" s="1"/>
  <c r="O2983" i="2"/>
  <c r="L2983" i="2" s="1"/>
  <c r="O3026" i="2"/>
  <c r="L3026" i="2" s="1"/>
  <c r="O2946" i="2"/>
  <c r="L2946" i="2" s="1"/>
  <c r="O2973" i="2"/>
  <c r="L2973" i="2" s="1"/>
  <c r="O2922" i="2"/>
  <c r="L2922" i="2" s="1"/>
  <c r="O1024" i="2"/>
  <c r="L1024" i="2" s="1"/>
  <c r="O2874" i="2"/>
  <c r="L2874" i="2" s="1"/>
  <c r="O2885" i="2"/>
  <c r="L2885" i="2" s="1"/>
  <c r="O2909" i="2"/>
  <c r="L2909" i="2" s="1"/>
  <c r="O2855" i="2"/>
  <c r="L2855" i="2" s="1"/>
  <c r="O2802" i="2"/>
  <c r="L2802" i="2" s="1"/>
  <c r="O2829" i="2"/>
  <c r="L2829" i="2" s="1"/>
  <c r="O2816" i="2"/>
  <c r="L2816" i="2" s="1"/>
  <c r="O2840" i="2"/>
  <c r="L2840" i="2" s="1"/>
  <c r="O2761" i="2"/>
  <c r="L2761" i="2" s="1"/>
  <c r="O4338" i="2"/>
  <c r="L4338" i="2" s="1"/>
  <c r="O4125" i="2"/>
  <c r="L4125" i="2" s="1"/>
  <c r="O3939" i="2"/>
  <c r="L3939" i="2" s="1"/>
  <c r="O3730" i="2"/>
  <c r="L3730" i="2" s="1"/>
  <c r="O3515" i="2"/>
  <c r="L3515" i="2" s="1"/>
  <c r="O3434" i="2"/>
  <c r="L3434" i="2" s="1"/>
  <c r="O3390" i="2"/>
  <c r="L3390" i="2" s="1"/>
  <c r="O1552" i="2"/>
  <c r="L1552" i="2" s="1"/>
  <c r="O3274" i="2"/>
  <c r="L3274" i="2" s="1"/>
  <c r="O3358" i="2"/>
  <c r="L3358" i="2" s="1"/>
  <c r="O3188" i="2"/>
  <c r="L3188" i="2" s="1"/>
  <c r="O3163" i="2"/>
  <c r="L3163" i="2" s="1"/>
  <c r="O3115" i="2"/>
  <c r="L3115" i="2" s="1"/>
  <c r="O3134" i="2"/>
  <c r="L3134" i="2" s="1"/>
  <c r="O3149" i="2"/>
  <c r="L3149" i="2" s="1"/>
  <c r="O3045" i="2"/>
  <c r="L3045" i="2" s="1"/>
  <c r="O3007" i="2"/>
  <c r="L3007" i="2" s="1"/>
  <c r="O3021" i="2"/>
  <c r="L3021" i="2" s="1"/>
  <c r="O2953" i="2"/>
  <c r="L2953" i="2" s="1"/>
  <c r="O2972" i="2"/>
  <c r="L2972" i="2" s="1"/>
  <c r="O2920" i="2"/>
  <c r="L2920" i="2" s="1"/>
  <c r="O1027" i="2"/>
  <c r="L1027" i="2" s="1"/>
  <c r="O2873" i="2"/>
  <c r="L2873" i="2" s="1"/>
  <c r="O2884" i="2"/>
  <c r="L2884" i="2" s="1"/>
  <c r="O2907" i="2"/>
  <c r="L2907" i="2" s="1"/>
  <c r="O2854" i="2"/>
  <c r="L2854" i="2" s="1"/>
  <c r="O4299" i="2"/>
  <c r="L4299" i="2" s="1"/>
  <c r="O4112" i="2"/>
  <c r="L4112" i="2" s="1"/>
  <c r="O3945" i="2"/>
  <c r="L3945" i="2" s="1"/>
  <c r="O3737" i="2"/>
  <c r="L3737" i="2" s="1"/>
  <c r="O3475" i="2"/>
  <c r="L3475" i="2" s="1"/>
  <c r="O3385" i="2"/>
  <c r="L3385" i="2" s="1"/>
  <c r="O3311" i="2"/>
  <c r="L3311" i="2" s="1"/>
  <c r="O3279" i="2"/>
  <c r="L3279" i="2" s="1"/>
  <c r="O3357" i="2"/>
  <c r="L3357" i="2" s="1"/>
  <c r="O3184" i="2"/>
  <c r="L3184" i="2" s="1"/>
  <c r="O3161" i="2"/>
  <c r="L3161" i="2" s="1"/>
  <c r="O3113" i="2"/>
  <c r="L3113" i="2" s="1"/>
  <c r="O3148" i="2"/>
  <c r="L3148" i="2" s="1"/>
  <c r="O3054" i="2"/>
  <c r="L3054" i="2" s="1"/>
  <c r="O3006" i="2"/>
  <c r="L3006" i="2" s="1"/>
  <c r="O3016" i="2"/>
  <c r="L3016" i="2" s="1"/>
  <c r="O2952" i="2"/>
  <c r="L2952" i="2" s="1"/>
  <c r="O2939" i="2"/>
  <c r="L2939" i="2" s="1"/>
  <c r="O2918" i="2"/>
  <c r="L2918" i="2" s="1"/>
  <c r="O1025" i="2"/>
  <c r="L1025" i="2" s="1"/>
  <c r="O2872" i="2"/>
  <c r="L2872" i="2" s="1"/>
  <c r="O2891" i="2"/>
  <c r="L2891" i="2" s="1"/>
  <c r="O2906" i="2"/>
  <c r="L2906" i="2" s="1"/>
  <c r="O2853" i="2"/>
  <c r="L2853" i="2" s="1"/>
  <c r="O2807" i="2"/>
  <c r="L2807" i="2" s="1"/>
  <c r="O2827" i="2"/>
  <c r="L2827" i="2" s="1"/>
  <c r="O2836" i="2"/>
  <c r="L2836" i="2" s="1"/>
  <c r="O2759" i="2"/>
  <c r="L2759" i="2" s="1"/>
  <c r="O2766" i="2"/>
  <c r="L2766" i="2" s="1"/>
  <c r="O2772" i="2"/>
  <c r="L2772" i="2" s="1"/>
  <c r="O2788" i="2"/>
  <c r="L2788" i="2" s="1"/>
  <c r="O2688" i="2"/>
  <c r="L2688" i="2" s="1"/>
  <c r="O2714" i="2"/>
  <c r="L2714" i="2" s="1"/>
  <c r="O2731" i="2"/>
  <c r="L2731" i="2" s="1"/>
  <c r="O2578" i="2"/>
  <c r="L2578" i="2" s="1"/>
  <c r="O2584" i="2"/>
  <c r="L2584" i="2" s="1"/>
  <c r="O2615" i="2"/>
  <c r="L2615" i="2" s="1"/>
  <c r="O2602" i="2"/>
  <c r="L2602" i="2" s="1"/>
  <c r="O2650" i="2"/>
  <c r="L2650" i="2" s="1"/>
  <c r="O2634" i="2"/>
  <c r="L2634" i="2" s="1"/>
  <c r="O2679" i="2"/>
  <c r="L2679" i="2" s="1"/>
  <c r="O2564" i="2"/>
  <c r="L2564" i="2" s="1"/>
  <c r="O2509" i="2"/>
  <c r="L2509" i="2" s="1"/>
  <c r="O2521" i="2"/>
  <c r="L2521" i="2" s="1"/>
  <c r="O2540" i="2"/>
  <c r="L2540" i="2" s="1"/>
  <c r="O2488" i="2"/>
  <c r="L2488" i="2" s="1"/>
  <c r="O2482" i="2"/>
  <c r="L2482" i="2" s="1"/>
  <c r="O2342" i="2"/>
  <c r="L2342" i="2" s="1"/>
  <c r="O2408" i="2"/>
  <c r="L2408" i="2" s="1"/>
  <c r="O2395" i="2"/>
  <c r="L2395" i="2" s="1"/>
  <c r="O2382" i="2"/>
  <c r="L2382" i="2" s="1"/>
  <c r="O2369" i="2"/>
  <c r="L2369" i="2" s="1"/>
  <c r="O2432" i="2"/>
  <c r="L2432" i="2" s="1"/>
  <c r="O2449" i="2"/>
  <c r="L2449" i="2" s="1"/>
  <c r="O2428" i="2"/>
  <c r="L2428" i="2" s="1"/>
  <c r="O2477" i="2"/>
  <c r="L2477" i="2" s="1"/>
  <c r="O2311" i="2"/>
  <c r="L2311" i="2" s="1"/>
  <c r="O2302" i="2"/>
  <c r="L2302" i="2" s="1"/>
  <c r="O2202" i="2"/>
  <c r="L2202" i="2" s="1"/>
  <c r="O2213" i="2"/>
  <c r="L2213" i="2" s="1"/>
  <c r="O2232" i="2"/>
  <c r="L2232" i="2" s="1"/>
  <c r="O2219" i="2"/>
  <c r="L2219" i="2" s="1"/>
  <c r="O2280" i="2"/>
  <c r="L2280" i="2" s="1"/>
  <c r="O2154" i="2"/>
  <c r="L2154" i="2" s="1"/>
  <c r="O2079" i="2"/>
  <c r="L2079" i="2" s="1"/>
  <c r="O2083" i="2"/>
  <c r="L2083" i="2" s="1"/>
  <c r="O2127" i="2"/>
  <c r="L2127" i="2" s="1"/>
  <c r="O2114" i="2"/>
  <c r="L2114" i="2" s="1"/>
  <c r="O2174" i="2"/>
  <c r="L2174" i="2" s="1"/>
  <c r="O2177" i="2"/>
  <c r="L2177" i="2" s="1"/>
  <c r="O2054" i="2"/>
  <c r="L2054" i="2" s="1"/>
  <c r="O2016" i="2"/>
  <c r="L2016" i="2" s="1"/>
  <c r="O2018" i="2"/>
  <c r="L2018" i="2" s="1"/>
  <c r="O1926" i="2"/>
  <c r="L1926" i="2" s="1"/>
  <c r="O1947" i="2"/>
  <c r="L1947" i="2" s="1"/>
  <c r="O1956" i="2"/>
  <c r="L1956" i="2" s="1"/>
  <c r="O1913" i="2"/>
  <c r="L1913" i="2" s="1"/>
  <c r="O4287" i="2"/>
  <c r="L4287" i="2" s="1"/>
  <c r="O4102" i="2"/>
  <c r="L4102" i="2" s="1"/>
  <c r="O3862" i="2"/>
  <c r="L3862" i="2" s="1"/>
  <c r="O3698" i="2"/>
  <c r="L3698" i="2" s="1"/>
  <c r="O3495" i="2"/>
  <c r="L3495" i="2" s="1"/>
  <c r="O3447" i="2"/>
  <c r="L3447" i="2" s="1"/>
  <c r="O3384" i="2"/>
  <c r="L3384" i="2" s="1"/>
  <c r="O3371" i="2"/>
  <c r="L3371" i="2" s="1"/>
  <c r="O3293" i="2"/>
  <c r="L3293" i="2" s="1"/>
  <c r="O3356" i="2"/>
  <c r="L3356" i="2" s="1"/>
  <c r="O3193" i="2"/>
  <c r="L3193" i="2" s="1"/>
  <c r="O3160" i="2"/>
  <c r="L3160" i="2" s="1"/>
  <c r="O3109" i="2"/>
  <c r="L3109" i="2" s="1"/>
  <c r="O3125" i="2"/>
  <c r="L3125" i="2" s="1"/>
  <c r="O3146" i="2"/>
  <c r="L3146" i="2" s="1"/>
  <c r="O3053" i="2"/>
  <c r="L3053" i="2" s="1"/>
  <c r="O3005" i="2"/>
  <c r="L3005" i="2" s="1"/>
  <c r="O3025" i="2"/>
  <c r="L3025" i="2" s="1"/>
  <c r="O2950" i="2"/>
  <c r="L2950" i="2" s="1"/>
  <c r="O2931" i="2"/>
  <c r="L2931" i="2" s="1"/>
  <c r="O2917" i="2"/>
  <c r="L2917" i="2" s="1"/>
  <c r="O2049" i="2"/>
  <c r="L2049" i="2" s="1"/>
  <c r="O2882" i="2"/>
  <c r="L2882" i="2" s="1"/>
  <c r="O2892" i="2"/>
  <c r="L2892" i="2" s="1"/>
  <c r="O2905" i="2"/>
  <c r="L2905" i="2" s="1"/>
  <c r="O2852" i="2"/>
  <c r="L2852" i="2" s="1"/>
  <c r="O2806" i="2"/>
  <c r="L2806" i="2" s="1"/>
  <c r="O2826" i="2"/>
  <c r="L2826" i="2" s="1"/>
  <c r="O2842" i="2"/>
  <c r="L2842" i="2" s="1"/>
  <c r="O2837" i="2"/>
  <c r="L2837" i="2" s="1"/>
  <c r="O2758" i="2"/>
  <c r="L2758" i="2" s="1"/>
  <c r="O2784" i="2"/>
  <c r="L2784" i="2" s="1"/>
  <c r="O2787" i="2"/>
  <c r="L2787" i="2" s="1"/>
  <c r="O2798" i="2"/>
  <c r="L2798" i="2" s="1"/>
  <c r="O2703" i="2"/>
  <c r="L2703" i="2" s="1"/>
  <c r="O2730" i="2"/>
  <c r="L2730" i="2" s="1"/>
  <c r="O2575" i="2"/>
  <c r="L2575" i="2" s="1"/>
  <c r="O2627" i="2"/>
  <c r="L2627" i="2" s="1"/>
  <c r="O2614" i="2"/>
  <c r="L2614" i="2" s="1"/>
  <c r="O2601" i="2"/>
  <c r="L2601" i="2" s="1"/>
  <c r="O2639" i="2"/>
  <c r="L2639" i="2" s="1"/>
  <c r="O2661" i="2"/>
  <c r="L2661" i="2" s="1"/>
  <c r="O2677" i="2"/>
  <c r="L2677" i="2" s="1"/>
  <c r="O2563" i="2"/>
  <c r="L2563" i="2" s="1"/>
  <c r="O2508" i="2"/>
  <c r="L2508" i="2" s="1"/>
  <c r="O2520" i="2"/>
  <c r="L2520" i="2" s="1"/>
  <c r="O2539" i="2"/>
  <c r="L2539" i="2" s="1"/>
  <c r="O2487" i="2"/>
  <c r="L2487" i="2" s="1"/>
  <c r="O2481" i="2"/>
  <c r="L2481" i="2" s="1"/>
  <c r="O2341" i="2"/>
  <c r="L2341" i="2" s="1"/>
  <c r="O2407" i="2"/>
  <c r="L2407" i="2" s="1"/>
  <c r="O2394" i="2"/>
  <c r="L2394" i="2" s="1"/>
  <c r="O2381" i="2"/>
  <c r="L2381" i="2" s="1"/>
  <c r="O2367" i="2"/>
  <c r="L2367" i="2" s="1"/>
  <c r="O2441" i="2"/>
  <c r="L2441" i="2" s="1"/>
  <c r="O2419" i="2"/>
  <c r="L2419" i="2" s="1"/>
  <c r="O2420" i="2"/>
  <c r="L2420" i="2" s="1"/>
  <c r="O2476" i="2"/>
  <c r="L2476" i="2" s="1"/>
  <c r="O2315" i="2"/>
  <c r="L2315" i="2" s="1"/>
  <c r="O2301" i="2"/>
  <c r="L2301" i="2" s="1"/>
  <c r="O2201" i="2"/>
  <c r="L2201" i="2" s="1"/>
  <c r="O2244" i="2"/>
  <c r="L2244" i="2" s="1"/>
  <c r="O2231" i="2"/>
  <c r="L2231" i="2" s="1"/>
  <c r="O4270" i="2"/>
  <c r="L4270" i="2" s="1"/>
  <c r="O4075" i="2"/>
  <c r="L4075" i="2" s="1"/>
  <c r="O3884" i="2"/>
  <c r="L3884" i="2" s="1"/>
  <c r="O3661" i="2"/>
  <c r="L3661" i="2" s="1"/>
  <c r="O3493" i="2"/>
  <c r="L3493" i="2" s="1"/>
  <c r="O3406" i="2"/>
  <c r="L3406" i="2" s="1"/>
  <c r="O3453" i="2"/>
  <c r="L3453" i="2" s="1"/>
  <c r="O3383" i="2"/>
  <c r="L3383" i="2" s="1"/>
  <c r="O3292" i="2"/>
  <c r="L3292" i="2" s="1"/>
  <c r="O3352" i="2"/>
  <c r="L3352" i="2" s="1"/>
  <c r="O3209" i="2"/>
  <c r="L3209" i="2" s="1"/>
  <c r="O3159" i="2"/>
  <c r="L3159" i="2" s="1"/>
  <c r="O3108" i="2"/>
  <c r="L3108" i="2" s="1"/>
  <c r="O3124" i="2"/>
  <c r="L3124" i="2" s="1"/>
  <c r="O3060" i="2"/>
  <c r="L3060" i="2" s="1"/>
  <c r="O3050" i="2"/>
  <c r="L3050" i="2" s="1"/>
  <c r="O3001" i="2"/>
  <c r="L3001" i="2" s="1"/>
  <c r="O3023" i="2"/>
  <c r="L3023" i="2" s="1"/>
  <c r="O2957" i="2"/>
  <c r="L2957" i="2" s="1"/>
  <c r="O2932" i="2"/>
  <c r="L2932" i="2" s="1"/>
  <c r="O2916" i="2"/>
  <c r="L2916" i="2" s="1"/>
  <c r="O678" i="2"/>
  <c r="L678" i="2" s="1"/>
  <c r="O2881" i="2"/>
  <c r="L2881" i="2" s="1"/>
  <c r="O2904" i="2"/>
  <c r="L2904" i="2" s="1"/>
  <c r="O2858" i="2"/>
  <c r="L2858" i="2" s="1"/>
  <c r="O2805" i="2"/>
  <c r="L2805" i="2" s="1"/>
  <c r="O2825" i="2"/>
  <c r="L2825" i="2" s="1"/>
  <c r="O2834" i="2"/>
  <c r="L2834" i="2" s="1"/>
  <c r="O2844" i="2"/>
  <c r="L2844" i="2" s="1"/>
  <c r="O2757" i="2"/>
  <c r="L2757" i="2" s="1"/>
  <c r="O2783" i="2"/>
  <c r="L2783" i="2" s="1"/>
  <c r="O2797" i="2"/>
  <c r="L2797" i="2" s="1"/>
  <c r="O2741" i="2"/>
  <c r="L2741" i="2" s="1"/>
  <c r="O2702" i="2"/>
  <c r="L2702" i="2" s="1"/>
  <c r="O2720" i="2"/>
  <c r="L2720" i="2" s="1"/>
  <c r="O2729" i="2"/>
  <c r="L2729" i="2" s="1"/>
  <c r="O2577" i="2"/>
  <c r="L2577" i="2" s="1"/>
  <c r="O2626" i="2"/>
  <c r="L2626" i="2" s="1"/>
  <c r="O2613" i="2"/>
  <c r="L2613" i="2" s="1"/>
  <c r="O2600" i="2"/>
  <c r="L2600" i="2" s="1"/>
  <c r="O2654" i="2"/>
  <c r="L2654" i="2" s="1"/>
  <c r="O2662" i="2"/>
  <c r="L2662" i="2" s="1"/>
  <c r="O2658" i="2"/>
  <c r="L2658" i="2" s="1"/>
  <c r="O2567" i="2"/>
  <c r="L2567" i="2" s="1"/>
  <c r="O2545" i="2"/>
  <c r="L2545" i="2" s="1"/>
  <c r="O2517" i="2"/>
  <c r="L2517" i="2" s="1"/>
  <c r="O2538" i="2"/>
  <c r="L2538" i="2" s="1"/>
  <c r="O2486" i="2"/>
  <c r="L2486" i="2" s="1"/>
  <c r="O2480" i="2"/>
  <c r="L2480" i="2" s="1"/>
  <c r="O2352" i="2"/>
  <c r="L2352" i="2" s="1"/>
  <c r="O2406" i="2"/>
  <c r="L2406" i="2" s="1"/>
  <c r="O2393" i="2"/>
  <c r="L2393" i="2" s="1"/>
  <c r="O2379" i="2"/>
  <c r="L2379" i="2" s="1"/>
  <c r="O2366" i="2"/>
  <c r="L2366" i="2" s="1"/>
  <c r="O2442" i="2"/>
  <c r="L2442" i="2" s="1"/>
  <c r="O2426" i="2"/>
  <c r="L2426" i="2" s="1"/>
  <c r="O2450" i="2"/>
  <c r="L2450" i="2" s="1"/>
  <c r="O2475" i="2"/>
  <c r="L2475" i="2" s="1"/>
  <c r="O2314" i="2"/>
  <c r="L2314" i="2" s="1"/>
  <c r="O2300" i="2"/>
  <c r="L2300" i="2" s="1"/>
  <c r="O2198" i="2"/>
  <c r="L2198" i="2" s="1"/>
  <c r="O2243" i="2"/>
  <c r="L2243" i="2" s="1"/>
  <c r="O2230" i="2"/>
  <c r="L2230" i="2" s="1"/>
  <c r="O2216" i="2"/>
  <c r="L2216" i="2" s="1"/>
  <c r="O2260" i="2"/>
  <c r="L2260" i="2" s="1"/>
  <c r="O2190" i="2"/>
  <c r="L2190" i="2" s="1"/>
  <c r="O2094" i="2"/>
  <c r="L2094" i="2" s="1"/>
  <c r="O2081" i="2"/>
  <c r="L2081" i="2" s="1"/>
  <c r="O2125" i="2"/>
  <c r="L2125" i="2" s="1"/>
  <c r="O2112" i="2"/>
  <c r="L2112" i="2" s="1"/>
  <c r="O2148" i="2"/>
  <c r="L2148" i="2" s="1"/>
  <c r="O2146" i="2"/>
  <c r="L2146" i="2" s="1"/>
  <c r="O2053" i="2"/>
  <c r="L2053" i="2" s="1"/>
  <c r="O2028" i="2"/>
  <c r="L2028" i="2" s="1"/>
  <c r="O2037" i="2"/>
  <c r="L2037" i="2" s="1"/>
  <c r="O2004" i="2"/>
  <c r="L2004" i="2" s="1"/>
  <c r="O1924" i="2"/>
  <c r="L1924" i="2" s="1"/>
  <c r="O1945" i="2"/>
  <c r="L1945" i="2" s="1"/>
  <c r="O1978" i="2"/>
  <c r="L1978" i="2" s="1"/>
  <c r="O1984" i="2"/>
  <c r="L1984" i="2" s="1"/>
  <c r="O1911" i="2"/>
  <c r="L1911" i="2" s="1"/>
  <c r="O3451" i="2"/>
  <c r="L3451" i="2" s="1"/>
  <c r="O3017" i="2"/>
  <c r="L3017" i="2" s="1"/>
  <c r="O2828" i="2"/>
  <c r="L2828" i="2" s="1"/>
  <c r="O2762" i="2"/>
  <c r="L2762" i="2" s="1"/>
  <c r="O2793" i="2"/>
  <c r="L2793" i="2" s="1"/>
  <c r="O2719" i="2"/>
  <c r="L2719" i="2" s="1"/>
  <c r="O2586" i="2"/>
  <c r="L2586" i="2" s="1"/>
  <c r="O2599" i="2"/>
  <c r="L2599" i="2" s="1"/>
  <c r="O2648" i="2"/>
  <c r="L2648" i="2" s="1"/>
  <c r="O2566" i="2"/>
  <c r="L2566" i="2" s="1"/>
  <c r="O2532" i="2"/>
  <c r="L2532" i="2" s="1"/>
  <c r="O2499" i="2"/>
  <c r="L2499" i="2" s="1"/>
  <c r="O2405" i="2"/>
  <c r="L2405" i="2" s="1"/>
  <c r="O2375" i="2"/>
  <c r="L2375" i="2" s="1"/>
  <c r="O2438" i="2"/>
  <c r="L2438" i="2" s="1"/>
  <c r="O2473" i="2"/>
  <c r="L2473" i="2" s="1"/>
  <c r="O2258" i="2"/>
  <c r="L2258" i="2" s="1"/>
  <c r="O2228" i="2"/>
  <c r="L2228" i="2" s="1"/>
  <c r="O2255" i="2"/>
  <c r="L2255" i="2" s="1"/>
  <c r="O2297" i="2"/>
  <c r="L2297" i="2" s="1"/>
  <c r="O2092" i="2"/>
  <c r="L2092" i="2" s="1"/>
  <c r="O2126" i="2"/>
  <c r="L2126" i="2" s="1"/>
  <c r="O2161" i="2"/>
  <c r="L2161" i="2" s="1"/>
  <c r="O2188" i="2"/>
  <c r="L2188" i="2" s="1"/>
  <c r="O2027" i="2"/>
  <c r="L2027" i="2" s="1"/>
  <c r="O2048" i="2"/>
  <c r="L2048" i="2" s="1"/>
  <c r="O1953" i="2"/>
  <c r="L1953" i="2" s="1"/>
  <c r="O1974" i="2"/>
  <c r="L1974" i="2" s="1"/>
  <c r="O3378" i="2"/>
  <c r="L3378" i="2" s="1"/>
  <c r="O2960" i="2"/>
  <c r="L2960" i="2" s="1"/>
  <c r="O2824" i="2"/>
  <c r="L2824" i="2" s="1"/>
  <c r="O2768" i="2"/>
  <c r="L2768" i="2" s="1"/>
  <c r="O2740" i="2"/>
  <c r="L2740" i="2" s="1"/>
  <c r="O2738" i="2"/>
  <c r="L2738" i="2" s="1"/>
  <c r="O2585" i="2"/>
  <c r="L2585" i="2" s="1"/>
  <c r="O2598" i="2"/>
  <c r="L2598" i="2" s="1"/>
  <c r="O2635" i="2"/>
  <c r="L2635" i="2" s="1"/>
  <c r="O2544" i="2"/>
  <c r="L2544" i="2" s="1"/>
  <c r="O2534" i="2"/>
  <c r="L2534" i="2" s="1"/>
  <c r="O2505" i="2"/>
  <c r="L2505" i="2" s="1"/>
  <c r="O2403" i="2"/>
  <c r="L2403" i="2" s="1"/>
  <c r="O2371" i="2"/>
  <c r="L2371" i="2" s="1"/>
  <c r="O2439" i="2"/>
  <c r="L2439" i="2" s="1"/>
  <c r="O2330" i="2"/>
  <c r="L2330" i="2" s="1"/>
  <c r="O2266" i="2"/>
  <c r="L2266" i="2" s="1"/>
  <c r="O2227" i="2"/>
  <c r="L2227" i="2" s="1"/>
  <c r="O2267" i="2"/>
  <c r="L2267" i="2" s="1"/>
  <c r="O2192" i="2"/>
  <c r="L2192" i="2" s="1"/>
  <c r="O2090" i="2"/>
  <c r="L2090" i="2" s="1"/>
  <c r="O2124" i="2"/>
  <c r="L2124" i="2" s="1"/>
  <c r="O2160" i="2"/>
  <c r="L2160" i="2" s="1"/>
  <c r="O2187" i="2"/>
  <c r="L2187" i="2" s="1"/>
  <c r="O2026" i="2"/>
  <c r="L2026" i="2" s="1"/>
  <c r="O1949" i="2"/>
  <c r="L1949" i="2" s="1"/>
  <c r="O1980" i="2"/>
  <c r="L1980" i="2" s="1"/>
  <c r="O1910" i="2"/>
  <c r="L1910" i="2" s="1"/>
  <c r="O1905" i="2"/>
  <c r="L1905" i="2" s="1"/>
  <c r="O1859" i="2"/>
  <c r="L1859" i="2" s="1"/>
  <c r="O1883" i="2"/>
  <c r="L1883" i="2" s="1"/>
  <c r="O1890" i="2"/>
  <c r="L1890" i="2" s="1"/>
  <c r="O1803" i="2"/>
  <c r="L1803" i="2" s="1"/>
  <c r="O1830" i="2"/>
  <c r="L1830" i="2" s="1"/>
  <c r="O1838" i="2"/>
  <c r="L1838" i="2" s="1"/>
  <c r="O1771" i="2"/>
  <c r="L1771" i="2" s="1"/>
  <c r="O1787" i="2"/>
  <c r="L1787" i="2" s="1"/>
  <c r="O1732" i="2"/>
  <c r="L1732" i="2" s="1"/>
  <c r="O1707" i="2"/>
  <c r="L1707" i="2" s="1"/>
  <c r="O1719" i="2"/>
  <c r="L1719" i="2" s="1"/>
  <c r="O1680" i="2"/>
  <c r="L1680" i="2" s="1"/>
  <c r="O1667" i="2"/>
  <c r="L1667" i="2" s="1"/>
  <c r="O1605" i="2"/>
  <c r="L1605" i="2" s="1"/>
  <c r="O1619" i="2"/>
  <c r="L1619" i="2" s="1"/>
  <c r="O1653" i="2"/>
  <c r="L1653" i="2" s="1"/>
  <c r="O1575" i="2"/>
  <c r="L1575" i="2" s="1"/>
  <c r="O1531" i="2"/>
  <c r="L1531" i="2" s="1"/>
  <c r="O1574" i="2"/>
  <c r="L1574" i="2" s="1"/>
  <c r="O1406" i="2"/>
  <c r="L1406" i="2" s="1"/>
  <c r="O1433" i="2"/>
  <c r="L1433" i="2" s="1"/>
  <c r="O1420" i="2"/>
  <c r="L1420" i="2" s="1"/>
  <c r="O1459" i="2"/>
  <c r="L1459" i="2" s="1"/>
  <c r="O1486" i="2"/>
  <c r="L1486" i="2" s="1"/>
  <c r="O1311" i="2"/>
  <c r="L1311" i="2" s="1"/>
  <c r="O1377" i="2"/>
  <c r="L1377" i="2" s="1"/>
  <c r="O1243" i="2"/>
  <c r="L1243" i="2" s="1"/>
  <c r="O1264" i="2"/>
  <c r="L1264" i="2" s="1"/>
  <c r="O1297" i="2"/>
  <c r="L1297" i="2" s="1"/>
  <c r="O1284" i="2"/>
  <c r="L1284" i="2" s="1"/>
  <c r="O1318" i="2"/>
  <c r="L1318" i="2" s="1"/>
  <c r="O1361" i="2"/>
  <c r="L1361" i="2" s="1"/>
  <c r="O1348" i="2"/>
  <c r="L1348" i="2" s="1"/>
  <c r="O1175" i="2"/>
  <c r="L1175" i="2" s="1"/>
  <c r="O1191" i="2"/>
  <c r="L1191" i="2" s="1"/>
  <c r="O1157" i="2"/>
  <c r="L1157" i="2" s="1"/>
  <c r="O1149" i="2"/>
  <c r="L1149" i="2" s="1"/>
  <c r="O1075" i="2"/>
  <c r="L1075" i="2" s="1"/>
  <c r="O1102" i="2"/>
  <c r="L1102" i="2" s="1"/>
  <c r="O1089" i="2"/>
  <c r="L1089" i="2" s="1"/>
  <c r="O1140" i="2"/>
  <c r="L1140" i="2" s="1"/>
  <c r="O1044" i="2"/>
  <c r="L1044" i="2" s="1"/>
  <c r="O847" i="2"/>
  <c r="L847" i="2" s="1"/>
  <c r="O891" i="2"/>
  <c r="L891" i="2" s="1"/>
  <c r="O878" i="2"/>
  <c r="L878" i="2" s="1"/>
  <c r="O865" i="2"/>
  <c r="L865" i="2" s="1"/>
  <c r="O968" i="2"/>
  <c r="L968" i="2" s="1"/>
  <c r="O954" i="2"/>
  <c r="L954" i="2" s="1"/>
  <c r="O941" i="2"/>
  <c r="L941" i="2" s="1"/>
  <c r="O3246" i="2"/>
  <c r="L3246" i="2" s="1"/>
  <c r="O2938" i="2"/>
  <c r="L2938" i="2" s="1"/>
  <c r="O2821" i="2"/>
  <c r="L2821" i="2" s="1"/>
  <c r="O2767" i="2"/>
  <c r="L2767" i="2" s="1"/>
  <c r="O415" i="2"/>
  <c r="L415" i="2" s="1"/>
  <c r="O2733" i="2"/>
  <c r="L2733" i="2" s="1"/>
  <c r="O2625" i="2"/>
  <c r="L2625" i="2" s="1"/>
  <c r="O2595" i="2"/>
  <c r="L2595" i="2" s="1"/>
  <c r="O2638" i="2"/>
  <c r="L2638" i="2" s="1"/>
  <c r="O2530" i="2"/>
  <c r="L2530" i="2" s="1"/>
  <c r="O2542" i="2"/>
  <c r="L2542" i="2" s="1"/>
  <c r="O2447" i="2"/>
  <c r="L2447" i="2" s="1"/>
  <c r="O2401" i="2"/>
  <c r="L2401" i="2" s="1"/>
  <c r="O2370" i="2"/>
  <c r="L2370" i="2" s="1"/>
  <c r="O2446" i="2"/>
  <c r="L2446" i="2" s="1"/>
  <c r="O2319" i="2"/>
  <c r="L2319" i="2" s="1"/>
  <c r="O2200" i="2"/>
  <c r="L2200" i="2" s="1"/>
  <c r="O2225" i="2"/>
  <c r="L2225" i="2" s="1"/>
  <c r="O2271" i="2"/>
  <c r="L2271" i="2" s="1"/>
  <c r="O2324" i="2"/>
  <c r="L2324" i="2" s="1"/>
  <c r="O2089" i="2"/>
  <c r="L2089" i="2" s="1"/>
  <c r="O2123" i="2"/>
  <c r="L2123" i="2" s="1"/>
  <c r="O2147" i="2"/>
  <c r="L2147" i="2" s="1"/>
  <c r="O2184" i="2"/>
  <c r="L2184" i="2" s="1"/>
  <c r="O2024" i="2"/>
  <c r="L2024" i="2" s="1"/>
  <c r="O2003" i="2"/>
  <c r="L2003" i="2" s="1"/>
  <c r="O1948" i="2"/>
  <c r="L1948" i="2" s="1"/>
  <c r="O1973" i="2"/>
  <c r="L1973" i="2" s="1"/>
  <c r="O1909" i="2"/>
  <c r="L1909" i="2" s="1"/>
  <c r="O1858" i="2"/>
  <c r="L1858" i="2" s="1"/>
  <c r="O1880" i="2"/>
  <c r="L1880" i="2" s="1"/>
  <c r="O1843" i="2"/>
  <c r="L1843" i="2" s="1"/>
  <c r="O1812" i="2"/>
  <c r="L1812" i="2" s="1"/>
  <c r="O1828" i="2"/>
  <c r="L1828" i="2" s="1"/>
  <c r="O1795" i="2"/>
  <c r="L1795" i="2" s="1"/>
  <c r="O1770" i="2"/>
  <c r="L1770" i="2" s="1"/>
  <c r="O1786" i="2"/>
  <c r="L1786" i="2" s="1"/>
  <c r="O1742" i="2"/>
  <c r="L1742" i="2" s="1"/>
  <c r="O1730" i="2"/>
  <c r="L1730" i="2" s="1"/>
  <c r="O1706" i="2"/>
  <c r="L1706" i="2" s="1"/>
  <c r="O1722" i="2"/>
  <c r="L1722" i="2" s="1"/>
  <c r="O1679" i="2"/>
  <c r="L1679" i="2" s="1"/>
  <c r="O1666" i="2"/>
  <c r="L1666" i="2" s="1"/>
  <c r="O1604" i="2"/>
  <c r="L1604" i="2" s="1"/>
  <c r="O1634" i="2"/>
  <c r="L1634" i="2" s="1"/>
  <c r="O1682" i="2"/>
  <c r="L1682" i="2" s="1"/>
  <c r="O1598" i="2"/>
  <c r="L1598" i="2" s="1"/>
  <c r="O1583" i="2"/>
  <c r="L1583" i="2" s="1"/>
  <c r="O1527" i="2"/>
  <c r="L1527" i="2" s="1"/>
  <c r="O1592" i="2"/>
  <c r="L1592" i="2" s="1"/>
  <c r="O1492" i="2"/>
  <c r="L1492" i="2" s="1"/>
  <c r="O3291" i="2"/>
  <c r="L3291" i="2" s="1"/>
  <c r="O2669" i="2"/>
  <c r="L2669" i="2" s="1"/>
  <c r="O2815" i="2"/>
  <c r="L2815" i="2" s="1"/>
  <c r="O2781" i="2"/>
  <c r="L2781" i="2" s="1"/>
  <c r="O2732" i="2"/>
  <c r="L2732" i="2" s="1"/>
  <c r="O2624" i="2"/>
  <c r="L2624" i="2" s="1"/>
  <c r="O2591" i="2"/>
  <c r="L2591" i="2" s="1"/>
  <c r="O2633" i="2"/>
  <c r="L2633" i="2" s="1"/>
  <c r="O2541" i="2"/>
  <c r="L2541" i="2" s="1"/>
  <c r="O2443" i="2"/>
  <c r="L2443" i="2" s="1"/>
  <c r="O2397" i="2"/>
  <c r="L2397" i="2" s="1"/>
  <c r="O2365" i="2"/>
  <c r="L2365" i="2" s="1"/>
  <c r="O2199" i="2"/>
  <c r="L2199" i="2" s="1"/>
  <c r="O2224" i="2"/>
  <c r="L2224" i="2" s="1"/>
  <c r="O2265" i="2"/>
  <c r="L2265" i="2" s="1"/>
  <c r="O2175" i="2"/>
  <c r="L2175" i="2" s="1"/>
  <c r="O2085" i="2"/>
  <c r="L2085" i="2" s="1"/>
  <c r="O2121" i="2"/>
  <c r="L2121" i="2" s="1"/>
  <c r="O2167" i="2"/>
  <c r="L2167" i="2" s="1"/>
  <c r="O2055" i="2"/>
  <c r="L2055" i="2" s="1"/>
  <c r="O2023" i="2"/>
  <c r="L2023" i="2" s="1"/>
  <c r="O1972" i="2"/>
  <c r="L1972" i="2" s="1"/>
  <c r="O1946" i="2"/>
  <c r="L1946" i="2" s="1"/>
  <c r="O1959" i="2"/>
  <c r="L1959" i="2" s="1"/>
  <c r="O1882" i="2"/>
  <c r="L1882" i="2" s="1"/>
  <c r="O1867" i="2"/>
  <c r="L1867" i="2" s="1"/>
  <c r="O1885" i="2"/>
  <c r="L1885" i="2" s="1"/>
  <c r="O1810" i="2"/>
  <c r="L1810" i="2" s="1"/>
  <c r="O1811" i="2"/>
  <c r="L1811" i="2" s="1"/>
  <c r="O3351" i="2"/>
  <c r="L3351" i="2" s="1"/>
  <c r="O2846" i="2"/>
  <c r="L2846" i="2" s="1"/>
  <c r="O2780" i="2"/>
  <c r="L2780" i="2" s="1"/>
  <c r="O2691" i="2"/>
  <c r="L2691" i="2" s="1"/>
  <c r="O2728" i="2"/>
  <c r="L2728" i="2" s="1"/>
  <c r="O2622" i="2"/>
  <c r="L2622" i="2" s="1"/>
  <c r="O2657" i="2"/>
  <c r="L2657" i="2" s="1"/>
  <c r="O2651" i="2"/>
  <c r="L2651" i="2" s="1"/>
  <c r="O2537" i="2"/>
  <c r="L2537" i="2" s="1"/>
  <c r="O2396" i="2"/>
  <c r="L2396" i="2" s="1"/>
  <c r="O2454" i="2"/>
  <c r="L2454" i="2" s="1"/>
  <c r="O2451" i="2"/>
  <c r="L2451" i="2" s="1"/>
  <c r="O2313" i="2"/>
  <c r="L2313" i="2" s="1"/>
  <c r="O2207" i="2"/>
  <c r="L2207" i="2" s="1"/>
  <c r="O2221" i="2"/>
  <c r="L2221" i="2" s="1"/>
  <c r="O2084" i="2"/>
  <c r="L2084" i="2" s="1"/>
  <c r="O2119" i="2"/>
  <c r="L2119" i="2" s="1"/>
  <c r="O2144" i="2"/>
  <c r="L2144" i="2" s="1"/>
  <c r="O2043" i="2"/>
  <c r="L2043" i="2" s="1"/>
  <c r="O2020" i="2"/>
  <c r="L2020" i="2" s="1"/>
  <c r="O2000" i="2"/>
  <c r="L2000" i="2" s="1"/>
  <c r="O1944" i="2"/>
  <c r="L1944" i="2" s="1"/>
  <c r="O1884" i="2"/>
  <c r="L1884" i="2" s="1"/>
  <c r="O1848" i="2"/>
  <c r="L1848" i="2" s="1"/>
  <c r="O1866" i="2"/>
  <c r="L1866" i="2" s="1"/>
  <c r="O1889" i="2"/>
  <c r="L1889" i="2" s="1"/>
  <c r="O1809" i="2"/>
  <c r="L1809" i="2" s="1"/>
  <c r="O1808" i="2"/>
  <c r="L1808" i="2" s="1"/>
  <c r="O1827" i="2"/>
  <c r="L1827" i="2" s="1"/>
  <c r="O1793" i="2"/>
  <c r="L1793" i="2" s="1"/>
  <c r="O1778" i="2"/>
  <c r="L1778" i="2" s="1"/>
  <c r="O1753" i="2"/>
  <c r="L1753" i="2" s="1"/>
  <c r="O1744" i="2"/>
  <c r="L1744" i="2" s="1"/>
  <c r="O1704" i="2"/>
  <c r="L1704" i="2" s="1"/>
  <c r="O1724" i="2"/>
  <c r="L1724" i="2" s="1"/>
  <c r="O1677" i="2"/>
  <c r="L1677" i="2" s="1"/>
  <c r="O1664" i="2"/>
  <c r="L1664" i="2" s="1"/>
  <c r="O1614" i="2"/>
  <c r="L1614" i="2" s="1"/>
  <c r="O1632" i="2"/>
  <c r="L1632" i="2" s="1"/>
  <c r="O1636" i="2"/>
  <c r="L1636" i="2" s="1"/>
  <c r="O1533" i="2"/>
  <c r="L1533" i="2" s="1"/>
  <c r="O1580" i="2"/>
  <c r="L1580" i="2" s="1"/>
  <c r="O1543" i="2"/>
  <c r="L1543" i="2" s="1"/>
  <c r="O1499" i="2"/>
  <c r="L1499" i="2" s="1"/>
  <c r="O3208" i="2"/>
  <c r="L3208" i="2" s="1"/>
  <c r="O2879" i="2"/>
  <c r="L2879" i="2" s="1"/>
  <c r="O2841" i="2"/>
  <c r="L2841" i="2" s="1"/>
  <c r="O2778" i="2"/>
  <c r="L2778" i="2" s="1"/>
  <c r="O2690" i="2"/>
  <c r="L2690" i="2" s="1"/>
  <c r="O2727" i="2"/>
  <c r="L2727" i="2" s="1"/>
  <c r="O2617" i="2"/>
  <c r="L2617" i="2" s="1"/>
  <c r="O2668" i="2"/>
  <c r="L2668" i="2" s="1"/>
  <c r="O2645" i="2"/>
  <c r="L2645" i="2" s="1"/>
  <c r="O2510" i="2"/>
  <c r="L2510" i="2" s="1"/>
  <c r="O2506" i="2"/>
  <c r="L2506" i="2" s="1"/>
  <c r="O2344" i="2"/>
  <c r="L2344" i="2" s="1"/>
  <c r="O2391" i="2"/>
  <c r="L2391" i="2" s="1"/>
  <c r="O2455" i="2"/>
  <c r="L2455" i="2" s="1"/>
  <c r="O2436" i="2"/>
  <c r="L2436" i="2" s="1"/>
  <c r="O2316" i="2"/>
  <c r="L2316" i="2" s="1"/>
  <c r="O2215" i="2"/>
  <c r="L2215" i="2" s="1"/>
  <c r="O2220" i="2"/>
  <c r="L2220" i="2" s="1"/>
  <c r="O2068" i="2"/>
  <c r="L2068" i="2" s="1"/>
  <c r="O2082" i="2"/>
  <c r="L2082" i="2" s="1"/>
  <c r="O2116" i="2"/>
  <c r="L2116" i="2" s="1"/>
  <c r="O2151" i="2"/>
  <c r="L2151" i="2" s="1"/>
  <c r="O2006" i="2"/>
  <c r="L2006" i="2" s="1"/>
  <c r="O2019" i="2"/>
  <c r="L2019" i="2" s="1"/>
  <c r="O2001" i="2"/>
  <c r="L2001" i="2" s="1"/>
  <c r="O1943" i="2"/>
  <c r="L1943" i="2" s="1"/>
  <c r="O1963" i="2"/>
  <c r="L1963" i="2" s="1"/>
  <c r="O1902" i="2"/>
  <c r="L1902" i="2" s="1"/>
  <c r="O1847" i="2"/>
  <c r="L1847" i="2" s="1"/>
  <c r="O1865" i="2"/>
  <c r="L1865" i="2" s="1"/>
  <c r="O1888" i="2"/>
  <c r="L1888" i="2" s="1"/>
  <c r="O1807" i="2"/>
  <c r="L1807" i="2" s="1"/>
  <c r="O3849" i="2"/>
  <c r="L3849" i="2" s="1"/>
  <c r="O1777" i="2"/>
  <c r="L1777" i="2" s="1"/>
  <c r="O1756" i="2"/>
  <c r="L1756" i="2" s="1"/>
  <c r="O1743" i="2"/>
  <c r="L1743" i="2" s="1"/>
  <c r="O1693" i="2"/>
  <c r="L1693" i="2" s="1"/>
  <c r="O1709" i="2"/>
  <c r="L1709" i="2" s="1"/>
  <c r="O1729" i="2"/>
  <c r="L1729" i="2" s="1"/>
  <c r="O1676" i="2"/>
  <c r="L1676" i="2" s="1"/>
  <c r="O1663" i="2"/>
  <c r="L1663" i="2" s="1"/>
  <c r="O1613" i="2"/>
  <c r="L1613" i="2" s="1"/>
  <c r="O1631" i="2"/>
  <c r="L1631" i="2" s="1"/>
  <c r="O1643" i="2"/>
  <c r="L1643" i="2" s="1"/>
  <c r="O1589" i="2"/>
  <c r="L1589" i="2" s="1"/>
  <c r="O1579" i="2"/>
  <c r="L1579" i="2" s="1"/>
  <c r="O1544" i="2"/>
  <c r="L1544" i="2" s="1"/>
  <c r="O1498" i="2"/>
  <c r="L1498" i="2" s="1"/>
  <c r="O1396" i="2"/>
  <c r="L1396" i="2" s="1"/>
  <c r="O1442" i="2"/>
  <c r="L1442" i="2" s="1"/>
  <c r="O1429" i="2"/>
  <c r="L1429" i="2" s="1"/>
  <c r="O1416" i="2"/>
  <c r="L1416" i="2" s="1"/>
  <c r="O1446" i="2"/>
  <c r="L1446" i="2" s="1"/>
  <c r="O1466" i="2"/>
  <c r="L1466" i="2" s="1"/>
  <c r="O1481" i="2"/>
  <c r="L1481" i="2" s="1"/>
  <c r="O1370" i="2"/>
  <c r="L1370" i="2" s="1"/>
  <c r="O1220" i="2"/>
  <c r="L1220" i="2" s="1"/>
  <c r="O1254" i="2"/>
  <c r="L1254" i="2" s="1"/>
  <c r="O1260" i="2"/>
  <c r="L1260" i="2" s="1"/>
  <c r="O1293" i="2"/>
  <c r="L1293" i="2" s="1"/>
  <c r="O1313" i="2"/>
  <c r="L1313" i="2" s="1"/>
  <c r="O1308" i="2"/>
  <c r="L1308" i="2" s="1"/>
  <c r="O1357" i="2"/>
  <c r="L1357" i="2" s="1"/>
  <c r="O1344" i="2"/>
  <c r="L1344" i="2" s="1"/>
  <c r="O1179" i="2"/>
  <c r="L1179" i="2" s="1"/>
  <c r="O1197" i="2"/>
  <c r="L1197" i="2" s="1"/>
  <c r="O1144" i="2"/>
  <c r="L1144" i="2" s="1"/>
  <c r="O1068" i="2"/>
  <c r="L1068" i="2" s="1"/>
  <c r="O1082" i="2"/>
  <c r="L1082" i="2" s="1"/>
  <c r="O1098" i="2"/>
  <c r="L1098" i="2" s="1"/>
  <c r="O1122" i="2"/>
  <c r="L1122" i="2" s="1"/>
  <c r="O1117" i="2"/>
  <c r="L1117" i="2" s="1"/>
  <c r="O1136" i="2"/>
  <c r="L1136" i="2" s="1"/>
  <c r="O1046" i="2"/>
  <c r="L1046" i="2" s="1"/>
  <c r="O834" i="2"/>
  <c r="L834" i="2" s="1"/>
  <c r="O850" i="2"/>
  <c r="L850" i="2" s="1"/>
  <c r="O886" i="2"/>
  <c r="L886" i="2" s="1"/>
  <c r="O873" i="2"/>
  <c r="L873" i="2" s="1"/>
  <c r="O860" i="2"/>
  <c r="L860" i="2" s="1"/>
  <c r="O963" i="2"/>
  <c r="L963" i="2" s="1"/>
  <c r="O950" i="2"/>
  <c r="L950" i="2" s="1"/>
  <c r="O937" i="2"/>
  <c r="L937" i="2" s="1"/>
  <c r="O3071" i="2"/>
  <c r="L3071" i="2" s="1"/>
  <c r="O2895" i="2"/>
  <c r="L2895" i="2" s="1"/>
  <c r="O2839" i="2"/>
  <c r="L2839" i="2" s="1"/>
  <c r="O2774" i="2"/>
  <c r="L2774" i="2" s="1"/>
  <c r="O2709" i="2"/>
  <c r="L2709" i="2" s="1"/>
  <c r="O2684" i="2"/>
  <c r="L2684" i="2" s="1"/>
  <c r="O2616" i="2"/>
  <c r="L2616" i="2" s="1"/>
  <c r="O2644" i="2"/>
  <c r="L2644" i="2" s="1"/>
  <c r="O2675" i="2"/>
  <c r="L2675" i="2" s="1"/>
  <c r="O2516" i="2"/>
  <c r="L2516" i="2" s="1"/>
  <c r="O2484" i="2"/>
  <c r="L2484" i="2" s="1"/>
  <c r="O2343" i="2"/>
  <c r="L2343" i="2" s="1"/>
  <c r="O2390" i="2"/>
  <c r="L2390" i="2" s="1"/>
  <c r="O2423" i="2"/>
  <c r="L2423" i="2" s="1"/>
  <c r="O2417" i="2"/>
  <c r="L2417" i="2" s="1"/>
  <c r="O2318" i="2"/>
  <c r="L2318" i="2" s="1"/>
  <c r="O2214" i="2"/>
  <c r="L2214" i="2" s="1"/>
  <c r="O2218" i="2"/>
  <c r="L2218" i="2" s="1"/>
  <c r="O2272" i="2"/>
  <c r="L2272" i="2" s="1"/>
  <c r="O2066" i="2"/>
  <c r="L2066" i="2" s="1"/>
  <c r="O2095" i="2"/>
  <c r="L2095" i="2" s="1"/>
  <c r="O2115" i="2"/>
  <c r="L2115" i="2" s="1"/>
  <c r="O2143" i="2"/>
  <c r="L2143" i="2" s="1"/>
  <c r="O2011" i="2"/>
  <c r="L2011" i="2" s="1"/>
  <c r="O2041" i="2"/>
  <c r="L2041" i="2" s="1"/>
  <c r="O1919" i="2"/>
  <c r="L1919" i="2" s="1"/>
  <c r="O1941" i="2"/>
  <c r="L1941" i="2" s="1"/>
  <c r="O1982" i="2"/>
  <c r="L1982" i="2" s="1"/>
  <c r="O1904" i="2"/>
  <c r="L1904" i="2" s="1"/>
  <c r="O1857" i="2"/>
  <c r="L1857" i="2" s="1"/>
  <c r="O1864" i="2"/>
  <c r="L1864" i="2" s="1"/>
  <c r="O1898" i="2"/>
  <c r="L1898" i="2" s="1"/>
  <c r="O1814" i="2"/>
  <c r="L1814" i="2" s="1"/>
  <c r="O1837" i="2"/>
  <c r="L1837" i="2" s="1"/>
  <c r="O1790" i="2"/>
  <c r="L1790" i="2" s="1"/>
  <c r="O1776" i="2"/>
  <c r="L1776" i="2" s="1"/>
  <c r="O1755" i="2"/>
  <c r="L1755" i="2" s="1"/>
  <c r="O1747" i="2"/>
  <c r="L1747" i="2" s="1"/>
  <c r="O1692" i="2"/>
  <c r="L1692" i="2" s="1"/>
  <c r="O1717" i="2"/>
  <c r="L1717" i="2" s="1"/>
  <c r="O1728" i="2"/>
  <c r="L1728" i="2" s="1"/>
  <c r="O1675" i="2"/>
  <c r="L1675" i="2" s="1"/>
  <c r="O1662" i="2"/>
  <c r="L1662" i="2" s="1"/>
  <c r="O1612" i="2"/>
  <c r="L1612" i="2" s="1"/>
  <c r="O1629" i="2"/>
  <c r="L1629" i="2" s="1"/>
  <c r="O1642" i="2"/>
  <c r="L1642" i="2" s="1"/>
  <c r="O1588" i="2"/>
  <c r="L1588" i="2" s="1"/>
  <c r="O1548" i="2"/>
  <c r="L1548" i="2" s="1"/>
  <c r="O1497" i="2"/>
  <c r="L1497" i="2" s="1"/>
  <c r="O1395" i="2"/>
  <c r="L1395" i="2" s="1"/>
  <c r="O1441" i="2"/>
  <c r="L1441" i="2" s="1"/>
  <c r="O1428" i="2"/>
  <c r="L1428" i="2" s="1"/>
  <c r="O1469" i="2"/>
  <c r="L1469" i="2" s="1"/>
  <c r="O1464" i="2"/>
  <c r="L1464" i="2" s="1"/>
  <c r="O1462" i="2"/>
  <c r="L1462" i="2" s="1"/>
  <c r="O1382" i="2"/>
  <c r="L1382" i="2" s="1"/>
  <c r="O1369" i="2"/>
  <c r="L1369" i="2" s="1"/>
  <c r="O1219" i="2"/>
  <c r="L1219" i="2" s="1"/>
  <c r="O1253" i="2"/>
  <c r="L1253" i="2" s="1"/>
  <c r="O1259" i="2"/>
  <c r="L1259" i="2" s="1"/>
  <c r="O1292" i="2"/>
  <c r="L1292" i="2" s="1"/>
  <c r="O1323" i="2"/>
  <c r="L1323" i="2" s="1"/>
  <c r="O1310" i="2"/>
  <c r="L1310" i="2" s="1"/>
  <c r="O1356" i="2"/>
  <c r="L1356" i="2" s="1"/>
  <c r="O1343" i="2"/>
  <c r="L1343" i="2" s="1"/>
  <c r="O1177" i="2"/>
  <c r="L1177" i="2" s="1"/>
  <c r="O1202" i="2"/>
  <c r="L1202" i="2" s="1"/>
  <c r="O1143" i="2"/>
  <c r="L1143" i="2" s="1"/>
  <c r="O1069" i="2"/>
  <c r="L1069" i="2" s="1"/>
  <c r="O1110" i="2"/>
  <c r="L1110" i="2" s="1"/>
  <c r="O1097" i="2"/>
  <c r="L1097" i="2" s="1"/>
  <c r="O1129" i="2"/>
  <c r="L1129" i="2" s="1"/>
  <c r="O1126" i="2"/>
  <c r="L1126" i="2" s="1"/>
  <c r="O1135" i="2"/>
  <c r="L1135" i="2" s="1"/>
  <c r="O1053" i="2"/>
  <c r="L1053" i="2" s="1"/>
  <c r="O839" i="2"/>
  <c r="L839" i="2" s="1"/>
  <c r="O898" i="2"/>
  <c r="L898" i="2" s="1"/>
  <c r="O885" i="2"/>
  <c r="L885" i="2" s="1"/>
  <c r="O872" i="2"/>
  <c r="L872" i="2" s="1"/>
  <c r="O859" i="2"/>
  <c r="L859" i="2" s="1"/>
  <c r="O962" i="2"/>
  <c r="L962" i="2" s="1"/>
  <c r="O949" i="2"/>
  <c r="L949" i="2" s="1"/>
  <c r="O936" i="2"/>
  <c r="L936" i="2" s="1"/>
  <c r="O4056" i="2"/>
  <c r="L4056" i="2" s="1"/>
  <c r="O3102" i="2"/>
  <c r="L3102" i="2" s="1"/>
  <c r="O2903" i="2"/>
  <c r="L2903" i="2" s="1"/>
  <c r="O2801" i="2"/>
  <c r="L2801" i="2" s="1"/>
  <c r="O2773" i="2"/>
  <c r="L2773" i="2" s="1"/>
  <c r="O2708" i="2"/>
  <c r="L2708" i="2" s="1"/>
  <c r="O2681" i="2"/>
  <c r="L2681" i="2" s="1"/>
  <c r="O2612" i="2"/>
  <c r="L2612" i="2" s="1"/>
  <c r="O2667" i="2"/>
  <c r="L2667" i="2" s="1"/>
  <c r="O2680" i="2"/>
  <c r="L2680" i="2" s="1"/>
  <c r="O2515" i="2"/>
  <c r="L2515" i="2" s="1"/>
  <c r="O2490" i="2"/>
  <c r="L2490" i="2" s="1"/>
  <c r="O2351" i="2"/>
  <c r="L2351" i="2" s="1"/>
  <c r="O2388" i="2"/>
  <c r="L2388" i="2" s="1"/>
  <c r="O2427" i="2"/>
  <c r="L2427" i="2" s="1"/>
  <c r="O2453" i="2"/>
  <c r="L2453" i="2" s="1"/>
  <c r="O2304" i="2"/>
  <c r="L2304" i="2" s="1"/>
  <c r="O2242" i="2"/>
  <c r="L2242" i="2" s="1"/>
  <c r="O2282" i="2"/>
  <c r="L2282" i="2" s="1"/>
  <c r="O2262" i="2"/>
  <c r="L2262" i="2" s="1"/>
  <c r="O2065" i="2"/>
  <c r="L2065" i="2" s="1"/>
  <c r="O2136" i="2"/>
  <c r="L2136" i="2" s="1"/>
  <c r="O2113" i="2"/>
  <c r="L2113" i="2" s="1"/>
  <c r="O2153" i="2"/>
  <c r="L2153" i="2" s="1"/>
  <c r="O2009" i="2"/>
  <c r="L2009" i="2" s="1"/>
  <c r="O2045" i="2"/>
  <c r="L2045" i="2" s="1"/>
  <c r="O1927" i="2"/>
  <c r="L1927" i="2" s="1"/>
  <c r="O1940" i="2"/>
  <c r="L1940" i="2" s="1"/>
  <c r="O3901" i="2"/>
  <c r="L3901" i="2" s="1"/>
  <c r="O3137" i="2"/>
  <c r="L3137" i="2" s="1"/>
  <c r="O2857" i="2"/>
  <c r="L2857" i="2" s="1"/>
  <c r="O2748" i="2"/>
  <c r="L2748" i="2" s="1"/>
  <c r="O2791" i="2"/>
  <c r="L2791" i="2" s="1"/>
  <c r="O2706" i="2"/>
  <c r="L2706" i="2" s="1"/>
  <c r="O2611" i="2"/>
  <c r="L2611" i="2" s="1"/>
  <c r="O2547" i="2"/>
  <c r="L2547" i="2" s="1"/>
  <c r="O2513" i="2"/>
  <c r="L2513" i="2" s="1"/>
  <c r="O2489" i="2"/>
  <c r="L2489" i="2" s="1"/>
  <c r="O2359" i="2"/>
  <c r="L2359" i="2" s="1"/>
  <c r="O2384" i="2"/>
  <c r="L2384" i="2" s="1"/>
  <c r="O2437" i="2"/>
  <c r="L2437" i="2" s="1"/>
  <c r="O2424" i="2"/>
  <c r="L2424" i="2" s="1"/>
  <c r="O2303" i="2"/>
  <c r="L2303" i="2" s="1"/>
  <c r="O2240" i="2"/>
  <c r="L2240" i="2" s="1"/>
  <c r="O2251" i="2"/>
  <c r="L2251" i="2" s="1"/>
  <c r="O2269" i="2"/>
  <c r="L2269" i="2" s="1"/>
  <c r="O2062" i="2"/>
  <c r="L2062" i="2" s="1"/>
  <c r="O2134" i="2"/>
  <c r="L2134" i="2" s="1"/>
  <c r="O2111" i="2"/>
  <c r="L2111" i="2" s="1"/>
  <c r="O2171" i="2"/>
  <c r="L2171" i="2" s="1"/>
  <c r="O2008" i="2"/>
  <c r="L2008" i="2" s="1"/>
  <c r="O2040" i="2"/>
  <c r="L2040" i="2" s="1"/>
  <c r="O1925" i="2"/>
  <c r="L1925" i="2" s="1"/>
  <c r="O1936" i="2"/>
  <c r="L1936" i="2" s="1"/>
  <c r="O1999" i="2"/>
  <c r="L1999" i="2" s="1"/>
  <c r="O1849" i="2"/>
  <c r="L1849" i="2" s="1"/>
  <c r="O1855" i="2"/>
  <c r="L1855" i="2" s="1"/>
  <c r="O1876" i="2"/>
  <c r="L1876" i="2" s="1"/>
  <c r="O1896" i="2"/>
  <c r="L1896" i="2" s="1"/>
  <c r="O1799" i="2"/>
  <c r="L1799" i="2" s="1"/>
  <c r="O1824" i="2"/>
  <c r="L1824" i="2" s="1"/>
  <c r="O1835" i="2"/>
  <c r="L1835" i="2" s="1"/>
  <c r="O1768" i="2"/>
  <c r="L1768" i="2" s="1"/>
  <c r="O1783" i="2"/>
  <c r="L1783" i="2" s="1"/>
  <c r="O1759" i="2"/>
  <c r="L1759" i="2" s="1"/>
  <c r="O1745" i="2"/>
  <c r="L1745" i="2" s="1"/>
  <c r="O1690" i="2"/>
  <c r="L1690" i="2" s="1"/>
  <c r="O1715" i="2"/>
  <c r="L1715" i="2" s="1"/>
  <c r="O1726" i="2"/>
  <c r="L1726" i="2" s="1"/>
  <c r="O1673" i="2"/>
  <c r="L1673" i="2" s="1"/>
  <c r="O1659" i="2"/>
  <c r="L1659" i="2" s="1"/>
  <c r="O1616" i="2"/>
  <c r="L1616" i="2" s="1"/>
  <c r="O1627" i="2"/>
  <c r="L1627" i="2" s="1"/>
  <c r="O1652" i="2"/>
  <c r="L1652" i="2" s="1"/>
  <c r="O1591" i="2"/>
  <c r="L1591" i="2" s="1"/>
  <c r="O1587" i="2"/>
  <c r="L1587" i="2" s="1"/>
  <c r="O1546" i="2"/>
  <c r="L1546" i="2" s="1"/>
  <c r="O1474" i="2"/>
  <c r="L1474" i="2" s="1"/>
  <c r="O1394" i="2"/>
  <c r="L1394" i="2" s="1"/>
  <c r="O1439" i="2"/>
  <c r="L1439" i="2" s="1"/>
  <c r="O1426" i="2"/>
  <c r="L1426" i="2" s="1"/>
  <c r="O1451" i="2"/>
  <c r="L1451" i="2" s="1"/>
  <c r="O1458" i="2"/>
  <c r="L1458" i="2" s="1"/>
  <c r="O1491" i="2"/>
  <c r="L1491" i="2" s="1"/>
  <c r="O1257" i="2"/>
  <c r="L1257" i="2" s="1"/>
  <c r="O1367" i="2"/>
  <c r="L1367" i="2" s="1"/>
  <c r="O1248" i="2"/>
  <c r="L1248" i="2" s="1"/>
  <c r="O1251" i="2"/>
  <c r="L1251" i="2" s="1"/>
  <c r="O1256" i="2"/>
  <c r="L1256" i="2" s="1"/>
  <c r="O1290" i="2"/>
  <c r="L1290" i="2" s="1"/>
  <c r="O1325" i="2"/>
  <c r="L1325" i="2" s="1"/>
  <c r="O1315" i="2"/>
  <c r="L1315" i="2" s="1"/>
  <c r="O1353" i="2"/>
  <c r="L1353" i="2" s="1"/>
  <c r="O1196" i="2"/>
  <c r="L1196" i="2" s="1"/>
  <c r="O1208" i="2"/>
  <c r="L1208" i="2" s="1"/>
  <c r="O1154" i="2"/>
  <c r="L1154" i="2" s="1"/>
  <c r="O1080" i="2"/>
  <c r="L1080" i="2" s="1"/>
  <c r="O1108" i="2"/>
  <c r="L1108" i="2" s="1"/>
  <c r="O1095" i="2"/>
  <c r="L1095" i="2" s="1"/>
  <c r="O1121" i="2"/>
  <c r="L1121" i="2" s="1"/>
  <c r="O1125" i="2"/>
  <c r="L1125" i="2" s="1"/>
  <c r="O855" i="2"/>
  <c r="L855" i="2" s="1"/>
  <c r="O1050" i="2"/>
  <c r="L1050" i="2" s="1"/>
  <c r="O833" i="2"/>
  <c r="L833" i="2" s="1"/>
  <c r="O896" i="2"/>
  <c r="L896" i="2" s="1"/>
  <c r="O883" i="2"/>
  <c r="L883" i="2" s="1"/>
  <c r="O870" i="2"/>
  <c r="L870" i="2" s="1"/>
  <c r="O857" i="2"/>
  <c r="L857" i="2" s="1"/>
  <c r="O960" i="2"/>
  <c r="L960" i="2" s="1"/>
  <c r="O947" i="2"/>
  <c r="L947" i="2" s="1"/>
  <c r="O934" i="2"/>
  <c r="L934" i="2" s="1"/>
  <c r="O3679" i="2"/>
  <c r="L3679" i="2" s="1"/>
  <c r="O3059" i="2"/>
  <c r="L3059" i="2" s="1"/>
  <c r="O2808" i="2"/>
  <c r="L2808" i="2" s="1"/>
  <c r="O2760" i="2"/>
  <c r="L2760" i="2" s="1"/>
  <c r="O2795" i="2"/>
  <c r="L2795" i="2" s="1"/>
  <c r="O2717" i="2"/>
  <c r="L2717" i="2" s="1"/>
  <c r="O2576" i="2"/>
  <c r="L2576" i="2" s="1"/>
  <c r="O2608" i="2"/>
  <c r="L2608" i="2" s="1"/>
  <c r="O2666" i="2"/>
  <c r="L2666" i="2" s="1"/>
  <c r="O2546" i="2"/>
  <c r="L2546" i="2" s="1"/>
  <c r="O2523" i="2"/>
  <c r="L2523" i="2" s="1"/>
  <c r="O2504" i="2"/>
  <c r="L2504" i="2" s="1"/>
  <c r="O2356" i="2"/>
  <c r="L2356" i="2" s="1"/>
  <c r="O2383" i="2"/>
  <c r="L2383" i="2" s="1"/>
  <c r="O2414" i="2"/>
  <c r="L2414" i="2" s="1"/>
  <c r="O2479" i="2"/>
  <c r="L2479" i="2" s="1"/>
  <c r="O2299" i="2"/>
  <c r="L2299" i="2" s="1"/>
  <c r="O2238" i="2"/>
  <c r="L2238" i="2" s="1"/>
  <c r="O2257" i="2"/>
  <c r="L2257" i="2" s="1"/>
  <c r="O2259" i="2"/>
  <c r="L2259" i="2" s="1"/>
  <c r="O2080" i="2"/>
  <c r="L2080" i="2" s="1"/>
  <c r="O2133" i="2"/>
  <c r="L2133" i="2" s="1"/>
  <c r="O2110" i="2"/>
  <c r="L2110" i="2" s="1"/>
  <c r="O2163" i="2"/>
  <c r="L2163" i="2" s="1"/>
  <c r="O2013" i="2"/>
  <c r="L2013" i="2" s="1"/>
  <c r="O209" i="2"/>
  <c r="L209" i="2" s="1"/>
  <c r="O1923" i="2"/>
  <c r="L1923" i="2" s="1"/>
  <c r="O1935" i="2"/>
  <c r="L1935" i="2" s="1"/>
  <c r="O1997" i="2"/>
  <c r="L1997" i="2" s="1"/>
  <c r="O1900" i="2"/>
  <c r="L1900" i="2" s="1"/>
  <c r="O1854" i="2"/>
  <c r="L1854" i="2" s="1"/>
  <c r="O1875" i="2"/>
  <c r="L1875" i="2" s="1"/>
  <c r="O1894" i="2"/>
  <c r="L1894" i="2" s="1"/>
  <c r="O1798" i="2"/>
  <c r="L1798" i="2" s="1"/>
  <c r="O3409" i="2"/>
  <c r="L3409" i="2" s="1"/>
  <c r="O3000" i="2"/>
  <c r="L3000" i="2" s="1"/>
  <c r="O2811" i="2"/>
  <c r="L2811" i="2" s="1"/>
  <c r="O2764" i="2"/>
  <c r="L2764" i="2" s="1"/>
  <c r="O2786" i="2"/>
  <c r="L2786" i="2" s="1"/>
  <c r="O2718" i="2"/>
  <c r="L2718" i="2" s="1"/>
  <c r="O2571" i="2"/>
  <c r="L2571" i="2" s="1"/>
  <c r="O2603" i="2"/>
  <c r="L2603" i="2" s="1"/>
  <c r="O2647" i="2"/>
  <c r="L2647" i="2" s="1"/>
  <c r="O803" i="2"/>
  <c r="L803" i="2" s="1"/>
  <c r="O2529" i="2"/>
  <c r="L2529" i="2" s="1"/>
  <c r="O2503" i="2"/>
  <c r="L2503" i="2" s="1"/>
  <c r="O2409" i="2"/>
  <c r="L2409" i="2" s="1"/>
  <c r="O2377" i="2"/>
  <c r="L2377" i="2" s="1"/>
  <c r="O2445" i="2"/>
  <c r="L2445" i="2" s="1"/>
  <c r="O2474" i="2"/>
  <c r="L2474" i="2" s="1"/>
  <c r="O4041" i="2"/>
  <c r="L4041" i="2" s="1"/>
  <c r="O2233" i="2"/>
  <c r="L2233" i="2" s="1"/>
  <c r="O2277" i="2"/>
  <c r="L2277" i="2" s="1"/>
  <c r="O2298" i="2"/>
  <c r="L2298" i="2" s="1"/>
  <c r="O2093" i="2"/>
  <c r="L2093" i="2" s="1"/>
  <c r="O2128" i="2"/>
  <c r="L2128" i="2" s="1"/>
  <c r="O2168" i="2"/>
  <c r="L2168" i="2" s="1"/>
  <c r="O2139" i="2"/>
  <c r="L2139" i="2" s="1"/>
  <c r="O2030" i="2"/>
  <c r="L2030" i="2" s="1"/>
  <c r="O2044" i="2"/>
  <c r="L2044" i="2" s="1"/>
  <c r="O1929" i="2"/>
  <c r="L1929" i="2" s="1"/>
  <c r="O1970" i="2"/>
  <c r="L1970" i="2" s="1"/>
  <c r="O1993" i="2"/>
  <c r="L1993" i="2" s="1"/>
  <c r="O1903" i="2"/>
  <c r="L1903" i="2" s="1"/>
  <c r="O1861" i="2"/>
  <c r="L1861" i="2" s="1"/>
  <c r="O1879" i="2"/>
  <c r="L1879" i="2" s="1"/>
  <c r="O1892" i="2"/>
  <c r="L1892" i="2" s="1"/>
  <c r="O1805" i="2"/>
  <c r="L1805" i="2" s="1"/>
  <c r="O1821" i="2"/>
  <c r="L1821" i="2" s="1"/>
  <c r="O1840" i="2"/>
  <c r="L1840" i="2" s="1"/>
  <c r="O1773" i="2"/>
  <c r="L1773" i="2" s="1"/>
  <c r="O1789" i="2"/>
  <c r="L1789" i="2" s="1"/>
  <c r="O1701" i="2"/>
  <c r="L1701" i="2" s="1"/>
  <c r="O1723" i="2"/>
  <c r="L1723" i="2" s="1"/>
  <c r="O1656" i="2"/>
  <c r="L1656" i="2" s="1"/>
  <c r="O1669" i="2"/>
  <c r="L1669" i="2" s="1"/>
  <c r="O1621" i="2"/>
  <c r="L1621" i="2" s="1"/>
  <c r="O1646" i="2"/>
  <c r="L1646" i="2" s="1"/>
  <c r="O1655" i="2"/>
  <c r="L1655" i="2" s="1"/>
  <c r="O1577" i="2"/>
  <c r="L1577" i="2" s="1"/>
  <c r="O1532" i="2"/>
  <c r="L1532" i="2" s="1"/>
  <c r="O1573" i="2"/>
  <c r="L1573" i="2" s="1"/>
  <c r="O1495" i="2"/>
  <c r="L1495" i="2" s="1"/>
  <c r="O1408" i="2"/>
  <c r="L1408" i="2" s="1"/>
  <c r="O1435" i="2"/>
  <c r="L1435" i="2" s="1"/>
  <c r="O1422" i="2"/>
  <c r="L1422" i="2" s="1"/>
  <c r="O1452" i="2"/>
  <c r="L1452" i="2" s="1"/>
  <c r="O1465" i="2"/>
  <c r="L1465" i="2" s="1"/>
  <c r="O1488" i="2"/>
  <c r="L1488" i="2" s="1"/>
  <c r="O1379" i="2"/>
  <c r="L1379" i="2" s="1"/>
  <c r="O1375" i="2"/>
  <c r="L1375" i="2" s="1"/>
  <c r="O1245" i="2"/>
  <c r="L1245" i="2" s="1"/>
  <c r="O1267" i="2"/>
  <c r="L1267" i="2" s="1"/>
  <c r="O1300" i="2"/>
  <c r="L1300" i="2" s="1"/>
  <c r="O1286" i="2"/>
  <c r="L1286" i="2" s="1"/>
  <c r="O1317" i="2"/>
  <c r="L1317" i="2" s="1"/>
  <c r="O1363" i="2"/>
  <c r="L1363" i="2" s="1"/>
  <c r="O1350" i="2"/>
  <c r="L1350" i="2" s="1"/>
  <c r="O1169" i="2"/>
  <c r="L1169" i="2" s="1"/>
  <c r="O1193" i="2"/>
  <c r="L1193" i="2" s="1"/>
  <c r="O1205" i="2"/>
  <c r="L1205" i="2" s="1"/>
  <c r="O1151" i="2"/>
  <c r="L1151" i="2" s="1"/>
  <c r="O1077" i="2"/>
  <c r="L1077" i="2" s="1"/>
  <c r="O1105" i="2"/>
  <c r="L1105" i="2" s="1"/>
  <c r="O1092" i="2"/>
  <c r="L1092" i="2" s="1"/>
  <c r="O1112" i="2"/>
  <c r="L1112" i="2" s="1"/>
  <c r="O1114" i="2"/>
  <c r="L1114" i="2" s="1"/>
  <c r="O1059" i="2"/>
  <c r="L1059" i="2" s="1"/>
  <c r="O1055" i="2"/>
  <c r="L1055" i="2" s="1"/>
  <c r="O835" i="2"/>
  <c r="L835" i="2" s="1"/>
  <c r="O893" i="2"/>
  <c r="L893" i="2" s="1"/>
  <c r="O880" i="2"/>
  <c r="L880" i="2" s="1"/>
  <c r="O867" i="2"/>
  <c r="L867" i="2" s="1"/>
  <c r="O852" i="2"/>
  <c r="L852" i="2" s="1"/>
  <c r="O957" i="2"/>
  <c r="L957" i="2" s="1"/>
  <c r="O944" i="2"/>
  <c r="L944" i="2" s="1"/>
  <c r="O930" i="2"/>
  <c r="L930" i="2" s="1"/>
  <c r="O2604" i="2"/>
  <c r="L2604" i="2" s="1"/>
  <c r="O2250" i="2"/>
  <c r="L2250" i="2" s="1"/>
  <c r="O1850" i="2"/>
  <c r="L1850" i="2" s="1"/>
  <c r="O1794" i="2"/>
  <c r="L1794" i="2" s="1"/>
  <c r="O1760" i="2"/>
  <c r="L1760" i="2" s="1"/>
  <c r="O1708" i="2"/>
  <c r="L1708" i="2" s="1"/>
  <c r="O1674" i="2"/>
  <c r="L1674" i="2" s="1"/>
  <c r="O1622" i="2"/>
  <c r="L1622" i="2" s="1"/>
  <c r="O1597" i="2"/>
  <c r="L1597" i="2" s="1"/>
  <c r="O1550" i="2"/>
  <c r="L1550" i="2" s="1"/>
  <c r="O1407" i="2"/>
  <c r="L1407" i="2" s="1"/>
  <c r="O1424" i="2"/>
  <c r="L1424" i="2" s="1"/>
  <c r="O1455" i="2"/>
  <c r="L1455" i="2" s="1"/>
  <c r="O1485" i="2"/>
  <c r="L1485" i="2" s="1"/>
  <c r="O1372" i="2"/>
  <c r="L1372" i="2" s="1"/>
  <c r="O1252" i="2"/>
  <c r="L1252" i="2" s="1"/>
  <c r="O1295" i="2"/>
  <c r="L1295" i="2" s="1"/>
  <c r="O1314" i="2"/>
  <c r="L1314" i="2" s="1"/>
  <c r="O1352" i="2"/>
  <c r="L1352" i="2" s="1"/>
  <c r="O1180" i="2"/>
  <c r="L1180" i="2" s="1"/>
  <c r="O1148" i="2"/>
  <c r="L1148" i="2" s="1"/>
  <c r="O1078" i="2"/>
  <c r="L1078" i="2" s="1"/>
  <c r="O1096" i="2"/>
  <c r="L1096" i="2" s="1"/>
  <c r="O1120" i="2"/>
  <c r="L1120" i="2" s="1"/>
  <c r="O1045" i="2"/>
  <c r="L1045" i="2" s="1"/>
  <c r="O832" i="2"/>
  <c r="L832" i="2" s="1"/>
  <c r="O888" i="2"/>
  <c r="L888" i="2" s="1"/>
  <c r="O864" i="2"/>
  <c r="L864" i="2" s="1"/>
  <c r="O958" i="2"/>
  <c r="L958" i="2" s="1"/>
  <c r="O935" i="2"/>
  <c r="L935" i="2" s="1"/>
  <c r="O920" i="2"/>
  <c r="L920" i="2" s="1"/>
  <c r="O1017" i="2"/>
  <c r="L1017" i="2" s="1"/>
  <c r="O982" i="2"/>
  <c r="L982" i="2" s="1"/>
  <c r="O993" i="2"/>
  <c r="L993" i="2" s="1"/>
  <c r="O975" i="2"/>
  <c r="L975" i="2" s="1"/>
  <c r="O1014" i="2"/>
  <c r="L1014" i="2" s="1"/>
  <c r="O1037" i="2"/>
  <c r="L1037" i="2" s="1"/>
  <c r="O807" i="2"/>
  <c r="L807" i="2" s="1"/>
  <c r="O798" i="2"/>
  <c r="L798" i="2" s="1"/>
  <c r="O782" i="2"/>
  <c r="L782" i="2" s="1"/>
  <c r="O760" i="2"/>
  <c r="L760" i="2" s="1"/>
  <c r="O776" i="2"/>
  <c r="L776" i="2" s="1"/>
  <c r="O740" i="2"/>
  <c r="L740" i="2" s="1"/>
  <c r="O715" i="2"/>
  <c r="L715" i="2" s="1"/>
  <c r="O700" i="2"/>
  <c r="L700" i="2" s="1"/>
  <c r="O692" i="2"/>
  <c r="L692" i="2" s="1"/>
  <c r="O674" i="2"/>
  <c r="L674" i="2" s="1"/>
  <c r="O664" i="2"/>
  <c r="L664" i="2" s="1"/>
  <c r="O651" i="2"/>
  <c r="L651" i="2" s="1"/>
  <c r="O632" i="2"/>
  <c r="L632" i="2" s="1"/>
  <c r="O546" i="2"/>
  <c r="L546" i="2" s="1"/>
  <c r="O533" i="2"/>
  <c r="L533" i="2" s="1"/>
  <c r="O521" i="2"/>
  <c r="L521" i="2" s="1"/>
  <c r="O508" i="2"/>
  <c r="L508" i="2" s="1"/>
  <c r="O578" i="2"/>
  <c r="L578" i="2" s="1"/>
  <c r="O558" i="2"/>
  <c r="L558" i="2" s="1"/>
  <c r="O584" i="2"/>
  <c r="L584" i="2" s="1"/>
  <c r="O579" i="2"/>
  <c r="L579" i="2" s="1"/>
  <c r="O462" i="2"/>
  <c r="L462" i="2" s="1"/>
  <c r="O470" i="2"/>
  <c r="L470" i="2" s="1"/>
  <c r="O399" i="2"/>
  <c r="L399" i="2" s="1"/>
  <c r="O445" i="2"/>
  <c r="L445" i="2" s="1"/>
  <c r="O432" i="2"/>
  <c r="L432" i="2" s="1"/>
  <c r="O340" i="2"/>
  <c r="L340" i="2" s="1"/>
  <c r="O355" i="2"/>
  <c r="L355" i="2" s="1"/>
  <c r="O384" i="2"/>
  <c r="L384" i="2" s="1"/>
  <c r="O333" i="2"/>
  <c r="L333" i="2" s="1"/>
  <c r="O285" i="2"/>
  <c r="L285" i="2" s="1"/>
  <c r="O272" i="2"/>
  <c r="L272" i="2" s="1"/>
  <c r="O4142" i="2"/>
  <c r="L4142" i="2" s="1"/>
  <c r="O710" i="2"/>
  <c r="L710" i="2" s="1"/>
  <c r="O1975" i="2"/>
  <c r="L1975" i="2" s="1"/>
  <c r="O298" i="2"/>
  <c r="L298" i="2" s="1"/>
  <c r="O321" i="2"/>
  <c r="L321" i="2" s="1"/>
  <c r="O259" i="2"/>
  <c r="L259" i="2" s="1"/>
  <c r="O229" i="2"/>
  <c r="L229" i="2" s="1"/>
  <c r="O234" i="2"/>
  <c r="L234" i="2" s="1"/>
  <c r="O245" i="2"/>
  <c r="L245" i="2" s="1"/>
  <c r="O197" i="2"/>
  <c r="L197" i="2" s="1"/>
  <c r="O206" i="2"/>
  <c r="L206" i="2" s="1"/>
  <c r="O182" i="2"/>
  <c r="L182" i="2" s="1"/>
  <c r="O163" i="2"/>
  <c r="L163" i="2" s="1"/>
  <c r="O467" i="2"/>
  <c r="L467" i="2" s="1"/>
  <c r="O2652" i="2"/>
  <c r="L2652" i="2" s="1"/>
  <c r="O2078" i="2"/>
  <c r="L2078" i="2" s="1"/>
  <c r="O1899" i="2"/>
  <c r="L1899" i="2" s="1"/>
  <c r="O1806" i="2"/>
  <c r="L1806" i="2" s="1"/>
  <c r="O1748" i="2"/>
  <c r="L1748" i="2" s="1"/>
  <c r="O1705" i="2"/>
  <c r="L1705" i="2" s="1"/>
  <c r="O1671" i="2"/>
  <c r="L1671" i="2" s="1"/>
  <c r="O1620" i="2"/>
  <c r="L1620" i="2" s="1"/>
  <c r="O1590" i="2"/>
  <c r="L1590" i="2" s="1"/>
  <c r="O1409" i="2"/>
  <c r="L1409" i="2" s="1"/>
  <c r="O1423" i="2"/>
  <c r="L1423" i="2" s="1"/>
  <c r="O1467" i="2"/>
  <c r="L1467" i="2" s="1"/>
  <c r="O1484" i="2"/>
  <c r="L1484" i="2" s="1"/>
  <c r="O1374" i="2"/>
  <c r="L1374" i="2" s="1"/>
  <c r="O1250" i="2"/>
  <c r="L1250" i="2" s="1"/>
  <c r="O1294" i="2"/>
  <c r="L1294" i="2" s="1"/>
  <c r="O1307" i="2"/>
  <c r="L1307" i="2" s="1"/>
  <c r="O1351" i="2"/>
  <c r="L1351" i="2" s="1"/>
  <c r="O1182" i="2"/>
  <c r="L1182" i="2" s="1"/>
  <c r="O1147" i="2"/>
  <c r="L1147" i="2" s="1"/>
  <c r="O1076" i="2"/>
  <c r="L1076" i="2" s="1"/>
  <c r="O1094" i="2"/>
  <c r="L1094" i="2" s="1"/>
  <c r="O1116" i="2"/>
  <c r="L1116" i="2" s="1"/>
  <c r="O1049" i="2"/>
  <c r="L1049" i="2" s="1"/>
  <c r="O836" i="2"/>
  <c r="L836" i="2" s="1"/>
  <c r="O884" i="2"/>
  <c r="L884" i="2" s="1"/>
  <c r="O862" i="2"/>
  <c r="L862" i="2" s="1"/>
  <c r="O956" i="2"/>
  <c r="L956" i="2" s="1"/>
  <c r="O933" i="2"/>
  <c r="L933" i="2" s="1"/>
  <c r="O918" i="2"/>
  <c r="L918" i="2" s="1"/>
  <c r="O973" i="2"/>
  <c r="L973" i="2" s="1"/>
  <c r="O1000" i="2"/>
  <c r="L1000" i="2" s="1"/>
  <c r="O1001" i="2"/>
  <c r="L1001" i="2" s="1"/>
  <c r="O1015" i="2"/>
  <c r="L1015" i="2" s="1"/>
  <c r="O1036" i="2"/>
  <c r="L1036" i="2" s="1"/>
  <c r="O811" i="2"/>
  <c r="L811" i="2" s="1"/>
  <c r="O797" i="2"/>
  <c r="L797" i="2" s="1"/>
  <c r="O781" i="2"/>
  <c r="L781" i="2" s="1"/>
  <c r="O759" i="2"/>
  <c r="L759" i="2" s="1"/>
  <c r="O777" i="2"/>
  <c r="L777" i="2" s="1"/>
  <c r="O745" i="2"/>
  <c r="L745" i="2" s="1"/>
  <c r="O714" i="2"/>
  <c r="L714" i="2" s="1"/>
  <c r="O699" i="2"/>
  <c r="L699" i="2" s="1"/>
  <c r="O691" i="2"/>
  <c r="L691" i="2" s="1"/>
  <c r="O675" i="2"/>
  <c r="L675" i="2" s="1"/>
  <c r="O653" i="2"/>
  <c r="L653" i="2" s="1"/>
  <c r="O635" i="2"/>
  <c r="L635" i="2" s="1"/>
  <c r="O631" i="2"/>
  <c r="L631" i="2" s="1"/>
  <c r="O545" i="2"/>
  <c r="L545" i="2" s="1"/>
  <c r="O2562" i="2"/>
  <c r="L2562" i="2" s="1"/>
  <c r="O520" i="2"/>
  <c r="L520" i="2" s="1"/>
  <c r="O507" i="2"/>
  <c r="L507" i="2" s="1"/>
  <c r="O549" i="2"/>
  <c r="L549" i="2" s="1"/>
  <c r="O591" i="2"/>
  <c r="L591" i="2" s="1"/>
  <c r="O563" i="2"/>
  <c r="L563" i="2" s="1"/>
  <c r="O569" i="2"/>
  <c r="L569" i="2" s="1"/>
  <c r="O472" i="2"/>
  <c r="L472" i="2" s="1"/>
  <c r="O469" i="2"/>
  <c r="L469" i="2" s="1"/>
  <c r="O398" i="2"/>
  <c r="L398" i="2" s="1"/>
  <c r="O444" i="2"/>
  <c r="L444" i="2" s="1"/>
  <c r="O430" i="2"/>
  <c r="L430" i="2" s="1"/>
  <c r="O339" i="2"/>
  <c r="L339" i="2" s="1"/>
  <c r="O354" i="2"/>
  <c r="L354" i="2" s="1"/>
  <c r="O383" i="2"/>
  <c r="L383" i="2" s="1"/>
  <c r="O332" i="2"/>
  <c r="L332" i="2" s="1"/>
  <c r="O284" i="2"/>
  <c r="L284" i="2" s="1"/>
  <c r="O271" i="2"/>
  <c r="L271" i="2" s="1"/>
  <c r="O4104" i="2"/>
  <c r="L4104" i="2" s="1"/>
  <c r="O1635" i="2"/>
  <c r="L1635" i="2" s="1"/>
  <c r="O288" i="2"/>
  <c r="L288" i="2" s="1"/>
  <c r="O297" i="2"/>
  <c r="L297" i="2" s="1"/>
  <c r="O319" i="2"/>
  <c r="L319" i="2" s="1"/>
  <c r="O258" i="2"/>
  <c r="L258" i="2" s="1"/>
  <c r="O228" i="2"/>
  <c r="L228" i="2" s="1"/>
  <c r="O233" i="2"/>
  <c r="L233" i="2" s="1"/>
  <c r="O246" i="2"/>
  <c r="L246" i="2" s="1"/>
  <c r="O205" i="2"/>
  <c r="L205" i="2" s="1"/>
  <c r="O210" i="2"/>
  <c r="L210" i="2" s="1"/>
  <c r="O181" i="2"/>
  <c r="L181" i="2" s="1"/>
  <c r="O162" i="2"/>
  <c r="L162" i="2" s="1"/>
  <c r="O174" i="2"/>
  <c r="L174" i="2" s="1"/>
  <c r="O2501" i="2"/>
  <c r="L2501" i="2" s="1"/>
  <c r="O2149" i="2"/>
  <c r="L2149" i="2" s="1"/>
  <c r="O1863" i="2"/>
  <c r="L1863" i="2" s="1"/>
  <c r="O1823" i="2"/>
  <c r="L1823" i="2" s="1"/>
  <c r="O1772" i="2"/>
  <c r="L1772" i="2" s="1"/>
  <c r="O1746" i="2"/>
  <c r="L1746" i="2" s="1"/>
  <c r="O1713" i="2"/>
  <c r="L1713" i="2" s="1"/>
  <c r="O1665" i="2"/>
  <c r="L1665" i="2" s="1"/>
  <c r="O1626" i="2"/>
  <c r="L1626" i="2" s="1"/>
  <c r="O1576" i="2"/>
  <c r="L1576" i="2" s="1"/>
  <c r="O1457" i="2"/>
  <c r="L1457" i="2" s="1"/>
  <c r="O1440" i="2"/>
  <c r="L1440" i="2" s="1"/>
  <c r="O1418" i="2"/>
  <c r="L1418" i="2" s="1"/>
  <c r="O1448" i="2"/>
  <c r="L1448" i="2" s="1"/>
  <c r="O1381" i="2"/>
  <c r="L1381" i="2" s="1"/>
  <c r="O1223" i="2"/>
  <c r="L1223" i="2" s="1"/>
  <c r="O1263" i="2"/>
  <c r="L1263" i="2" s="1"/>
  <c r="O1288" i="2"/>
  <c r="L1288" i="2" s="1"/>
  <c r="O1309" i="2"/>
  <c r="L1309" i="2" s="1"/>
  <c r="O1346" i="2"/>
  <c r="L1346" i="2" s="1"/>
  <c r="O1192" i="2"/>
  <c r="L1192" i="2" s="1"/>
  <c r="O1153" i="2"/>
  <c r="L1153" i="2" s="1"/>
  <c r="O1071" i="2"/>
  <c r="L1071" i="2" s="1"/>
  <c r="O1088" i="2"/>
  <c r="L1088" i="2" s="1"/>
  <c r="O1123" i="2"/>
  <c r="L1123" i="2" s="1"/>
  <c r="O1052" i="2"/>
  <c r="L1052" i="2" s="1"/>
  <c r="O845" i="2"/>
  <c r="L845" i="2" s="1"/>
  <c r="O879" i="2"/>
  <c r="L879" i="2" s="1"/>
  <c r="O856" i="2"/>
  <c r="L856" i="2" s="1"/>
  <c r="O951" i="2"/>
  <c r="L951" i="2" s="1"/>
  <c r="O928" i="2"/>
  <c r="L928" i="2" s="1"/>
  <c r="O915" i="2"/>
  <c r="L915" i="2" s="1"/>
  <c r="O970" i="2"/>
  <c r="L970" i="2" s="1"/>
  <c r="O1002" i="2"/>
  <c r="L1002" i="2" s="1"/>
  <c r="O1010" i="2"/>
  <c r="L1010" i="2" s="1"/>
  <c r="O1004" i="2"/>
  <c r="L1004" i="2" s="1"/>
  <c r="O990" i="2"/>
  <c r="L990" i="2" s="1"/>
  <c r="O1033" i="2"/>
  <c r="L1033" i="2" s="1"/>
  <c r="O813" i="2"/>
  <c r="L813" i="2" s="1"/>
  <c r="O800" i="2"/>
  <c r="L800" i="2" s="1"/>
  <c r="O756" i="2"/>
  <c r="L756" i="2" s="1"/>
  <c r="O767" i="2"/>
  <c r="L767" i="2" s="1"/>
  <c r="O733" i="2"/>
  <c r="L733" i="2" s="1"/>
  <c r="O718" i="2"/>
  <c r="L718" i="2" s="1"/>
  <c r="O707" i="2"/>
  <c r="L707" i="2" s="1"/>
  <c r="O697" i="2"/>
  <c r="L697" i="2" s="1"/>
  <c r="O667" i="2"/>
  <c r="L667" i="2" s="1"/>
  <c r="O645" i="2"/>
  <c r="L645" i="2" s="1"/>
  <c r="O604" i="2"/>
  <c r="L604" i="2" s="1"/>
  <c r="O482" i="2"/>
  <c r="L482" i="2" s="1"/>
  <c r="O541" i="2"/>
  <c r="L541" i="2" s="1"/>
  <c r="O530" i="2"/>
  <c r="L530" i="2" s="1"/>
  <c r="O517" i="2"/>
  <c r="L517" i="2" s="1"/>
  <c r="O504" i="2"/>
  <c r="L504" i="2" s="1"/>
  <c r="O598" i="2"/>
  <c r="L598" i="2" s="1"/>
  <c r="O565" i="2"/>
  <c r="L565" i="2" s="1"/>
  <c r="O557" i="2"/>
  <c r="L557" i="2" s="1"/>
  <c r="O567" i="2"/>
  <c r="L567" i="2" s="1"/>
  <c r="O454" i="2"/>
  <c r="L454" i="2" s="1"/>
  <c r="O451" i="2"/>
  <c r="L451" i="2" s="1"/>
  <c r="O394" i="2"/>
  <c r="L394" i="2" s="1"/>
  <c r="O440" i="2"/>
  <c r="L440" i="2" s="1"/>
  <c r="O389" i="2"/>
  <c r="L389" i="2" s="1"/>
  <c r="O350" i="2"/>
  <c r="L350" i="2" s="1"/>
  <c r="O364" i="2"/>
  <c r="L364" i="2" s="1"/>
  <c r="O380" i="2"/>
  <c r="L380" i="2" s="1"/>
  <c r="O281" i="2"/>
  <c r="L281" i="2" s="1"/>
  <c r="O799" i="2"/>
  <c r="L799" i="2" s="1"/>
  <c r="O404" i="2"/>
  <c r="L404" i="2" s="1"/>
  <c r="O460" i="2"/>
  <c r="L460" i="2" s="1"/>
  <c r="O291" i="2"/>
  <c r="L291" i="2" s="1"/>
  <c r="O309" i="2"/>
  <c r="L309" i="2" s="1"/>
  <c r="O316" i="2"/>
  <c r="L316" i="2" s="1"/>
  <c r="O255" i="2"/>
  <c r="L255" i="2" s="1"/>
  <c r="O225" i="2"/>
  <c r="L225" i="2" s="1"/>
  <c r="O254" i="2"/>
  <c r="L254" i="2" s="1"/>
  <c r="O218" i="2"/>
  <c r="L218" i="2" s="1"/>
  <c r="O202" i="2"/>
  <c r="L202" i="2" s="1"/>
  <c r="O216" i="2"/>
  <c r="L216" i="2" s="1"/>
  <c r="O190" i="2"/>
  <c r="L190" i="2" s="1"/>
  <c r="O169" i="2"/>
  <c r="L169" i="2" s="1"/>
  <c r="O3673" i="2"/>
  <c r="L3673" i="2" s="1"/>
  <c r="O2410" i="2"/>
  <c r="L2410" i="2" s="1"/>
  <c r="O2012" i="2"/>
  <c r="L2012" i="2" s="1"/>
  <c r="O1860" i="2"/>
  <c r="L1860" i="2" s="1"/>
  <c r="O1822" i="2"/>
  <c r="L1822" i="2" s="1"/>
  <c r="O1769" i="2"/>
  <c r="L1769" i="2" s="1"/>
  <c r="O1734" i="2"/>
  <c r="L1734" i="2" s="1"/>
  <c r="O1718" i="2"/>
  <c r="L1718" i="2" s="1"/>
  <c r="O1661" i="2"/>
  <c r="L1661" i="2" s="1"/>
  <c r="O1639" i="2"/>
  <c r="L1639" i="2" s="1"/>
  <c r="O1581" i="2"/>
  <c r="L1581" i="2" s="1"/>
  <c r="O3323" i="2"/>
  <c r="L3323" i="2" s="1"/>
  <c r="O1438" i="2"/>
  <c r="L1438" i="2" s="1"/>
  <c r="O1417" i="2"/>
  <c r="L1417" i="2" s="1"/>
  <c r="O1380" i="2"/>
  <c r="L1380" i="2" s="1"/>
  <c r="O1222" i="2"/>
  <c r="L1222" i="2" s="1"/>
  <c r="O1262" i="2"/>
  <c r="L1262" i="2" s="1"/>
  <c r="O1285" i="2"/>
  <c r="L1285" i="2" s="1"/>
  <c r="O1365" i="2"/>
  <c r="L1365" i="2" s="1"/>
  <c r="O1345" i="2"/>
  <c r="L1345" i="2" s="1"/>
  <c r="O1203" i="2"/>
  <c r="L1203" i="2" s="1"/>
  <c r="O1152" i="2"/>
  <c r="L1152" i="2" s="1"/>
  <c r="O1109" i="2"/>
  <c r="L1109" i="2" s="1"/>
  <c r="O1115" i="2"/>
  <c r="L1115" i="2" s="1"/>
  <c r="O1141" i="2"/>
  <c r="L1141" i="2" s="1"/>
  <c r="O1057" i="2"/>
  <c r="L1057" i="2" s="1"/>
  <c r="O851" i="2"/>
  <c r="L851" i="2" s="1"/>
  <c r="O877" i="2"/>
  <c r="L877" i="2" s="1"/>
  <c r="O853" i="2"/>
  <c r="L853" i="2" s="1"/>
  <c r="O948" i="2"/>
  <c r="L948" i="2" s="1"/>
  <c r="O927" i="2"/>
  <c r="L927" i="2" s="1"/>
  <c r="O914" i="2"/>
  <c r="L914" i="2" s="1"/>
  <c r="O972" i="2"/>
  <c r="L972" i="2" s="1"/>
  <c r="O994" i="2"/>
  <c r="L994" i="2" s="1"/>
  <c r="O999" i="2"/>
  <c r="L999" i="2" s="1"/>
  <c r="O1008" i="2"/>
  <c r="L1008" i="2" s="1"/>
  <c r="O1022" i="2"/>
  <c r="L1022" i="2" s="1"/>
  <c r="O1032" i="2"/>
  <c r="L1032" i="2" s="1"/>
  <c r="O791" i="2"/>
  <c r="L791" i="2" s="1"/>
  <c r="O805" i="2"/>
  <c r="L805" i="2" s="1"/>
  <c r="O755" i="2"/>
  <c r="L755" i="2" s="1"/>
  <c r="O766" i="2"/>
  <c r="L766" i="2" s="1"/>
  <c r="O736" i="2"/>
  <c r="L736" i="2" s="1"/>
  <c r="O717" i="2"/>
  <c r="L717" i="2" s="1"/>
  <c r="O706" i="2"/>
  <c r="L706" i="2" s="1"/>
  <c r="O696" i="2"/>
  <c r="L696" i="2" s="1"/>
  <c r="O621" i="2"/>
  <c r="L621" i="2" s="1"/>
  <c r="O605" i="2"/>
  <c r="L605" i="2" s="1"/>
  <c r="O485" i="2"/>
  <c r="L485" i="2" s="1"/>
  <c r="O540" i="2"/>
  <c r="L540" i="2" s="1"/>
  <c r="O529" i="2"/>
  <c r="L529" i="2" s="1"/>
  <c r="O516" i="2"/>
  <c r="L516" i="2" s="1"/>
  <c r="O503" i="2"/>
  <c r="L503" i="2" s="1"/>
  <c r="O597" i="2"/>
  <c r="L597" i="2" s="1"/>
  <c r="O585" i="2"/>
  <c r="L585" i="2" s="1"/>
  <c r="O577" i="2"/>
  <c r="L577" i="2" s="1"/>
  <c r="O572" i="2"/>
  <c r="L572" i="2" s="1"/>
  <c r="O456" i="2"/>
  <c r="L456" i="2" s="1"/>
  <c r="O452" i="2"/>
  <c r="L452" i="2" s="1"/>
  <c r="O393" i="2"/>
  <c r="L393" i="2" s="1"/>
  <c r="O439" i="2"/>
  <c r="L439" i="2" s="1"/>
  <c r="O388" i="2"/>
  <c r="L388" i="2" s="1"/>
  <c r="O349" i="2"/>
  <c r="L349" i="2" s="1"/>
  <c r="O362" i="2"/>
  <c r="L362" i="2" s="1"/>
  <c r="O379" i="2"/>
  <c r="L379" i="2" s="1"/>
  <c r="O265" i="2"/>
  <c r="L265" i="2" s="1"/>
  <c r="O280" i="2"/>
  <c r="L280" i="2" s="1"/>
  <c r="O1303" i="2"/>
  <c r="L1303" i="2" s="1"/>
  <c r="O1305" i="2"/>
  <c r="L1305" i="2" s="1"/>
  <c r="O183" i="2"/>
  <c r="L183" i="2" s="1"/>
  <c r="O289" i="2"/>
  <c r="L289" i="2" s="1"/>
  <c r="O315" i="2"/>
  <c r="L315" i="2" s="1"/>
  <c r="O3489" i="2"/>
  <c r="L3489" i="2" s="1"/>
  <c r="O242" i="2"/>
  <c r="L242" i="2" s="1"/>
  <c r="O249" i="2"/>
  <c r="L249" i="2" s="1"/>
  <c r="O217" i="2"/>
  <c r="L217" i="2" s="1"/>
  <c r="O201" i="2"/>
  <c r="L201" i="2" s="1"/>
  <c r="O191" i="2"/>
  <c r="L191" i="2" s="1"/>
  <c r="O188" i="2"/>
  <c r="L188" i="2" s="1"/>
  <c r="O168" i="2"/>
  <c r="L168" i="2" s="1"/>
  <c r="O3052" i="2"/>
  <c r="L3052" i="2" s="1"/>
  <c r="O2378" i="2"/>
  <c r="L2378" i="2" s="1"/>
  <c r="O2033" i="2"/>
  <c r="L2033" i="2" s="1"/>
  <c r="O1877" i="2"/>
  <c r="L1877" i="2" s="1"/>
  <c r="O1820" i="2"/>
  <c r="L1820" i="2" s="1"/>
  <c r="O3228" i="2"/>
  <c r="L3228" i="2" s="1"/>
  <c r="O1725" i="2"/>
  <c r="L1725" i="2" s="1"/>
  <c r="O1658" i="2"/>
  <c r="L1658" i="2" s="1"/>
  <c r="O2804" i="2"/>
  <c r="L2804" i="2" s="1"/>
  <c r="O2413" i="2"/>
  <c r="L2413" i="2" s="1"/>
  <c r="O1922" i="2"/>
  <c r="L1922" i="2" s="1"/>
  <c r="O1873" i="2"/>
  <c r="L1873" i="2" s="1"/>
  <c r="O1831" i="2"/>
  <c r="L1831" i="2" s="1"/>
  <c r="O1782" i="2"/>
  <c r="L1782" i="2" s="1"/>
  <c r="O1733" i="2"/>
  <c r="L1733" i="2" s="1"/>
  <c r="O1727" i="2"/>
  <c r="L1727" i="2" s="1"/>
  <c r="O1638" i="2"/>
  <c r="L1638" i="2" s="1"/>
  <c r="O1585" i="2"/>
  <c r="L1585" i="2" s="1"/>
  <c r="O1496" i="2"/>
  <c r="L1496" i="2" s="1"/>
  <c r="O1434" i="2"/>
  <c r="L1434" i="2" s="1"/>
  <c r="O1454" i="2"/>
  <c r="L1454" i="2" s="1"/>
  <c r="O1463" i="2"/>
  <c r="L1463" i="2" s="1"/>
  <c r="O311" i="2"/>
  <c r="L311" i="2" s="1"/>
  <c r="O1246" i="2"/>
  <c r="L1246" i="2" s="1"/>
  <c r="O1258" i="2"/>
  <c r="L1258" i="2" s="1"/>
  <c r="O1306" i="2"/>
  <c r="L1306" i="2" s="1"/>
  <c r="O1362" i="2"/>
  <c r="L1362" i="2" s="1"/>
  <c r="O1198" i="2"/>
  <c r="L1198" i="2" s="1"/>
  <c r="O1155" i="2"/>
  <c r="L1155" i="2" s="1"/>
  <c r="O1106" i="2"/>
  <c r="L1106" i="2" s="1"/>
  <c r="O1118" i="2"/>
  <c r="L1118" i="2" s="1"/>
  <c r="O1138" i="2"/>
  <c r="L1138" i="2" s="1"/>
  <c r="O1054" i="2"/>
  <c r="L1054" i="2" s="1"/>
  <c r="O895" i="2"/>
  <c r="L895" i="2" s="1"/>
  <c r="O874" i="2"/>
  <c r="L874" i="2" s="1"/>
  <c r="O966" i="2"/>
  <c r="L966" i="2" s="1"/>
  <c r="O945" i="2"/>
  <c r="L945" i="2" s="1"/>
  <c r="O925" i="2"/>
  <c r="L925" i="2" s="1"/>
  <c r="O912" i="2"/>
  <c r="L912" i="2" s="1"/>
  <c r="O985" i="2"/>
  <c r="L985" i="2" s="1"/>
  <c r="O991" i="2"/>
  <c r="L991" i="2" s="1"/>
  <c r="O1042" i="2"/>
  <c r="L1042" i="2" s="1"/>
  <c r="O1029" i="2"/>
  <c r="L1029" i="2" s="1"/>
  <c r="O789" i="2"/>
  <c r="L789" i="2" s="1"/>
  <c r="O786" i="2"/>
  <c r="L786" i="2" s="1"/>
  <c r="O753" i="2"/>
  <c r="L753" i="2" s="1"/>
  <c r="O764" i="2"/>
  <c r="L764" i="2" s="1"/>
  <c r="O734" i="2"/>
  <c r="L734" i="2" s="1"/>
  <c r="O719" i="2"/>
  <c r="L719" i="2" s="1"/>
  <c r="O704" i="2"/>
  <c r="L704" i="2" s="1"/>
  <c r="O686" i="2"/>
  <c r="L686" i="2" s="1"/>
  <c r="O681" i="2"/>
  <c r="L681" i="2" s="1"/>
  <c r="O656" i="2"/>
  <c r="L656" i="2" s="1"/>
  <c r="O639" i="2"/>
  <c r="L639" i="2" s="1"/>
  <c r="O625" i="2"/>
  <c r="L625" i="2" s="1"/>
  <c r="O608" i="2"/>
  <c r="L608" i="2" s="1"/>
  <c r="O489" i="2"/>
  <c r="L489" i="2" s="1"/>
  <c r="O538" i="2"/>
  <c r="L538" i="2" s="1"/>
  <c r="O527" i="2"/>
  <c r="L527" i="2" s="1"/>
  <c r="O514" i="2"/>
  <c r="L514" i="2" s="1"/>
  <c r="O501" i="2"/>
  <c r="L501" i="2" s="1"/>
  <c r="O554" i="2"/>
  <c r="L554" i="2" s="1"/>
  <c r="O594" i="2"/>
  <c r="L594" i="2" s="1"/>
  <c r="O593" i="2"/>
  <c r="L593" i="2" s="1"/>
  <c r="O560" i="2"/>
  <c r="L560" i="2" s="1"/>
  <c r="O459" i="2"/>
  <c r="L459" i="2" s="1"/>
  <c r="O414" i="2"/>
  <c r="L414" i="2" s="1"/>
  <c r="O437" i="2"/>
  <c r="L437" i="2" s="1"/>
  <c r="O365" i="2"/>
  <c r="L365" i="2" s="1"/>
  <c r="O347" i="2"/>
  <c r="L347" i="2" s="1"/>
  <c r="O374" i="2"/>
  <c r="L374" i="2" s="1"/>
  <c r="O377" i="2"/>
  <c r="L377" i="2" s="1"/>
  <c r="O263" i="2"/>
  <c r="L263" i="2" s="1"/>
  <c r="O277" i="2"/>
  <c r="L277" i="2" s="1"/>
  <c r="O410" i="2"/>
  <c r="L410" i="2" s="1"/>
  <c r="O1304" i="2"/>
  <c r="L1304" i="2" s="1"/>
  <c r="O307" i="2"/>
  <c r="L307" i="2" s="1"/>
  <c r="O413" i="2"/>
  <c r="L413" i="2" s="1"/>
  <c r="O326" i="2"/>
  <c r="L326" i="2" s="1"/>
  <c r="O313" i="2"/>
  <c r="L313" i="2" s="1"/>
  <c r="O223" i="2"/>
  <c r="L223" i="2" s="1"/>
  <c r="O240" i="2"/>
  <c r="L240" i="2" s="1"/>
  <c r="O252" i="2"/>
  <c r="L252" i="2" s="1"/>
  <c r="O2429" i="2"/>
  <c r="L2429" i="2" s="1"/>
  <c r="O198" i="2"/>
  <c r="L198" i="2" s="1"/>
  <c r="O176" i="2"/>
  <c r="L176" i="2" s="1"/>
  <c r="O171" i="2"/>
  <c r="L171" i="2" s="1"/>
  <c r="O158" i="2"/>
  <c r="L158" i="2" s="1"/>
  <c r="O2794" i="2"/>
  <c r="L2794" i="2" s="1"/>
  <c r="O1013" i="2"/>
  <c r="L1013" i="2" s="1"/>
  <c r="O1965" i="2"/>
  <c r="L1965" i="2" s="1"/>
  <c r="O1897" i="2"/>
  <c r="L1897" i="2" s="1"/>
  <c r="O1842" i="2"/>
  <c r="L1842" i="2" s="1"/>
  <c r="O1788" i="2"/>
  <c r="L1788" i="2" s="1"/>
  <c r="O1691" i="2"/>
  <c r="L1691" i="2" s="1"/>
  <c r="O1645" i="2"/>
  <c r="L1645" i="2" s="1"/>
  <c r="O1603" i="2"/>
  <c r="L1603" i="2" s="1"/>
  <c r="O1651" i="2"/>
  <c r="L1651" i="2" s="1"/>
  <c r="O1529" i="2"/>
  <c r="L1529" i="2" s="1"/>
  <c r="O1391" i="2"/>
  <c r="L1391" i="2" s="1"/>
  <c r="O1431" i="2"/>
  <c r="L1431" i="2" s="1"/>
  <c r="O1472" i="2"/>
  <c r="L1472" i="2" s="1"/>
  <c r="O1490" i="2"/>
  <c r="L1490" i="2" s="1"/>
  <c r="O1371" i="2"/>
  <c r="L1371" i="2" s="1"/>
  <c r="O1241" i="2"/>
  <c r="L1241" i="2" s="1"/>
  <c r="O1301" i="2"/>
  <c r="L1301" i="2" s="1"/>
  <c r="O1324" i="2"/>
  <c r="L1324" i="2" s="1"/>
  <c r="O1359" i="2"/>
  <c r="L1359" i="2" s="1"/>
  <c r="O1176" i="2"/>
  <c r="L1176" i="2" s="1"/>
  <c r="O1207" i="2"/>
  <c r="L1207" i="2" s="1"/>
  <c r="O1101" i="2"/>
  <c r="L1101" i="2" s="1"/>
  <c r="O1119" i="2"/>
  <c r="L1119" i="2" s="1"/>
  <c r="O1061" i="2"/>
  <c r="L1061" i="2" s="1"/>
  <c r="O841" i="2"/>
  <c r="L841" i="2" s="1"/>
  <c r="O892" i="2"/>
  <c r="L892" i="2" s="1"/>
  <c r="O869" i="2"/>
  <c r="L869" i="2" s="1"/>
  <c r="O964" i="2"/>
  <c r="L964" i="2" s="1"/>
  <c r="O940" i="2"/>
  <c r="L940" i="2" s="1"/>
  <c r="O923" i="2"/>
  <c r="L923" i="2" s="1"/>
  <c r="O909" i="2"/>
  <c r="L909" i="2" s="1"/>
  <c r="O995" i="2"/>
  <c r="L995" i="2" s="1"/>
  <c r="O1009" i="2"/>
  <c r="L1009" i="2" s="1"/>
  <c r="O998" i="2"/>
  <c r="L998" i="2" s="1"/>
  <c r="O1040" i="2"/>
  <c r="L1040" i="2" s="1"/>
  <c r="O816" i="2"/>
  <c r="L816" i="2" s="1"/>
  <c r="O792" i="2"/>
  <c r="L792" i="2" s="1"/>
  <c r="O779" i="2"/>
  <c r="L779" i="2" s="1"/>
  <c r="O751" i="2"/>
  <c r="L751" i="2" s="1"/>
  <c r="O738" i="2"/>
  <c r="L738" i="2" s="1"/>
  <c r="O726" i="2"/>
  <c r="L726" i="2" s="1"/>
  <c r="O769" i="2"/>
  <c r="L769" i="2" s="1"/>
  <c r="O695" i="2"/>
  <c r="L695" i="2" s="1"/>
  <c r="O658" i="2"/>
  <c r="L658" i="2" s="1"/>
  <c r="O641" i="2"/>
  <c r="L641" i="2" s="1"/>
  <c r="O629" i="2"/>
  <c r="L629" i="2" s="1"/>
  <c r="O611" i="2"/>
  <c r="L611" i="2" s="1"/>
  <c r="O487" i="2"/>
  <c r="L487" i="2" s="1"/>
  <c r="O536" i="2"/>
  <c r="L536" i="2" s="1"/>
  <c r="O525" i="2"/>
  <c r="L525" i="2" s="1"/>
  <c r="O512" i="2"/>
  <c r="L512" i="2" s="1"/>
  <c r="O499" i="2"/>
  <c r="L499" i="2" s="1"/>
  <c r="O588" i="2"/>
  <c r="L588" i="2" s="1"/>
  <c r="O573" i="2"/>
  <c r="L573" i="2" s="1"/>
  <c r="O475" i="2"/>
  <c r="L475" i="2" s="1"/>
  <c r="O463" i="2"/>
  <c r="L463" i="2" s="1"/>
  <c r="O391" i="2"/>
  <c r="L391" i="2" s="1"/>
  <c r="O448" i="2"/>
  <c r="L448" i="2" s="1"/>
  <c r="O435" i="2"/>
  <c r="L435" i="2" s="1"/>
  <c r="O386" i="2"/>
  <c r="L386" i="2" s="1"/>
  <c r="O345" i="2"/>
  <c r="L345" i="2" s="1"/>
  <c r="O372" i="2"/>
  <c r="L372" i="2" s="1"/>
  <c r="O336" i="2"/>
  <c r="L336" i="2" s="1"/>
  <c r="O267" i="2"/>
  <c r="L267" i="2" s="1"/>
  <c r="O275" i="2"/>
  <c r="L275" i="2" s="1"/>
  <c r="O406" i="2"/>
  <c r="L406" i="2" s="1"/>
  <c r="O2245" i="2"/>
  <c r="L2245" i="2" s="1"/>
  <c r="O305" i="2"/>
  <c r="L305" i="2" s="1"/>
  <c r="O301" i="2"/>
  <c r="L301" i="2" s="1"/>
  <c r="O324" i="2"/>
  <c r="L324" i="2" s="1"/>
  <c r="O331" i="2"/>
  <c r="L331" i="2" s="1"/>
  <c r="O221" i="2"/>
  <c r="L221" i="2" s="1"/>
  <c r="O238" i="2"/>
  <c r="L238" i="2" s="1"/>
  <c r="O247" i="2"/>
  <c r="L247" i="2" s="1"/>
  <c r="O193" i="2"/>
  <c r="L193" i="2" s="1"/>
  <c r="O208" i="2"/>
  <c r="L208" i="2" s="1"/>
  <c r="O178" i="2"/>
  <c r="L178" i="2" s="1"/>
  <c r="O170" i="2"/>
  <c r="L170" i="2" s="1"/>
  <c r="O2234" i="2"/>
  <c r="L2234" i="2" s="1"/>
  <c r="O1804" i="2"/>
  <c r="L1804" i="2" s="1"/>
  <c r="O1615" i="2"/>
  <c r="L1615" i="2" s="1"/>
  <c r="O1547" i="2"/>
  <c r="L1547" i="2" s="1"/>
  <c r="O1427" i="2"/>
  <c r="L1427" i="2" s="1"/>
  <c r="O1487" i="2"/>
  <c r="L1487" i="2" s="1"/>
  <c r="O1239" i="2"/>
  <c r="L1239" i="2" s="1"/>
  <c r="O1312" i="2"/>
  <c r="L1312" i="2" s="1"/>
  <c r="O1181" i="2"/>
  <c r="L1181" i="2" s="1"/>
  <c r="O1079" i="2"/>
  <c r="L1079" i="2" s="1"/>
  <c r="O1127" i="2"/>
  <c r="L1127" i="2" s="1"/>
  <c r="O837" i="2"/>
  <c r="L837" i="2" s="1"/>
  <c r="O866" i="2"/>
  <c r="L866" i="2" s="1"/>
  <c r="O938" i="2"/>
  <c r="L938" i="2" s="1"/>
  <c r="O983" i="2"/>
  <c r="L983" i="2" s="1"/>
  <c r="O977" i="2"/>
  <c r="L977" i="2" s="1"/>
  <c r="O2253" i="2"/>
  <c r="L2253" i="2" s="1"/>
  <c r="O1825" i="2"/>
  <c r="L1825" i="2" s="1"/>
  <c r="O1703" i="2"/>
  <c r="L1703" i="2" s="1"/>
  <c r="O1633" i="2"/>
  <c r="L1633" i="2" s="1"/>
  <c r="O1572" i="2"/>
  <c r="L1572" i="2" s="1"/>
  <c r="O1421" i="2"/>
  <c r="L1421" i="2" s="1"/>
  <c r="O1483" i="2"/>
  <c r="L1483" i="2" s="1"/>
  <c r="O1249" i="2"/>
  <c r="L1249" i="2" s="1"/>
  <c r="O1330" i="2"/>
  <c r="L1330" i="2" s="1"/>
  <c r="O1195" i="2"/>
  <c r="L1195" i="2" s="1"/>
  <c r="O1073" i="2"/>
  <c r="L1073" i="2" s="1"/>
  <c r="O1124" i="2"/>
  <c r="L1124" i="2" s="1"/>
  <c r="O848" i="2"/>
  <c r="L848" i="2" s="1"/>
  <c r="O861" i="2"/>
  <c r="L861" i="2" s="1"/>
  <c r="O932" i="2"/>
  <c r="L932" i="2" s="1"/>
  <c r="O1021" i="2"/>
  <c r="L1021" i="2" s="1"/>
  <c r="O1016" i="2"/>
  <c r="L1016" i="2" s="1"/>
  <c r="O810" i="2"/>
  <c r="L810" i="2" s="1"/>
  <c r="O780" i="2"/>
  <c r="L780" i="2" s="1"/>
  <c r="O748" i="2"/>
  <c r="L748" i="2" s="1"/>
  <c r="O713" i="2"/>
  <c r="L713" i="2" s="1"/>
  <c r="O690" i="2"/>
  <c r="L690" i="2" s="1"/>
  <c r="O663" i="2"/>
  <c r="L663" i="2" s="1"/>
  <c r="O630" i="2"/>
  <c r="L630" i="2" s="1"/>
  <c r="O543" i="2"/>
  <c r="L543" i="2" s="1"/>
  <c r="O519" i="2"/>
  <c r="L519" i="2" s="1"/>
  <c r="O571" i="2"/>
  <c r="L571" i="2" s="1"/>
  <c r="O589" i="2"/>
  <c r="L589" i="2" s="1"/>
  <c r="O471" i="2"/>
  <c r="L471" i="2" s="1"/>
  <c r="O397" i="2"/>
  <c r="L397" i="2" s="1"/>
  <c r="O429" i="2"/>
  <c r="L429" i="2" s="1"/>
  <c r="O353" i="2"/>
  <c r="L353" i="2" s="1"/>
  <c r="O270" i="2"/>
  <c r="L270" i="2" s="1"/>
  <c r="O3119" i="2"/>
  <c r="L3119" i="2" s="1"/>
  <c r="O294" i="2"/>
  <c r="L294" i="2" s="1"/>
  <c r="O257" i="2"/>
  <c r="L257" i="2" s="1"/>
  <c r="O232" i="2"/>
  <c r="L232" i="2" s="1"/>
  <c r="O204" i="2"/>
  <c r="L204" i="2" s="1"/>
  <c r="O185" i="2"/>
  <c r="L185" i="2" s="1"/>
  <c r="O173" i="2"/>
  <c r="L173" i="2" s="1"/>
  <c r="O147" i="2"/>
  <c r="L147" i="2" s="1"/>
  <c r="O141" i="2"/>
  <c r="L141" i="2" s="1"/>
  <c r="O96" i="2"/>
  <c r="L96" i="2" s="1"/>
  <c r="O100" i="2"/>
  <c r="L100" i="2" s="1"/>
  <c r="O127" i="2"/>
  <c r="L127" i="2" s="1"/>
  <c r="O65" i="2"/>
  <c r="L65" i="2" s="1"/>
  <c r="O59" i="2"/>
  <c r="L59" i="2" s="1"/>
  <c r="O35" i="2"/>
  <c r="L35" i="2" s="1"/>
  <c r="O10" i="2"/>
  <c r="L10" i="2" s="1"/>
  <c r="O4" i="2"/>
  <c r="L4" i="2" s="1"/>
  <c r="O3926" i="2"/>
  <c r="L3926" i="2" s="1"/>
  <c r="O1739" i="2"/>
  <c r="L1739" i="2" s="1"/>
  <c r="O1608" i="2"/>
  <c r="L1608" i="2" s="1"/>
  <c r="O844" i="2"/>
  <c r="L844" i="2" s="1"/>
  <c r="O3265" i="2"/>
  <c r="L3265" i="2" s="1"/>
  <c r="O842" i="2"/>
  <c r="L842" i="2" s="1"/>
  <c r="O3652" i="2"/>
  <c r="L3652" i="2" s="1"/>
  <c r="O3648" i="2"/>
  <c r="L3648" i="2" s="1"/>
  <c r="O92" i="2"/>
  <c r="L92" i="2" s="1"/>
  <c r="O3711" i="2"/>
  <c r="L3711" i="2" s="1"/>
  <c r="O2701" i="2"/>
  <c r="L2701" i="2" s="1"/>
  <c r="O2696" i="2"/>
  <c r="L2696" i="2" s="1"/>
  <c r="O46" i="2"/>
  <c r="L46" i="2" s="1"/>
  <c r="O724" i="2"/>
  <c r="L724" i="2" s="1"/>
  <c r="O1979" i="2"/>
  <c r="L1979" i="2" s="1"/>
  <c r="O1320" i="2"/>
  <c r="L1320" i="2" s="1"/>
  <c r="O2723" i="2"/>
  <c r="L2723" i="2" s="1"/>
  <c r="O2270" i="2"/>
  <c r="L2270" i="2" s="1"/>
  <c r="O2465" i="2"/>
  <c r="L2465" i="2" s="1"/>
  <c r="O2468" i="2"/>
  <c r="L2468" i="2" s="1"/>
  <c r="O2129" i="2"/>
  <c r="L2129" i="2" s="1"/>
  <c r="O1836" i="2"/>
  <c r="L1836" i="2" s="1"/>
  <c r="O1702" i="2"/>
  <c r="L1702" i="2" s="1"/>
  <c r="O1628" i="2"/>
  <c r="L1628" i="2" s="1"/>
  <c r="O1500" i="2"/>
  <c r="L1500" i="2" s="1"/>
  <c r="O1419" i="2"/>
  <c r="L1419" i="2" s="1"/>
  <c r="O1268" i="2"/>
  <c r="L1268" i="2" s="1"/>
  <c r="O1266" i="2"/>
  <c r="L1266" i="2" s="1"/>
  <c r="O1326" i="2"/>
  <c r="L1326" i="2" s="1"/>
  <c r="O1194" i="2"/>
  <c r="L1194" i="2" s="1"/>
  <c r="O1072" i="2"/>
  <c r="L1072" i="2" s="1"/>
  <c r="O1128" i="2"/>
  <c r="L1128" i="2" s="1"/>
  <c r="O846" i="2"/>
  <c r="L846" i="2" s="1"/>
  <c r="O858" i="2"/>
  <c r="L858" i="2" s="1"/>
  <c r="O929" i="2"/>
  <c r="L929" i="2" s="1"/>
  <c r="O976" i="2"/>
  <c r="L976" i="2" s="1"/>
  <c r="O809" i="2"/>
  <c r="L809" i="2" s="1"/>
  <c r="O2176" i="2"/>
  <c r="L2176" i="2" s="1"/>
  <c r="O1841" i="2"/>
  <c r="L1841" i="2" s="1"/>
  <c r="O1716" i="2"/>
  <c r="L1716" i="2" s="1"/>
  <c r="O1649" i="2"/>
  <c r="L1649" i="2" s="1"/>
  <c r="O1470" i="2"/>
  <c r="L1470" i="2" s="1"/>
  <c r="O1378" i="2"/>
  <c r="L1378" i="2" s="1"/>
  <c r="O1261" i="2"/>
  <c r="L1261" i="2" s="1"/>
  <c r="O1364" i="2"/>
  <c r="L1364" i="2" s="1"/>
  <c r="O1201" i="2"/>
  <c r="L1201" i="2" s="1"/>
  <c r="O1107" i="2"/>
  <c r="L1107" i="2" s="1"/>
  <c r="O1139" i="2"/>
  <c r="L1139" i="2" s="1"/>
  <c r="O897" i="2"/>
  <c r="L897" i="2" s="1"/>
  <c r="O969" i="2"/>
  <c r="L969" i="2" s="1"/>
  <c r="O926" i="2"/>
  <c r="L926" i="2" s="1"/>
  <c r="O997" i="2"/>
  <c r="L997" i="2" s="1"/>
  <c r="O986" i="2"/>
  <c r="L986" i="2" s="1"/>
  <c r="O1028" i="2"/>
  <c r="L1028" i="2" s="1"/>
  <c r="O790" i="2"/>
  <c r="L790" i="2" s="1"/>
  <c r="O754" i="2"/>
  <c r="L754" i="2" s="1"/>
  <c r="O735" i="2"/>
  <c r="L735" i="2" s="1"/>
  <c r="O705" i="2"/>
  <c r="L705" i="2" s="1"/>
  <c r="O682" i="2"/>
  <c r="L682" i="2" s="1"/>
  <c r="O637" i="2"/>
  <c r="L637" i="2" s="1"/>
  <c r="O609" i="2"/>
  <c r="L609" i="2" s="1"/>
  <c r="O539" i="2"/>
  <c r="L539" i="2" s="1"/>
  <c r="O515" i="2"/>
  <c r="L515" i="2" s="1"/>
  <c r="O550" i="2"/>
  <c r="L550" i="2" s="1"/>
  <c r="O564" i="2"/>
  <c r="L564" i="2" s="1"/>
  <c r="O455" i="2"/>
  <c r="L455" i="2" s="1"/>
  <c r="O401" i="2"/>
  <c r="L401" i="2" s="1"/>
  <c r="O387" i="2"/>
  <c r="L387" i="2" s="1"/>
  <c r="O359" i="2"/>
  <c r="L359" i="2" s="1"/>
  <c r="O264" i="2"/>
  <c r="L264" i="2" s="1"/>
  <c r="O411" i="2"/>
  <c r="L411" i="2" s="1"/>
  <c r="O402" i="2"/>
  <c r="L402" i="2" s="1"/>
  <c r="O327" i="2"/>
  <c r="L327" i="2" s="1"/>
  <c r="O248" i="2"/>
  <c r="L248" i="2" s="1"/>
  <c r="O200" i="2"/>
  <c r="L200" i="2" s="1"/>
  <c r="O187" i="2"/>
  <c r="L187" i="2" s="1"/>
  <c r="O132" i="2"/>
  <c r="L132" i="2" s="1"/>
  <c r="O98" i="2"/>
  <c r="L98" i="2" s="1"/>
  <c r="O113" i="2"/>
  <c r="L113" i="2" s="1"/>
  <c r="O88" i="2"/>
  <c r="L88" i="2" s="1"/>
  <c r="O68" i="2"/>
  <c r="L68" i="2" s="1"/>
  <c r="O7" i="2"/>
  <c r="L7" i="2" s="1"/>
  <c r="O2" i="2"/>
  <c r="L2" i="2" s="1"/>
  <c r="O2077" i="2"/>
  <c r="L2077" i="2" s="1"/>
  <c r="O1968" i="2"/>
  <c r="L1968" i="2" s="1"/>
  <c r="O1839" i="2"/>
  <c r="L1839" i="2" s="1"/>
  <c r="O1714" i="2"/>
  <c r="L1714" i="2" s="1"/>
  <c r="O1644" i="2"/>
  <c r="L1644" i="2" s="1"/>
  <c r="O1493" i="2"/>
  <c r="L1493" i="2" s="1"/>
  <c r="O1445" i="2"/>
  <c r="L1445" i="2" s="1"/>
  <c r="O1327" i="2"/>
  <c r="L1327" i="2" s="1"/>
  <c r="O1255" i="2"/>
  <c r="L1255" i="2" s="1"/>
  <c r="O1360" i="2"/>
  <c r="L1360" i="2" s="1"/>
  <c r="O1209" i="2"/>
  <c r="L1209" i="2" s="1"/>
  <c r="O1104" i="2"/>
  <c r="L1104" i="2" s="1"/>
  <c r="O1137" i="2"/>
  <c r="L1137" i="2" s="1"/>
  <c r="O894" i="2"/>
  <c r="L894" i="2" s="1"/>
  <c r="O965" i="2"/>
  <c r="L965" i="2" s="1"/>
  <c r="O924" i="2"/>
  <c r="L924" i="2" s="1"/>
  <c r="O978" i="2"/>
  <c r="L978" i="2" s="1"/>
  <c r="O984" i="2"/>
  <c r="L984" i="2" s="1"/>
  <c r="O1041" i="2"/>
  <c r="L1041" i="2" s="1"/>
  <c r="O793" i="2"/>
  <c r="L793" i="2" s="1"/>
  <c r="O1994" i="2"/>
  <c r="L1994" i="2" s="1"/>
  <c r="O1767" i="2"/>
  <c r="L1767" i="2" s="1"/>
  <c r="O1684" i="2"/>
  <c r="L1684" i="2" s="1"/>
  <c r="O1650" i="2"/>
  <c r="L1650" i="2" s="1"/>
  <c r="O1390" i="2"/>
  <c r="L1390" i="2" s="1"/>
  <c r="O1453" i="2"/>
  <c r="L1453" i="2" s="1"/>
  <c r="O1368" i="2"/>
  <c r="L1368" i="2" s="1"/>
  <c r="O1298" i="2"/>
  <c r="L1298" i="2" s="1"/>
  <c r="O1358" i="2"/>
  <c r="L1358" i="2" s="1"/>
  <c r="O1206" i="2"/>
  <c r="L1206" i="2" s="1"/>
  <c r="O1100" i="2"/>
  <c r="L1100" i="2" s="1"/>
  <c r="O988" i="2"/>
  <c r="L988" i="2" s="1"/>
  <c r="O890" i="2"/>
  <c r="L890" i="2" s="1"/>
  <c r="O961" i="2"/>
  <c r="L961" i="2" s="1"/>
  <c r="O922" i="2"/>
  <c r="L922" i="2" s="1"/>
  <c r="O1006" i="2"/>
  <c r="L1006" i="2" s="1"/>
  <c r="O974" i="2"/>
  <c r="L974" i="2" s="1"/>
  <c r="O1039" i="2"/>
  <c r="L1039" i="2" s="1"/>
  <c r="O795" i="2"/>
  <c r="L795" i="2" s="1"/>
  <c r="O750" i="2"/>
  <c r="L750" i="2" s="1"/>
  <c r="O737" i="2"/>
  <c r="L737" i="2" s="1"/>
  <c r="O702" i="2"/>
  <c r="L702" i="2" s="1"/>
  <c r="O670" i="2"/>
  <c r="L670" i="2" s="1"/>
  <c r="O648" i="2"/>
  <c r="L648" i="2" s="1"/>
  <c r="O600" i="2"/>
  <c r="L600" i="2" s="1"/>
  <c r="O535" i="2"/>
  <c r="L535" i="2" s="1"/>
  <c r="O511" i="2"/>
  <c r="L511" i="2" s="1"/>
  <c r="O586" i="2"/>
  <c r="L586" i="2" s="1"/>
  <c r="O596" i="2"/>
  <c r="L596" i="2" s="1"/>
  <c r="O461" i="2"/>
  <c r="L461" i="2" s="1"/>
  <c r="O447" i="2"/>
  <c r="L447" i="2" s="1"/>
  <c r="O337" i="2"/>
  <c r="L337" i="2" s="1"/>
  <c r="O370" i="2"/>
  <c r="L370" i="2" s="1"/>
  <c r="O266" i="2"/>
  <c r="L266" i="2" s="1"/>
  <c r="O4163" i="2"/>
  <c r="L4163" i="2" s="1"/>
  <c r="O304" i="2"/>
  <c r="L304" i="2" s="1"/>
  <c r="O323" i="2"/>
  <c r="L323" i="2" s="1"/>
  <c r="O220" i="2"/>
  <c r="L220" i="2" s="1"/>
  <c r="O212" i="2"/>
  <c r="L212" i="2" s="1"/>
  <c r="O165" i="2"/>
  <c r="L165" i="2" s="1"/>
  <c r="O156" i="2"/>
  <c r="L156" i="2" s="1"/>
  <c r="O135" i="2"/>
  <c r="L135" i="2" s="1"/>
  <c r="O129" i="2"/>
  <c r="L129" i="2" s="1"/>
  <c r="O109" i="2"/>
  <c r="L109" i="2" s="1"/>
  <c r="O85" i="2"/>
  <c r="L85" i="2" s="1"/>
  <c r="O72" i="2"/>
  <c r="L72" i="2" s="1"/>
  <c r="O41" i="2"/>
  <c r="L41" i="2" s="1"/>
  <c r="O22" i="2"/>
  <c r="L22" i="2" s="1"/>
  <c r="O3973" i="2"/>
  <c r="L3973" i="2" s="1"/>
  <c r="O1611" i="2"/>
  <c r="L1611" i="2" s="1"/>
  <c r="O2206" i="2"/>
  <c r="L2206" i="2" s="1"/>
  <c r="O3924" i="2"/>
  <c r="L3924" i="2" s="1"/>
  <c r="O3529" i="2"/>
  <c r="L3529" i="2" s="1"/>
  <c r="O3416" i="2"/>
  <c r="L3416" i="2" s="1"/>
  <c r="O1800" i="2"/>
  <c r="L1800" i="2" s="1"/>
  <c r="O3263" i="2"/>
  <c r="L3263" i="2" s="1"/>
  <c r="O2754" i="2"/>
  <c r="L2754" i="2" s="1"/>
  <c r="O3764" i="2"/>
  <c r="L3764" i="2" s="1"/>
  <c r="O2347" i="2"/>
  <c r="L2347" i="2" s="1"/>
  <c r="O2346" i="2"/>
  <c r="L2346" i="2" s="1"/>
  <c r="O49" i="2"/>
  <c r="L49" i="2" s="1"/>
  <c r="O2695" i="2"/>
  <c r="L2695" i="2" s="1"/>
  <c r="O2249" i="2"/>
  <c r="L2249" i="2" s="1"/>
  <c r="O2294" i="2"/>
  <c r="L2294" i="2" s="1"/>
  <c r="O1476" i="2"/>
  <c r="L1476" i="2" s="1"/>
  <c r="O4311" i="2"/>
  <c r="L4311" i="2" s="1"/>
  <c r="T26" i="1" s="1"/>
  <c r="O3306" i="2"/>
  <c r="L3306" i="2" s="1"/>
  <c r="O2286" i="2"/>
  <c r="L2286" i="2" s="1"/>
  <c r="O2756" i="2"/>
  <c r="L2756" i="2" s="1"/>
  <c r="O1912" i="2"/>
  <c r="L1912" i="2" s="1"/>
  <c r="O1766" i="2"/>
  <c r="L1766" i="2" s="1"/>
  <c r="O1681" i="2"/>
  <c r="L1681" i="2" s="1"/>
  <c r="O1654" i="2"/>
  <c r="L1654" i="2" s="1"/>
  <c r="O1393" i="2"/>
  <c r="L1393" i="2" s="1"/>
  <c r="O1447" i="2"/>
  <c r="L1447" i="2" s="1"/>
  <c r="O1373" i="2"/>
  <c r="L1373" i="2" s="1"/>
  <c r="O1296" i="2"/>
  <c r="L1296" i="2" s="1"/>
  <c r="O1355" i="2"/>
  <c r="L1355" i="2" s="1"/>
  <c r="O1204" i="2"/>
  <c r="L1204" i="2" s="1"/>
  <c r="O1099" i="2"/>
  <c r="L1099" i="2" s="1"/>
  <c r="O1058" i="2"/>
  <c r="L1058" i="2" s="1"/>
  <c r="O889" i="2"/>
  <c r="L889" i="2" s="1"/>
  <c r="O959" i="2"/>
  <c r="L959" i="2" s="1"/>
  <c r="O921" i="2"/>
  <c r="L921" i="2" s="1"/>
  <c r="O1011" i="2"/>
  <c r="L1011" i="2" s="1"/>
  <c r="O1038" i="2"/>
  <c r="L1038" i="2" s="1"/>
  <c r="O794" i="2"/>
  <c r="L794" i="2" s="1"/>
  <c r="O749" i="2"/>
  <c r="L749" i="2" s="1"/>
  <c r="O673" i="2"/>
  <c r="L673" i="2" s="1"/>
  <c r="O649" i="2"/>
  <c r="L649" i="2" s="1"/>
  <c r="O534" i="2"/>
  <c r="L534" i="2" s="1"/>
  <c r="O509" i="2"/>
  <c r="L509" i="2" s="1"/>
  <c r="O580" i="2"/>
  <c r="L580" i="2" s="1"/>
  <c r="O582" i="2"/>
  <c r="L582" i="2" s="1"/>
  <c r="O466" i="2"/>
  <c r="L466" i="2" s="1"/>
  <c r="O446" i="2"/>
  <c r="L446" i="2" s="1"/>
  <c r="O342" i="2"/>
  <c r="L342" i="2" s="1"/>
  <c r="O385" i="2"/>
  <c r="L385" i="2" s="1"/>
  <c r="O268" i="2"/>
  <c r="L268" i="2" s="1"/>
  <c r="O112" i="2"/>
  <c r="L112" i="2" s="1"/>
  <c r="O420" i="2"/>
  <c r="L420" i="2" s="1"/>
  <c r="O322" i="2"/>
  <c r="L322" i="2" s="1"/>
  <c r="O230" i="2"/>
  <c r="L230" i="2" s="1"/>
  <c r="O251" i="2"/>
  <c r="L251" i="2" s="1"/>
  <c r="O207" i="2"/>
  <c r="L207" i="2" s="1"/>
  <c r="O164" i="2"/>
  <c r="L164" i="2" s="1"/>
  <c r="O155" i="2"/>
  <c r="L155" i="2" s="1"/>
  <c r="O134" i="2"/>
  <c r="L134" i="2" s="1"/>
  <c r="O130" i="2"/>
  <c r="L130" i="2" s="1"/>
  <c r="O107" i="2"/>
  <c r="L107" i="2" s="1"/>
  <c r="O120" i="2"/>
  <c r="L120" i="2" s="1"/>
  <c r="O71" i="2"/>
  <c r="L71" i="2" s="1"/>
  <c r="O39" i="2"/>
  <c r="L39" i="2" s="1"/>
  <c r="O9" i="2"/>
  <c r="L9" i="2" s="1"/>
  <c r="O21" i="2"/>
  <c r="L21" i="2" s="1"/>
  <c r="O1238" i="2"/>
  <c r="L1238" i="2" s="1"/>
  <c r="O808" i="2"/>
  <c r="L808" i="2" s="1"/>
  <c r="O2582" i="2"/>
  <c r="L2582" i="2" s="1"/>
  <c r="O2942" i="2"/>
  <c r="L2942" i="2" s="1"/>
  <c r="O1792" i="2"/>
  <c r="L1792" i="2" s="1"/>
  <c r="O3858" i="2"/>
  <c r="L3858" i="2" s="1"/>
  <c r="O2074" i="2"/>
  <c r="L2074" i="2" s="1"/>
  <c r="O3582" i="2"/>
  <c r="L3582" i="2" s="1"/>
  <c r="O2753" i="2"/>
  <c r="L2753" i="2" s="1"/>
  <c r="O2070" i="2"/>
  <c r="L2070" i="2" s="1"/>
  <c r="O4010" i="2"/>
  <c r="L4010" i="2" s="1"/>
  <c r="O2697" i="2"/>
  <c r="L2697" i="2" s="1"/>
  <c r="O48" i="2"/>
  <c r="L48" i="2" s="1"/>
  <c r="O1536" i="2"/>
  <c r="L1536" i="2" s="1"/>
  <c r="O812" i="2"/>
  <c r="L812" i="2" s="1"/>
  <c r="O3010" i="2"/>
  <c r="L3010" i="2" s="1"/>
  <c r="O2183" i="2"/>
  <c r="L2183" i="2" s="1"/>
  <c r="O2182" i="2"/>
  <c r="L2182" i="2" s="1"/>
  <c r="O1449" i="2"/>
  <c r="L1449" i="2" s="1"/>
  <c r="O3784" i="2"/>
  <c r="L3784" i="2" s="1"/>
  <c r="O2471" i="2"/>
  <c r="L2471" i="2" s="1"/>
  <c r="O2463" i="2"/>
  <c r="L2463" i="2" s="1"/>
  <c r="O2715" i="2"/>
  <c r="L2715" i="2" s="1"/>
  <c r="O1906" i="2"/>
  <c r="L1906" i="2" s="1"/>
  <c r="O1784" i="2"/>
  <c r="L1784" i="2" s="1"/>
  <c r="O1678" i="2"/>
  <c r="L1678" i="2" s="1"/>
  <c r="O1530" i="2"/>
  <c r="L1530" i="2" s="1"/>
  <c r="O1444" i="2"/>
  <c r="L1444" i="2" s="1"/>
  <c r="O1456" i="2"/>
  <c r="L1456" i="2" s="1"/>
  <c r="O1376" i="2"/>
  <c r="L1376" i="2" s="1"/>
  <c r="O1291" i="2"/>
  <c r="L1291" i="2" s="1"/>
  <c r="O1349" i="2"/>
  <c r="L1349" i="2" s="1"/>
  <c r="O1145" i="2"/>
  <c r="L1145" i="2" s="1"/>
  <c r="O1093" i="2"/>
  <c r="L1093" i="2" s="1"/>
  <c r="O1048" i="2"/>
  <c r="L1048" i="2" s="1"/>
  <c r="O882" i="2"/>
  <c r="L882" i="2" s="1"/>
  <c r="O953" i="2"/>
  <c r="L953" i="2" s="1"/>
  <c r="O917" i="2"/>
  <c r="L917" i="2" s="1"/>
  <c r="O1035" i="2"/>
  <c r="L1035" i="2" s="1"/>
  <c r="O2574" i="2"/>
  <c r="L2574" i="2" s="1"/>
  <c r="O1856" i="2"/>
  <c r="L1856" i="2" s="1"/>
  <c r="O1670" i="2"/>
  <c r="L1670" i="2" s="1"/>
  <c r="O1578" i="2"/>
  <c r="L1578" i="2" s="1"/>
  <c r="O1443" i="2"/>
  <c r="L1443" i="2" s="1"/>
  <c r="O1468" i="2"/>
  <c r="L1468" i="2" s="1"/>
  <c r="O1224" i="2"/>
  <c r="L1224" i="2" s="1"/>
  <c r="O1289" i="2"/>
  <c r="L1289" i="2" s="1"/>
  <c r="O1347" i="2"/>
  <c r="L1347" i="2" s="1"/>
  <c r="O1142" i="2"/>
  <c r="L1142" i="2" s="1"/>
  <c r="O1090" i="2"/>
  <c r="L1090" i="2" s="1"/>
  <c r="O1047" i="2"/>
  <c r="L1047" i="2" s="1"/>
  <c r="O881" i="2"/>
  <c r="L881" i="2" s="1"/>
  <c r="O952" i="2"/>
  <c r="L952" i="2" s="1"/>
  <c r="O916" i="2"/>
  <c r="L916" i="2" s="1"/>
  <c r="O996" i="2"/>
  <c r="L996" i="2" s="1"/>
  <c r="O1034" i="2"/>
  <c r="L1034" i="2" s="1"/>
  <c r="O761" i="2"/>
  <c r="L761" i="2" s="1"/>
  <c r="O731" i="2"/>
  <c r="L731" i="2" s="1"/>
  <c r="O679" i="2"/>
  <c r="L679" i="2" s="1"/>
  <c r="O483" i="2"/>
  <c r="L483" i="2" s="1"/>
  <c r="O1826" i="2"/>
  <c r="L1826" i="2" s="1"/>
  <c r="O505" i="2"/>
  <c r="L505" i="2" s="1"/>
  <c r="O592" i="2"/>
  <c r="L592" i="2" s="1"/>
  <c r="O453" i="2"/>
  <c r="L453" i="2" s="1"/>
  <c r="O441" i="2"/>
  <c r="L441" i="2" s="1"/>
  <c r="O351" i="2"/>
  <c r="L351" i="2" s="1"/>
  <c r="O381" i="2"/>
  <c r="L381" i="2" s="1"/>
  <c r="O282" i="2"/>
  <c r="L282" i="2" s="1"/>
  <c r="O1302" i="2"/>
  <c r="L1302" i="2" s="1"/>
  <c r="O4105" i="2"/>
  <c r="L4105" i="2" s="1"/>
  <c r="O317" i="2"/>
  <c r="L317" i="2" s="1"/>
  <c r="O226" i="2"/>
  <c r="L226" i="2" s="1"/>
  <c r="O219" i="2"/>
  <c r="L219" i="2" s="1"/>
  <c r="O211" i="2"/>
  <c r="L211" i="2" s="1"/>
  <c r="O160" i="2"/>
  <c r="L160" i="2" s="1"/>
  <c r="O153" i="2"/>
  <c r="L153" i="2" s="1"/>
  <c r="O137" i="2"/>
  <c r="L137" i="2" s="1"/>
  <c r="O105" i="2"/>
  <c r="L105" i="2" s="1"/>
  <c r="O121" i="2"/>
  <c r="L121" i="2" s="1"/>
  <c r="O83" i="2"/>
  <c r="L83" i="2" s="1"/>
  <c r="O75" i="2"/>
  <c r="L75" i="2" s="1"/>
  <c r="O50" i="2"/>
  <c r="L50" i="2" s="1"/>
  <c r="O19" i="2"/>
  <c r="L19" i="2" s="1"/>
  <c r="O3583" i="2"/>
  <c r="L3583" i="2" s="1"/>
  <c r="O338" i="2"/>
  <c r="L338" i="2" s="1"/>
  <c r="O2551" i="2"/>
  <c r="L2551" i="2" s="1"/>
  <c r="O1881" i="2"/>
  <c r="L1881" i="2" s="1"/>
  <c r="O1754" i="2"/>
  <c r="L1754" i="2" s="1"/>
  <c r="O1668" i="2"/>
  <c r="L1668" i="2" s="1"/>
  <c r="O1586" i="2"/>
  <c r="L1586" i="2" s="1"/>
  <c r="O1436" i="2"/>
  <c r="L1436" i="2" s="1"/>
  <c r="O1471" i="2"/>
  <c r="L1471" i="2" s="1"/>
  <c r="O1247" i="2"/>
  <c r="L1247" i="2" s="1"/>
  <c r="O1283" i="2"/>
  <c r="L1283" i="2" s="1"/>
  <c r="O1150" i="2"/>
  <c r="L1150" i="2" s="1"/>
  <c r="O1130" i="2"/>
  <c r="L1130" i="2" s="1"/>
  <c r="O1056" i="2"/>
  <c r="L1056" i="2" s="1"/>
  <c r="O876" i="2"/>
  <c r="L876" i="2" s="1"/>
  <c r="O946" i="2"/>
  <c r="L946" i="2" s="1"/>
  <c r="O913" i="2"/>
  <c r="L913" i="2" s="1"/>
  <c r="O981" i="2"/>
  <c r="L981" i="2" s="1"/>
  <c r="O971" i="2"/>
  <c r="L971" i="2" s="1"/>
  <c r="O1030" i="2"/>
  <c r="L1030" i="2" s="1"/>
  <c r="O787" i="2"/>
  <c r="L787" i="2" s="1"/>
  <c r="O765" i="2"/>
  <c r="L765" i="2" s="1"/>
  <c r="O720" i="2"/>
  <c r="L720" i="2" s="1"/>
  <c r="O655" i="2"/>
  <c r="L655" i="2" s="1"/>
  <c r="O626" i="2"/>
  <c r="L626" i="2" s="1"/>
  <c r="O490" i="2"/>
  <c r="L490" i="2" s="1"/>
  <c r="O528" i="2"/>
  <c r="L528" i="2" s="1"/>
  <c r="O502" i="2"/>
  <c r="L502" i="2" s="1"/>
  <c r="O568" i="2"/>
  <c r="L568" i="2" s="1"/>
  <c r="O438" i="2"/>
  <c r="L438" i="2" s="1"/>
  <c r="O348" i="2"/>
  <c r="L348" i="2" s="1"/>
  <c r="O378" i="2"/>
  <c r="L378" i="2" s="1"/>
  <c r="O279" i="2"/>
  <c r="L279" i="2" s="1"/>
  <c r="O1954" i="2"/>
  <c r="L1954" i="2" s="1"/>
  <c r="O287" i="2"/>
  <c r="L287" i="2" s="1"/>
  <c r="O314" i="2"/>
  <c r="L314" i="2" s="1"/>
  <c r="O241" i="2"/>
  <c r="L241" i="2" s="1"/>
  <c r="O1199" i="2"/>
  <c r="L1199" i="2" s="1"/>
  <c r="O167" i="2"/>
  <c r="L167" i="2" s="1"/>
  <c r="O152" i="2"/>
  <c r="L152" i="2" s="1"/>
  <c r="O145" i="2"/>
  <c r="L145" i="2" s="1"/>
  <c r="O104" i="2"/>
  <c r="L104" i="2" s="1"/>
  <c r="O114" i="2"/>
  <c r="L114" i="2" s="1"/>
  <c r="O742" i="2"/>
  <c r="L742" i="2" s="1"/>
  <c r="O74" i="2"/>
  <c r="L74" i="2" s="1"/>
  <c r="O54" i="2"/>
  <c r="L54" i="2" s="1"/>
  <c r="O34" i="2"/>
  <c r="L34" i="2" s="1"/>
  <c r="O28" i="2"/>
  <c r="L28" i="2" s="1"/>
  <c r="O3931" i="2"/>
  <c r="L3931" i="2" s="1"/>
  <c r="O4088" i="2"/>
  <c r="L4088" i="2" s="1"/>
  <c r="O1695" i="2"/>
  <c r="L1695" i="2" s="1"/>
  <c r="O2580" i="2"/>
  <c r="L2580" i="2" s="1"/>
  <c r="O843" i="2"/>
  <c r="L843" i="2" s="1"/>
  <c r="O1228" i="2"/>
  <c r="L1228" i="2" s="1"/>
  <c r="O2072" i="2"/>
  <c r="L2072" i="2" s="1"/>
  <c r="O3413" i="2"/>
  <c r="L3413" i="2" s="1"/>
  <c r="O1398" i="2"/>
  <c r="L1398" i="2" s="1"/>
  <c r="O3760" i="2"/>
  <c r="L3760" i="2" s="1"/>
  <c r="O3580" i="2"/>
  <c r="L3580" i="2" s="1"/>
  <c r="O3258" i="2"/>
  <c r="L3258" i="2" s="1"/>
  <c r="O2548" i="2"/>
  <c r="L2548" i="2" s="1"/>
  <c r="O16" i="2"/>
  <c r="L16" i="2" s="1"/>
  <c r="O1957" i="2"/>
  <c r="L1957" i="2" s="1"/>
  <c r="O2323" i="2"/>
  <c r="L2323" i="2" s="1"/>
  <c r="O1985" i="2"/>
  <c r="L1985" i="2" s="1"/>
  <c r="O1570" i="2"/>
  <c r="L1570" i="2" s="1"/>
  <c r="O3314" i="2"/>
  <c r="L3314" i="2" s="1"/>
  <c r="O3508" i="2"/>
  <c r="L3508" i="2" s="1"/>
  <c r="O2178" i="2"/>
  <c r="L2178" i="2" s="1"/>
  <c r="O2670" i="2"/>
  <c r="L2670" i="2" s="1"/>
  <c r="O2461" i="2"/>
  <c r="L2461" i="2" s="1"/>
  <c r="O2478" i="2"/>
  <c r="L2478" i="2" s="1"/>
  <c r="O1891" i="2"/>
  <c r="L1891" i="2" s="1"/>
  <c r="O1741" i="2"/>
  <c r="L1741" i="2" s="1"/>
  <c r="O1617" i="2"/>
  <c r="L1617" i="2" s="1"/>
  <c r="O1526" i="2"/>
  <c r="L1526" i="2" s="1"/>
  <c r="O1430" i="2"/>
  <c r="L1430" i="2" s="1"/>
  <c r="O1489" i="2"/>
  <c r="L1489" i="2" s="1"/>
  <c r="O1240" i="2"/>
  <c r="L1240" i="2" s="1"/>
  <c r="O1321" i="2"/>
  <c r="L1321" i="2" s="1"/>
  <c r="O1174" i="2"/>
  <c r="L1174" i="2" s="1"/>
  <c r="O1081" i="2"/>
  <c r="L1081" i="2" s="1"/>
  <c r="O1113" i="2"/>
  <c r="L1113" i="2" s="1"/>
  <c r="O840" i="2"/>
  <c r="L840" i="2" s="1"/>
  <c r="O868" i="2"/>
  <c r="L868" i="2" s="1"/>
  <c r="O939" i="2"/>
  <c r="L939" i="2" s="1"/>
  <c r="O908" i="2"/>
  <c r="L908" i="2" s="1"/>
  <c r="O1012" i="2"/>
  <c r="L1012" i="2" s="1"/>
  <c r="O815" i="2"/>
  <c r="L815" i="2" s="1"/>
  <c r="O784" i="2"/>
  <c r="L784" i="2" s="1"/>
  <c r="O772" i="2"/>
  <c r="L772" i="2" s="1"/>
  <c r="O729" i="2"/>
  <c r="L729" i="2" s="1"/>
  <c r="O694" i="2"/>
  <c r="L694" i="2" s="1"/>
  <c r="O666" i="2"/>
  <c r="L666" i="2" s="1"/>
  <c r="O634" i="2"/>
  <c r="L634" i="2" s="1"/>
  <c r="O486" i="2"/>
  <c r="L486" i="2" s="1"/>
  <c r="O524" i="2"/>
  <c r="L524" i="2" s="1"/>
  <c r="O566" i="2"/>
  <c r="L566" i="2" s="1"/>
  <c r="O570" i="2"/>
  <c r="L570" i="2" s="1"/>
  <c r="O474" i="2"/>
  <c r="L474" i="2" s="1"/>
  <c r="O390" i="2"/>
  <c r="L390" i="2" s="1"/>
  <c r="O434" i="2"/>
  <c r="L434" i="2" s="1"/>
  <c r="O344" i="2"/>
  <c r="L344" i="2" s="1"/>
  <c r="O335" i="2"/>
  <c r="L335" i="2" s="1"/>
  <c r="O274" i="2"/>
  <c r="L274" i="2" s="1"/>
  <c r="O286" i="2"/>
  <c r="L286" i="2" s="1"/>
  <c r="O300" i="2"/>
  <c r="L300" i="2" s="1"/>
  <c r="O330" i="2"/>
  <c r="L330" i="2" s="1"/>
  <c r="O236" i="2"/>
  <c r="L236" i="2" s="1"/>
  <c r="O192" i="2"/>
  <c r="L192" i="2" s="1"/>
  <c r="O177" i="2"/>
  <c r="L177" i="2" s="1"/>
  <c r="O175" i="2"/>
  <c r="L175" i="2" s="1"/>
  <c r="O149" i="2"/>
  <c r="L149" i="2" s="1"/>
  <c r="O143" i="2"/>
  <c r="L143" i="2" s="1"/>
  <c r="O95" i="2"/>
  <c r="L95" i="2" s="1"/>
  <c r="O102" i="2"/>
  <c r="L102" i="2" s="1"/>
  <c r="O119" i="2"/>
  <c r="L119" i="2" s="1"/>
  <c r="O77" i="2"/>
  <c r="L77" i="2" s="1"/>
  <c r="O55" i="2"/>
  <c r="L55" i="2" s="1"/>
  <c r="O32" i="2"/>
  <c r="L32" i="2" s="1"/>
  <c r="O25" i="2"/>
  <c r="L25" i="2" s="1"/>
  <c r="O3928" i="2"/>
  <c r="L3928" i="2" s="1"/>
  <c r="O481" i="2"/>
  <c r="L481" i="2" s="1"/>
  <c r="O1609" i="2"/>
  <c r="L1609" i="2" s="1"/>
  <c r="O3713" i="2"/>
  <c r="L3713" i="2" s="1"/>
  <c r="O1404" i="2"/>
  <c r="L1404" i="2" s="1"/>
  <c r="O1852" i="2"/>
  <c r="L1852" i="2" s="1"/>
  <c r="O3653" i="2"/>
  <c r="L3653" i="2" s="1"/>
  <c r="O1171" i="2"/>
  <c r="L1171" i="2" s="1"/>
  <c r="O2205" i="2"/>
  <c r="L2205" i="2" s="1"/>
  <c r="O3527" i="2"/>
  <c r="L3527" i="2" s="1"/>
  <c r="O1539" i="2"/>
  <c r="L1539" i="2" s="1"/>
  <c r="O3856" i="2"/>
  <c r="L3856" i="2" s="1"/>
  <c r="O14" i="2"/>
  <c r="L14" i="2" s="1"/>
  <c r="O29" i="2"/>
  <c r="L29" i="2" s="1"/>
  <c r="O2296" i="2"/>
  <c r="L2296" i="2" s="1"/>
  <c r="O1969" i="2"/>
  <c r="L1969" i="2" s="1"/>
  <c r="O1480" i="2"/>
  <c r="L1480" i="2" s="1"/>
  <c r="O2467" i="2"/>
  <c r="L2467" i="2" s="1"/>
  <c r="O1336" i="2"/>
  <c r="L1336" i="2" s="1"/>
  <c r="O1477" i="2"/>
  <c r="L1477" i="2" s="1"/>
  <c r="O817" i="2"/>
  <c r="L817" i="2" s="1"/>
  <c r="O652" i="2"/>
  <c r="L652" i="2" s="1"/>
  <c r="O531" i="2"/>
  <c r="L531" i="2" s="1"/>
  <c r="O590" i="2"/>
  <c r="L590" i="2" s="1"/>
  <c r="O449" i="2"/>
  <c r="L449" i="2" s="1"/>
  <c r="O376" i="2"/>
  <c r="L376" i="2" s="1"/>
  <c r="O408" i="2"/>
  <c r="L408" i="2" s="1"/>
  <c r="O227" i="2"/>
  <c r="L227" i="2" s="1"/>
  <c r="O180" i="2"/>
  <c r="L180" i="2" s="1"/>
  <c r="O103" i="2"/>
  <c r="L103" i="2" s="1"/>
  <c r="O70" i="2"/>
  <c r="L70" i="2" s="1"/>
  <c r="O3927" i="2"/>
  <c r="L3927" i="2" s="1"/>
  <c r="O1694" i="2"/>
  <c r="L1694" i="2" s="1"/>
  <c r="O64" i="2"/>
  <c r="L64" i="2" s="1"/>
  <c r="O3179" i="2"/>
  <c r="L3179" i="2" s="1"/>
  <c r="O1399" i="2"/>
  <c r="L1399" i="2" s="1"/>
  <c r="O2069" i="2"/>
  <c r="L2069" i="2" s="1"/>
  <c r="O3524" i="2"/>
  <c r="L3524" i="2" s="1"/>
  <c r="O788" i="2"/>
  <c r="L788" i="2" s="1"/>
  <c r="O725" i="2"/>
  <c r="L725" i="2" s="1"/>
  <c r="O1981" i="2"/>
  <c r="L1981" i="2" s="1"/>
  <c r="O3671" i="2"/>
  <c r="L3671" i="2" s="1"/>
  <c r="O2290" i="2"/>
  <c r="L2290" i="2" s="1"/>
  <c r="O2847" i="2"/>
  <c r="L2847" i="2" s="1"/>
  <c r="O644" i="2"/>
  <c r="L644" i="2" s="1"/>
  <c r="O1338" i="2"/>
  <c r="L1338" i="2" s="1"/>
  <c r="O4107" i="2"/>
  <c r="L4107" i="2" s="1"/>
  <c r="O1564" i="2"/>
  <c r="L1564" i="2" s="1"/>
  <c r="O367" i="2"/>
  <c r="L367" i="2" s="1"/>
  <c r="O2180" i="2"/>
  <c r="L2180" i="2" s="1"/>
  <c r="O2159" i="2"/>
  <c r="L2159" i="2" s="1"/>
  <c r="O1244" i="2"/>
  <c r="L1244" i="2" s="1"/>
  <c r="O796" i="2"/>
  <c r="L796" i="2" s="1"/>
  <c r="O730" i="2"/>
  <c r="L730" i="2" s="1"/>
  <c r="O642" i="2"/>
  <c r="L642" i="2" s="1"/>
  <c r="O526" i="2"/>
  <c r="L526" i="2" s="1"/>
  <c r="O581" i="2"/>
  <c r="L581" i="2" s="1"/>
  <c r="O442" i="2"/>
  <c r="L442" i="2" s="1"/>
  <c r="O334" i="2"/>
  <c r="L334" i="2" s="1"/>
  <c r="O306" i="2"/>
  <c r="L306" i="2" s="1"/>
  <c r="O239" i="2"/>
  <c r="L239" i="2" s="1"/>
  <c r="O184" i="2"/>
  <c r="L184" i="2" s="1"/>
  <c r="O136" i="2"/>
  <c r="L136" i="2" s="1"/>
  <c r="O101" i="2"/>
  <c r="L101" i="2" s="1"/>
  <c r="O73" i="2"/>
  <c r="L73" i="2" s="1"/>
  <c r="O33" i="2"/>
  <c r="L33" i="2" s="1"/>
  <c r="O3267" i="2"/>
  <c r="L3267" i="2" s="1"/>
  <c r="O1236" i="2"/>
  <c r="L1236" i="2" s="1"/>
  <c r="O3266" i="2"/>
  <c r="L3266" i="2" s="1"/>
  <c r="O1540" i="2"/>
  <c r="L1540" i="2" s="1"/>
  <c r="O2755" i="2"/>
  <c r="L2755" i="2" s="1"/>
  <c r="O1397" i="2"/>
  <c r="L1397" i="2" s="1"/>
  <c r="O3523" i="2"/>
  <c r="L3523" i="2" s="1"/>
  <c r="O2203" i="2"/>
  <c r="L2203" i="2" s="1"/>
  <c r="O1977" i="2"/>
  <c r="L1977" i="2" s="1"/>
  <c r="O3339" i="2"/>
  <c r="L3339" i="2" s="1"/>
  <c r="O2464" i="2"/>
  <c r="L2464" i="2" s="1"/>
  <c r="O2641" i="2"/>
  <c r="L2641" i="2" s="1"/>
  <c r="O647" i="2"/>
  <c r="L647" i="2" s="1"/>
  <c r="O1335" i="2"/>
  <c r="L1335" i="2" s="1"/>
  <c r="O2896" i="2"/>
  <c r="L2896" i="2" s="1"/>
  <c r="O1340" i="2"/>
  <c r="L1340" i="2" s="1"/>
  <c r="O2326" i="2"/>
  <c r="L2326" i="2" s="1"/>
  <c r="O2179" i="2"/>
  <c r="L2179" i="2" s="1"/>
  <c r="O2860" i="2"/>
  <c r="L2860" i="2" s="1"/>
  <c r="O1329" i="2"/>
  <c r="L1329" i="2" s="1"/>
  <c r="O785" i="2"/>
  <c r="L785" i="2" s="1"/>
  <c r="O708" i="2"/>
  <c r="L708" i="2" s="1"/>
  <c r="O523" i="2"/>
  <c r="L523" i="2" s="1"/>
  <c r="O562" i="2"/>
  <c r="L562" i="2" s="1"/>
  <c r="O436" i="2"/>
  <c r="L436" i="2" s="1"/>
  <c r="O302" i="2"/>
  <c r="L302" i="2" s="1"/>
  <c r="O235" i="2"/>
  <c r="L235" i="2" s="1"/>
  <c r="O144" i="2"/>
  <c r="L144" i="2" s="1"/>
  <c r="O124" i="2"/>
  <c r="L124" i="2" s="1"/>
  <c r="O76" i="2"/>
  <c r="L76" i="2" s="1"/>
  <c r="O30" i="2"/>
  <c r="L30" i="2" s="1"/>
  <c r="O4059" i="2"/>
  <c r="L4059" i="2" s="1"/>
  <c r="O1405" i="2"/>
  <c r="L1405" i="2" s="1"/>
  <c r="O1853" i="2"/>
  <c r="L1853" i="2" s="1"/>
  <c r="O2073" i="2"/>
  <c r="L2073" i="2" s="1"/>
  <c r="O3412" i="2"/>
  <c r="L3412" i="2" s="1"/>
  <c r="O3502" i="2"/>
  <c r="L3502" i="2" s="1"/>
  <c r="O1227" i="2"/>
  <c r="L1227" i="2" s="1"/>
  <c r="O1535" i="2"/>
  <c r="L1535" i="2" s="1"/>
  <c r="O2248" i="2"/>
  <c r="L2248" i="2" s="1"/>
  <c r="O1958" i="2"/>
  <c r="L1958" i="2" s="1"/>
  <c r="O1479" i="2"/>
  <c r="L1479" i="2" s="1"/>
  <c r="O3120" i="2"/>
  <c r="L3120" i="2" s="1"/>
  <c r="O2664" i="2"/>
  <c r="L2664" i="2" s="1"/>
  <c r="O4255" i="2"/>
  <c r="L4255" i="2" s="1"/>
  <c r="O1991" i="2"/>
  <c r="L1991" i="2" s="1"/>
  <c r="O3325" i="2"/>
  <c r="L3325" i="2" s="1"/>
  <c r="O1562" i="2"/>
  <c r="L1562" i="2" s="1"/>
  <c r="O2724" i="2"/>
  <c r="L2724" i="2" s="1"/>
  <c r="O465" i="2"/>
  <c r="L465" i="2" s="1"/>
  <c r="O2157" i="2"/>
  <c r="L2157" i="2" s="1"/>
  <c r="O110" i="2"/>
  <c r="L110" i="2" s="1"/>
  <c r="O1170" i="2"/>
  <c r="L1170" i="2" s="1"/>
  <c r="O783" i="2"/>
  <c r="L783" i="2" s="1"/>
  <c r="O709" i="2"/>
  <c r="L709" i="2" s="1"/>
  <c r="O627" i="2"/>
  <c r="L627" i="2" s="1"/>
  <c r="O518" i="2"/>
  <c r="L518" i="2" s="1"/>
  <c r="O575" i="2"/>
  <c r="L575" i="2" s="1"/>
  <c r="O433" i="2"/>
  <c r="L433" i="2" s="1"/>
  <c r="O261" i="2"/>
  <c r="L261" i="2" s="1"/>
  <c r="O290" i="2"/>
  <c r="L290" i="2" s="1"/>
  <c r="O231" i="2"/>
  <c r="L231" i="2" s="1"/>
  <c r="O161" i="2"/>
  <c r="L161" i="2" s="1"/>
  <c r="O142" i="2"/>
  <c r="L142" i="2" s="1"/>
  <c r="O123" i="2"/>
  <c r="L123" i="2" s="1"/>
  <c r="O60" i="2"/>
  <c r="L60" i="2" s="1"/>
  <c r="O8" i="2"/>
  <c r="L8" i="2" s="1"/>
  <c r="O672" i="2"/>
  <c r="L672" i="2" s="1"/>
  <c r="O3656" i="2"/>
  <c r="L3656" i="2" s="1"/>
  <c r="O1070" i="2"/>
  <c r="L1070" i="2" s="1"/>
  <c r="O93" i="2"/>
  <c r="L93" i="2" s="1"/>
  <c r="O2752" i="2"/>
  <c r="L2752" i="2" s="1"/>
  <c r="O3647" i="2"/>
  <c r="L3647" i="2" s="1"/>
  <c r="O1226" i="2"/>
  <c r="L1226" i="2" s="1"/>
  <c r="O1534" i="2"/>
  <c r="L1534" i="2" s="1"/>
  <c r="O2247" i="2"/>
  <c r="L2247" i="2" s="1"/>
  <c r="O1966" i="2"/>
  <c r="L1966" i="2" s="1"/>
  <c r="O2145" i="2"/>
  <c r="L2145" i="2" s="1"/>
  <c r="O3304" i="2"/>
  <c r="L3304" i="2" s="1"/>
  <c r="O2674" i="2"/>
  <c r="L2674" i="2" s="1"/>
  <c r="O1990" i="2"/>
  <c r="L1990" i="2" s="1"/>
  <c r="O117" i="2"/>
  <c r="L117" i="2" s="1"/>
  <c r="O1560" i="2"/>
  <c r="L1560" i="2" s="1"/>
  <c r="O464" i="2"/>
  <c r="L464" i="2" s="1"/>
  <c r="O1648" i="2"/>
  <c r="L1648" i="2" s="1"/>
  <c r="O2162" i="2"/>
  <c r="L2162" i="2" s="1"/>
  <c r="O757" i="2"/>
  <c r="L757" i="2" s="1"/>
  <c r="O633" i="2"/>
  <c r="L633" i="2" s="1"/>
  <c r="O513" i="2"/>
  <c r="L513" i="2" s="1"/>
  <c r="O476" i="2"/>
  <c r="L476" i="2" s="1"/>
  <c r="O428" i="2"/>
  <c r="L428" i="2" s="1"/>
  <c r="O283" i="2"/>
  <c r="L283" i="2" s="1"/>
  <c r="O299" i="2"/>
  <c r="L299" i="2" s="1"/>
  <c r="O250" i="2"/>
  <c r="L250" i="2" s="1"/>
  <c r="O172" i="2"/>
  <c r="L172" i="2" s="1"/>
  <c r="O133" i="2"/>
  <c r="L133" i="2" s="1"/>
  <c r="O116" i="2"/>
  <c r="L116" i="2" s="1"/>
  <c r="O40" i="2"/>
  <c r="L40" i="2" s="1"/>
  <c r="O23" i="2"/>
  <c r="L23" i="2" s="1"/>
  <c r="O2312" i="2"/>
  <c r="L2312" i="2" s="1"/>
  <c r="O2581" i="2"/>
  <c r="L2581" i="2" s="1"/>
  <c r="O3859" i="2"/>
  <c r="L3859" i="2" s="1"/>
  <c r="O63" i="2"/>
  <c r="L63" i="2" s="1"/>
  <c r="O2750" i="2"/>
  <c r="L2750" i="2" s="1"/>
  <c r="O2348" i="2"/>
  <c r="L2348" i="2" s="1"/>
  <c r="O1225" i="2"/>
  <c r="L1225" i="2" s="1"/>
  <c r="O15" i="2"/>
  <c r="L15" i="2" s="1"/>
  <c r="O2293" i="2"/>
  <c r="L2293" i="2" s="1"/>
  <c r="O417" i="2"/>
  <c r="L417" i="2" s="1"/>
  <c r="O2169" i="2"/>
  <c r="L2169" i="2" s="1"/>
  <c r="O2462" i="2"/>
  <c r="L2462" i="2" s="1"/>
  <c r="O2673" i="2"/>
  <c r="L2673" i="2" s="1"/>
  <c r="O424" i="2"/>
  <c r="L424" i="2" s="1"/>
  <c r="O2630" i="2"/>
  <c r="L2630" i="2" s="1"/>
  <c r="O1559" i="2"/>
  <c r="L1559" i="2" s="1"/>
  <c r="O295" i="2"/>
  <c r="L295" i="2" s="1"/>
  <c r="O3556" i="2"/>
  <c r="L3556" i="2" s="1"/>
  <c r="O752" i="2"/>
  <c r="L752" i="2" s="1"/>
  <c r="O688" i="2"/>
  <c r="L688" i="2" s="1"/>
  <c r="O616" i="2"/>
  <c r="L616" i="2" s="1"/>
  <c r="O506" i="2"/>
  <c r="L506" i="2" s="1"/>
  <c r="O473" i="2"/>
  <c r="L473" i="2" s="1"/>
  <c r="O360" i="2"/>
  <c r="L360" i="2" s="1"/>
  <c r="O276" i="2"/>
  <c r="L276" i="2" s="1"/>
  <c r="O293" i="2"/>
  <c r="L293" i="2" s="1"/>
  <c r="O243" i="2"/>
  <c r="L243" i="2" s="1"/>
  <c r="L159" i="2"/>
  <c r="O128" i="2"/>
  <c r="L128" i="2" s="1"/>
  <c r="O20" i="2"/>
  <c r="L20" i="2" s="1"/>
  <c r="O3925" i="2"/>
  <c r="L3925" i="2" s="1"/>
  <c r="O3655" i="2"/>
  <c r="L3655" i="2" s="1"/>
  <c r="O1541" i="2"/>
  <c r="L1541" i="2" s="1"/>
  <c r="O3651" i="2"/>
  <c r="L3651" i="2" s="1"/>
  <c r="O3262" i="2"/>
  <c r="L3262" i="2" s="1"/>
  <c r="O3528" i="2"/>
  <c r="L3528" i="2" s="1"/>
  <c r="O671" i="2"/>
  <c r="L671" i="2" s="1"/>
  <c r="O2292" i="2"/>
  <c r="L2292" i="2" s="1"/>
  <c r="O2165" i="2"/>
  <c r="L2165" i="2" s="1"/>
  <c r="O2460" i="2"/>
  <c r="L2460" i="2" s="1"/>
  <c r="O2898" i="2"/>
  <c r="L2898" i="2" s="1"/>
  <c r="O4153" i="2"/>
  <c r="L4153" i="2" s="1"/>
  <c r="O423" i="2"/>
  <c r="L423" i="2" s="1"/>
  <c r="O3332" i="2"/>
  <c r="L3332" i="2" s="1"/>
  <c r="O2629" i="2"/>
  <c r="L2629" i="2" s="1"/>
  <c r="O56" i="2"/>
  <c r="L56" i="2" s="1"/>
  <c r="O2246" i="2"/>
  <c r="L2246" i="2" s="1"/>
  <c r="O1987" i="2"/>
  <c r="L1987" i="2" s="1"/>
  <c r="O2050" i="2"/>
  <c r="L2050" i="2" s="1"/>
  <c r="O1594" i="2"/>
  <c r="L1594" i="2" s="1"/>
  <c r="O2522" i="2"/>
  <c r="L2522" i="2" s="1"/>
  <c r="O762" i="2"/>
  <c r="L762" i="2" s="1"/>
  <c r="O693" i="2"/>
  <c r="L693" i="2" s="1"/>
  <c r="O612" i="2"/>
  <c r="L612" i="2" s="1"/>
  <c r="O500" i="2"/>
  <c r="L500" i="2" s="1"/>
  <c r="O352" i="2"/>
  <c r="L352" i="2" s="1"/>
  <c r="O273" i="2"/>
  <c r="L273" i="2" s="1"/>
  <c r="O325" i="2"/>
  <c r="L325" i="2" s="1"/>
  <c r="O194" i="2"/>
  <c r="L194" i="2" s="1"/>
  <c r="O131" i="2"/>
  <c r="L131" i="2" s="1"/>
  <c r="O122" i="2"/>
  <c r="L122" i="2" s="1"/>
  <c r="O42" i="2"/>
  <c r="L42" i="2" s="1"/>
  <c r="O24" i="2"/>
  <c r="L24" i="2" s="1"/>
  <c r="O2076" i="2"/>
  <c r="L2076" i="2" s="1"/>
  <c r="O1607" i="2"/>
  <c r="L1607" i="2" s="1"/>
  <c r="O1802" i="2"/>
  <c r="L1802" i="2" s="1"/>
  <c r="O3650" i="2"/>
  <c r="L3650" i="2" s="1"/>
  <c r="O3261" i="2"/>
  <c r="L3261" i="2" s="1"/>
  <c r="O3581" i="2"/>
  <c r="L3581" i="2" s="1"/>
  <c r="O3923" i="2"/>
  <c r="L3923" i="2" s="1"/>
  <c r="O12" i="2"/>
  <c r="L12" i="2" s="1"/>
  <c r="O801" i="2"/>
  <c r="L801" i="2" s="1"/>
  <c r="O3298" i="2"/>
  <c r="L3298" i="2" s="1"/>
  <c r="O2472" i="2"/>
  <c r="L2472" i="2" s="1"/>
  <c r="O3320" i="2"/>
  <c r="L3320" i="2" s="1"/>
  <c r="O1563" i="2"/>
  <c r="L1563" i="2" s="1"/>
  <c r="O427" i="2"/>
  <c r="L427" i="2" s="1"/>
  <c r="O744" i="2"/>
  <c r="L744" i="2" s="1"/>
  <c r="O3055" i="2"/>
  <c r="L3055" i="2" s="1"/>
  <c r="O2137" i="2"/>
  <c r="L2137" i="2" s="1"/>
  <c r="O2832" i="2"/>
  <c r="L2832" i="2" s="1"/>
  <c r="O1593" i="2"/>
  <c r="L1593" i="2" s="1"/>
  <c r="O1557" i="2"/>
  <c r="L1557" i="2" s="1"/>
  <c r="O1893" i="2"/>
  <c r="L1893" i="2" s="1"/>
  <c r="O871" i="2"/>
  <c r="L871" i="2" s="1"/>
  <c r="O614" i="2"/>
  <c r="L614" i="2" s="1"/>
  <c r="O698" i="2"/>
  <c r="L698" i="2" s="1"/>
  <c r="O556" i="2"/>
  <c r="L556" i="2" s="1"/>
  <c r="O458" i="2"/>
  <c r="L458" i="2" s="1"/>
  <c r="O346" i="2"/>
  <c r="L346" i="2" s="1"/>
  <c r="O269" i="2"/>
  <c r="L269" i="2" s="1"/>
  <c r="O318" i="2"/>
  <c r="L318" i="2" s="1"/>
  <c r="O196" i="2"/>
  <c r="L196" i="2" s="1"/>
  <c r="O157" i="2"/>
  <c r="L157" i="2" s="1"/>
  <c r="O90" i="2"/>
  <c r="L90" i="2" s="1"/>
  <c r="O126" i="2"/>
  <c r="L126" i="2" s="1"/>
  <c r="O51" i="2"/>
  <c r="L51" i="2" s="1"/>
  <c r="O27" i="2"/>
  <c r="L27" i="2" s="1"/>
  <c r="O2870" i="2"/>
  <c r="L2870" i="2" s="1"/>
  <c r="O1235" i="2"/>
  <c r="L1235" i="2" s="1"/>
  <c r="O1229" i="2"/>
  <c r="L1229" i="2" s="1"/>
  <c r="O3415" i="2"/>
  <c r="L3415" i="2" s="1"/>
  <c r="O3260" i="2"/>
  <c r="L3260" i="2" s="1"/>
  <c r="O2007" i="2"/>
  <c r="L2007" i="2" s="1"/>
  <c r="O1537" i="2"/>
  <c r="L1537" i="2" s="1"/>
  <c r="O551" i="2"/>
  <c r="L551" i="2" s="1"/>
  <c r="O574" i="2"/>
  <c r="L574" i="2" s="1"/>
  <c r="O1992" i="2"/>
  <c r="L1992" i="2" s="1"/>
  <c r="O3321" i="2"/>
  <c r="L3321" i="2" s="1"/>
  <c r="O2288" i="2"/>
  <c r="L2288" i="2" s="1"/>
  <c r="O2897" i="2"/>
  <c r="L2897" i="2" s="1"/>
  <c r="O613" i="2"/>
  <c r="L613" i="2" s="1"/>
  <c r="O426" i="2"/>
  <c r="L426" i="2" s="1"/>
  <c r="O689" i="2"/>
  <c r="L689" i="2" s="1"/>
  <c r="O2831" i="2"/>
  <c r="L2831" i="2" s="1"/>
  <c r="O1316" i="2"/>
  <c r="L1316" i="2" s="1"/>
  <c r="O942" i="2"/>
  <c r="L942" i="2" s="1"/>
  <c r="O771" i="2"/>
  <c r="L771" i="2" s="1"/>
  <c r="O488" i="2"/>
  <c r="L488" i="2" s="1"/>
  <c r="O561" i="2"/>
  <c r="L561" i="2" s="1"/>
  <c r="O468" i="2"/>
  <c r="L468" i="2" s="1"/>
  <c r="O356" i="2"/>
  <c r="L356" i="2" s="1"/>
  <c r="O407" i="2"/>
  <c r="L407" i="2" s="1"/>
  <c r="O312" i="2"/>
  <c r="L312" i="2" s="1"/>
  <c r="O203" i="2"/>
  <c r="L203" i="2" s="1"/>
  <c r="O154" i="2"/>
  <c r="L154" i="2" s="1"/>
  <c r="O97" i="2"/>
  <c r="L97" i="2" s="1"/>
  <c r="O86" i="2"/>
  <c r="L86" i="2" s="1"/>
  <c r="O53" i="2"/>
  <c r="L53" i="2" s="1"/>
  <c r="O3" i="2"/>
  <c r="L3" i="2" s="1"/>
  <c r="O2583" i="2"/>
  <c r="L2583" i="2" s="1"/>
  <c r="O1234" i="2"/>
  <c r="L1234" i="2" s="1"/>
  <c r="O94" i="2"/>
  <c r="L94" i="2" s="1"/>
  <c r="O1173" i="2"/>
  <c r="L1173" i="2" s="1"/>
  <c r="O3972" i="2"/>
  <c r="L3972" i="2" s="1"/>
  <c r="O3526" i="2"/>
  <c r="L3526" i="2" s="1"/>
  <c r="O3922" i="2"/>
  <c r="L3922" i="2" s="1"/>
  <c r="O2031" i="2"/>
  <c r="L2031" i="2" s="1"/>
  <c r="O3890" i="2"/>
  <c r="L3890" i="2" s="1"/>
  <c r="O2470" i="2"/>
  <c r="L2470" i="2" s="1"/>
  <c r="O1337" i="2"/>
  <c r="L1337" i="2" s="1"/>
  <c r="O215" i="2"/>
  <c r="L215" i="2" s="1"/>
  <c r="O743" i="2"/>
  <c r="L743" i="2" s="1"/>
  <c r="O1342" i="2"/>
  <c r="L1342" i="2" s="1"/>
  <c r="O701" i="2"/>
  <c r="L701" i="2" s="1"/>
  <c r="O125" i="2"/>
  <c r="L125" i="2" s="1"/>
  <c r="O2958" i="2"/>
  <c r="L2958" i="2" s="1"/>
  <c r="O1569" i="2"/>
  <c r="L1569" i="2" s="1"/>
  <c r="O3555" i="2"/>
  <c r="L3555" i="2" s="1"/>
  <c r="O3511" i="2"/>
  <c r="L3511" i="2" s="1"/>
  <c r="O1556" i="2"/>
  <c r="L1556" i="2" s="1"/>
  <c r="O1606" i="2"/>
  <c r="L1606" i="2" s="1"/>
  <c r="O910" i="2"/>
  <c r="L910" i="2" s="1"/>
  <c r="O747" i="2"/>
  <c r="L747" i="2" s="1"/>
  <c r="O676" i="2"/>
  <c r="L676" i="2" s="1"/>
  <c r="O547" i="2"/>
  <c r="L547" i="2" s="1"/>
  <c r="O548" i="2"/>
  <c r="L548" i="2" s="1"/>
  <c r="O392" i="2"/>
  <c r="L392" i="2" s="1"/>
  <c r="O361" i="2"/>
  <c r="L361" i="2" s="1"/>
  <c r="O409" i="2"/>
  <c r="L409" i="2" s="1"/>
  <c r="O329" i="2"/>
  <c r="L329" i="2" s="1"/>
  <c r="O148" i="2"/>
  <c r="L148" i="2" s="1"/>
  <c r="O99" i="2"/>
  <c r="L99" i="2" s="1"/>
  <c r="O80" i="2"/>
  <c r="L80" i="2" s="1"/>
  <c r="O57" i="2"/>
  <c r="L57" i="2" s="1"/>
  <c r="O1699" i="2"/>
  <c r="L1699" i="2" s="1"/>
  <c r="O1233" i="2"/>
  <c r="L1233" i="2" s="1"/>
  <c r="O3264" i="2"/>
  <c r="L3264" i="2" s="1"/>
  <c r="O1172" i="2"/>
  <c r="L1172" i="2" s="1"/>
  <c r="O3712" i="2"/>
  <c r="L3712" i="2" s="1"/>
  <c r="O2699" i="2"/>
  <c r="L2699" i="2" s="1"/>
  <c r="O2869" i="2"/>
  <c r="L2869" i="2" s="1"/>
  <c r="O2279" i="2"/>
  <c r="L2279" i="2" s="1"/>
  <c r="O2173" i="2"/>
  <c r="L2173" i="2" s="1"/>
  <c r="O1478" i="2"/>
  <c r="L1478" i="2" s="1"/>
  <c r="O2469" i="2"/>
  <c r="L2469" i="2" s="1"/>
  <c r="O3303" i="2"/>
  <c r="L3303" i="2" s="1"/>
  <c r="O662" i="2"/>
  <c r="L662" i="2" s="1"/>
  <c r="O1339" i="2"/>
  <c r="L1339" i="2" s="1"/>
  <c r="O363" i="2"/>
  <c r="L363" i="2" s="1"/>
  <c r="O1833" i="2"/>
  <c r="L1833" i="2" s="1"/>
  <c r="O4272" i="2"/>
  <c r="L4272" i="2" s="1"/>
  <c r="O1568" i="2"/>
  <c r="L1568" i="2" s="1"/>
  <c r="O3301" i="2"/>
  <c r="L3301" i="2" s="1"/>
  <c r="O2261" i="2"/>
  <c r="L2261" i="2" s="1"/>
  <c r="O1334" i="2"/>
  <c r="L1334" i="2" s="1"/>
  <c r="O1432" i="2"/>
  <c r="L1432" i="2" s="1"/>
  <c r="O1005" i="2"/>
  <c r="L1005" i="2" s="1"/>
  <c r="O746" i="2"/>
  <c r="L746" i="2" s="1"/>
  <c r="O665" i="2"/>
  <c r="L665" i="2" s="1"/>
  <c r="O537" i="2"/>
  <c r="L537" i="2" s="1"/>
  <c r="O576" i="2"/>
  <c r="L576" i="2" s="1"/>
  <c r="O395" i="2"/>
  <c r="L395" i="2" s="1"/>
  <c r="O382" i="2"/>
  <c r="L382" i="2" s="1"/>
  <c r="O2628" i="2"/>
  <c r="L2628" i="2" s="1"/>
  <c r="O222" i="2"/>
  <c r="L222" i="2" s="1"/>
  <c r="O179" i="2"/>
  <c r="L179" i="2" s="1"/>
  <c r="O146" i="2"/>
  <c r="L146" i="2" s="1"/>
  <c r="O106" i="2"/>
  <c r="L106" i="2" s="1"/>
  <c r="O11" i="2"/>
  <c r="L11" i="2" s="1"/>
  <c r="O3929" i="2"/>
  <c r="L3929" i="2" s="1"/>
  <c r="O1610" i="2"/>
  <c r="L1610" i="2" s="1"/>
  <c r="O2075" i="2"/>
  <c r="L2075" i="2" s="1"/>
  <c r="O3180" i="2"/>
  <c r="L3180" i="2" s="1"/>
  <c r="O1400" i="2"/>
  <c r="L1400" i="2" s="1"/>
  <c r="O3761" i="2"/>
  <c r="L3761" i="2" s="1"/>
  <c r="O2698" i="2"/>
  <c r="L2698" i="2" s="1"/>
  <c r="O45" i="2"/>
  <c r="L45" i="2" s="1"/>
  <c r="O723" i="2"/>
  <c r="L723" i="2" s="1"/>
  <c r="O1986" i="2"/>
  <c r="L1986" i="2" s="1"/>
  <c r="O1475" i="2"/>
  <c r="L1475" i="2" s="1"/>
  <c r="O3338" i="2"/>
  <c r="L3338" i="2" s="1"/>
  <c r="O2466" i="2"/>
  <c r="L2466" i="2" s="1"/>
  <c r="O2672" i="2"/>
  <c r="L2672" i="2" s="1"/>
  <c r="O1341" i="2"/>
  <c r="L1341" i="2" s="1"/>
  <c r="O3787" i="2"/>
  <c r="L3787" i="2" s="1"/>
  <c r="O1566" i="2"/>
  <c r="L1566" i="2" s="1"/>
  <c r="O368" i="2"/>
  <c r="L368" i="2" s="1"/>
  <c r="O1333" i="2"/>
  <c r="L1333" i="2" s="1"/>
  <c r="O2150" i="2"/>
  <c r="L2150" i="2" s="1"/>
  <c r="O3212" i="2"/>
  <c r="L3212" i="2" s="1"/>
  <c r="O1019" i="2"/>
  <c r="L1019" i="2" s="1"/>
  <c r="O400" i="2"/>
  <c r="L400" i="2" s="1"/>
  <c r="O1801" i="2"/>
  <c r="L1801" i="2" s="1"/>
  <c r="O555" i="2"/>
  <c r="L555" i="2" s="1"/>
  <c r="O3300" i="2"/>
  <c r="L3300" i="2" s="1"/>
  <c r="O373" i="2"/>
  <c r="L373" i="2" s="1"/>
  <c r="O1401" i="2"/>
  <c r="L1401" i="2" s="1"/>
  <c r="O1450" i="2"/>
  <c r="L1450" i="2" s="1"/>
  <c r="O357" i="2"/>
  <c r="L357" i="2" s="1"/>
  <c r="O3762" i="2"/>
  <c r="L3762" i="2" s="1"/>
  <c r="O3343" i="2"/>
  <c r="L3343" i="2" s="1"/>
  <c r="O3132" i="2"/>
  <c r="L3132" i="2" s="1"/>
  <c r="O256" i="2"/>
  <c r="L256" i="2" s="1"/>
  <c r="R6" i="1" s="1"/>
  <c r="O2204" i="2"/>
  <c r="L2204" i="2" s="1"/>
  <c r="O3305" i="2"/>
  <c r="L3305" i="2" s="1"/>
  <c r="O2042" i="2"/>
  <c r="L2042" i="2" s="1"/>
  <c r="O213" i="2"/>
  <c r="L213" i="2" s="1"/>
  <c r="O91" i="2"/>
  <c r="L91" i="2" s="1"/>
  <c r="O151" i="2"/>
  <c r="L151" i="2" s="1"/>
  <c r="O1020" i="2"/>
  <c r="L1020" i="2" s="1"/>
  <c r="O111" i="2"/>
  <c r="L111" i="2" s="1"/>
  <c r="O3900" i="2"/>
  <c r="L3900" i="2" s="1"/>
  <c r="O992" i="2"/>
  <c r="L992" i="2" s="1"/>
  <c r="O84" i="2"/>
  <c r="L84" i="2" s="1"/>
  <c r="O186" i="2"/>
  <c r="L186" i="2" s="1"/>
  <c r="O739" i="2"/>
  <c r="L739" i="2" s="1"/>
  <c r="O2289" i="2"/>
  <c r="L2289" i="2" s="1"/>
  <c r="O659" i="2"/>
  <c r="L659" i="2" s="1"/>
  <c r="O1237" i="2"/>
  <c r="L1237" i="2" s="1"/>
  <c r="O542" i="2"/>
  <c r="L542" i="2" s="1"/>
  <c r="O1696" i="2"/>
  <c r="L1696" i="2" s="1"/>
  <c r="O3739" i="2"/>
  <c r="L3739" i="2" s="1"/>
  <c r="O553" i="2"/>
  <c r="L553" i="2" s="1"/>
  <c r="O1232" i="2"/>
  <c r="L1232" i="2" s="1"/>
  <c r="O722" i="2"/>
  <c r="L722" i="2" s="1"/>
  <c r="O1567" i="2"/>
  <c r="L1567" i="2" s="1"/>
  <c r="O2140" i="2"/>
  <c r="L2140" i="2" s="1"/>
  <c r="O2495" i="2"/>
  <c r="L2495" i="2" s="1"/>
  <c r="O1595" i="2"/>
  <c r="L1595" i="2" s="1"/>
  <c r="O3009" i="2"/>
  <c r="L3009" i="2" s="1"/>
  <c r="O1133" i="2"/>
  <c r="L1133" i="2" s="1"/>
  <c r="O369" i="2"/>
  <c r="L369" i="2" s="1"/>
  <c r="O2527" i="2"/>
  <c r="L2527" i="2" s="1"/>
  <c r="O628" i="2"/>
  <c r="L628" i="2" s="1"/>
  <c r="O650" i="2"/>
  <c r="L650" i="2" s="1"/>
  <c r="O1834" i="2"/>
  <c r="L1834" i="2" s="1"/>
  <c r="O3512" i="2"/>
  <c r="L3512" i="2" s="1"/>
  <c r="O2295" i="2"/>
  <c r="L2295" i="2" s="1"/>
  <c r="O770" i="2"/>
  <c r="L770" i="2" s="1"/>
  <c r="O3342" i="2"/>
  <c r="L3342" i="2" s="1"/>
  <c r="O3256" i="2"/>
  <c r="L3256" i="2" s="1"/>
  <c r="O2700" i="2"/>
  <c r="L2700" i="2" s="1"/>
  <c r="O3259" i="2"/>
  <c r="L3259" i="2" s="1"/>
  <c r="O3763" i="2"/>
  <c r="L3763" i="2" s="1"/>
  <c r="O2349" i="2"/>
  <c r="L2349" i="2" s="1"/>
  <c r="O2803" i="2"/>
  <c r="L2803" i="2" s="1"/>
  <c r="O1402" i="2"/>
  <c r="L1402" i="2" s="1"/>
  <c r="O3654" i="2"/>
  <c r="L3654" i="2" s="1"/>
  <c r="O1231" i="2"/>
  <c r="L1231" i="2" s="1"/>
  <c r="O1697" i="2"/>
  <c r="L1697" i="2" s="1"/>
  <c r="O1554" i="2"/>
  <c r="L1554" i="2" s="1"/>
  <c r="O1555" i="2"/>
  <c r="L1555" i="2" s="1"/>
  <c r="O3598" i="2"/>
  <c r="L3598" i="2" s="1"/>
  <c r="O646" i="2"/>
  <c r="L646" i="2" s="1"/>
  <c r="O1565" i="2"/>
  <c r="L1565" i="2" s="1"/>
  <c r="O1132" i="2"/>
  <c r="L1132" i="2" s="1"/>
  <c r="O358" i="2"/>
  <c r="L358" i="2" s="1"/>
  <c r="O303" i="2"/>
  <c r="L303" i="2" s="1"/>
  <c r="O1989" i="2"/>
  <c r="L1989" i="2" s="1"/>
  <c r="O3319" i="2"/>
  <c r="L3319" i="2" s="1"/>
  <c r="O2459" i="2"/>
  <c r="L2459" i="2" s="1"/>
  <c r="O3307" i="2"/>
  <c r="L3307" i="2" s="1"/>
  <c r="O3337" i="2"/>
  <c r="L3337" i="2" s="1"/>
  <c r="O814" i="2"/>
  <c r="L814" i="2" s="1"/>
  <c r="O2631" i="2"/>
  <c r="L2631" i="2" s="1"/>
  <c r="O1967" i="2"/>
  <c r="L1967" i="2" s="1"/>
  <c r="O2052" i="2"/>
  <c r="L2052" i="2" s="1"/>
  <c r="O741" i="2"/>
  <c r="L741" i="2" s="1"/>
  <c r="A746" i="2"/>
  <c r="A1031" i="2"/>
  <c r="A1037" i="2"/>
  <c r="A1137" i="2"/>
  <c r="A1361" i="2"/>
  <c r="A1481" i="2"/>
  <c r="A2479" i="2"/>
  <c r="A2677" i="2"/>
  <c r="A2974" i="2"/>
  <c r="A3364" i="2"/>
  <c r="A3462" i="2"/>
  <c r="A318" i="2"/>
  <c r="A431" i="2"/>
  <c r="A437" i="2"/>
  <c r="A446" i="2"/>
  <c r="A1681" i="2"/>
  <c r="A2963" i="2"/>
  <c r="A2969" i="2"/>
  <c r="A4272" i="2"/>
  <c r="A689" i="2"/>
  <c r="A3900" i="2"/>
  <c r="A644" i="2"/>
  <c r="A2464" i="2"/>
  <c r="A3306" i="2"/>
  <c r="A1966" i="2"/>
  <c r="A2183" i="2"/>
  <c r="A725" i="2"/>
  <c r="A185" i="2"/>
  <c r="A246" i="2"/>
  <c r="A288" i="2"/>
  <c r="A592" i="2"/>
  <c r="A1202" i="2"/>
  <c r="A1830" i="2"/>
  <c r="A2645" i="2"/>
  <c r="A3488" i="2"/>
  <c r="A3832" i="2"/>
  <c r="A4250" i="2"/>
  <c r="A4249" i="2"/>
  <c r="A383" i="2"/>
  <c r="A1208" i="2"/>
  <c r="A1729" i="2"/>
  <c r="A2527" i="2"/>
  <c r="A554" i="2"/>
  <c r="A1315" i="2"/>
  <c r="A1460" i="2"/>
  <c r="A2719" i="2"/>
  <c r="A2793" i="2"/>
  <c r="A3225" i="2"/>
  <c r="A3680" i="2"/>
  <c r="A1667" i="2"/>
  <c r="A1673" i="2"/>
  <c r="A1565" i="2"/>
  <c r="A1131" i="2"/>
  <c r="A252" i="2"/>
  <c r="A2251" i="2"/>
  <c r="A2838" i="2"/>
  <c r="A2284" i="2"/>
  <c r="A3029" i="2"/>
  <c r="A3130" i="2"/>
  <c r="A1302" i="2"/>
  <c r="A4142" i="2"/>
  <c r="A406" i="2"/>
  <c r="A799" i="2"/>
  <c r="A144" i="2"/>
  <c r="A1138" i="2"/>
  <c r="A1359" i="2"/>
  <c r="A1365" i="2"/>
  <c r="A3027" i="2"/>
  <c r="A3147" i="2"/>
  <c r="A3362" i="2"/>
  <c r="A3466" i="2"/>
  <c r="A4017" i="2"/>
  <c r="A1679" i="2"/>
  <c r="A2535" i="2"/>
  <c r="A2936" i="2"/>
  <c r="A2159" i="2"/>
  <c r="A2180" i="2"/>
  <c r="A744" i="2"/>
  <c r="A2672" i="2"/>
  <c r="A3320" i="2"/>
  <c r="A2286" i="2"/>
  <c r="A2847" i="2"/>
  <c r="A2470" i="2"/>
  <c r="A3321" i="2"/>
  <c r="A4311" i="2"/>
  <c r="A1981" i="2"/>
  <c r="A723" i="2"/>
  <c r="A29" i="2"/>
  <c r="A572" i="2"/>
  <c r="A1022" i="2"/>
  <c r="A983" i="2"/>
  <c r="A985" i="2"/>
  <c r="A973" i="2"/>
  <c r="A1832" i="2"/>
  <c r="A1885" i="2"/>
  <c r="A1906" i="2"/>
  <c r="A381" i="2"/>
  <c r="A384" i="2"/>
  <c r="A469" i="2"/>
  <c r="A2634" i="2"/>
  <c r="A3457" i="2"/>
  <c r="A4002" i="2"/>
  <c r="A3553" i="2"/>
  <c r="A4257" i="2"/>
  <c r="A167" i="2"/>
  <c r="A199" i="2"/>
  <c r="A1030" i="2"/>
  <c r="A1351" i="2"/>
  <c r="A3156" i="2"/>
  <c r="A3159" i="2"/>
  <c r="A3223" i="2"/>
  <c r="A3348" i="2"/>
  <c r="A3678" i="2"/>
  <c r="A1668" i="2"/>
  <c r="A3142" i="2"/>
  <c r="A2629" i="2"/>
  <c r="A427" i="2"/>
  <c r="A119" i="2"/>
  <c r="A293" i="2"/>
  <c r="A297" i="2"/>
  <c r="A564" i="2"/>
  <c r="A581" i="2"/>
  <c r="A580" i="2"/>
  <c r="A561" i="2"/>
  <c r="A800" i="2"/>
  <c r="A1327" i="2"/>
  <c r="A2041" i="2"/>
  <c r="A2138" i="2"/>
  <c r="A2790" i="2"/>
  <c r="A2890" i="2"/>
  <c r="A539" i="2"/>
  <c r="A142" i="2"/>
  <c r="A145" i="2"/>
  <c r="A1998" i="2"/>
  <c r="A2184" i="2"/>
  <c r="A2537" i="2"/>
  <c r="A3838" i="2"/>
  <c r="A4049" i="2"/>
  <c r="A314" i="2"/>
  <c r="A320" i="2"/>
  <c r="A326" i="2"/>
  <c r="A371" i="2"/>
  <c r="A430" i="2"/>
  <c r="A433" i="2"/>
  <c r="A439" i="2"/>
  <c r="A445" i="2"/>
  <c r="A1028" i="2"/>
  <c r="A2861" i="2"/>
  <c r="A2934" i="2"/>
  <c r="A2937" i="2"/>
  <c r="A2965" i="2"/>
  <c r="A2968" i="2"/>
  <c r="A1557" i="2"/>
  <c r="A3511" i="2"/>
  <c r="A2495" i="2"/>
  <c r="A1569" i="2"/>
  <c r="A358" i="2"/>
  <c r="A1991" i="2"/>
  <c r="A2296" i="2"/>
  <c r="A308" i="2"/>
  <c r="A1644" i="2"/>
  <c r="A2257" i="2"/>
  <c r="A376" i="2"/>
  <c r="A470" i="2"/>
  <c r="A1489" i="2"/>
  <c r="A1746" i="2"/>
  <c r="A780" i="2"/>
  <c r="A1652" i="2"/>
  <c r="A2466" i="2"/>
  <c r="A995" i="2"/>
  <c r="A1454" i="2"/>
  <c r="A1828" i="2"/>
  <c r="A2532" i="2"/>
  <c r="A4000" i="2"/>
  <c r="A3554" i="2"/>
  <c r="A3552" i="2"/>
  <c r="A4244" i="2"/>
  <c r="A3325" i="2"/>
  <c r="A1341" i="2"/>
  <c r="A3339" i="2"/>
  <c r="A537" i="2"/>
  <c r="A3513" i="2"/>
  <c r="A4144" i="2"/>
  <c r="A4209" i="2"/>
  <c r="A1558" i="2"/>
  <c r="A2641" i="2"/>
  <c r="A71" i="2"/>
  <c r="A452" i="2"/>
  <c r="A583" i="2"/>
  <c r="A593" i="2"/>
  <c r="A589" i="2"/>
  <c r="A556" i="2"/>
  <c r="A611" i="2"/>
  <c r="A2035" i="2"/>
  <c r="A2147" i="2"/>
  <c r="A2161" i="2"/>
  <c r="A2254" i="2"/>
  <c r="A3630" i="2"/>
  <c r="A2417" i="2"/>
  <c r="A3745" i="2"/>
  <c r="A3897" i="2"/>
  <c r="A4127" i="2"/>
  <c r="A183" i="2"/>
  <c r="A710" i="2"/>
  <c r="A108" i="2"/>
  <c r="A277" i="2"/>
  <c r="A920" i="2"/>
  <c r="A923" i="2"/>
  <c r="A932" i="2"/>
  <c r="A937" i="2"/>
  <c r="A2126" i="2"/>
  <c r="A2365" i="2"/>
  <c r="A2368" i="2"/>
  <c r="A3203" i="2"/>
  <c r="A3378" i="2"/>
  <c r="A3384" i="2"/>
  <c r="A3390" i="2"/>
  <c r="A1150" i="2"/>
  <c r="A1153" i="2"/>
  <c r="A1255" i="2"/>
  <c r="A3077" i="2"/>
  <c r="A3278" i="2"/>
  <c r="A2091" i="2"/>
  <c r="A2983" i="2"/>
  <c r="A3040" i="2"/>
  <c r="A3074" i="2"/>
  <c r="A1919" i="2"/>
  <c r="A2875" i="2"/>
  <c r="A2943" i="2"/>
  <c r="A2946" i="2"/>
  <c r="A2981" i="2"/>
  <c r="A3182" i="2"/>
  <c r="A3270" i="2"/>
  <c r="A4060" i="2"/>
  <c r="A4218" i="2"/>
  <c r="A1540" i="2"/>
  <c r="A3179" i="2"/>
  <c r="A3713" i="2"/>
  <c r="A3926" i="2"/>
  <c r="A3929" i="2"/>
  <c r="A3583" i="2"/>
  <c r="A3973" i="2"/>
  <c r="A1395" i="2"/>
  <c r="A1529" i="2"/>
  <c r="A1605" i="2"/>
  <c r="A1849" i="2"/>
  <c r="A2061" i="2"/>
  <c r="A2575" i="2"/>
  <c r="A3522" i="2"/>
  <c r="A68" i="2"/>
  <c r="A203" i="2"/>
  <c r="A503" i="2"/>
  <c r="A509" i="2"/>
  <c r="A515" i="2"/>
  <c r="A2997" i="2"/>
  <c r="A3044" i="2"/>
  <c r="A3290" i="2"/>
  <c r="A3296" i="2"/>
  <c r="A3441" i="2"/>
  <c r="A3444" i="2"/>
  <c r="A3733" i="2"/>
  <c r="A3809" i="2"/>
  <c r="A3829" i="2"/>
  <c r="A3878" i="2"/>
  <c r="A4101" i="2"/>
  <c r="A4121" i="2"/>
  <c r="A4124" i="2"/>
  <c r="A4181" i="2"/>
  <c r="A4235" i="2"/>
  <c r="A4241" i="2"/>
  <c r="A4266" i="2"/>
  <c r="A4309" i="2"/>
  <c r="A4322" i="2"/>
  <c r="A4325" i="2"/>
  <c r="A2976" i="2"/>
  <c r="A873" i="2"/>
  <c r="A885" i="2"/>
  <c r="A2000" i="2"/>
  <c r="A65" i="2"/>
  <c r="A97" i="2"/>
  <c r="A717" i="2"/>
  <c r="A1253" i="2"/>
  <c r="A1368" i="2"/>
  <c r="A1371" i="2"/>
  <c r="A1862" i="2"/>
  <c r="A2211" i="2"/>
  <c r="A3625" i="2"/>
  <c r="A3977" i="2"/>
  <c r="A4159" i="2"/>
  <c r="A4302" i="2"/>
  <c r="A45" i="2"/>
  <c r="A1225" i="2"/>
  <c r="A3258" i="2"/>
  <c r="A3259" i="2"/>
  <c r="A3859" i="2"/>
  <c r="A2076" i="2"/>
  <c r="A481" i="2"/>
  <c r="A4089" i="2"/>
  <c r="A808" i="2"/>
  <c r="A807" i="2"/>
  <c r="A832" i="2"/>
  <c r="A2866" i="2"/>
  <c r="A3253" i="2"/>
  <c r="A3708" i="2"/>
  <c r="A3850" i="2"/>
  <c r="A4025" i="2"/>
  <c r="A4086" i="2"/>
  <c r="A3896" i="2"/>
  <c r="A4333" i="2"/>
  <c r="A3119" i="2"/>
  <c r="A2628" i="2"/>
  <c r="A106" i="2"/>
  <c r="A766" i="2"/>
  <c r="A915" i="2"/>
  <c r="A921" i="2"/>
  <c r="A924" i="2"/>
  <c r="A927" i="2"/>
  <c r="A953" i="2"/>
  <c r="A956" i="2"/>
  <c r="A1089" i="2"/>
  <c r="A1092" i="2"/>
  <c r="A1107" i="2"/>
  <c r="A2242" i="2"/>
  <c r="A2316" i="2"/>
  <c r="A2399" i="2"/>
  <c r="A2405" i="2"/>
  <c r="A3101" i="2"/>
  <c r="A3207" i="2"/>
  <c r="A3382" i="2"/>
  <c r="A3514" i="2"/>
  <c r="A1596" i="2"/>
  <c r="A2004" i="2"/>
  <c r="A268" i="2"/>
  <c r="A488" i="2"/>
  <c r="A2768" i="2"/>
  <c r="A3281" i="2"/>
  <c r="A396" i="2"/>
  <c r="A1790" i="2"/>
  <c r="A2086" i="2"/>
  <c r="A2585" i="2"/>
  <c r="A2984" i="2"/>
  <c r="A161" i="2"/>
  <c r="A2851" i="2"/>
  <c r="A2873" i="2"/>
  <c r="A2944" i="2"/>
  <c r="A3485" i="2"/>
  <c r="A3502" i="2"/>
  <c r="A2750" i="2"/>
  <c r="A1399" i="2"/>
  <c r="A1171" i="2"/>
  <c r="A3651" i="2"/>
  <c r="A3180" i="2"/>
  <c r="A2077" i="2"/>
  <c r="A1847" i="2"/>
  <c r="A2068" i="2"/>
  <c r="A2546" i="2"/>
  <c r="A3255" i="2"/>
  <c r="A354" i="2"/>
  <c r="A547" i="2"/>
  <c r="A1440" i="2"/>
  <c r="A1547" i="2"/>
  <c r="A2598" i="2"/>
  <c r="A2822" i="2"/>
  <c r="A2825" i="2"/>
  <c r="A2857" i="2"/>
  <c r="A3288" i="2"/>
  <c r="A3291" i="2"/>
  <c r="A3294" i="2"/>
  <c r="A3544" i="2"/>
  <c r="A3807" i="2"/>
  <c r="A3885" i="2"/>
  <c r="A3888" i="2"/>
  <c r="A2684" i="2"/>
  <c r="A874" i="2"/>
  <c r="A1577" i="2"/>
  <c r="A2190" i="2"/>
  <c r="A2812" i="2"/>
  <c r="A3190" i="2"/>
  <c r="A3276" i="2"/>
  <c r="A3588" i="2"/>
  <c r="A3719" i="2"/>
  <c r="A4065" i="2"/>
  <c r="A1242" i="2"/>
  <c r="A1248" i="2"/>
  <c r="A3584" i="2"/>
  <c r="A3249" i="2"/>
  <c r="A3706" i="2"/>
  <c r="A3759" i="2"/>
  <c r="A504" i="2"/>
  <c r="A507" i="2"/>
  <c r="A513" i="2"/>
  <c r="A642" i="2"/>
  <c r="A1940" i="2"/>
  <c r="A2998" i="2"/>
  <c r="A3048" i="2"/>
  <c r="A3442" i="2"/>
  <c r="A3445" i="2"/>
  <c r="A4190" i="2"/>
  <c r="A4230" i="2"/>
  <c r="A4295" i="2"/>
  <c r="A4298" i="2"/>
  <c r="A4156" i="2"/>
  <c r="A4261" i="2"/>
  <c r="A98" i="2"/>
  <c r="A2214" i="2"/>
  <c r="A2553" i="2"/>
  <c r="A147" i="2"/>
  <c r="A718" i="2"/>
  <c r="A1810" i="2"/>
  <c r="A1860" i="2"/>
  <c r="A2014" i="2"/>
  <c r="A193" i="2"/>
  <c r="A1854" i="2"/>
  <c r="A4167" i="2"/>
  <c r="A4285" i="2"/>
  <c r="A46" i="2"/>
  <c r="A3256" i="2"/>
  <c r="A1852" i="2"/>
  <c r="A1611" i="2"/>
  <c r="A4332" i="2"/>
  <c r="A4335" i="2"/>
  <c r="A643" i="2"/>
  <c r="A286" i="2"/>
  <c r="A525" i="2"/>
  <c r="A916" i="2"/>
  <c r="A922" i="2"/>
  <c r="A925" i="2"/>
  <c r="A931" i="2"/>
  <c r="A1108" i="2"/>
  <c r="A1288" i="2"/>
  <c r="A1297" i="2"/>
  <c r="A1380" i="2"/>
  <c r="A2373" i="2"/>
  <c r="A3202" i="2"/>
  <c r="A3434" i="2"/>
  <c r="A3622" i="2"/>
  <c r="A197" i="2"/>
  <c r="A489" i="2"/>
  <c r="A734" i="2"/>
  <c r="A763" i="2"/>
  <c r="A852" i="2"/>
  <c r="A857" i="2"/>
  <c r="A860" i="2"/>
  <c r="A863" i="2"/>
  <c r="A2814" i="2"/>
  <c r="A3085" i="2"/>
  <c r="A3193" i="2"/>
  <c r="A397" i="2"/>
  <c r="A400" i="2"/>
  <c r="A1769" i="2"/>
  <c r="A2087" i="2"/>
  <c r="A2586" i="2"/>
  <c r="A2707" i="2"/>
  <c r="A2762" i="2"/>
  <c r="A2951" i="2"/>
  <c r="A2985" i="2"/>
  <c r="A3073" i="2"/>
  <c r="A95" i="2"/>
  <c r="A155" i="2"/>
  <c r="A223" i="2"/>
  <c r="A3269" i="2"/>
  <c r="A3864" i="2"/>
  <c r="A17" i="2"/>
  <c r="A1536" i="2"/>
  <c r="A48" i="2"/>
  <c r="A2699" i="2"/>
  <c r="A3262" i="2"/>
  <c r="A3648" i="2"/>
  <c r="A3652" i="2"/>
  <c r="A2075" i="2"/>
  <c r="A1231" i="2"/>
  <c r="A1233" i="2"/>
  <c r="A2580" i="2"/>
  <c r="A2942" i="2"/>
  <c r="A3928" i="2"/>
  <c r="A1238" i="2"/>
  <c r="A3578" i="2"/>
  <c r="A1426" i="2"/>
  <c r="A3211" i="2"/>
  <c r="A3292" i="2"/>
  <c r="A3372" i="2"/>
  <c r="A3693" i="2"/>
  <c r="A3886" i="2"/>
  <c r="A1730" i="2"/>
  <c r="A3935" i="2"/>
  <c r="A472" i="2"/>
  <c r="A3274" i="2"/>
  <c r="A4270" i="2"/>
  <c r="A1246" i="2"/>
  <c r="A4263" i="2"/>
  <c r="A112" i="2"/>
  <c r="A205" i="2"/>
  <c r="A1776" i="2"/>
  <c r="A4228" i="2"/>
  <c r="A884" i="2"/>
  <c r="A96" i="2"/>
  <c r="A1858" i="2"/>
  <c r="A4147" i="2"/>
  <c r="A377" i="2"/>
  <c r="A2298" i="2"/>
  <c r="A3354" i="2"/>
  <c r="A3946" i="2"/>
  <c r="A1724" i="2"/>
  <c r="A2249" i="2"/>
  <c r="A307" i="2"/>
  <c r="A1204" i="2"/>
  <c r="A1207" i="2"/>
  <c r="A1343" i="2"/>
  <c r="A2505" i="2"/>
  <c r="A2539" i="2"/>
  <c r="A2565" i="2"/>
  <c r="A2678" i="2"/>
  <c r="A2734" i="2"/>
  <c r="A2798" i="2"/>
  <c r="A2901" i="2"/>
  <c r="A2910" i="2"/>
  <c r="A3157" i="2"/>
  <c r="A3562" i="2"/>
  <c r="A3995" i="2"/>
  <c r="A4131" i="2"/>
  <c r="A1659" i="2"/>
  <c r="A698" i="2"/>
  <c r="A1349" i="2"/>
  <c r="A1727" i="2"/>
  <c r="A3149" i="2"/>
  <c r="A3152" i="2"/>
  <c r="A3363" i="2"/>
  <c r="A3366" i="2"/>
  <c r="A3464" i="2"/>
  <c r="A4019" i="2"/>
  <c r="A4047" i="2"/>
  <c r="A289" i="2"/>
  <c r="A598" i="2"/>
  <c r="A981" i="2"/>
  <c r="A2630" i="2"/>
  <c r="A2670" i="2"/>
  <c r="A3944" i="2"/>
  <c r="A1043" i="2"/>
  <c r="A74" i="2"/>
  <c r="A1355" i="2"/>
  <c r="A2902" i="2"/>
  <c r="A2908" i="2"/>
  <c r="A2972" i="2"/>
  <c r="A3473" i="2"/>
  <c r="A3563" i="2"/>
  <c r="A3566" i="2"/>
  <c r="A4053" i="2"/>
  <c r="A4110" i="2"/>
  <c r="A4132" i="2"/>
  <c r="A4207" i="2"/>
  <c r="A1977" i="2"/>
  <c r="A207" i="2"/>
  <c r="A696" i="2"/>
  <c r="A1789" i="2"/>
  <c r="A2187" i="2"/>
  <c r="A1353" i="2"/>
  <c r="A2730" i="2"/>
  <c r="A3984" i="2"/>
  <c r="A370" i="2"/>
  <c r="A726" i="2"/>
  <c r="A126" i="2"/>
  <c r="A1039" i="2"/>
  <c r="A1362" i="2"/>
  <c r="A2541" i="2"/>
  <c r="A3226" i="2"/>
  <c r="A3474" i="2"/>
  <c r="A3564" i="2"/>
  <c r="A3621" i="2"/>
  <c r="A3987" i="2"/>
  <c r="A4111" i="2"/>
  <c r="A4171" i="2"/>
  <c r="A745" i="2"/>
  <c r="A141" i="2"/>
  <c r="A189" i="2"/>
  <c r="A697" i="2"/>
  <c r="A1787" i="2"/>
  <c r="A1841" i="2"/>
  <c r="A1996" i="2"/>
  <c r="A2185" i="2"/>
  <c r="A2188" i="2"/>
  <c r="A3365" i="2"/>
  <c r="A3677" i="2"/>
  <c r="A4018" i="2"/>
  <c r="A4043" i="2"/>
  <c r="A441" i="2"/>
  <c r="A1889" i="2"/>
  <c r="A812" i="2"/>
  <c r="A634" i="2"/>
  <c r="A693" i="2"/>
  <c r="A3299" i="2"/>
  <c r="A1133" i="2"/>
  <c r="A117" i="2"/>
  <c r="A2673" i="2"/>
  <c r="A3304" i="2"/>
  <c r="A3120" i="2"/>
  <c r="A1450" i="2"/>
  <c r="A1320" i="2"/>
  <c r="A1957" i="2"/>
  <c r="A184" i="2"/>
  <c r="A567" i="2"/>
  <c r="A558" i="2"/>
  <c r="A571" i="2"/>
  <c r="A975" i="2"/>
  <c r="A1114" i="2"/>
  <c r="A1453" i="2"/>
  <c r="A1550" i="2"/>
  <c r="A2175" i="2"/>
  <c r="A2256" i="2"/>
  <c r="A2277" i="2"/>
  <c r="A2419" i="2"/>
  <c r="A2444" i="2"/>
  <c r="A2531" i="2"/>
  <c r="A2837" i="2"/>
  <c r="A2833" i="2"/>
  <c r="A2859" i="2"/>
  <c r="A2891" i="2"/>
  <c r="A1027" i="2"/>
  <c r="A2283" i="2"/>
  <c r="A3014" i="2"/>
  <c r="A3025" i="2"/>
  <c r="A3026" i="2"/>
  <c r="A3057" i="2"/>
  <c r="A3053" i="2"/>
  <c r="A3129" i="2"/>
  <c r="A2039" i="2"/>
  <c r="A182" i="2"/>
  <c r="A499" i="2"/>
  <c r="A1295" i="2"/>
  <c r="A1448" i="2"/>
  <c r="A1469" i="2"/>
  <c r="A1882" i="2"/>
  <c r="A2253" i="2"/>
  <c r="A2456" i="2"/>
  <c r="A2425" i="2"/>
  <c r="A2503" i="2"/>
  <c r="A2663" i="2"/>
  <c r="A632" i="2"/>
  <c r="A663" i="2"/>
  <c r="A691" i="2"/>
  <c r="A2935" i="2"/>
  <c r="A303" i="2"/>
  <c r="A4153" i="2"/>
  <c r="A4255" i="2"/>
  <c r="A2674" i="2"/>
  <c r="A2468" i="2"/>
  <c r="A2472" i="2"/>
  <c r="A3337" i="2"/>
  <c r="A2145" i="2"/>
  <c r="A1478" i="2"/>
  <c r="A2293" i="2"/>
  <c r="A555" i="2"/>
  <c r="A2052" i="2"/>
  <c r="A2248" i="2"/>
  <c r="A72" i="2"/>
  <c r="A120" i="2"/>
  <c r="A300" i="2"/>
  <c r="A305" i="2"/>
  <c r="A462" i="2"/>
  <c r="A585" i="2"/>
  <c r="A595" i="2"/>
  <c r="A549" i="2"/>
  <c r="A627" i="2"/>
  <c r="A1456" i="2"/>
  <c r="A1461" i="2"/>
  <c r="A1718" i="2"/>
  <c r="A1827" i="2"/>
  <c r="A1961" i="2"/>
  <c r="A1978" i="2"/>
  <c r="A2160" i="2"/>
  <c r="A2142" i="2"/>
  <c r="A2275" i="2"/>
  <c r="A1003" i="2"/>
  <c r="A2411" i="2"/>
  <c r="A2454" i="2"/>
  <c r="A2499" i="2"/>
  <c r="A2720" i="2"/>
  <c r="A2792" i="2"/>
  <c r="A2791" i="2"/>
  <c r="A2836" i="2"/>
  <c r="A3817" i="2"/>
  <c r="A3490" i="2"/>
  <c r="A86" i="2"/>
  <c r="A275" i="2"/>
  <c r="A532" i="2"/>
  <c r="A737" i="2"/>
  <c r="A933" i="2"/>
  <c r="A1104" i="2"/>
  <c r="A2218" i="2"/>
  <c r="A784" i="2"/>
  <c r="A1669" i="2"/>
  <c r="A1725" i="2"/>
  <c r="A3560" i="2"/>
  <c r="A465" i="2"/>
  <c r="A2458" i="2"/>
  <c r="A2051" i="2"/>
  <c r="A3671" i="2"/>
  <c r="A249" i="2"/>
  <c r="A291" i="2"/>
  <c r="A577" i="2"/>
  <c r="A550" i="2"/>
  <c r="A614" i="2"/>
  <c r="A1466" i="2"/>
  <c r="A1459" i="2"/>
  <c r="A1445" i="2"/>
  <c r="A1590" i="2"/>
  <c r="A1743" i="2"/>
  <c r="A1883" i="2"/>
  <c r="A2177" i="2"/>
  <c r="A2262" i="2"/>
  <c r="A2431" i="2"/>
  <c r="A2439" i="2"/>
  <c r="A2430" i="2"/>
  <c r="A2643" i="2"/>
  <c r="A2662" i="2"/>
  <c r="A2632" i="2"/>
  <c r="A3011" i="2"/>
  <c r="A3054" i="2"/>
  <c r="A3127" i="2"/>
  <c r="A3311" i="2"/>
  <c r="A3742" i="2"/>
  <c r="A4109" i="2"/>
  <c r="A4129" i="2"/>
  <c r="A448" i="2"/>
  <c r="A679" i="2"/>
  <c r="A782" i="2"/>
  <c r="A1572" i="2"/>
  <c r="A1651" i="2"/>
  <c r="A1678" i="2"/>
  <c r="A2933" i="2"/>
  <c r="A3942" i="2"/>
  <c r="A125" i="2"/>
  <c r="A1335" i="2"/>
  <c r="A1989" i="2"/>
  <c r="A2664" i="2"/>
  <c r="A1337" i="2"/>
  <c r="A2723" i="2"/>
  <c r="A2173" i="2"/>
  <c r="A560" i="2"/>
  <c r="A676" i="2"/>
  <c r="A1377" i="2"/>
  <c r="A1464" i="2"/>
  <c r="A1722" i="2"/>
  <c r="A1965" i="2"/>
  <c r="A1974" i="2"/>
  <c r="A2043" i="2"/>
  <c r="A4041" i="2"/>
  <c r="A2441" i="2"/>
  <c r="A2455" i="2"/>
  <c r="A2443" i="2"/>
  <c r="A102" i="2"/>
  <c r="A541" i="2"/>
  <c r="A575" i="2"/>
  <c r="A576" i="2"/>
  <c r="A591" i="2"/>
  <c r="A587" i="2"/>
  <c r="A771" i="2"/>
  <c r="A979" i="2"/>
  <c r="A3323" i="2"/>
  <c r="A1968" i="2"/>
  <c r="A2324" i="2"/>
  <c r="A2451" i="2"/>
  <c r="A2438" i="2"/>
  <c r="A2427" i="2"/>
  <c r="A2660" i="2"/>
  <c r="A2845" i="2"/>
  <c r="A2846" i="2"/>
  <c r="A2894" i="2"/>
  <c r="A678" i="2"/>
  <c r="A1023" i="2"/>
  <c r="A2669" i="2"/>
  <c r="A3020" i="2"/>
  <c r="A3016" i="2"/>
  <c r="A3022" i="2"/>
  <c r="A3122" i="2"/>
  <c r="A3121" i="2"/>
  <c r="A3131" i="2"/>
  <c r="A3213" i="2"/>
  <c r="A3324" i="2"/>
  <c r="A533" i="2"/>
  <c r="A934" i="2"/>
  <c r="A313" i="2"/>
  <c r="A319" i="2"/>
  <c r="A322" i="2"/>
  <c r="A695" i="2"/>
  <c r="A3940" i="2"/>
  <c r="A2261" i="2"/>
  <c r="A1593" i="2"/>
  <c r="A2326" i="2"/>
  <c r="A1566" i="2"/>
  <c r="A363" i="2"/>
  <c r="A426" i="2"/>
  <c r="A2459" i="2"/>
  <c r="A574" i="2"/>
  <c r="A121" i="2"/>
  <c r="A206" i="2"/>
  <c r="A1199" i="2"/>
  <c r="A254" i="2"/>
  <c r="A287" i="2"/>
  <c r="A4105" i="2"/>
  <c r="A414" i="2"/>
  <c r="A582" i="2"/>
  <c r="A557" i="2"/>
  <c r="A563" i="2"/>
  <c r="A597" i="2"/>
  <c r="A311" i="2"/>
  <c r="A1463" i="2"/>
  <c r="A1472" i="2"/>
  <c r="A1585" i="2"/>
  <c r="A2034" i="2"/>
  <c r="A2171" i="2"/>
  <c r="A2280" i="2"/>
  <c r="A2272" i="2"/>
  <c r="A2266" i="2"/>
  <c r="A2422" i="2"/>
  <c r="A2656" i="2"/>
  <c r="A3334" i="2"/>
  <c r="A3452" i="2"/>
  <c r="A3460" i="2"/>
  <c r="A3459" i="2"/>
  <c r="A4331" i="2"/>
  <c r="A4104" i="2"/>
  <c r="A501" i="2"/>
  <c r="A527" i="2"/>
  <c r="A796" i="2"/>
  <c r="A910" i="2"/>
  <c r="A946" i="2"/>
  <c r="A952" i="2"/>
  <c r="A1438" i="2"/>
  <c r="A2967" i="2"/>
  <c r="A2162" i="2"/>
  <c r="A1560" i="2"/>
  <c r="A2897" i="2"/>
  <c r="A1985" i="2"/>
  <c r="A3302" i="2"/>
  <c r="A124" i="2"/>
  <c r="A245" i="2"/>
  <c r="A568" i="2"/>
  <c r="A562" i="2"/>
  <c r="A629" i="2"/>
  <c r="A648" i="2"/>
  <c r="A1306" i="2"/>
  <c r="A1322" i="2"/>
  <c r="A1467" i="2"/>
  <c r="A1446" i="2"/>
  <c r="A1970" i="2"/>
  <c r="A2048" i="2"/>
  <c r="A2037" i="2"/>
  <c r="A2263" i="2"/>
  <c r="A2424" i="2"/>
  <c r="A2447" i="2"/>
  <c r="A2654" i="2"/>
  <c r="A989" i="2"/>
  <c r="A4294" i="2"/>
  <c r="A739" i="2"/>
  <c r="A929" i="2"/>
  <c r="A2304" i="2"/>
  <c r="A1294" i="2"/>
  <c r="A1428" i="2"/>
  <c r="A1820" i="2"/>
  <c r="A1942" i="2"/>
  <c r="A2220" i="2"/>
  <c r="A2223" i="2"/>
  <c r="A2240" i="2"/>
  <c r="A2957" i="2"/>
  <c r="A2994" i="2"/>
  <c r="A3097" i="2"/>
  <c r="A3295" i="2"/>
  <c r="A3380" i="2"/>
  <c r="A3386" i="2"/>
  <c r="A3727" i="2"/>
  <c r="A3780" i="2"/>
  <c r="A3831" i="2"/>
  <c r="A4242" i="2"/>
  <c r="A731" i="2"/>
  <c r="A4070" i="2"/>
  <c r="A256" i="2"/>
  <c r="A761" i="2"/>
  <c r="A858" i="2"/>
  <c r="A1864" i="2"/>
  <c r="A3871" i="2"/>
  <c r="A2552" i="2"/>
  <c r="A1766" i="2"/>
  <c r="A2351" i="2"/>
  <c r="A3526" i="2"/>
  <c r="A3656" i="2"/>
  <c r="A626" i="2"/>
  <c r="A945" i="2"/>
  <c r="A1420" i="2"/>
  <c r="A1496" i="2"/>
  <c r="A3006" i="2"/>
  <c r="A2095" i="2"/>
  <c r="A2878" i="2"/>
  <c r="A3746" i="2"/>
  <c r="A3899" i="2"/>
  <c r="A4247" i="2"/>
  <c r="A110" i="2"/>
  <c r="A232" i="2"/>
  <c r="A238" i="2"/>
  <c r="A241" i="2"/>
  <c r="A283" i="2"/>
  <c r="A546" i="2"/>
  <c r="A963" i="2"/>
  <c r="A966" i="2"/>
  <c r="A1095" i="2"/>
  <c r="A1191" i="2"/>
  <c r="A1289" i="2"/>
  <c r="A1292" i="2"/>
  <c r="A1432" i="2"/>
  <c r="A3228" i="2"/>
  <c r="A1778" i="2"/>
  <c r="A2028" i="2"/>
  <c r="A2130" i="2"/>
  <c r="A2244" i="2"/>
  <c r="A2301" i="2"/>
  <c r="A2616" i="2"/>
  <c r="A2622" i="2"/>
  <c r="A2915" i="2"/>
  <c r="A2918" i="2"/>
  <c r="A3614" i="2"/>
  <c r="A3628" i="2"/>
  <c r="A3669" i="2"/>
  <c r="A3728" i="2"/>
  <c r="A4231" i="2"/>
  <c r="A259" i="2"/>
  <c r="A453" i="2"/>
  <c r="A680" i="2"/>
  <c r="A699" i="2"/>
  <c r="A815" i="2"/>
  <c r="A1061" i="2"/>
  <c r="A2939" i="2"/>
  <c r="A3060" i="2"/>
  <c r="A3633" i="2"/>
  <c r="A3970" i="2"/>
  <c r="A1372" i="2"/>
  <c r="A1731" i="2"/>
  <c r="A757" i="2"/>
  <c r="A790" i="2"/>
  <c r="A1172" i="2"/>
  <c r="A3577" i="2"/>
  <c r="A1824" i="2"/>
  <c r="A1874" i="2"/>
  <c r="A1877" i="2"/>
  <c r="A1902" i="2"/>
  <c r="A1935" i="2"/>
  <c r="A2716" i="2"/>
  <c r="A2775" i="2"/>
  <c r="A2778" i="2"/>
  <c r="A2781" i="2"/>
  <c r="A2931" i="2"/>
  <c r="A3114" i="2"/>
  <c r="A3227" i="2"/>
  <c r="A3734" i="2"/>
  <c r="A3781" i="2"/>
  <c r="A4240" i="2"/>
  <c r="A4243" i="2"/>
  <c r="A1382" i="2"/>
  <c r="A2319" i="2"/>
  <c r="A2331" i="2"/>
  <c r="A4024" i="2"/>
  <c r="A4085" i="2"/>
  <c r="A888" i="2"/>
  <c r="A471" i="2"/>
  <c r="A2208" i="2"/>
  <c r="A2352" i="2"/>
  <c r="A2807" i="2"/>
  <c r="A1405" i="2"/>
  <c r="A3849" i="2"/>
  <c r="A3254" i="2"/>
  <c r="A1378" i="2"/>
  <c r="A2371" i="2"/>
  <c r="A3004" i="2"/>
  <c r="A3440" i="2"/>
  <c r="A2321" i="2"/>
  <c r="A760" i="2"/>
  <c r="A3123" i="2"/>
  <c r="A3136" i="2"/>
  <c r="A3218" i="2"/>
  <c r="A3220" i="2"/>
  <c r="A3312" i="2"/>
  <c r="A3328" i="2"/>
  <c r="A3341" i="2"/>
  <c r="A3315" i="2"/>
  <c r="A3451" i="2"/>
  <c r="A3818" i="2"/>
  <c r="A3901" i="2"/>
  <c r="A4337" i="2"/>
  <c r="A53" i="2"/>
  <c r="A236" i="2"/>
  <c r="A242" i="2"/>
  <c r="A767" i="2"/>
  <c r="A909" i="2"/>
  <c r="A913" i="2"/>
  <c r="A961" i="2"/>
  <c r="A964" i="2"/>
  <c r="A967" i="2"/>
  <c r="A1090" i="2"/>
  <c r="A1192" i="2"/>
  <c r="A1284" i="2"/>
  <c r="A1287" i="2"/>
  <c r="A1290" i="2"/>
  <c r="A1436" i="2"/>
  <c r="A1822" i="2"/>
  <c r="A2026" i="2"/>
  <c r="A2398" i="2"/>
  <c r="A2614" i="2"/>
  <c r="A2623" i="2"/>
  <c r="A2714" i="2"/>
  <c r="A3099" i="2"/>
  <c r="A3476" i="2"/>
  <c r="A3482" i="2"/>
  <c r="A3593" i="2"/>
  <c r="A3615" i="2"/>
  <c r="A3729" i="2"/>
  <c r="A3732" i="2"/>
  <c r="A3810" i="2"/>
  <c r="A4229" i="2"/>
  <c r="A474" i="2"/>
  <c r="A702" i="2"/>
  <c r="A1157" i="2"/>
  <c r="A2975" i="2"/>
  <c r="A3030" i="2"/>
  <c r="A3953" i="2"/>
  <c r="A230" i="2"/>
  <c r="A747" i="2"/>
  <c r="A3506" i="2"/>
  <c r="A334" i="2"/>
  <c r="A394" i="2"/>
  <c r="A1754" i="2"/>
  <c r="A3183" i="2"/>
  <c r="A390" i="2"/>
  <c r="A3712" i="2"/>
  <c r="A3112" i="2"/>
  <c r="A3118" i="2"/>
  <c r="A3779" i="2"/>
  <c r="A3939" i="2"/>
  <c r="A4238" i="2"/>
  <c r="A1794" i="2"/>
  <c r="A886" i="2"/>
  <c r="A889" i="2"/>
  <c r="A674" i="2"/>
  <c r="A733" i="2"/>
  <c r="A4185" i="2"/>
  <c r="A671" i="2"/>
  <c r="A3851" i="2"/>
  <c r="A3921" i="2"/>
  <c r="A3915" i="2"/>
  <c r="A3918" i="2"/>
  <c r="A3737" i="2"/>
  <c r="A3738" i="2"/>
  <c r="A4256" i="2"/>
  <c r="A1954" i="2"/>
  <c r="A405" i="2"/>
  <c r="A22" i="2"/>
  <c r="A279" i="2"/>
  <c r="A451" i="2"/>
  <c r="A1826" i="2"/>
  <c r="A545" i="2"/>
  <c r="A919" i="2"/>
  <c r="A930" i="2"/>
  <c r="A1193" i="2"/>
  <c r="A1374" i="2"/>
  <c r="A1422" i="2"/>
  <c r="A1498" i="2"/>
  <c r="A2111" i="2"/>
  <c r="A2114" i="2"/>
  <c r="A2123" i="2"/>
  <c r="A2192" i="2"/>
  <c r="A2237" i="2"/>
  <c r="A2381" i="2"/>
  <c r="A2384" i="2"/>
  <c r="A3046" i="2"/>
  <c r="A3205" i="2"/>
  <c r="A3374" i="2"/>
  <c r="A3808" i="2"/>
  <c r="A4068" i="2"/>
  <c r="A4122" i="2"/>
  <c r="A4125" i="2"/>
  <c r="A3" i="2"/>
  <c r="A60" i="2"/>
  <c r="A133" i="2"/>
  <c r="A2801" i="2"/>
  <c r="A3571" i="2"/>
  <c r="A4214" i="2"/>
  <c r="A4300" i="2"/>
  <c r="A4314" i="2"/>
  <c r="A875" i="2"/>
  <c r="A3081" i="2"/>
  <c r="A3192" i="2"/>
  <c r="A386" i="2"/>
  <c r="A2515" i="2"/>
  <c r="A2853" i="2"/>
  <c r="A3187" i="2"/>
  <c r="A4064" i="2"/>
  <c r="A4097" i="2"/>
  <c r="A4140" i="2"/>
  <c r="A3181" i="2"/>
  <c r="A3484" i="2"/>
  <c r="A3579" i="2"/>
  <c r="A2703" i="2"/>
  <c r="A2758" i="2"/>
  <c r="A2761" i="2"/>
  <c r="A3860" i="2"/>
  <c r="A1227" i="2"/>
  <c r="A1222" i="2"/>
  <c r="A2062" i="2"/>
  <c r="A2342" i="2"/>
  <c r="A2345" i="2"/>
  <c r="A2572" i="2"/>
  <c r="A2574" i="2"/>
  <c r="A3242" i="2"/>
  <c r="A3408" i="2"/>
  <c r="A4212" i="2"/>
  <c r="A866" i="2"/>
  <c r="A894" i="2"/>
  <c r="A855" i="2"/>
  <c r="A1154" i="2"/>
  <c r="A1260" i="2"/>
  <c r="A1622" i="2"/>
  <c r="A3079" i="2"/>
  <c r="A224" i="2"/>
  <c r="A1178" i="2"/>
  <c r="A1181" i="2"/>
  <c r="A1251" i="2"/>
  <c r="A1811" i="2"/>
  <c r="A2590" i="2"/>
  <c r="A2765" i="2"/>
  <c r="A3370" i="2"/>
  <c r="A3768" i="2"/>
  <c r="A162" i="2"/>
  <c r="A755" i="2"/>
  <c r="A791" i="2"/>
  <c r="A1701" i="2"/>
  <c r="A2010" i="2"/>
  <c r="A2756" i="2"/>
  <c r="A2700" i="2"/>
  <c r="A3528" i="2"/>
  <c r="A3647" i="2"/>
  <c r="A3178" i="2"/>
  <c r="A3412" i="2"/>
  <c r="A3649" i="2"/>
  <c r="A3925" i="2"/>
  <c r="A4088" i="2"/>
  <c r="A672" i="2"/>
  <c r="A1396" i="2"/>
  <c r="A1528" i="2"/>
  <c r="A1532" i="2"/>
  <c r="A1603" i="2"/>
  <c r="A1606" i="2"/>
  <c r="A2692" i="2"/>
  <c r="A2745" i="2"/>
  <c r="A3709" i="2"/>
  <c r="A3756" i="2"/>
  <c r="A3913" i="2"/>
  <c r="A4087" i="2"/>
  <c r="A3715" i="2"/>
  <c r="A1224" i="2"/>
  <c r="A1393" i="2"/>
  <c r="A2343" i="2"/>
  <c r="A2571" i="2"/>
  <c r="A2576" i="2"/>
  <c r="A3250" i="2"/>
  <c r="A3248" i="2"/>
  <c r="A4022" i="2"/>
  <c r="A867" i="2"/>
  <c r="A898" i="2"/>
  <c r="A1258" i="2"/>
  <c r="A1620" i="2"/>
  <c r="A1866" i="2"/>
  <c r="A3080" i="2"/>
  <c r="A3612" i="2"/>
  <c r="A128" i="2"/>
  <c r="A2089" i="2"/>
  <c r="A2705" i="2"/>
  <c r="A342" i="2"/>
  <c r="A638" i="2"/>
  <c r="A1078" i="2"/>
  <c r="A4116" i="2"/>
  <c r="A3525" i="2"/>
  <c r="A4010" i="2"/>
  <c r="A2693" i="2"/>
  <c r="A2746" i="2"/>
  <c r="A3243" i="2"/>
  <c r="A3757" i="2"/>
  <c r="A129" i="2"/>
  <c r="A226" i="2"/>
  <c r="A615" i="2"/>
  <c r="A3191" i="2"/>
  <c r="A3721" i="2"/>
  <c r="A3826" i="2"/>
  <c r="A393" i="2"/>
  <c r="A2081" i="2"/>
  <c r="A2212" i="2"/>
  <c r="A2879" i="2"/>
  <c r="A3960" i="2"/>
  <c r="A3963" i="2"/>
  <c r="A3975" i="2"/>
  <c r="A264" i="2"/>
  <c r="A705" i="2"/>
  <c r="A1753" i="2"/>
  <c r="A1805" i="2"/>
  <c r="A2805" i="2"/>
  <c r="A3688" i="2"/>
  <c r="A4061" i="2"/>
  <c r="A91" i="2"/>
  <c r="A1539" i="2"/>
  <c r="A1398" i="2"/>
  <c r="A3413" i="2"/>
  <c r="A2071" i="2"/>
  <c r="A10" i="2"/>
  <c r="A1798" i="2"/>
  <c r="A3410" i="2"/>
  <c r="A3996" i="2"/>
  <c r="A4150" i="2"/>
  <c r="A4174" i="2"/>
  <c r="A795" i="2"/>
  <c r="A856" i="2"/>
  <c r="A868" i="2"/>
  <c r="A1578" i="2"/>
  <c r="A1621" i="2"/>
  <c r="A3280" i="2"/>
  <c r="A136" i="2"/>
  <c r="A850" i="2"/>
  <c r="A1045" i="2"/>
  <c r="A1755" i="2"/>
  <c r="A2090" i="2"/>
  <c r="A4160" i="2"/>
  <c r="A4178" i="2"/>
  <c r="A4265" i="2"/>
  <c r="A135" i="2"/>
  <c r="A177" i="2"/>
  <c r="A1073" i="2"/>
  <c r="A3586" i="2"/>
  <c r="A3765" i="2"/>
  <c r="A3932" i="2"/>
  <c r="A3958" i="2"/>
  <c r="A4219" i="2"/>
  <c r="A1534" i="2"/>
  <c r="A3761" i="2"/>
  <c r="A3260" i="2"/>
  <c r="A2751" i="2"/>
  <c r="A3582" i="2"/>
  <c r="A94" i="2"/>
  <c r="A1802" i="2"/>
  <c r="A1541" i="2"/>
  <c r="A3930" i="2"/>
  <c r="A1237" i="2"/>
  <c r="A2006" i="2"/>
  <c r="A2064" i="2"/>
  <c r="A2344" i="2"/>
  <c r="A3244" i="2"/>
  <c r="A3758" i="2"/>
  <c r="A30" i="2"/>
  <c r="A330" i="2"/>
  <c r="A385" i="2"/>
  <c r="A1040" i="2"/>
  <c r="A1653" i="2"/>
  <c r="A1892" i="2"/>
  <c r="A1895" i="2"/>
  <c r="A2679" i="2"/>
  <c r="A2904" i="2"/>
  <c r="A3058" i="2"/>
  <c r="A3346" i="2"/>
  <c r="A3357" i="2"/>
  <c r="A3468" i="2"/>
  <c r="A3471" i="2"/>
  <c r="A4050" i="2"/>
  <c r="A4211" i="2"/>
  <c r="A467" i="2"/>
  <c r="A1658" i="2"/>
  <c r="A1666" i="2"/>
  <c r="A1671" i="2"/>
  <c r="A1316" i="2"/>
  <c r="A2170" i="2"/>
  <c r="A1488" i="2"/>
  <c r="A2564" i="2"/>
  <c r="A2913" i="2"/>
  <c r="A3222" i="2"/>
  <c r="A3463" i="2"/>
  <c r="A4021" i="2"/>
  <c r="A4172" i="2"/>
  <c r="A690" i="2"/>
  <c r="A2964" i="2"/>
  <c r="A3055" i="2"/>
  <c r="A974" i="2"/>
  <c r="A1111" i="2"/>
  <c r="A778" i="2"/>
  <c r="A1035" i="2"/>
  <c r="A1356" i="2"/>
  <c r="A1483" i="2"/>
  <c r="A1491" i="2"/>
  <c r="A1654" i="2"/>
  <c r="A1747" i="2"/>
  <c r="A1893" i="2"/>
  <c r="A1898" i="2"/>
  <c r="A2736" i="2"/>
  <c r="A2905" i="2"/>
  <c r="A3347" i="2"/>
  <c r="A3352" i="2"/>
  <c r="A3355" i="2"/>
  <c r="A3949" i="2"/>
  <c r="A4045" i="2"/>
  <c r="A4048" i="2"/>
  <c r="A1661" i="2"/>
  <c r="A2536" i="2"/>
  <c r="A1334" i="2"/>
  <c r="A2860" i="2"/>
  <c r="A3787" i="2"/>
  <c r="A971" i="2"/>
  <c r="A1054" i="2"/>
  <c r="A1321" i="2"/>
  <c r="A32" i="2"/>
  <c r="A75" i="2"/>
  <c r="A132" i="2"/>
  <c r="A188" i="2"/>
  <c r="A216" i="2"/>
  <c r="A375" i="2"/>
  <c r="A378" i="2"/>
  <c r="A665" i="2"/>
  <c r="A1135" i="2"/>
  <c r="A1140" i="2"/>
  <c r="A1205" i="2"/>
  <c r="A1346" i="2"/>
  <c r="A1354" i="2"/>
  <c r="A1745" i="2"/>
  <c r="A1838" i="2"/>
  <c r="A2475" i="2"/>
  <c r="A2731" i="2"/>
  <c r="A3835" i="2"/>
  <c r="A3968" i="2"/>
  <c r="A3985" i="2"/>
  <c r="A440" i="2"/>
  <c r="A783" i="2"/>
  <c r="A1573" i="2"/>
  <c r="A2179" i="2"/>
  <c r="A2460" i="2"/>
  <c r="A2178" i="2"/>
  <c r="A1015" i="2"/>
  <c r="A972" i="2"/>
  <c r="A1326" i="2"/>
  <c r="A786" i="2"/>
  <c r="A1036" i="2"/>
  <c r="A1484" i="2"/>
  <c r="A1574" i="2"/>
  <c r="A1993" i="2"/>
  <c r="A3748" i="2"/>
  <c r="A3947" i="2"/>
  <c r="A432" i="2"/>
  <c r="A1670" i="2"/>
  <c r="A1642" i="2"/>
  <c r="A982" i="2"/>
  <c r="A1200" i="2"/>
  <c r="A666" i="2"/>
  <c r="A1760" i="2"/>
  <c r="A1894" i="2"/>
  <c r="A2476" i="2"/>
  <c r="A2906" i="2"/>
  <c r="A3565" i="2"/>
  <c r="A3792" i="2"/>
  <c r="A3795" i="2"/>
  <c r="A321" i="2"/>
  <c r="A435" i="2"/>
  <c r="A438" i="2"/>
  <c r="A805" i="2"/>
  <c r="A992" i="2"/>
  <c r="A1118" i="2"/>
  <c r="A76" i="2"/>
  <c r="A379" i="2"/>
  <c r="A1136" i="2"/>
  <c r="A1347" i="2"/>
  <c r="A1839" i="2"/>
  <c r="A1842" i="2"/>
  <c r="A2563" i="2"/>
  <c r="A2735" i="2"/>
  <c r="A2912" i="2"/>
  <c r="A3158" i="2"/>
  <c r="A3165" i="2"/>
  <c r="A3465" i="2"/>
  <c r="A3604" i="2"/>
  <c r="A3631" i="2"/>
  <c r="A4208" i="2"/>
  <c r="A324" i="2"/>
  <c r="A327" i="2"/>
  <c r="A444" i="2"/>
  <c r="A449" i="2"/>
  <c r="A692" i="2"/>
  <c r="A776" i="2"/>
  <c r="A2899" i="2"/>
  <c r="A2971" i="2"/>
  <c r="A1834" i="2"/>
  <c r="A1979" i="2"/>
  <c r="A1564" i="2"/>
  <c r="A1595" i="2"/>
  <c r="A628" i="2"/>
  <c r="A3338" i="2"/>
  <c r="A1480" i="2"/>
  <c r="A814" i="2"/>
  <c r="A1986" i="2"/>
  <c r="A722" i="2"/>
  <c r="A741" i="2"/>
  <c r="A551" i="2"/>
  <c r="A3342" i="2"/>
  <c r="A122" i="2"/>
  <c r="A359" i="2"/>
  <c r="A570" i="2"/>
  <c r="A1462" i="2"/>
  <c r="A1470" i="2"/>
  <c r="A1586" i="2"/>
  <c r="A1971" i="2"/>
  <c r="A2046" i="2"/>
  <c r="A2164" i="2"/>
  <c r="A2148" i="2"/>
  <c r="A2176" i="2"/>
  <c r="A2259" i="2"/>
  <c r="A2421" i="2"/>
  <c r="A2436" i="2"/>
  <c r="A2446" i="2"/>
  <c r="A2448" i="2"/>
  <c r="A2497" i="2"/>
  <c r="A2504" i="2"/>
  <c r="A2530" i="2"/>
  <c r="A2646" i="2"/>
  <c r="A2638" i="2"/>
  <c r="A415" i="2"/>
  <c r="A20" i="2"/>
  <c r="A1881" i="2"/>
  <c r="A2659" i="2"/>
  <c r="A2785" i="2"/>
  <c r="A56" i="2"/>
  <c r="A2461" i="2"/>
  <c r="A2725" i="2"/>
  <c r="A2291" i="2"/>
  <c r="A2294" i="2"/>
  <c r="A1967" i="2"/>
  <c r="A172" i="2"/>
  <c r="A306" i="2"/>
  <c r="A584" i="2"/>
  <c r="A1311" i="2"/>
  <c r="A1455" i="2"/>
  <c r="A1972" i="2"/>
  <c r="A2044" i="2"/>
  <c r="A2432" i="2"/>
  <c r="A2412" i="2"/>
  <c r="A2500" i="2"/>
  <c r="A2498" i="2"/>
  <c r="A2529" i="2"/>
  <c r="A464" i="2"/>
  <c r="A2832" i="2"/>
  <c r="A3300" i="2"/>
  <c r="A2137" i="2"/>
  <c r="A1338" i="2"/>
  <c r="A3620" i="2"/>
  <c r="A2463" i="2"/>
  <c r="A650" i="2"/>
  <c r="A3343" i="2"/>
  <c r="A3512" i="2"/>
  <c r="A770" i="2"/>
  <c r="A801" i="2"/>
  <c r="A2325" i="2"/>
  <c r="A243" i="2"/>
  <c r="A309" i="2"/>
  <c r="A461" i="2"/>
  <c r="A569" i="2"/>
  <c r="A548" i="2"/>
  <c r="A1376" i="2"/>
  <c r="A1458" i="2"/>
  <c r="A1451" i="2"/>
  <c r="A1474" i="2"/>
  <c r="A1880" i="2"/>
  <c r="A1884" i="2"/>
  <c r="A1973" i="2"/>
  <c r="A2033" i="2"/>
  <c r="A2040" i="2"/>
  <c r="A2265" i="2"/>
  <c r="A2252" i="2"/>
  <c r="A2258" i="2"/>
  <c r="A2317" i="2"/>
  <c r="A2533" i="2"/>
  <c r="A3141" i="2"/>
  <c r="A422" i="2"/>
  <c r="A1339" i="2"/>
  <c r="A424" i="2"/>
  <c r="A1563" i="2"/>
  <c r="A2270" i="2"/>
  <c r="A417" i="2"/>
  <c r="A1476" i="2"/>
  <c r="A2323" i="2"/>
  <c r="A210" i="2"/>
  <c r="A251" i="2"/>
  <c r="A413" i="2"/>
  <c r="A566" i="2"/>
  <c r="A1016" i="2"/>
  <c r="A1010" i="2"/>
  <c r="A1009" i="2"/>
  <c r="A997" i="2"/>
  <c r="A1123" i="2"/>
  <c r="A1120" i="2"/>
  <c r="A1121" i="2"/>
  <c r="A1197" i="2"/>
  <c r="A1308" i="2"/>
  <c r="A1328" i="2"/>
  <c r="A2423" i="2"/>
  <c r="A2440" i="2"/>
  <c r="A2502" i="2"/>
  <c r="A2528" i="2"/>
  <c r="A3458" i="2"/>
  <c r="A3602" i="2"/>
  <c r="A4126" i="2"/>
  <c r="A1567" i="2"/>
  <c r="A1562" i="2"/>
  <c r="A647" i="2"/>
  <c r="A2462" i="2"/>
  <c r="A2631" i="2"/>
  <c r="A1570" i="2"/>
  <c r="A2295" i="2"/>
  <c r="A171" i="2"/>
  <c r="A2429" i="2"/>
  <c r="A3489" i="2"/>
  <c r="A1975" i="2"/>
  <c r="A588" i="2"/>
  <c r="A578" i="2"/>
  <c r="A1329" i="2"/>
  <c r="A1471" i="2"/>
  <c r="A1468" i="2"/>
  <c r="A1587" i="2"/>
  <c r="A2047" i="2"/>
  <c r="A2155" i="2"/>
  <c r="A2255" i="2"/>
  <c r="A2282" i="2"/>
  <c r="A2278" i="2"/>
  <c r="A2442" i="2"/>
  <c r="A1479" i="2"/>
  <c r="A3509" i="2"/>
  <c r="A1969" i="2"/>
  <c r="A1976" i="2"/>
  <c r="A28" i="2"/>
  <c r="A211" i="2"/>
  <c r="A301" i="2"/>
  <c r="A1477" i="2"/>
  <c r="A1447" i="2"/>
  <c r="A1473" i="2"/>
  <c r="A1457" i="2"/>
  <c r="A1639" i="2"/>
  <c r="A1980" i="2"/>
  <c r="A2434" i="2"/>
  <c r="A2435" i="2"/>
  <c r="A2496" i="2"/>
  <c r="A2501" i="2"/>
  <c r="A2658" i="2"/>
  <c r="A3558" i="2"/>
  <c r="A3815" i="2"/>
  <c r="A1833" i="2"/>
  <c r="A1988" i="2"/>
  <c r="A3303" i="2"/>
  <c r="A1336" i="2"/>
  <c r="A2169" i="2"/>
  <c r="A2143" i="2"/>
  <c r="A2174" i="2"/>
  <c r="A2141" i="2"/>
  <c r="A2269" i="2"/>
  <c r="A2418" i="2"/>
  <c r="A2457" i="2"/>
  <c r="A2426" i="2"/>
  <c r="A2415" i="2"/>
  <c r="A2652" i="2"/>
  <c r="A2796" i="2"/>
  <c r="A1744" i="2"/>
  <c r="A1831" i="2"/>
  <c r="A1905" i="2"/>
  <c r="A2844" i="2"/>
  <c r="A3455" i="2"/>
  <c r="A4082" i="2"/>
  <c r="A3816" i="2"/>
  <c r="A4154" i="2"/>
  <c r="A402" i="2"/>
  <c r="A168" i="2"/>
  <c r="A540" i="2"/>
  <c r="A918" i="2"/>
  <c r="A928" i="2"/>
  <c r="A938" i="2"/>
  <c r="A2655" i="2"/>
  <c r="A2635" i="2"/>
  <c r="A2637" i="2"/>
  <c r="A2649" i="2"/>
  <c r="A2650" i="2"/>
  <c r="A2788" i="2"/>
  <c r="A2795" i="2"/>
  <c r="A2839" i="2"/>
  <c r="A2843" i="2"/>
  <c r="A2895" i="2"/>
  <c r="A1025" i="2"/>
  <c r="A3018" i="2"/>
  <c r="A3021" i="2"/>
  <c r="A3056" i="2"/>
  <c r="A3139" i="2"/>
  <c r="A3126" i="2"/>
  <c r="A3216" i="2"/>
  <c r="A3221" i="2"/>
  <c r="A3308" i="2"/>
  <c r="A3331" i="2"/>
  <c r="A3336" i="2"/>
  <c r="A3548" i="2"/>
  <c r="A3550" i="2"/>
  <c r="A3551" i="2"/>
  <c r="A3597" i="2"/>
  <c r="A3672" i="2"/>
  <c r="A3790" i="2"/>
  <c r="A4106" i="2"/>
  <c r="A4254" i="2"/>
  <c r="A387" i="2"/>
  <c r="A528" i="2"/>
  <c r="A926" i="2"/>
  <c r="A1416" i="2"/>
  <c r="A3454" i="2"/>
  <c r="A3461" i="2"/>
  <c r="A3449" i="2"/>
  <c r="A3510" i="2"/>
  <c r="A3600" i="2"/>
  <c r="A3814" i="2"/>
  <c r="A407" i="2"/>
  <c r="A21" i="2"/>
  <c r="A516" i="2"/>
  <c r="A536" i="2"/>
  <c r="A764" i="2"/>
  <c r="A939" i="2"/>
  <c r="A942" i="2"/>
  <c r="A1300" i="2"/>
  <c r="A3447" i="2"/>
  <c r="A3491" i="2"/>
  <c r="A3786" i="2"/>
  <c r="A3894" i="2"/>
  <c r="A4290" i="2"/>
  <c r="A4329" i="2"/>
  <c r="A914" i="2"/>
  <c r="A948" i="2"/>
  <c r="A951" i="2"/>
  <c r="A962" i="2"/>
  <c r="A3789" i="2"/>
  <c r="A105" i="2"/>
  <c r="A217" i="2"/>
  <c r="A2640" i="2"/>
  <c r="A2648" i="2"/>
  <c r="A2666" i="2"/>
  <c r="A2665" i="2"/>
  <c r="A2718" i="2"/>
  <c r="A2789" i="2"/>
  <c r="A2787" i="2"/>
  <c r="A2893" i="2"/>
  <c r="A1026" i="2"/>
  <c r="A2960" i="2"/>
  <c r="A3019" i="2"/>
  <c r="A3012" i="2"/>
  <c r="A3050" i="2"/>
  <c r="A3128" i="2"/>
  <c r="A3135" i="2"/>
  <c r="A3215" i="2"/>
  <c r="A3335" i="2"/>
  <c r="A3309" i="2"/>
  <c r="A3326" i="2"/>
  <c r="A3345" i="2"/>
  <c r="A3446" i="2"/>
  <c r="A3695" i="2"/>
  <c r="A1304" i="2"/>
  <c r="A278" i="2"/>
  <c r="A544" i="2"/>
  <c r="A720" i="2"/>
  <c r="A912" i="2"/>
  <c r="A917" i="2"/>
  <c r="A940" i="2"/>
  <c r="A943" i="2"/>
  <c r="A1097" i="2"/>
  <c r="A1155" i="2"/>
  <c r="A3743" i="2"/>
  <c r="A2633" i="2"/>
  <c r="A2661" i="2"/>
  <c r="A2642" i="2"/>
  <c r="A2636" i="2"/>
  <c r="A2786" i="2"/>
  <c r="A2797" i="2"/>
  <c r="A2835" i="2"/>
  <c r="A2834" i="2"/>
  <c r="A2892" i="2"/>
  <c r="A1024" i="2"/>
  <c r="A2932" i="2"/>
  <c r="A3023" i="2"/>
  <c r="A3024" i="2"/>
  <c r="A3052" i="2"/>
  <c r="A3138" i="2"/>
  <c r="A3134" i="2"/>
  <c r="A3140" i="2"/>
  <c r="A3214" i="2"/>
  <c r="A3316" i="2"/>
  <c r="A3329" i="2"/>
  <c r="A3344" i="2"/>
  <c r="A3673" i="2"/>
  <c r="A3559" i="2"/>
  <c r="A3599" i="2"/>
  <c r="A3674" i="2"/>
  <c r="A3902" i="2"/>
  <c r="A4001" i="2"/>
  <c r="A4080" i="2"/>
  <c r="A54" i="2"/>
  <c r="A652" i="2"/>
  <c r="A798" i="2"/>
  <c r="A944" i="2"/>
  <c r="A968" i="2"/>
  <c r="A1093" i="2"/>
  <c r="A1196" i="2"/>
  <c r="A1293" i="2"/>
  <c r="A1296" i="2"/>
  <c r="A1434" i="2"/>
  <c r="A1823" i="2"/>
  <c r="A1873" i="2"/>
  <c r="A1949" i="2"/>
  <c r="A1952" i="2"/>
  <c r="A2228" i="2"/>
  <c r="A2234" i="2"/>
  <c r="A2299" i="2"/>
  <c r="A2302" i="2"/>
  <c r="A2397" i="2"/>
  <c r="A2400" i="2"/>
  <c r="A2521" i="2"/>
  <c r="A2544" i="2"/>
  <c r="A2592" i="2"/>
  <c r="A2615" i="2"/>
  <c r="A2621" i="2"/>
  <c r="A2624" i="2"/>
  <c r="A2821" i="2"/>
  <c r="A2824" i="2"/>
  <c r="A2827" i="2"/>
  <c r="A2889" i="2"/>
  <c r="A2916" i="2"/>
  <c r="A2992" i="2"/>
  <c r="A2995" i="2"/>
  <c r="A3028" i="2"/>
  <c r="A3163" i="2"/>
  <c r="A3373" i="2"/>
  <c r="A3881" i="2"/>
  <c r="A3884" i="2"/>
  <c r="A4040" i="2"/>
  <c r="A4232" i="2"/>
  <c r="A4323" i="2"/>
  <c r="A4326" i="2"/>
  <c r="A653" i="2"/>
  <c r="A2308" i="2"/>
  <c r="A2330" i="2"/>
  <c r="A3988" i="2"/>
  <c r="A486" i="2"/>
  <c r="A859" i="2"/>
  <c r="A1046" i="2"/>
  <c r="A4036" i="2"/>
  <c r="A2085" i="2"/>
  <c r="A686" i="2"/>
  <c r="A1803" i="2"/>
  <c r="A1051" i="2"/>
  <c r="A1099" i="2"/>
  <c r="A1110" i="2"/>
  <c r="A1194" i="2"/>
  <c r="A1429" i="2"/>
  <c r="A1876" i="2"/>
  <c r="A2017" i="2"/>
  <c r="A2020" i="2"/>
  <c r="A2023" i="2"/>
  <c r="A2110" i="2"/>
  <c r="A2133" i="2"/>
  <c r="A2136" i="2"/>
  <c r="A2374" i="2"/>
  <c r="A2406" i="2"/>
  <c r="A2488" i="2"/>
  <c r="A2607" i="2"/>
  <c r="A2715" i="2"/>
  <c r="A2740" i="2"/>
  <c r="A2777" i="2"/>
  <c r="A2830" i="2"/>
  <c r="A2884" i="2"/>
  <c r="A2922" i="2"/>
  <c r="A2925" i="2"/>
  <c r="A3001" i="2"/>
  <c r="A3105" i="2"/>
  <c r="A3206" i="2"/>
  <c r="A3439" i="2"/>
  <c r="A3487" i="2"/>
  <c r="A3541" i="2"/>
  <c r="A3546" i="2"/>
  <c r="A3596" i="2"/>
  <c r="A3777" i="2"/>
  <c r="A3830" i="2"/>
  <c r="A3887" i="2"/>
  <c r="A258" i="2"/>
  <c r="A389" i="2"/>
  <c r="A1734" i="2"/>
  <c r="A1793" i="2"/>
  <c r="A3683" i="2"/>
  <c r="A4083" i="2"/>
  <c r="A4267" i="2"/>
  <c r="A166" i="2"/>
  <c r="A891" i="2"/>
  <c r="A897" i="2"/>
  <c r="A1865" i="2"/>
  <c r="A1863" i="2"/>
  <c r="A2881" i="2"/>
  <c r="A1283" i="2"/>
  <c r="A1291" i="2"/>
  <c r="A1944" i="2"/>
  <c r="A2113" i="2"/>
  <c r="A2366" i="2"/>
  <c r="A2369" i="2"/>
  <c r="A2389" i="2"/>
  <c r="A2392" i="2"/>
  <c r="A2494" i="2"/>
  <c r="A2613" i="2"/>
  <c r="A2783" i="2"/>
  <c r="A2816" i="2"/>
  <c r="A2819" i="2"/>
  <c r="A2956" i="2"/>
  <c r="A3095" i="2"/>
  <c r="A3692" i="2"/>
  <c r="A4006" i="2"/>
  <c r="A4296" i="2"/>
  <c r="A77" i="2"/>
  <c r="A152" i="2"/>
  <c r="A787" i="2"/>
  <c r="A1843" i="2"/>
  <c r="A2849" i="2"/>
  <c r="A3166" i="2"/>
  <c r="A3910" i="2"/>
  <c r="A4112" i="2"/>
  <c r="A4183" i="2"/>
  <c r="A4312" i="2"/>
  <c r="A487" i="2"/>
  <c r="A1047" i="2"/>
  <c r="A1259" i="2"/>
  <c r="A1267" i="2"/>
  <c r="A348" i="2"/>
  <c r="A351" i="2"/>
  <c r="A3658" i="2"/>
  <c r="A3956" i="2"/>
  <c r="A1105" i="2"/>
  <c r="A1912" i="2"/>
  <c r="A2116" i="2"/>
  <c r="A2119" i="2"/>
  <c r="A2122" i="2"/>
  <c r="A2221" i="2"/>
  <c r="A2224" i="2"/>
  <c r="A2599" i="2"/>
  <c r="A2920" i="2"/>
  <c r="A3042" i="2"/>
  <c r="A3045" i="2"/>
  <c r="A3106" i="2"/>
  <c r="A3115" i="2"/>
  <c r="A3164" i="2"/>
  <c r="A3379" i="2"/>
  <c r="A3507" i="2"/>
  <c r="A3547" i="2"/>
  <c r="A3594" i="2"/>
  <c r="A3731" i="2"/>
  <c r="A3811" i="2"/>
  <c r="A4123" i="2"/>
  <c r="A4152" i="2"/>
  <c r="A4236" i="2"/>
  <c r="A159" i="2"/>
  <c r="A490" i="2"/>
  <c r="A735" i="2"/>
  <c r="A881" i="2"/>
  <c r="A892" i="2"/>
  <c r="A1265" i="2"/>
  <c r="A1257" i="2"/>
  <c r="A1575" i="2"/>
  <c r="A1441" i="2"/>
  <c r="A1583" i="2"/>
  <c r="A1937" i="2"/>
  <c r="A1945" i="2"/>
  <c r="A2024" i="2"/>
  <c r="A2128" i="2"/>
  <c r="A2306" i="2"/>
  <c r="A2367" i="2"/>
  <c r="A2370" i="2"/>
  <c r="A2390" i="2"/>
  <c r="A2784" i="2"/>
  <c r="A2817" i="2"/>
  <c r="A2888" i="2"/>
  <c r="A3005" i="2"/>
  <c r="A3096" i="2"/>
  <c r="A3110" i="2"/>
  <c r="A3385" i="2"/>
  <c r="A3435" i="2"/>
  <c r="A3480" i="2"/>
  <c r="A3542" i="2"/>
  <c r="A3670" i="2"/>
  <c r="A3775" i="2"/>
  <c r="A3806" i="2"/>
  <c r="A4015" i="2"/>
  <c r="A4239" i="2"/>
  <c r="A4297" i="2"/>
  <c r="A35" i="2"/>
  <c r="A476" i="2"/>
  <c r="A806" i="2"/>
  <c r="A817" i="2"/>
  <c r="A2862" i="2"/>
  <c r="A3229" i="2"/>
  <c r="A4134" i="2"/>
  <c r="A4193" i="2"/>
  <c r="A4283" i="2"/>
  <c r="A794" i="2"/>
  <c r="A853" i="2"/>
  <c r="A871" i="2"/>
  <c r="A879" i="2"/>
  <c r="A895" i="2"/>
  <c r="A1256" i="2"/>
  <c r="A3371" i="2"/>
  <c r="A1770" i="2"/>
  <c r="A2551" i="2"/>
  <c r="A2708" i="2"/>
  <c r="A2763" i="2"/>
  <c r="A4035" i="2"/>
  <c r="A4073" i="2"/>
  <c r="A4099" i="2"/>
  <c r="A2868" i="2"/>
  <c r="A3527" i="2"/>
  <c r="A2216" i="2"/>
  <c r="A3592" i="2"/>
  <c r="A736" i="2"/>
  <c r="A861" i="2"/>
  <c r="A3083" i="2"/>
  <c r="A957" i="2"/>
  <c r="A1098" i="2"/>
  <c r="A1417" i="2"/>
  <c r="A1442" i="2"/>
  <c r="A1548" i="2"/>
  <c r="A1629" i="2"/>
  <c r="A1683" i="2"/>
  <c r="A2003" i="2"/>
  <c r="A2019" i="2"/>
  <c r="A2022" i="2"/>
  <c r="A2054" i="2"/>
  <c r="A2112" i="2"/>
  <c r="A2135" i="2"/>
  <c r="A2376" i="2"/>
  <c r="A2382" i="2"/>
  <c r="A2408" i="2"/>
  <c r="A2487" i="2"/>
  <c r="A2606" i="2"/>
  <c r="A2717" i="2"/>
  <c r="A2773" i="2"/>
  <c r="A2776" i="2"/>
  <c r="A2779" i="2"/>
  <c r="A2858" i="2"/>
  <c r="A2886" i="2"/>
  <c r="A2921" i="2"/>
  <c r="A2924" i="2"/>
  <c r="A3000" i="2"/>
  <c r="A3111" i="2"/>
  <c r="A3388" i="2"/>
  <c r="A3481" i="2"/>
  <c r="A3570" i="2"/>
  <c r="A3668" i="2"/>
  <c r="A3735" i="2"/>
  <c r="A3776" i="2"/>
  <c r="A3889" i="2"/>
  <c r="A4102" i="2"/>
  <c r="A4237" i="2"/>
  <c r="A257" i="2"/>
  <c r="A714" i="2"/>
  <c r="A1684" i="2"/>
  <c r="A1761" i="2"/>
  <c r="A3634" i="2"/>
  <c r="A3750" i="2"/>
  <c r="A4165" i="2"/>
  <c r="A4281" i="2"/>
  <c r="A227" i="2"/>
  <c r="A872" i="2"/>
  <c r="A877" i="2"/>
  <c r="A890" i="2"/>
  <c r="A896" i="2"/>
  <c r="A335" i="2"/>
  <c r="A3868" i="2"/>
  <c r="A3934" i="2"/>
  <c r="A751" i="2"/>
  <c r="A811" i="2"/>
  <c r="A134" i="2"/>
  <c r="A165" i="2"/>
  <c r="A454" i="2"/>
  <c r="A2757" i="2"/>
  <c r="A3717" i="2"/>
  <c r="A3766" i="2"/>
  <c r="A3862" i="2"/>
  <c r="A3998" i="2"/>
  <c r="A4303" i="2"/>
  <c r="A93" i="2"/>
  <c r="A3266" i="2"/>
  <c r="A2581" i="2"/>
  <c r="A835" i="2"/>
  <c r="A2066" i="2"/>
  <c r="A4027" i="2"/>
  <c r="A1538" i="2"/>
  <c r="A2547" i="2"/>
  <c r="A2573" i="2"/>
  <c r="A2577" i="2"/>
  <c r="A2688" i="2"/>
  <c r="A3176" i="2"/>
  <c r="A2930" i="2"/>
  <c r="A33" i="2"/>
  <c r="A196" i="2"/>
  <c r="A346" i="2"/>
  <c r="A779" i="2"/>
  <c r="A1617" i="2"/>
  <c r="A1773" i="2"/>
  <c r="A2002" i="2"/>
  <c r="A2094" i="2"/>
  <c r="A2589" i="2"/>
  <c r="A2800" i="2"/>
  <c r="A2854" i="2"/>
  <c r="A3038" i="2"/>
  <c r="A3418" i="2"/>
  <c r="A3421" i="2"/>
  <c r="A3660" i="2"/>
  <c r="A4013" i="2"/>
  <c r="A4033" i="2"/>
  <c r="A4287" i="2"/>
  <c r="A179" i="2"/>
  <c r="A846" i="2"/>
  <c r="A1076" i="2"/>
  <c r="A2874" i="2"/>
  <c r="A2947" i="2"/>
  <c r="A3037" i="2"/>
  <c r="A3585" i="2"/>
  <c r="A4090" i="2"/>
  <c r="A4095" i="2"/>
  <c r="A4264" i="2"/>
  <c r="A4286" i="2"/>
  <c r="A2548" i="2"/>
  <c r="A1397" i="2"/>
  <c r="A3760" i="2"/>
  <c r="A842" i="2"/>
  <c r="A1696" i="2"/>
  <c r="A1799" i="2"/>
  <c r="A2691" i="2"/>
  <c r="A2694" i="2"/>
  <c r="A2747" i="2"/>
  <c r="A3707" i="2"/>
  <c r="A1149" i="2"/>
  <c r="A1152" i="2"/>
  <c r="A2767" i="2"/>
  <c r="A4066" i="2"/>
  <c r="A51" i="2"/>
  <c r="A349" i="2"/>
  <c r="A1145" i="2"/>
  <c r="A1148" i="2"/>
  <c r="A1707" i="2"/>
  <c r="A1809" i="2"/>
  <c r="A1859" i="2"/>
  <c r="A3189" i="2"/>
  <c r="A3533" i="2"/>
  <c r="A3769" i="2"/>
  <c r="A3824" i="2"/>
  <c r="A4151" i="2"/>
  <c r="A157" i="2"/>
  <c r="A704" i="2"/>
  <c r="A752" i="2"/>
  <c r="A1074" i="2"/>
  <c r="A1239" i="2"/>
  <c r="A1804" i="2"/>
  <c r="A2806" i="2"/>
  <c r="A3071" i="2"/>
  <c r="A3624" i="2"/>
  <c r="A3866" i="2"/>
  <c r="A4028" i="2"/>
  <c r="A4274" i="2"/>
  <c r="A4277" i="2"/>
  <c r="A1535" i="2"/>
  <c r="A3257" i="2"/>
  <c r="A2696" i="2"/>
  <c r="A2007" i="2"/>
  <c r="A843" i="2"/>
  <c r="A1792" i="2"/>
  <c r="A1234" i="2"/>
  <c r="A2583" i="2"/>
  <c r="A837" i="2"/>
  <c r="A834" i="2"/>
  <c r="A2067" i="2"/>
  <c r="A2200" i="2"/>
  <c r="A2202" i="2"/>
  <c r="A1263" i="2"/>
  <c r="A1576" i="2"/>
  <c r="A2770" i="2"/>
  <c r="A2848" i="2"/>
  <c r="A85" i="2"/>
  <c r="A332" i="2"/>
  <c r="A792" i="2"/>
  <c r="A1494" i="2"/>
  <c r="A1615" i="2"/>
  <c r="A1927" i="2"/>
  <c r="A2084" i="2"/>
  <c r="A2354" i="2"/>
  <c r="A2516" i="2"/>
  <c r="A2809" i="2"/>
  <c r="A2855" i="2"/>
  <c r="A2949" i="2"/>
  <c r="A2952" i="2"/>
  <c r="A3039" i="2"/>
  <c r="A3075" i="2"/>
  <c r="A3184" i="2"/>
  <c r="A3661" i="2"/>
  <c r="A3991" i="2"/>
  <c r="A4031" i="2"/>
  <c r="A4034" i="2"/>
  <c r="A4271" i="2"/>
  <c r="A1245" i="2"/>
  <c r="A2511" i="2"/>
  <c r="A2850" i="2"/>
  <c r="A2948" i="2"/>
  <c r="A3069" i="2"/>
  <c r="A3716" i="2"/>
  <c r="A3861" i="2"/>
  <c r="A4096" i="2"/>
  <c r="A4184" i="2"/>
  <c r="A4222" i="2"/>
  <c r="A3922" i="2"/>
  <c r="A2697" i="2"/>
  <c r="A2205" i="2"/>
  <c r="A1402" i="2"/>
  <c r="A1531" i="2"/>
  <c r="A1692" i="2"/>
  <c r="A1791" i="2"/>
  <c r="A3575" i="2"/>
  <c r="A3646" i="2"/>
  <c r="A3914" i="2"/>
  <c r="A688" i="2"/>
  <c r="A1705" i="2"/>
  <c r="A2484" i="2"/>
  <c r="A2759" i="2"/>
  <c r="A4118" i="2"/>
  <c r="A3523" i="2"/>
  <c r="A1390" i="2"/>
  <c r="A1850" i="2"/>
  <c r="A2063" i="2"/>
  <c r="A3245" i="2"/>
  <c r="A4058" i="2"/>
  <c r="A3803" i="2"/>
  <c r="A4199" i="2"/>
  <c r="A4225" i="2"/>
  <c r="A49" i="2"/>
  <c r="A2348" i="2"/>
  <c r="A655" i="2"/>
  <c r="A838" i="2"/>
  <c r="A1604" i="2"/>
  <c r="A3241" i="2"/>
  <c r="A1264" i="2"/>
  <c r="A1929" i="2"/>
  <c r="A3589" i="2"/>
  <c r="A3870" i="2"/>
  <c r="A3936" i="2"/>
  <c r="A266" i="2"/>
  <c r="A333" i="2"/>
  <c r="A345" i="2"/>
  <c r="A639" i="2"/>
  <c r="A1807" i="2"/>
  <c r="A1928" i="2"/>
  <c r="A2093" i="2"/>
  <c r="A2315" i="2"/>
  <c r="A2517" i="2"/>
  <c r="A2587" i="2"/>
  <c r="A2682" i="2"/>
  <c r="A2950" i="2"/>
  <c r="A2953" i="2"/>
  <c r="A3185" i="2"/>
  <c r="A3417" i="2"/>
  <c r="A3420" i="2"/>
  <c r="A3999" i="2"/>
  <c r="A4278" i="2"/>
  <c r="A708" i="2"/>
  <c r="A789" i="2"/>
  <c r="A848" i="2"/>
  <c r="A1081" i="2"/>
  <c r="A1243" i="2"/>
  <c r="A1613" i="2"/>
  <c r="A1855" i="2"/>
  <c r="A2080" i="2"/>
  <c r="A4076" i="2"/>
  <c r="A2346" i="2"/>
  <c r="A3650" i="2"/>
  <c r="A63" i="2"/>
  <c r="A1800" i="2"/>
  <c r="A1694" i="2"/>
  <c r="A1695" i="2"/>
  <c r="A2749" i="2"/>
  <c r="A3854" i="2"/>
  <c r="A1537" i="2"/>
  <c r="A2579" i="2"/>
  <c r="A3764" i="2"/>
  <c r="A1801" i="2"/>
  <c r="A1229" i="2"/>
  <c r="A3416" i="2"/>
  <c r="A3529" i="2"/>
  <c r="A3655" i="2"/>
  <c r="A1608" i="2"/>
  <c r="A1610" i="2"/>
  <c r="A2312" i="2"/>
  <c r="A3927" i="2"/>
  <c r="A9" i="2"/>
  <c r="A1392" i="2"/>
  <c r="A1527" i="2"/>
  <c r="A1693" i="2"/>
  <c r="A2065" i="2"/>
  <c r="A3853" i="2"/>
  <c r="A3916" i="2"/>
  <c r="A1173" i="2"/>
  <c r="A3653" i="2"/>
  <c r="A3265" i="2"/>
  <c r="A2582" i="2"/>
  <c r="A7" i="2"/>
  <c r="A40" i="2"/>
  <c r="A1533" i="2"/>
  <c r="A1848" i="2"/>
  <c r="A2198" i="2"/>
  <c r="A2311" i="2"/>
  <c r="A2689" i="2"/>
  <c r="A2867" i="2"/>
  <c r="A3251" i="2"/>
  <c r="A3755" i="2"/>
  <c r="A3919" i="2"/>
  <c r="A4026" i="2"/>
  <c r="A4304" i="2"/>
  <c r="A261" i="2"/>
  <c r="A657" i="2"/>
  <c r="A1174" i="2"/>
  <c r="A1702" i="2"/>
  <c r="A1856" i="2"/>
  <c r="A2510" i="2"/>
  <c r="A3034" i="2"/>
  <c r="A3610" i="2"/>
  <c r="A4094" i="2"/>
  <c r="A3856" i="2"/>
  <c r="A2698" i="2"/>
  <c r="A2069" i="2"/>
  <c r="A3762" i="2"/>
  <c r="A2752" i="2"/>
  <c r="A1853" i="2"/>
  <c r="A1235" i="2"/>
  <c r="A1698" i="2"/>
  <c r="A2206" i="2"/>
  <c r="A4059" i="2"/>
  <c r="A1170" i="2"/>
  <c r="A1220" i="2"/>
  <c r="A1391" i="2"/>
  <c r="A2199" i="2"/>
  <c r="A2201" i="2"/>
  <c r="A2341" i="2"/>
  <c r="A2578" i="2"/>
  <c r="A3246" i="2"/>
  <c r="A3920" i="2"/>
  <c r="R10" i="1"/>
  <c r="X7" i="1"/>
  <c r="V8" i="1"/>
  <c r="S9" i="1"/>
  <c r="T9" i="1"/>
  <c r="S5" i="1"/>
  <c r="T6" i="1"/>
  <c r="W16" i="1"/>
  <c r="W9" i="1"/>
  <c r="R7" i="1"/>
  <c r="U10" i="1"/>
  <c r="W7" i="1"/>
  <c r="V5" i="1"/>
  <c r="U8" i="1"/>
  <c r="W8" i="1"/>
  <c r="U9" i="1"/>
  <c r="S10" i="1"/>
  <c r="X8" i="1"/>
  <c r="V9" i="1"/>
  <c r="T10" i="1"/>
  <c r="T5" i="1"/>
  <c r="X9" i="1"/>
  <c r="V10" i="1"/>
  <c r="U5" i="1"/>
  <c r="S6" i="1"/>
  <c r="Q7" i="1"/>
  <c r="W10" i="1"/>
  <c r="U11" i="1"/>
  <c r="X10" i="1"/>
  <c r="V11" i="1"/>
  <c r="R16" i="1"/>
  <c r="W5" i="1"/>
  <c r="U6" i="1"/>
  <c r="S7" i="1"/>
  <c r="W11" i="1"/>
  <c r="X5" i="1"/>
  <c r="V6" i="1"/>
  <c r="P9" i="1"/>
  <c r="W6" i="1"/>
  <c r="U7" i="1"/>
  <c r="S8" i="1"/>
  <c r="Q9" i="1"/>
  <c r="X6" i="1"/>
  <c r="V7" i="1"/>
  <c r="T8" i="1"/>
  <c r="R9" i="1"/>
  <c r="R12" i="1"/>
  <c r="X16" i="1"/>
  <c r="S12" i="1"/>
  <c r="S17" i="1"/>
  <c r="U12" i="1"/>
  <c r="V13" i="1"/>
  <c r="O15" i="1"/>
  <c r="T17" i="1"/>
  <c r="V12" i="1"/>
  <c r="X13" i="1"/>
  <c r="Q15" i="1"/>
  <c r="X17" i="1"/>
  <c r="X11" i="1"/>
  <c r="W12" i="1"/>
  <c r="R15" i="1"/>
  <c r="X19" i="1"/>
  <c r="U15" i="1"/>
  <c r="T19" i="1"/>
  <c r="U19" i="1"/>
  <c r="S20" i="1"/>
  <c r="P22" i="1"/>
  <c r="X12" i="1"/>
  <c r="W13" i="1"/>
  <c r="T16" i="1"/>
  <c r="T15" i="1"/>
  <c r="U22" i="1"/>
  <c r="U13" i="1"/>
  <c r="X15" i="1"/>
  <c r="X18" i="1"/>
  <c r="R20" i="1"/>
  <c r="S15" i="1"/>
  <c r="R17" i="1"/>
  <c r="R19" i="1"/>
  <c r="V20" i="1"/>
  <c r="V15" i="1"/>
  <c r="U16" i="1"/>
  <c r="U17" i="1"/>
  <c r="V18" i="1"/>
  <c r="V19" i="1"/>
  <c r="W15" i="1"/>
  <c r="V16" i="1"/>
  <c r="V17" i="1"/>
  <c r="W18" i="1"/>
  <c r="W19" i="1"/>
  <c r="P15" i="1"/>
  <c r="R21" i="1"/>
  <c r="W22" i="1"/>
  <c r="S21" i="1"/>
  <c r="P23" i="1"/>
  <c r="T21" i="1"/>
  <c r="N24" i="1"/>
  <c r="X25" i="1"/>
  <c r="V26" i="1"/>
  <c r="X20" i="1"/>
  <c r="O22" i="1"/>
  <c r="Q22" i="1"/>
  <c r="R22" i="1"/>
  <c r="O27" i="1"/>
  <c r="T22" i="1"/>
  <c r="T20" i="1"/>
  <c r="V21" i="1"/>
  <c r="X22" i="1"/>
  <c r="U20" i="1"/>
  <c r="W21" i="1"/>
  <c r="S16" i="1"/>
  <c r="W20" i="1"/>
  <c r="U21" i="1"/>
  <c r="S22" i="1"/>
  <c r="Q23" i="1"/>
  <c r="O24" i="1"/>
  <c r="W26" i="1"/>
  <c r="R23" i="1"/>
  <c r="P24" i="1"/>
  <c r="X26" i="1"/>
  <c r="S23" i="1"/>
  <c r="Q24" i="1"/>
  <c r="X21" i="1"/>
  <c r="V22" i="1"/>
  <c r="T23" i="1"/>
  <c r="R24" i="1"/>
  <c r="P25" i="1"/>
  <c r="U23" i="1"/>
  <c r="S24" i="1"/>
  <c r="Q25" i="1"/>
  <c r="O26" i="1"/>
  <c r="P27" i="1"/>
  <c r="V23" i="1"/>
  <c r="T24" i="1"/>
  <c r="R25" i="1"/>
  <c r="P26" i="1"/>
  <c r="R27" i="1"/>
  <c r="W17" i="1"/>
  <c r="U18" i="1"/>
  <c r="S19" i="1"/>
  <c r="W23" i="1"/>
  <c r="U24" i="1"/>
  <c r="S25" i="1"/>
  <c r="Q26" i="1"/>
  <c r="X27" i="1"/>
  <c r="X23" i="1"/>
  <c r="V24" i="1"/>
  <c r="T25" i="1"/>
  <c r="R26" i="1"/>
  <c r="W24" i="1"/>
  <c r="U25" i="1"/>
  <c r="S26" i="1"/>
  <c r="X24" i="1"/>
  <c r="V25" i="1"/>
  <c r="W25" i="1"/>
  <c r="U26" i="1"/>
  <c r="Q27" i="1"/>
  <c r="S27" i="1"/>
  <c r="T27" i="1"/>
  <c r="U27" i="1"/>
  <c r="V27" i="1"/>
  <c r="W27" i="1"/>
  <c r="N27" i="1"/>
  <c r="A84" i="2"/>
  <c r="A380" i="2"/>
  <c r="A1032" i="2"/>
  <c r="A1209" i="2"/>
  <c r="A1366" i="2"/>
  <c r="A1786" i="2"/>
  <c r="A2938" i="2"/>
  <c r="A4338" i="2"/>
  <c r="A31" i="2"/>
  <c r="A331" i="2"/>
  <c r="A777" i="2"/>
  <c r="A1141" i="2"/>
  <c r="A1360" i="2"/>
  <c r="A1728" i="2"/>
  <c r="A1897" i="2"/>
  <c r="A2186" i="2"/>
  <c r="A2478" i="2"/>
  <c r="A2566" i="2"/>
  <c r="A2733" i="2"/>
  <c r="A2903" i="2"/>
  <c r="A2973" i="2"/>
  <c r="A3154" i="2"/>
  <c r="A3224" i="2"/>
  <c r="A3598" i="2"/>
  <c r="A329" i="2"/>
  <c r="A730" i="2"/>
  <c r="A1139" i="2"/>
  <c r="A1358" i="2"/>
  <c r="A1726" i="2"/>
  <c r="A3353" i="2"/>
  <c r="A3361" i="2"/>
  <c r="A3369" i="2"/>
  <c r="A3469" i="2"/>
  <c r="A3561" i="2"/>
  <c r="A3605" i="2"/>
  <c r="A3681" i="2"/>
  <c r="A3793" i="2"/>
  <c r="A3839" i="2"/>
  <c r="A3945" i="2"/>
  <c r="A3969" i="2"/>
  <c r="A4005" i="2"/>
  <c r="A4046" i="2"/>
  <c r="A4054" i="2"/>
  <c r="A4164" i="2"/>
  <c r="A173" i="2"/>
  <c r="A317" i="2"/>
  <c r="A325" i="2"/>
  <c r="A428" i="2"/>
  <c r="A436" i="2"/>
  <c r="A2676" i="2"/>
  <c r="A3145" i="2"/>
  <c r="A2831" i="2"/>
  <c r="A187" i="2"/>
  <c r="A664" i="2"/>
  <c r="A1042" i="2"/>
  <c r="A1352" i="2"/>
  <c r="A1490" i="2"/>
  <c r="A1891" i="2"/>
  <c r="A1999" i="2"/>
  <c r="A2474" i="2"/>
  <c r="A2542" i="2"/>
  <c r="A2729" i="2"/>
  <c r="A2799" i="2"/>
  <c r="A2911" i="2"/>
  <c r="A3150" i="2"/>
  <c r="A3162" i="2"/>
  <c r="A3351" i="2"/>
  <c r="A3359" i="2"/>
  <c r="A3367" i="2"/>
  <c r="A3467" i="2"/>
  <c r="A3492" i="2"/>
  <c r="A3603" i="2"/>
  <c r="A3679" i="2"/>
  <c r="A3791" i="2"/>
  <c r="A3837" i="2"/>
  <c r="A3909" i="2"/>
  <c r="A3951" i="2"/>
  <c r="A4003" i="2"/>
  <c r="A4044" i="2"/>
  <c r="A4052" i="2"/>
  <c r="A4133" i="2"/>
  <c r="A4210" i="2"/>
  <c r="A315" i="2"/>
  <c r="A323" i="2"/>
  <c r="A373" i="2"/>
  <c r="A434" i="2"/>
  <c r="A442" i="2"/>
  <c r="A633" i="2"/>
  <c r="A729" i="2"/>
  <c r="A1571" i="2"/>
  <c r="A1664" i="2"/>
  <c r="A1676" i="2"/>
  <c r="A1837" i="2"/>
  <c r="A2970" i="2"/>
  <c r="A143" i="2"/>
  <c r="A468" i="2"/>
  <c r="A1038" i="2"/>
  <c r="A1348" i="2"/>
  <c r="A1486" i="2"/>
  <c r="A1840" i="2"/>
  <c r="A1997" i="2"/>
  <c r="A2318" i="2"/>
  <c r="A2540" i="2"/>
  <c r="A2727" i="2"/>
  <c r="A2739" i="2"/>
  <c r="A2909" i="2"/>
  <c r="A3148" i="2"/>
  <c r="A3160" i="2"/>
  <c r="A3349" i="2"/>
  <c r="A631" i="2"/>
  <c r="A712" i="2"/>
  <c r="A813" i="2"/>
  <c r="A1662" i="2"/>
  <c r="A1674" i="2"/>
  <c r="A1835" i="2"/>
  <c r="A2966" i="2"/>
  <c r="A1721" i="2"/>
  <c r="A127" i="2"/>
  <c r="A382" i="2"/>
  <c r="A1034" i="2"/>
  <c r="A1344" i="2"/>
  <c r="A1482" i="2"/>
  <c r="A1788" i="2"/>
  <c r="A1995" i="2"/>
  <c r="A2297" i="2"/>
  <c r="A2538" i="2"/>
  <c r="A2680" i="2"/>
  <c r="A2737" i="2"/>
  <c r="A2907" i="2"/>
  <c r="A3146" i="2"/>
  <c r="A466" i="2"/>
  <c r="A694" i="2"/>
  <c r="A785" i="2"/>
  <c r="A1660" i="2"/>
  <c r="A1672" i="2"/>
  <c r="A1732" i="2"/>
  <c r="A2961" i="2"/>
  <c r="A1019" i="2"/>
  <c r="A1648" i="2"/>
  <c r="A3813" i="2"/>
  <c r="A250" i="2"/>
  <c r="A990" i="2"/>
  <c r="A1005" i="2"/>
  <c r="A1001" i="2"/>
  <c r="A986" i="2"/>
  <c r="A996" i="2"/>
  <c r="A978" i="2"/>
  <c r="A1017" i="2"/>
  <c r="A988" i="2"/>
  <c r="A1117" i="2"/>
  <c r="A1119" i="2"/>
  <c r="A1156" i="2"/>
  <c r="A1309" i="2"/>
  <c r="A1317" i="2"/>
  <c r="A247" i="2"/>
  <c r="A1012" i="2"/>
  <c r="A984" i="2"/>
  <c r="A993" i="2"/>
  <c r="A994" i="2"/>
  <c r="A1006" i="2"/>
  <c r="A1021" i="2"/>
  <c r="A1057" i="2"/>
  <c r="A1124" i="2"/>
  <c r="A1112" i="2"/>
  <c r="A1130" i="2"/>
  <c r="A1203" i="2"/>
  <c r="A1318" i="2"/>
  <c r="A1323" i="2"/>
  <c r="A3456" i="2"/>
  <c r="A1014" i="2"/>
  <c r="A1008" i="2"/>
  <c r="A1011" i="2"/>
  <c r="A970" i="2"/>
  <c r="A1055" i="2"/>
  <c r="A1128" i="2"/>
  <c r="A1129" i="2"/>
  <c r="A1198" i="2"/>
  <c r="A1330" i="2"/>
  <c r="A1325" i="2"/>
  <c r="A3617" i="2"/>
  <c r="A4042" i="2"/>
  <c r="A4245" i="2"/>
  <c r="A608" i="2"/>
  <c r="A1631" i="2"/>
  <c r="A4246" i="2"/>
  <c r="A4291" i="2"/>
  <c r="A4334" i="2"/>
  <c r="A2245" i="2"/>
  <c r="A4163" i="2"/>
  <c r="A23" i="2"/>
  <c r="A103" i="2"/>
  <c r="A150" i="2"/>
  <c r="A204" i="2"/>
  <c r="A239" i="2"/>
  <c r="A276" i="2"/>
  <c r="A355" i="2"/>
  <c r="A502" i="2"/>
  <c r="A514" i="2"/>
  <c r="A526" i="2"/>
  <c r="A542" i="2"/>
  <c r="A960" i="2"/>
  <c r="A1053" i="2"/>
  <c r="A4259" i="2"/>
  <c r="A1418" i="2"/>
  <c r="A4191" i="2"/>
  <c r="A101" i="2"/>
  <c r="A137" i="2"/>
  <c r="A202" i="2"/>
  <c r="A237" i="2"/>
  <c r="A274" i="2"/>
  <c r="A353" i="2"/>
  <c r="A500" i="2"/>
  <c r="A512" i="2"/>
  <c r="A524" i="2"/>
  <c r="A538" i="2"/>
  <c r="A1742" i="2"/>
  <c r="A3741" i="2"/>
  <c r="A4130" i="2"/>
  <c r="A4248" i="2"/>
  <c r="A4330" i="2"/>
  <c r="A1635" i="2"/>
  <c r="A409" i="2"/>
  <c r="A19" i="2"/>
  <c r="A87" i="2"/>
  <c r="A111" i="2"/>
  <c r="A200" i="2"/>
  <c r="A235" i="2"/>
  <c r="A272" i="2"/>
  <c r="A284" i="2"/>
  <c r="A473" i="2"/>
  <c r="A510" i="2"/>
  <c r="A522" i="2"/>
  <c r="A534" i="2"/>
  <c r="A1096" i="2"/>
  <c r="A1109" i="2"/>
  <c r="A1579" i="2"/>
  <c r="A4108" i="2"/>
  <c r="A4258" i="2"/>
  <c r="A4336" i="2"/>
  <c r="A408" i="2"/>
  <c r="A404" i="2"/>
  <c r="A1303" i="2"/>
  <c r="A83" i="2"/>
  <c r="A109" i="2"/>
  <c r="A198" i="2"/>
  <c r="A233" i="2"/>
  <c r="A270" i="2"/>
  <c r="A282" i="2"/>
  <c r="A458" i="2"/>
  <c r="A508" i="2"/>
  <c r="A520" i="2"/>
  <c r="A531" i="2"/>
  <c r="A1430" i="2"/>
  <c r="A3675" i="2"/>
  <c r="A4069" i="2"/>
  <c r="A4251" i="2"/>
  <c r="A4308" i="2"/>
  <c r="A460" i="2"/>
  <c r="A1305" i="2"/>
  <c r="A411" i="2"/>
  <c r="A69" i="2"/>
  <c r="A107" i="2"/>
  <c r="A181" i="2"/>
  <c r="A231" i="2"/>
  <c r="A255" i="2"/>
  <c r="A280" i="2"/>
  <c r="A401" i="2"/>
  <c r="A506" i="2"/>
  <c r="A518" i="2"/>
  <c r="A530" i="2"/>
  <c r="A625" i="2"/>
  <c r="A936" i="2"/>
  <c r="A949" i="2"/>
  <c r="A1285" i="2"/>
  <c r="A1298" i="2"/>
  <c r="A1301" i="2"/>
  <c r="A1421" i="2"/>
  <c r="A1433" i="2"/>
  <c r="A1493" i="2"/>
  <c r="A1582" i="2"/>
  <c r="A1634" i="2"/>
  <c r="A1777" i="2"/>
  <c r="A1947" i="2"/>
  <c r="A1299" i="2"/>
  <c r="A1419" i="2"/>
  <c r="A1431" i="2"/>
  <c r="A1443" i="2"/>
  <c r="A1580" i="2"/>
  <c r="A1632" i="2"/>
  <c r="A1759" i="2"/>
  <c r="A1910" i="2"/>
  <c r="A2030" i="2"/>
  <c r="A2132" i="2"/>
  <c r="A2219" i="2"/>
  <c r="A1381" i="2"/>
  <c r="A1427" i="2"/>
  <c r="A1439" i="2"/>
  <c r="A1546" i="2"/>
  <c r="A1628" i="2"/>
  <c r="A1717" i="2"/>
  <c r="A1903" i="2"/>
  <c r="A1911" i="2"/>
  <c r="A1379" i="2"/>
  <c r="A1425" i="2"/>
  <c r="A1437" i="2"/>
  <c r="A1499" i="2"/>
  <c r="A1626" i="2"/>
  <c r="A1715" i="2"/>
  <c r="A1821" i="2"/>
  <c r="A2018" i="2"/>
  <c r="A2021" i="2"/>
  <c r="A2120" i="2"/>
  <c r="A1375" i="2"/>
  <c r="A1423" i="2"/>
  <c r="A1435" i="2"/>
  <c r="A1497" i="2"/>
  <c r="A1588" i="2"/>
  <c r="A1713" i="2"/>
  <c r="A1779" i="2"/>
  <c r="A1909" i="2"/>
  <c r="A2029" i="2"/>
  <c r="A2131" i="2"/>
  <c r="A2379" i="2"/>
  <c r="A2387" i="2"/>
  <c r="A2395" i="2"/>
  <c r="A2403" i="2"/>
  <c r="A2480" i="2"/>
  <c r="A2492" i="2"/>
  <c r="A2525" i="2"/>
  <c r="A2595" i="2"/>
  <c r="A2603" i="2"/>
  <c r="A2611" i="2"/>
  <c r="A2619" i="2"/>
  <c r="A2627" i="2"/>
  <c r="A2231" i="2"/>
  <c r="A2243" i="2"/>
  <c r="A2322" i="2"/>
  <c r="A1941" i="2"/>
  <c r="A1953" i="2"/>
  <c r="A2027" i="2"/>
  <c r="A2117" i="2"/>
  <c r="A2129" i="2"/>
  <c r="A2217" i="2"/>
  <c r="A2229" i="2"/>
  <c r="A2241" i="2"/>
  <c r="A2307" i="2"/>
  <c r="A2377" i="2"/>
  <c r="A2385" i="2"/>
  <c r="A2393" i="2"/>
  <c r="A2401" i="2"/>
  <c r="A2409" i="2"/>
  <c r="A2490" i="2"/>
  <c r="A2523" i="2"/>
  <c r="A2593" i="2"/>
  <c r="A2601" i="2"/>
  <c r="A2609" i="2"/>
  <c r="A2617" i="2"/>
  <c r="A2625" i="2"/>
  <c r="A1939" i="2"/>
  <c r="A1951" i="2"/>
  <c r="A2025" i="2"/>
  <c r="A2115" i="2"/>
  <c r="A2127" i="2"/>
  <c r="A2193" i="2"/>
  <c r="A2227" i="2"/>
  <c r="A2239" i="2"/>
  <c r="A2305" i="2"/>
  <c r="A2372" i="2"/>
  <c r="A2380" i="2"/>
  <c r="A2388" i="2"/>
  <c r="A2396" i="2"/>
  <c r="A2404" i="2"/>
  <c r="A2481" i="2"/>
  <c r="A2493" i="2"/>
  <c r="A2526" i="2"/>
  <c r="A2596" i="2"/>
  <c r="A2604" i="2"/>
  <c r="A2612" i="2"/>
  <c r="A2620" i="2"/>
  <c r="A2683" i="2"/>
  <c r="A2774" i="2"/>
  <c r="A2782" i="2"/>
  <c r="A2820" i="2"/>
  <c r="A2828" i="2"/>
  <c r="A2887" i="2"/>
  <c r="A2919" i="2"/>
  <c r="A2375" i="2"/>
  <c r="A2383" i="2"/>
  <c r="A2391" i="2"/>
  <c r="A2378" i="2"/>
  <c r="A2386" i="2"/>
  <c r="A2394" i="2"/>
  <c r="A2402" i="2"/>
  <c r="A2410" i="2"/>
  <c r="A2491" i="2"/>
  <c r="A2524" i="2"/>
  <c r="A2594" i="2"/>
  <c r="A2602" i="2"/>
  <c r="A2610" i="2"/>
  <c r="A2618" i="2"/>
  <c r="A2626" i="2"/>
  <c r="A2772" i="2"/>
  <c r="A2780" i="2"/>
  <c r="A2818" i="2"/>
  <c r="A2826" i="2"/>
  <c r="A2885" i="2"/>
  <c r="A2917" i="2"/>
  <c r="A3098" i="2"/>
  <c r="A3204" i="2"/>
  <c r="A3377" i="2"/>
  <c r="A3443" i="2"/>
  <c r="A3783" i="2"/>
  <c r="A3879" i="2"/>
  <c r="A3882" i="2"/>
  <c r="A3938" i="2"/>
  <c r="A3047" i="2"/>
  <c r="A3117" i="2"/>
  <c r="A3297" i="2"/>
  <c r="A3437" i="2"/>
  <c r="A3543" i="2"/>
  <c r="A3569" i="2"/>
  <c r="A3043" i="2"/>
  <c r="A3113" i="2"/>
  <c r="A3293" i="2"/>
  <c r="A3433" i="2"/>
  <c r="A3515" i="2"/>
  <c r="A3606" i="2"/>
  <c r="A3007" i="2"/>
  <c r="A3109" i="2"/>
  <c r="A3289" i="2"/>
  <c r="A3387" i="2"/>
  <c r="A3486" i="2"/>
  <c r="A3667" i="2"/>
  <c r="A3736" i="2"/>
  <c r="A3003" i="2"/>
  <c r="A3104" i="2"/>
  <c r="A3210" i="2"/>
  <c r="A3383" i="2"/>
  <c r="A3479" i="2"/>
  <c r="A3805" i="2"/>
  <c r="A3966" i="2"/>
  <c r="A4234" i="2"/>
  <c r="A3102" i="2"/>
  <c r="A3208" i="2"/>
  <c r="A3381" i="2"/>
  <c r="A3477" i="2"/>
  <c r="A4328" i="2"/>
  <c r="A154" i="2"/>
  <c r="A475" i="2"/>
  <c r="A713" i="2"/>
  <c r="A1210" i="2"/>
  <c r="A1795" i="2"/>
  <c r="A2506" i="2"/>
  <c r="A2977" i="2"/>
  <c r="A3516" i="2"/>
  <c r="A3840" i="2"/>
  <c r="A4056" i="2"/>
  <c r="A4157" i="2"/>
  <c r="A4262" i="2"/>
  <c r="A99" i="2"/>
  <c r="A3494" i="2"/>
  <c r="A3797" i="2"/>
  <c r="A4023" i="2"/>
  <c r="A4155" i="2"/>
  <c r="A4260" i="2"/>
  <c r="A80" i="2"/>
  <c r="A1049" i="2"/>
  <c r="A4324" i="2"/>
  <c r="A88" i="2"/>
  <c r="A336" i="2"/>
  <c r="A681" i="2"/>
  <c r="A816" i="2"/>
  <c r="A1748" i="2"/>
  <c r="A2329" i="2"/>
  <c r="A2927" i="2"/>
  <c r="A3483" i="2"/>
  <c r="A3699" i="2"/>
  <c r="A4007" i="2"/>
  <c r="A4145" i="2"/>
  <c r="A4213" i="2"/>
  <c r="A4313" i="2"/>
  <c r="A225" i="2"/>
  <c r="A180" i="2"/>
  <c r="A4310" i="2"/>
  <c r="A4" i="2"/>
  <c r="A219" i="2"/>
  <c r="A635" i="2"/>
  <c r="A748" i="2"/>
  <c r="A1597" i="2"/>
  <c r="A2055" i="2"/>
  <c r="A2741" i="2"/>
  <c r="A3061" i="2"/>
  <c r="A3632" i="2"/>
  <c r="A3954" i="2"/>
  <c r="A4084" i="2"/>
  <c r="A4175" i="2"/>
  <c r="A4282" i="2"/>
  <c r="A878" i="2"/>
  <c r="A4299" i="2"/>
  <c r="A2" i="2"/>
  <c r="A176" i="2"/>
  <c r="A600" i="2"/>
  <c r="A715" i="2"/>
  <c r="A1592" i="2"/>
  <c r="A1913" i="2"/>
  <c r="A2567" i="2"/>
  <c r="A3059" i="2"/>
  <c r="A3607" i="2"/>
  <c r="A3952" i="2"/>
  <c r="A4075" i="2"/>
  <c r="A4173" i="2"/>
  <c r="A4273" i="2"/>
  <c r="A148" i="2"/>
  <c r="A229" i="2"/>
  <c r="A1268" i="2"/>
  <c r="A1813" i="2"/>
  <c r="A2213" i="2"/>
  <c r="A2771" i="2"/>
  <c r="A3084" i="2"/>
  <c r="A3423" i="2"/>
  <c r="A352" i="2"/>
  <c r="A1373" i="2"/>
  <c r="A1709" i="2"/>
  <c r="A2016" i="2"/>
  <c r="A2769" i="2"/>
  <c r="A3082" i="2"/>
  <c r="A3282" i="2"/>
  <c r="A658" i="2"/>
  <c r="A1899" i="2"/>
  <c r="A2710" i="2"/>
  <c r="A3078" i="2"/>
  <c r="A3279" i="2"/>
  <c r="A3720" i="2"/>
  <c r="A398" i="2"/>
  <c r="A456" i="2"/>
  <c r="A700" i="2"/>
  <c r="A849" i="2"/>
  <c r="A1144" i="2"/>
  <c r="A1180" i="2"/>
  <c r="A1367" i="2"/>
  <c r="A1492" i="2"/>
  <c r="A1923" i="2"/>
  <c r="A350" i="2"/>
  <c r="A450" i="2"/>
  <c r="A687" i="2"/>
  <c r="A810" i="2"/>
  <c r="A1044" i="2"/>
  <c r="A1147" i="2"/>
  <c r="A1250" i="2"/>
  <c r="A1370" i="2"/>
  <c r="A1544" i="2"/>
  <c r="A399" i="2"/>
  <c r="A659" i="2"/>
  <c r="A793" i="2"/>
  <c r="A395" i="2"/>
  <c r="A485" i="2"/>
  <c r="A759" i="2"/>
  <c r="A1143" i="2"/>
  <c r="A1179" i="2"/>
  <c r="A1254" i="2"/>
  <c r="A1408" i="2"/>
  <c r="A1618" i="2"/>
  <c r="A851" i="2"/>
  <c r="A1146" i="2"/>
  <c r="A1249" i="2"/>
  <c r="A1369" i="2"/>
  <c r="A1495" i="2"/>
  <c r="A1082" i="2"/>
  <c r="A1177" i="2"/>
  <c r="A1252" i="2"/>
  <c r="A1406" i="2"/>
  <c r="A1616" i="2"/>
  <c r="A1771" i="2"/>
  <c r="A2313" i="2"/>
  <c r="A2550" i="2"/>
  <c r="A1708" i="2"/>
  <c r="A1922" i="2"/>
  <c r="A2092" i="2"/>
  <c r="A2543" i="2"/>
  <c r="A2810" i="2"/>
  <c r="A2986" i="2"/>
  <c r="A3419" i="2"/>
  <c r="A1704" i="2"/>
  <c r="A1861" i="2"/>
  <c r="A2088" i="2"/>
  <c r="A2514" i="2"/>
  <c r="A2764" i="2"/>
  <c r="A2982" i="2"/>
  <c r="A3277" i="2"/>
  <c r="A3275" i="2"/>
  <c r="A3823" i="2"/>
  <c r="A1812" i="2"/>
  <c r="A2082" i="2"/>
  <c r="A2357" i="2"/>
  <c r="A2706" i="2"/>
  <c r="A2929" i="2"/>
  <c r="A3188" i="2"/>
  <c r="A3767" i="2"/>
  <c r="A1808" i="2"/>
  <c r="A2053" i="2"/>
  <c r="A2355" i="2"/>
  <c r="A2704" i="2"/>
  <c r="A2882" i="2"/>
  <c r="A3186" i="2"/>
  <c r="A3689" i="2"/>
  <c r="A1772" i="2"/>
  <c r="A2012" i="2"/>
  <c r="A2314" i="2"/>
  <c r="A2588" i="2"/>
  <c r="A2877" i="2"/>
  <c r="A3076" i="2"/>
  <c r="A3611" i="2"/>
  <c r="A1756" i="2"/>
  <c r="A1926" i="2"/>
  <c r="A2210" i="2"/>
  <c r="A2584" i="2"/>
  <c r="A2852" i="2"/>
  <c r="A3072" i="2"/>
  <c r="A3532" i="2"/>
  <c r="A3869" i="2"/>
  <c r="A3965" i="2"/>
  <c r="A4032" i="2"/>
  <c r="A4098" i="2"/>
  <c r="A4169" i="2"/>
  <c r="A4226" i="2"/>
  <c r="A4318" i="2"/>
  <c r="A178" i="2"/>
  <c r="A263" i="2"/>
  <c r="A483" i="2"/>
  <c r="A160" i="2"/>
  <c r="A621" i="2"/>
  <c r="A1080" i="2"/>
  <c r="A1767" i="2"/>
  <c r="A3271" i="2"/>
  <c r="A753" i="2"/>
  <c r="A192" i="2"/>
  <c r="A265" i="2"/>
  <c r="A604" i="2"/>
  <c r="A2483" i="2"/>
  <c r="A3802" i="2"/>
  <c r="A220" i="2"/>
  <c r="A656" i="2"/>
  <c r="A847" i="2"/>
  <c r="A1247" i="2"/>
  <c r="A1920" i="2"/>
  <c r="A2760" i="2"/>
  <c r="A3033" i="2"/>
  <c r="A3657" i="2"/>
  <c r="A3957" i="2"/>
  <c r="A4117" i="2"/>
  <c r="A4269" i="2"/>
  <c r="A2695" i="2"/>
  <c r="A758" i="2"/>
  <c r="A1241" i="2"/>
  <c r="A1806" i="2"/>
  <c r="A2702" i="2"/>
  <c r="A2945" i="2"/>
  <c r="A3531" i="2"/>
  <c r="A3863" i="2"/>
  <c r="A4092" i="2"/>
  <c r="A4220" i="2"/>
  <c r="A15" i="2"/>
  <c r="A163" i="2"/>
  <c r="A391" i="2"/>
  <c r="A754" i="2"/>
  <c r="A1175" i="2"/>
  <c r="A1768" i="2"/>
  <c r="A2508" i="2"/>
  <c r="A2876" i="2"/>
  <c r="A3272" i="2"/>
  <c r="A3822" i="2"/>
  <c r="A4063" i="2"/>
  <c r="A4197" i="2"/>
  <c r="A12" i="2"/>
  <c r="A340" i="2"/>
  <c r="A750" i="2"/>
  <c r="A1079" i="2"/>
  <c r="A1740" i="2"/>
  <c r="A2209" i="2"/>
  <c r="A2872" i="2"/>
  <c r="A3268" i="2"/>
  <c r="A3718" i="2"/>
  <c r="A4030" i="2"/>
  <c r="A4176" i="2"/>
  <c r="A4316" i="2"/>
  <c r="A706" i="2"/>
  <c r="A1075" i="2"/>
  <c r="A1700" i="2"/>
  <c r="A2079" i="2"/>
  <c r="A2808" i="2"/>
  <c r="A3070" i="2"/>
  <c r="A3714" i="2"/>
  <c r="A4012" i="2"/>
  <c r="A4146" i="2"/>
  <c r="A222" i="2"/>
  <c r="A673" i="2"/>
  <c r="A1071" i="2"/>
  <c r="A1543" i="2"/>
  <c r="A2009" i="2"/>
  <c r="A2804" i="2"/>
  <c r="A3035" i="2"/>
  <c r="A3659" i="2"/>
  <c r="A3959" i="2"/>
  <c r="A4119" i="2"/>
  <c r="A4275" i="2"/>
  <c r="A788" i="2"/>
  <c r="A92" i="2"/>
  <c r="A3263" i="2"/>
  <c r="A3264" i="2"/>
  <c r="A1070" i="2"/>
  <c r="A1232" i="2"/>
  <c r="A3924" i="2"/>
  <c r="A1699" i="2"/>
  <c r="A338" i="2"/>
  <c r="A3931" i="2"/>
  <c r="A11" i="2"/>
  <c r="A839" i="2"/>
  <c r="A3763" i="2"/>
  <c r="A2803" i="2"/>
  <c r="A1228" i="2"/>
  <c r="A1404" i="2"/>
  <c r="A844" i="2"/>
  <c r="A1236" i="2"/>
  <c r="A2074" i="2"/>
  <c r="A3858" i="2"/>
  <c r="A64" i="2"/>
  <c r="A1607" i="2"/>
  <c r="A1609" i="2"/>
  <c r="A1739" i="2"/>
  <c r="A3267" i="2"/>
  <c r="A8" i="2"/>
  <c r="A90" i="2"/>
  <c r="A2754" i="2"/>
  <c r="A2073" i="2"/>
  <c r="A1851" i="2"/>
  <c r="A1403" i="2"/>
  <c r="A1542" i="2"/>
  <c r="A3623" i="2"/>
  <c r="A41" i="2"/>
  <c r="A833" i="2"/>
  <c r="A3852" i="2"/>
  <c r="A337" i="2"/>
  <c r="A1169" i="2"/>
  <c r="A840" i="2"/>
  <c r="T7" i="1" l="1"/>
  <c r="Q20" i="1"/>
  <c r="T12" i="1"/>
  <c r="T11" i="1"/>
  <c r="S11" i="1"/>
  <c r="L21" i="1"/>
  <c r="L22" i="1"/>
  <c r="O21" i="1"/>
  <c r="L25" i="1"/>
  <c r="O25" i="1"/>
  <c r="L20" i="1"/>
  <c r="M25" i="1"/>
  <c r="L10" i="1"/>
  <c r="L23" i="1"/>
  <c r="P20" i="1"/>
  <c r="M21" i="1"/>
  <c r="Q16" i="1"/>
  <c r="P21" i="1"/>
  <c r="N26" i="1"/>
  <c r="Q21" i="1"/>
  <c r="N22" i="1"/>
  <c r="M22" i="1"/>
  <c r="M27" i="1"/>
  <c r="M19" i="1"/>
  <c r="N25" i="1"/>
  <c r="L24" i="1"/>
  <c r="G26" i="1"/>
  <c r="M23" i="1"/>
  <c r="N20" i="1"/>
  <c r="L26" i="1"/>
  <c r="M26" i="1"/>
  <c r="P17" i="1"/>
  <c r="M20" i="1"/>
  <c r="O19" i="1"/>
  <c r="L6" i="1"/>
  <c r="O17" i="1"/>
  <c r="N23" i="1"/>
  <c r="P19" i="1"/>
  <c r="L15" i="1"/>
  <c r="G24" i="1"/>
  <c r="L5" i="1"/>
  <c r="G25" i="1"/>
  <c r="M24" i="1"/>
  <c r="O23" i="1"/>
  <c r="L27" i="1"/>
  <c r="G27" i="1"/>
  <c r="N9" i="1"/>
  <c r="Q17" i="1"/>
  <c r="G20" i="1"/>
  <c r="T13" i="1"/>
  <c r="L19" i="1"/>
  <c r="L17" i="1"/>
  <c r="N19" i="1"/>
  <c r="S13" i="1"/>
  <c r="Q19" i="1"/>
  <c r="R18" i="1"/>
  <c r="L14" i="1"/>
  <c r="G23" i="1"/>
  <c r="G22" i="1"/>
  <c r="L12" i="1"/>
  <c r="N21" i="1"/>
  <c r="O20" i="1"/>
  <c r="L13" i="1"/>
  <c r="G21" i="1"/>
  <c r="L18" i="1"/>
  <c r="V14" i="1"/>
  <c r="O10" i="1"/>
  <c r="L11" i="1"/>
  <c r="L16" i="1"/>
  <c r="N18" i="1"/>
  <c r="M18" i="1"/>
  <c r="P12" i="1"/>
  <c r="O18" i="1"/>
  <c r="P8" i="1"/>
  <c r="Q18" i="1"/>
  <c r="T18" i="1"/>
  <c r="S18" i="1"/>
  <c r="O7" i="1"/>
  <c r="P10" i="1"/>
  <c r="Q12" i="1"/>
  <c r="L8" i="1"/>
  <c r="M6" i="1"/>
  <c r="G5" i="1"/>
  <c r="G10" i="1"/>
  <c r="Q5" i="1"/>
  <c r="R5" i="1"/>
  <c r="O8" i="1"/>
  <c r="G14" i="1"/>
  <c r="N13" i="1"/>
  <c r="O13" i="1"/>
  <c r="O9" i="1"/>
  <c r="O11" i="1"/>
  <c r="O6" i="1"/>
  <c r="M9" i="1"/>
  <c r="R11" i="1"/>
  <c r="R8" i="1"/>
  <c r="Q8" i="1"/>
  <c r="R13" i="1"/>
  <c r="N12" i="1"/>
  <c r="P14" i="1"/>
  <c r="P18" i="1"/>
  <c r="O12" i="1"/>
  <c r="W14" i="1"/>
  <c r="Q14" i="1"/>
  <c r="S14" i="1"/>
  <c r="N15" i="1"/>
  <c r="M17" i="1"/>
  <c r="U14" i="1"/>
  <c r="N17" i="1"/>
  <c r="N16" i="1"/>
  <c r="R14" i="1"/>
  <c r="M16" i="1"/>
  <c r="G18" i="1"/>
  <c r="G19" i="1"/>
  <c r="M10" i="1"/>
  <c r="M15" i="1"/>
  <c r="T14" i="1"/>
  <c r="O14" i="1"/>
  <c r="G17" i="1"/>
  <c r="O5" i="1"/>
  <c r="Q10" i="1"/>
  <c r="N7" i="1"/>
  <c r="P16" i="1"/>
  <c r="X14" i="1"/>
  <c r="G15" i="1"/>
  <c r="P5" i="1"/>
  <c r="M14" i="1"/>
  <c r="M13" i="1"/>
  <c r="N8" i="1"/>
  <c r="Q6" i="1"/>
  <c r="N5" i="1"/>
  <c r="G13" i="1"/>
  <c r="M5" i="1"/>
  <c r="G8" i="1"/>
  <c r="G11" i="1"/>
  <c r="N11" i="1"/>
  <c r="Q11" i="1"/>
  <c r="N14" i="1"/>
  <c r="M7" i="1"/>
  <c r="G6" i="1"/>
  <c r="G12" i="1"/>
  <c r="G7" i="1"/>
  <c r="P6" i="1"/>
  <c r="N6" i="1"/>
  <c r="P7" i="1"/>
  <c r="P11" i="1"/>
  <c r="P13" i="1"/>
  <c r="Q13" i="1"/>
  <c r="O16" i="1"/>
  <c r="M8" i="1"/>
  <c r="M12" i="1"/>
  <c r="G16" i="1"/>
  <c r="N10" i="1"/>
  <c r="M11" i="1"/>
  <c r="L9" i="1"/>
  <c r="L7" i="1"/>
  <c r="G9" i="1"/>
  <c r="E25" i="1" l="1"/>
  <c r="E21" i="1"/>
  <c r="E17" i="1"/>
  <c r="E6" i="1"/>
  <c r="E12" i="1"/>
  <c r="W3" i="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Pankratz, Kent E</author>
  </authors>
  <commentList>
    <comment ref="W3" authorId="0" shapeId="0" xr:uid="{3292E2B7-1064-49FF-A25A-39D57FA9BCB5}">
      <text>
        <r>
          <rPr>
            <sz val="9"/>
            <color indexed="81"/>
            <rFont val="Tahoma"/>
            <family val="2"/>
          </rPr>
          <t>This is a comparison of averaging Function Scores and the averaging the Control Set Scores (columns 1-12). 
(Column 0 is not included in the caluculated average of the Control Sets. Column 0 is the executive rating using on the NIST CSF in the assessment).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Kent Pankratz</author>
  </authors>
  <commentList>
    <comment ref="M1" authorId="0" shapeId="0" xr:uid="{9F7A3799-E3F7-4A51-81F2-ACB3FD062CC6}">
      <text>
        <r>
          <rPr>
            <sz val="9"/>
            <color indexed="81"/>
            <rFont val="Tahoma"/>
            <family val="2"/>
          </rPr>
          <t>A lower percentage represents a higher risk.</t>
        </r>
        <r>
          <rPr>
            <sz val="9"/>
            <color indexed="81"/>
            <rFont val="Tahoma"/>
            <charset val="1"/>
          </rPr>
          <t xml:space="preserve">
</t>
        </r>
      </text>
    </comment>
  </commentList>
</comments>
</file>

<file path=xl/sharedStrings.xml><?xml version="1.0" encoding="utf-8"?>
<sst xmlns="http://schemas.openxmlformats.org/spreadsheetml/2006/main" count="25168" uniqueCount="5432">
  <si>
    <t>Executive Summary</t>
  </si>
  <si>
    <t>Control Catalog Score</t>
  </si>
  <si>
    <t>Control Catalog</t>
  </si>
  <si>
    <t xml:space="preserve">STN </t>
  </si>
  <si>
    <t>Control Set Score</t>
  </si>
  <si>
    <t>Security Profile</t>
  </si>
  <si>
    <t>Function Scores</t>
  </si>
  <si>
    <t>Function</t>
  </si>
  <si>
    <t>Category</t>
  </si>
  <si>
    <t>Category Name</t>
  </si>
  <si>
    <t>IDENTIFY</t>
  </si>
  <si>
    <t>ID.AM</t>
  </si>
  <si>
    <t xml:space="preserve">Asset Management </t>
  </si>
  <si>
    <t>1.1-x.x</t>
  </si>
  <si>
    <t>ID.BE</t>
  </si>
  <si>
    <t xml:space="preserve">Business Environment </t>
  </si>
  <si>
    <t>1.2-x.x</t>
  </si>
  <si>
    <t>ID.GV</t>
  </si>
  <si>
    <t xml:space="preserve">Governance </t>
  </si>
  <si>
    <t>1.3-x.x</t>
  </si>
  <si>
    <t>ID.RA</t>
  </si>
  <si>
    <t xml:space="preserve">Risk Assessment </t>
  </si>
  <si>
    <t>1.4-x.x</t>
  </si>
  <si>
    <t>ID.RM</t>
  </si>
  <si>
    <t xml:space="preserve">Risk Management Strategy </t>
  </si>
  <si>
    <t>1.5-x.x</t>
  </si>
  <si>
    <t>OFF</t>
  </si>
  <si>
    <t>ID.SC</t>
  </si>
  <si>
    <t>Supply Chain Risk Management</t>
  </si>
  <si>
    <t>1.6-x.x</t>
  </si>
  <si>
    <t>PROTECT</t>
  </si>
  <si>
    <t>PR.AC</t>
  </si>
  <si>
    <t xml:space="preserve">Access Control </t>
  </si>
  <si>
    <t>2.1-x.x</t>
  </si>
  <si>
    <t>PR.AT</t>
  </si>
  <si>
    <t xml:space="preserve">Awareness and Training </t>
  </si>
  <si>
    <t>2.2-x.x</t>
  </si>
  <si>
    <t>Critical Security Controls 6</t>
  </si>
  <si>
    <t>PR.DS</t>
  </si>
  <si>
    <t xml:space="preserve">Data Security </t>
  </si>
  <si>
    <t>2.3-x.x</t>
  </si>
  <si>
    <t>Critical Security Controls 7</t>
  </si>
  <si>
    <t>PR.IP</t>
  </si>
  <si>
    <t xml:space="preserve">Information Protection Processes and Procedures </t>
  </si>
  <si>
    <t>2.4-x.x</t>
  </si>
  <si>
    <t>PR.MA</t>
  </si>
  <si>
    <t xml:space="preserve">Maintenance </t>
  </si>
  <si>
    <t>2.5-x.x</t>
  </si>
  <si>
    <t>HIPAA Privacy Rule</t>
  </si>
  <si>
    <t>PR.PT</t>
  </si>
  <si>
    <t xml:space="preserve">Protective Technology </t>
  </si>
  <si>
    <t>2.6-x.x</t>
  </si>
  <si>
    <t>HIPAA Security Rule</t>
  </si>
  <si>
    <t>DETECT</t>
  </si>
  <si>
    <t>DE.AE</t>
  </si>
  <si>
    <t xml:space="preserve">Anomalies and Events </t>
  </si>
  <si>
    <t>3.1-x.x</t>
  </si>
  <si>
    <t>DE.CM</t>
  </si>
  <si>
    <t xml:space="preserve">Security Continuous Monitoring </t>
  </si>
  <si>
    <t>3.2-x.x</t>
  </si>
  <si>
    <t>ISO/IEC 27001:2013</t>
  </si>
  <si>
    <t>DE.DP</t>
  </si>
  <si>
    <t xml:space="preserve">Detection Processes </t>
  </si>
  <si>
    <t>3.3-x.x</t>
  </si>
  <si>
    <t>ITGC-SaaS</t>
  </si>
  <si>
    <t>RESPOND</t>
  </si>
  <si>
    <t>RS.AN</t>
  </si>
  <si>
    <t xml:space="preserve">Analysis </t>
  </si>
  <si>
    <t>4.1-x.x</t>
  </si>
  <si>
    <t>ON</t>
  </si>
  <si>
    <t>RS.CO</t>
  </si>
  <si>
    <t xml:space="preserve">Communications </t>
  </si>
  <si>
    <t>4.2-x.x</t>
  </si>
  <si>
    <t>NIST SP 800-171 Rev. 2</t>
  </si>
  <si>
    <t>RS.IM</t>
  </si>
  <si>
    <t xml:space="preserve">Improvements </t>
  </si>
  <si>
    <t>4.3-x.x</t>
  </si>
  <si>
    <t>NIST SP 800-53 Rev. 4</t>
  </si>
  <si>
    <t>RS.MI</t>
  </si>
  <si>
    <t xml:space="preserve">Mitigation </t>
  </si>
  <si>
    <t>4.4-x.x</t>
  </si>
  <si>
    <t>NIST SP 800-53 Rev. 4, Appendix J</t>
  </si>
  <si>
    <t>RS.RP</t>
  </si>
  <si>
    <t xml:space="preserve">Response Planning </t>
  </si>
  <si>
    <t>4.5-x.x</t>
  </si>
  <si>
    <t>NIST SP 800-53 Rev. 5</t>
  </si>
  <si>
    <t>RECOVER</t>
  </si>
  <si>
    <t>RC.CO</t>
  </si>
  <si>
    <t>5.2-x.x</t>
  </si>
  <si>
    <t>NYDFS (23 NYCRR 500)</t>
  </si>
  <si>
    <t>RC.IM</t>
  </si>
  <si>
    <t>5.3-x.x</t>
  </si>
  <si>
    <t>PCI DSS 3.2</t>
  </si>
  <si>
    <t>RC.RP</t>
  </si>
  <si>
    <t>Recovery Planning</t>
  </si>
  <si>
    <t>5.5-x.x</t>
  </si>
  <si>
    <t>SOX/ITGC</t>
  </si>
  <si>
    <t>STN</t>
  </si>
  <si>
    <t>ON/OFF</t>
  </si>
  <si>
    <t>CSF Function</t>
  </si>
  <si>
    <t>CSF Category</t>
  </si>
  <si>
    <t>CSF Subcategory</t>
  </si>
  <si>
    <t>Control Set Source</t>
  </si>
  <si>
    <t>Control ID</t>
  </si>
  <si>
    <t>SRM Description</t>
  </si>
  <si>
    <t>Rate</t>
  </si>
  <si>
    <t>Risk Ranking</t>
  </si>
  <si>
    <t>Assess</t>
  </si>
  <si>
    <t>Analyze</t>
  </si>
  <si>
    <t>Last</t>
  </si>
  <si>
    <t>ID</t>
  </si>
  <si>
    <t>AM</t>
  </si>
  <si>
    <t>2</t>
  </si>
  <si>
    <t>11.1.1</t>
  </si>
  <si>
    <t>9.9.1</t>
  </si>
  <si>
    <t>1</t>
  </si>
  <si>
    <t>12.3.7</t>
  </si>
  <si>
    <t>1.1.2</t>
  </si>
  <si>
    <t>1.1.3</t>
  </si>
  <si>
    <t>1.1.6</t>
  </si>
  <si>
    <t>12.8.5</t>
  </si>
  <si>
    <t>A3.2.5</t>
  </si>
  <si>
    <t>A3.2.5.1</t>
  </si>
  <si>
    <t>5</t>
  </si>
  <si>
    <t>9.6.1</t>
  </si>
  <si>
    <t>1.1.5</t>
  </si>
  <si>
    <t>12.11.1</t>
  </si>
  <si>
    <t>12.3.3</t>
  </si>
  <si>
    <t>12.3.4</t>
  </si>
  <si>
    <t>A3.1.3</t>
  </si>
  <si>
    <t>BE</t>
  </si>
  <si>
    <t>A3</t>
  </si>
  <si>
    <t>A3.1</t>
  </si>
  <si>
    <t>A3.1.2</t>
  </si>
  <si>
    <t>A3.2</t>
  </si>
  <si>
    <t>A3.2.1</t>
  </si>
  <si>
    <t>GV</t>
  </si>
  <si>
    <t>12.5.1</t>
  </si>
  <si>
    <t>12.3.5</t>
  </si>
  <si>
    <t>9.10.</t>
  </si>
  <si>
    <t>RA</t>
  </si>
  <si>
    <t>6.4.5.3</t>
  </si>
  <si>
    <t>6.5.6</t>
  </si>
  <si>
    <t>RM</t>
  </si>
  <si>
    <t>12.1.1</t>
  </si>
  <si>
    <t>A2.2</t>
  </si>
  <si>
    <t>A3.1.1</t>
  </si>
  <si>
    <t>SC</t>
  </si>
  <si>
    <t>12.8.3</t>
  </si>
  <si>
    <t>12.8.1</t>
  </si>
  <si>
    <t>12.8.2</t>
  </si>
  <si>
    <t>4</t>
  </si>
  <si>
    <t>PR</t>
  </si>
  <si>
    <t>AC</t>
  </si>
  <si>
    <t>10.5.2</t>
  </si>
  <si>
    <t>12.3.2</t>
  </si>
  <si>
    <t>12.5.4</t>
  </si>
  <si>
    <t>6.3.1</t>
  </si>
  <si>
    <t>8.1.1</t>
  </si>
  <si>
    <t>8.1.2</t>
  </si>
  <si>
    <t>8.2.1</t>
  </si>
  <si>
    <t>8.2.3</t>
  </si>
  <si>
    <t>8.2.4</t>
  </si>
  <si>
    <t>8.2.5</t>
  </si>
  <si>
    <t>8.2.6</t>
  </si>
  <si>
    <t>9.1.1</t>
  </si>
  <si>
    <t>9.1.2</t>
  </si>
  <si>
    <t>9.1.3</t>
  </si>
  <si>
    <t>9.9.2</t>
  </si>
  <si>
    <t>12.3.8</t>
  </si>
  <si>
    <t>8.1.5</t>
  </si>
  <si>
    <t>8.3.1</t>
  </si>
  <si>
    <t>8.3.2</t>
  </si>
  <si>
    <t>8.5.1</t>
  </si>
  <si>
    <t>10.5.1</t>
  </si>
  <si>
    <t>12.3.1</t>
  </si>
  <si>
    <t>12.3.9</t>
  </si>
  <si>
    <t>2.1.1</t>
  </si>
  <si>
    <t>3.5.4</t>
  </si>
  <si>
    <t>6.4.2</t>
  </si>
  <si>
    <t>7.1.1</t>
  </si>
  <si>
    <t>7.1.2</t>
  </si>
  <si>
    <t>7.1.3</t>
  </si>
  <si>
    <t>7.1.4</t>
  </si>
  <si>
    <t>7.2.2</t>
  </si>
  <si>
    <t>8.1.3</t>
  </si>
  <si>
    <t>8.1.4</t>
  </si>
  <si>
    <t>8.1.6</t>
  </si>
  <si>
    <t>8.1.7</t>
  </si>
  <si>
    <t>8.1.8</t>
  </si>
  <si>
    <t>A1.2</t>
  </si>
  <si>
    <t>A3.4</t>
  </si>
  <si>
    <t>A3.4.1</t>
  </si>
  <si>
    <t>1.2.3</t>
  </si>
  <si>
    <t>1.3.1</t>
  </si>
  <si>
    <t>1.3.2</t>
  </si>
  <si>
    <t>1.3.3</t>
  </si>
  <si>
    <t>1.3.7</t>
  </si>
  <si>
    <t>11.3.4.1</t>
  </si>
  <si>
    <t>12.3.6</t>
  </si>
  <si>
    <t>A3.2.4</t>
  </si>
  <si>
    <t>8.2.2</t>
  </si>
  <si>
    <t>AT</t>
  </si>
  <si>
    <t>12.6.1</t>
  </si>
  <si>
    <t>12.6.2</t>
  </si>
  <si>
    <t>3.6.8</t>
  </si>
  <si>
    <t>A3.1.4</t>
  </si>
  <si>
    <t>12.4.1</t>
  </si>
  <si>
    <t>9.9.3</t>
  </si>
  <si>
    <t>A3.2.3</t>
  </si>
  <si>
    <t>DS</t>
  </si>
  <si>
    <t>3.4.1</t>
  </si>
  <si>
    <t>2.2.3</t>
  </si>
  <si>
    <t>3.2.1</t>
  </si>
  <si>
    <t>4.1.1</t>
  </si>
  <si>
    <t>A2</t>
  </si>
  <si>
    <t>A2.1</t>
  </si>
  <si>
    <t>A2.3</t>
  </si>
  <si>
    <t>3.2.2</t>
  </si>
  <si>
    <t>3.2.3</t>
  </si>
  <si>
    <t>9.8.1</t>
  </si>
  <si>
    <t>9.8.2</t>
  </si>
  <si>
    <t>6.4.3</t>
  </si>
  <si>
    <t>6.4.4</t>
  </si>
  <si>
    <t>A1</t>
  </si>
  <si>
    <t>A3.2.6</t>
  </si>
  <si>
    <t>10.5.5</t>
  </si>
  <si>
    <t>6.4.1</t>
  </si>
  <si>
    <t>IP</t>
  </si>
  <si>
    <t>2.2.2</t>
  </si>
  <si>
    <t>2.2.4</t>
  </si>
  <si>
    <t>2.2.5</t>
  </si>
  <si>
    <t>12.10.2</t>
  </si>
  <si>
    <t>9.4.1</t>
  </si>
  <si>
    <t>9.4.2</t>
  </si>
  <si>
    <t>9.4.3</t>
  </si>
  <si>
    <t>11.2.1</t>
  </si>
  <si>
    <t>11.2.2</t>
  </si>
  <si>
    <t>11.2.3</t>
  </si>
  <si>
    <t>6.3.2</t>
  </si>
  <si>
    <t>1.1.1</t>
  </si>
  <si>
    <t>1.1.7</t>
  </si>
  <si>
    <t>10.4.1</t>
  </si>
  <si>
    <t>10.4.2</t>
  </si>
  <si>
    <t>10.4.3</t>
  </si>
  <si>
    <t>6.4.5</t>
  </si>
  <si>
    <t>6.4.5.1</t>
  </si>
  <si>
    <t>6.4.5.2</t>
  </si>
  <si>
    <t>6.4.5.4</t>
  </si>
  <si>
    <t>6.4.6</t>
  </si>
  <si>
    <t>A3.2.2</t>
  </si>
  <si>
    <t>A3.2.2.1</t>
  </si>
  <si>
    <t>10.5.3</t>
  </si>
  <si>
    <t>9.5.1</t>
  </si>
  <si>
    <t>6.5.1</t>
  </si>
  <si>
    <t>6.5.10</t>
  </si>
  <si>
    <t>6.5.2</t>
  </si>
  <si>
    <t>6.5.3</t>
  </si>
  <si>
    <t>6.5.4</t>
  </si>
  <si>
    <t>6.5.5</t>
  </si>
  <si>
    <t>6.5.7</t>
  </si>
  <si>
    <t>6.5.8</t>
  </si>
  <si>
    <t>6.5.9</t>
  </si>
  <si>
    <t>A3.3</t>
  </si>
  <si>
    <t>A3.3.2</t>
  </si>
  <si>
    <t>A3.3.3</t>
  </si>
  <si>
    <t>12.10.</t>
  </si>
  <si>
    <t>12.10.1</t>
  </si>
  <si>
    <t>A3.2.5.2</t>
  </si>
  <si>
    <t>MA</t>
  </si>
  <si>
    <t>9.4.4</t>
  </si>
  <si>
    <t>PT</t>
  </si>
  <si>
    <t>10.2.1</t>
  </si>
  <si>
    <t>10.2.2</t>
  </si>
  <si>
    <t>10.2.3</t>
  </si>
  <si>
    <t>10.2.4</t>
  </si>
  <si>
    <t>10.2.5</t>
  </si>
  <si>
    <t>10.2.6</t>
  </si>
  <si>
    <t>10.2.7</t>
  </si>
  <si>
    <t>A1.3</t>
  </si>
  <si>
    <t>3</t>
  </si>
  <si>
    <t>10.3.1</t>
  </si>
  <si>
    <t>10.3.2</t>
  </si>
  <si>
    <t>10.3.3</t>
  </si>
  <si>
    <t>10.3.4</t>
  </si>
  <si>
    <t>10.3.5</t>
  </si>
  <si>
    <t>10.3.6</t>
  </si>
  <si>
    <t>12.3.10</t>
  </si>
  <si>
    <t>9.6.2</t>
  </si>
  <si>
    <t>9.6.3</t>
  </si>
  <si>
    <t>1.1.4</t>
  </si>
  <si>
    <t>2.2.1</t>
  </si>
  <si>
    <t>3.5.1</t>
  </si>
  <si>
    <t>3.5.2</t>
  </si>
  <si>
    <t>3.5.3</t>
  </si>
  <si>
    <t>3.6.1</t>
  </si>
  <si>
    <t>3.6.2</t>
  </si>
  <si>
    <t>3.6.3</t>
  </si>
  <si>
    <t>3.6.4</t>
  </si>
  <si>
    <t>3.6.5</t>
  </si>
  <si>
    <t>3.6.6</t>
  </si>
  <si>
    <t>3.6.7</t>
  </si>
  <si>
    <t>7.2.1</t>
  </si>
  <si>
    <t>7.2.3</t>
  </si>
  <si>
    <t>A1.1</t>
  </si>
  <si>
    <t>1.2.1</t>
  </si>
  <si>
    <t>1.2.2</t>
  </si>
  <si>
    <t>1.3.4</t>
  </si>
  <si>
    <t>1.3.5</t>
  </si>
  <si>
    <t>1.3.6</t>
  </si>
  <si>
    <t>A3.3.1</t>
  </si>
  <si>
    <t>DE</t>
  </si>
  <si>
    <t>AE</t>
  </si>
  <si>
    <t>10.6.1</t>
  </si>
  <si>
    <t>12.10.5</t>
  </si>
  <si>
    <t>A3.5.1</t>
  </si>
  <si>
    <t>CM</t>
  </si>
  <si>
    <t>12.5.2</t>
  </si>
  <si>
    <t>12.5.5</t>
  </si>
  <si>
    <t>5.1.1</t>
  </si>
  <si>
    <t>5.1.2</t>
  </si>
  <si>
    <t>10.5.4</t>
  </si>
  <si>
    <t>12.8.4</t>
  </si>
  <si>
    <t>11.3.1</t>
  </si>
  <si>
    <t>11.3.2</t>
  </si>
  <si>
    <t>11.3.4</t>
  </si>
  <si>
    <t>DP</t>
  </si>
  <si>
    <t>10.6.2</t>
  </si>
  <si>
    <t>9.7.1</t>
  </si>
  <si>
    <t>RS</t>
  </si>
  <si>
    <t>10.8.1</t>
  </si>
  <si>
    <t>AN</t>
  </si>
  <si>
    <t>10.6.3</t>
  </si>
  <si>
    <t>11.1.2</t>
  </si>
  <si>
    <t>11.5.1</t>
  </si>
  <si>
    <t>12.10.3</t>
  </si>
  <si>
    <t>12.5.3</t>
  </si>
  <si>
    <t>A1.4</t>
  </si>
  <si>
    <t>A3.2.6.1</t>
  </si>
  <si>
    <t>A3.3.1.1</t>
  </si>
  <si>
    <t>A3.5</t>
  </si>
  <si>
    <t>CO</t>
  </si>
  <si>
    <t>12.10.4</t>
  </si>
  <si>
    <t>IM</t>
  </si>
  <si>
    <t>12.10.6</t>
  </si>
  <si>
    <t>MI</t>
  </si>
  <si>
    <t>11.3.3</t>
  </si>
  <si>
    <t>0</t>
  </si>
  <si>
    <t xml:space="preserve">Cybersecurity Program. </t>
  </si>
  <si>
    <t>500.02(a)</t>
  </si>
  <si>
    <t xml:space="preserve">Cybersecurity Program. Each Covered Entity shall maintain a cybersecurity program designed to protect the confidentiality, integrity and availability of the Covered Entity’s Information Systems.  </t>
  </si>
  <si>
    <t>500.02(b)</t>
  </si>
  <si>
    <t xml:space="preserve">The cybersecurity program shall be based on the Covered Entity’s Risk Assessment and designed to perform the following core cybersecurity functions: </t>
  </si>
  <si>
    <t xml:space="preserve">Cybersecurity Policy. </t>
  </si>
  <si>
    <t>500.03(a)</t>
  </si>
  <si>
    <t xml:space="preserve">information security; </t>
  </si>
  <si>
    <t>500.03(b)</t>
  </si>
  <si>
    <t xml:space="preserve">data governance and classification; </t>
  </si>
  <si>
    <t>500.03(c)</t>
  </si>
  <si>
    <t xml:space="preserve">asset inventory and device management; </t>
  </si>
  <si>
    <t>500.03(d)</t>
  </si>
  <si>
    <t xml:space="preserve">access controls and identity management; </t>
  </si>
  <si>
    <t>500.03(e)</t>
  </si>
  <si>
    <t xml:space="preserve">business continuity and disaster recovery planning and resources; </t>
  </si>
  <si>
    <t>500.03(f)</t>
  </si>
  <si>
    <t xml:space="preserve">systems operations and availability concerns; </t>
  </si>
  <si>
    <t>500.03(g)</t>
  </si>
  <si>
    <t xml:space="preserve">systems and network security; </t>
  </si>
  <si>
    <t>500.03(h)</t>
  </si>
  <si>
    <t xml:space="preserve">systems and network monitoring; </t>
  </si>
  <si>
    <t>500.03(i)</t>
  </si>
  <si>
    <t xml:space="preserve">systems and application development and quality assurance; </t>
  </si>
  <si>
    <t>500.03(j)</t>
  </si>
  <si>
    <t xml:space="preserve">physical security and environmental controls; </t>
  </si>
  <si>
    <t>500.03(k)</t>
  </si>
  <si>
    <t xml:space="preserve">customer data privacy; </t>
  </si>
  <si>
    <t>500.03(l)</t>
  </si>
  <si>
    <t xml:space="preserve">vendor and Third Party Service Provider management;  </t>
  </si>
  <si>
    <t>500.03(m)</t>
  </si>
  <si>
    <t xml:space="preserve">risk assessment; and </t>
  </si>
  <si>
    <t>500.03(n)</t>
  </si>
  <si>
    <t xml:space="preserve">incident response. </t>
  </si>
  <si>
    <t>500.03.0</t>
  </si>
  <si>
    <t xml:space="preserve">Cybersecurity Policy. Each Covered Entity shall implement and maintain a written policy or policies, approved by a Senior Officer or the Covered Entity’s board of directors (or an appropriate committee thereof) or equivalent governing body, setting forth the Covered Entity’s policies and procedures for the protection of its Information Systems and Nonpublic Information stored on those Information Systems. The cybersecurity policy shall be based on the Covered Entity’s Risk Assessment and address the following areas to the extent applicable to the Covered Entity’s operations: </t>
  </si>
  <si>
    <t xml:space="preserve">Chief Information Security Officer. </t>
  </si>
  <si>
    <t>500.04(a)</t>
  </si>
  <si>
    <t xml:space="preserve">Chief Information Security Officer.  Each Covered Entity shall designate a qualified individual responsible for overseeing and implementing the Covered Entity’s cybersecurity program and enforcing its cybersecurity policy (for purposes of this Part, “Chief Information Security Officer” or “CISO”).  The CISO may be employed by the Covered Entity, one of its Affiliates or a Third Party Service Provider. To the extent this requirement is met using a Third Party Service Provider or an Affiliate, the Covered Entity shall: </t>
  </si>
  <si>
    <t>500.04(a)(1)</t>
  </si>
  <si>
    <t xml:space="preserve">retain responsibility for compliance with this Part; </t>
  </si>
  <si>
    <t>500.04(a)(2)</t>
  </si>
  <si>
    <t xml:space="preserve">designate a senior member of the Covered Entity’s personnel responsible for direction and oversight of the Third Party Service Provider; and  </t>
  </si>
  <si>
    <t>500.04(a)(3)</t>
  </si>
  <si>
    <t xml:space="preserve">require the Third Party Service Provider to maintain a cybersecurity program that protects  the Covered Entity in accordance with the requirements of this Part. </t>
  </si>
  <si>
    <t xml:space="preserve">Exemptions. </t>
  </si>
  <si>
    <t xml:space="preserve">Effective Date. This Part will be effective March 1, 2017.  Covered Entities will be required to annually prepare and submit to the superintendent a Certification of Compliance with New York State Department of Financial Services Cybersecurity Regulations under 500.17(b) of this Part commencing February 15, 2018. </t>
  </si>
  <si>
    <t xml:space="preserve">Transitional Periods. </t>
  </si>
  <si>
    <t>500.02(c)</t>
  </si>
  <si>
    <t xml:space="preserve">A Covered Entity may meet the requirement(s) of this Part by adopting the relevant and applicable provisions of a cybersecurity program maintained by an Affiliate, provided that such provisions satisfy the requirements of this Part, as applicable to the Covered Entity.  </t>
  </si>
  <si>
    <t>500.18.0</t>
  </si>
  <si>
    <t xml:space="preserve">Confidentiality. Information provided by a Covered Entity pursuant to this Part is subject to exemptions from disclosure under the Banking Law, Insurance Law, Financial Services Law, Public Officers Law or any other applicable state or federal law. </t>
  </si>
  <si>
    <t>500.19(a)</t>
  </si>
  <si>
    <t xml:space="preserve">Limited Exemption. Each Covered Entity with:  </t>
  </si>
  <si>
    <t>500.19(a)(1)</t>
  </si>
  <si>
    <t xml:space="preserve">fewer than 10 employees, including any independent contractors, of the Covered Entity or its Affiliates located in New York or responsible for business of the Covered Entity, or </t>
  </si>
  <si>
    <t>500.19(a)(2)</t>
  </si>
  <si>
    <t xml:space="preserve">less than $5,000,000 in gross annual revenue in each of the last three fiscal years from New York business operations of the Covered Entity and its Affiliates, or </t>
  </si>
  <si>
    <t>500.19(a)(3)</t>
  </si>
  <si>
    <t>less than $10,000,000 in year-end total assets, calculated in accordance with generally accepted accounting principles, including assets of all Affiliates, shall be exempt from the requirements of sections 500.04, 500.05, 500.06, 500.08, 500.10, 500.12, 500.14, 500.15, and 500.16 of this Part.</t>
  </si>
  <si>
    <t>500.19(b)</t>
  </si>
  <si>
    <t xml:space="preserve">An employee, agent, representative or designee of a Covered Entity, who is itself a Covered Entity, is exempt from this Part and need not develop its own cybersecurity program to the extent that the employee, agent, representative or designee is covered by the cybersecurity program of the Covered Entity. </t>
  </si>
  <si>
    <t>500.19(c)</t>
  </si>
  <si>
    <t xml:space="preserve">A Covered Entity that does not directly or indirectly operate, maintain, utilize or control any Information Systems, and that does not, and is not required to, directly or indirectly control, own, access, generate, receive or possess Nonpublic Information shall be exempt from the requirements of sections 500.02, 500.03, 500.04, 500.05, 500.06, 500.07, 500.08, 500.10, 500.12, 500.14, 500.15, and 500.16 of this Part. </t>
  </si>
  <si>
    <t>500.19(d)</t>
  </si>
  <si>
    <t xml:space="preserve">A Covered Entity under Article 70 of the Insurance Law that does not and is not required to directly or indirectly control, own, access, generate, receive or possess Nonpublic Information other than information relating to its corporate parent company (or Affiliates) shall be exempt from the requirements of sections 500.02, 500.03, 500.04, 500.05, 500.06, 500.07, 500.08, 500.10, 500.12, 500.14, 500.15, and 500.16 of this Part. </t>
  </si>
  <si>
    <t>500.19(e)</t>
  </si>
  <si>
    <t>A Covered Entity that qualifies for any of the above exemptions pursuant to this shall file a Notice of Exemption in the form set forth as Appendix B within 30 days of the determination that the Covered Entity is exempt.</t>
  </si>
  <si>
    <t>500.19(f)</t>
  </si>
  <si>
    <t xml:space="preserve">The following Persons are exempt from the requirements of this Part, provided such Persons do not otherwise qualify as a Covered Entity for purposes of this Part: Persons subject to Insurance Law 1110; Persons subject to Insurance Law 5904; and any accredited reinsurer or certified reinsurer that has been accredited or certified pursuant to 11 NYCRR 125.    </t>
  </si>
  <si>
    <t>500.19(g)</t>
  </si>
  <si>
    <t xml:space="preserve">In the event that a Covered Entity, as of its most recent fiscal year end, ceases to qualify for an exemption, such Covered Entity shall have 180 days from such fiscal year end to comply with all applicable requirements of this Part. </t>
  </si>
  <si>
    <t>500.20.</t>
  </si>
  <si>
    <t>Enforcement. This regulation will be enforced by the superintendent pursuant to, and is not intended to limit, the superintendent’s authority under any applicable laws.</t>
  </si>
  <si>
    <t>500.22(a)</t>
  </si>
  <si>
    <t xml:space="preserve">Transitional Period. Covered Entities shall have 180 days from the effective date of this Part to comply with the requirements set forth in this Part, except as otherwise specified. </t>
  </si>
  <si>
    <t>500.22(b)</t>
  </si>
  <si>
    <t xml:space="preserve">The following provisions shall include additional transitional periods.  Covered Entities shall have: </t>
  </si>
  <si>
    <t>500.22(b)(1)</t>
  </si>
  <si>
    <t xml:space="preserve">One year from the effective date of this Part to comply with the requirements of sections 500.04(b), 500.05, 500.09, 500.12, and 500.14(b) of this Part. </t>
  </si>
  <si>
    <t>500.22(b)(2)</t>
  </si>
  <si>
    <t xml:space="preserve">Eighteen months from the effective date of this Part to comply with the requirements of sections 500.06, 500.08, 500.13, 500.14(a) and 500.15 of this Part. </t>
  </si>
  <si>
    <t>500.22(b)(3)</t>
  </si>
  <si>
    <t xml:space="preserve">Two years from the effective date of this Part to comply with the requirements of 500.11 of this Part. </t>
  </si>
  <si>
    <t>500.23.0</t>
  </si>
  <si>
    <t xml:space="preserve">Severability. If any provision of this Part or the application thereof to any Person or circumstance is adjudged invalid by a court of competent jurisdiction, such judgment shall not affect or impair the validity of the other provisions of this Part or the application thereof to other Persons or circumstances. </t>
  </si>
  <si>
    <t xml:space="preserve">Given the seriousness of the issue and the risk to all regulated entities, certain regulatory minimum standards are warranted, while not being overly prescriptive so that cybersecurity programs can match the relevant risks and keep pace with technological advances.  Accordingly, this regulation is designed to promote the protection of customer information as well as the information technology systems of regulated entities.  This regulation requires each company to assess its specific risk profile and design a program that addresses its risks in a robust fashion. Senior management must take this issue seriously and be responsible for the organization’s cybersecurity program and file an annual certification confirming compliance with these regulations.  A regulated entity’s cybersecurity program must ensure the safety and soundness of the institution and protect its customers.  </t>
  </si>
  <si>
    <t xml:space="preserve">Risk Assessment. </t>
  </si>
  <si>
    <t>500.09(a)</t>
  </si>
  <si>
    <t xml:space="preserve">Each Covered Entity shall conduct a periodic Risk Assessment of the Covered Entity’s Information Systems sufficient to inform the design of the cybersecurity program as required by this Part. Such Risk Assessment shall be updated as reasonably necessary to address changes to the Covered Entity’s Information Systems, Nonpublic Information or business operations.  The Covered Entity’s Risk Assessment shall allow for revision of controls to respond to technological developments and evolving threats and shall consider the particular risks of the Covered Entity’s business operations related to cybersecurity, Nonpublic Information collected or stored, Information Systems utilized and the availability and effectiveness of controls to protect Nonpublic Information and Information Systems.  </t>
  </si>
  <si>
    <t>500.09(b)</t>
  </si>
  <si>
    <t xml:space="preserve">The Risk Assessment shall be carried out in accordance with written policies and procedures and shall be documented.  Such policies and procedures shall include: </t>
  </si>
  <si>
    <t>500.09(b)(1)</t>
  </si>
  <si>
    <t xml:space="preserve">criteria for the evaluation and categorization of identified cybersecurity risks or threats facing the Covered Entity; </t>
  </si>
  <si>
    <t>500.09(b)(2)</t>
  </si>
  <si>
    <t xml:space="preserve">criteria for the assessment of the confidentiality, integrity, security and availability of the Covered Entity’s Information Systems and Nonpublic Information, including the adequacy of existing controls in the context of identified risks; and </t>
  </si>
  <si>
    <t>500.02(b)(1)</t>
  </si>
  <si>
    <t xml:space="preserve">identify and assess internal and external cybersecurity risks that may threaten the security or integrity of Nonpublic Information stored on the Covered Entity’s Information Systems; </t>
  </si>
  <si>
    <t>500.09(b)(3)</t>
  </si>
  <si>
    <t xml:space="preserve">requirements describing how identified risks will be mitigated or accepted based on the Risk Assessment and how the cybersecurity program will address the risks. </t>
  </si>
  <si>
    <t>500.04(b)</t>
  </si>
  <si>
    <t xml:space="preserve">Report. The CISO of each Covered Entity shall report in writing at least annually to the Covered Entity’s board of directors or equivalent governing body. If no such board of directors or equivalent governing body exists, such report shall be timely presented to a Senior Officer of the Covered Entity responsible for the Covered Entity’s cybersecurity program. The CISO shall report on the Covered Entity’s cybersecurity program and material cybersecurity risks. The CISO shall consider to the extent applicable:  </t>
  </si>
  <si>
    <t>500.04(b)(1)</t>
  </si>
  <si>
    <t xml:space="preserve">the confidentiality of Nonpublic Information and the integrity and security of the Covered Entity’s Information Systems;  </t>
  </si>
  <si>
    <t>500.04(b)(2)</t>
  </si>
  <si>
    <t xml:space="preserve">the Covered Entity’s cybersecurity policies and procedures; </t>
  </si>
  <si>
    <t>500.04(b)(3)</t>
  </si>
  <si>
    <t xml:space="preserve">material cybersecurity risks to the Covered Entity;  </t>
  </si>
  <si>
    <t>500.04(b)(4)</t>
  </si>
  <si>
    <t xml:space="preserve">overall effectiveness of the Covered Entity’s cybersecurity program; and </t>
  </si>
  <si>
    <t>500.04(b)(5)</t>
  </si>
  <si>
    <t>material Cybersecurity Events involving the Covered Entity during the time period addressed by the report.</t>
  </si>
  <si>
    <t>500.15(b)</t>
  </si>
  <si>
    <t xml:space="preserve">To the extent that a Covered Entity is utilizing compensating controls under (a) above, the feasibility of encryption and effectiveness of the compensating controls shall be reviewed by the CISO at least annually. </t>
  </si>
  <si>
    <t xml:space="preserve">Third Party Service Provider Security Policy.  </t>
  </si>
  <si>
    <t>500.11(a)</t>
  </si>
  <si>
    <t xml:space="preserve">Third Party Service Provider Policy. Each Covered Entity shall implement written policies and procedures designed to ensure the security of Information Systems and Nonpublic Information that are accessible to, or held by, Third Party Service Providers. Such policies and procedures shall be based on the Risk Assessment of the Covered Entity and shall address to the extent applicable: </t>
  </si>
  <si>
    <t>500.11(a)(1)</t>
  </si>
  <si>
    <t xml:space="preserve">the identification and risk assessment of Third Party Service Providers; </t>
  </si>
  <si>
    <t>500.11(a)(2)</t>
  </si>
  <si>
    <t xml:space="preserve">minimum cybersecurity practices required to be met by such Third Party Service Providers in order for them to do business with the Covered Entity;  </t>
  </si>
  <si>
    <t>500.11(b)</t>
  </si>
  <si>
    <t xml:space="preserve">Such policies and procedures shall include relevant guidelines for due diligence and/or contractual protections relating to Third Party Service Providers including to the extent applicable guidelines addressing:  </t>
  </si>
  <si>
    <t>500.11(b)(1)</t>
  </si>
  <si>
    <t xml:space="preserve">the Third Party Service Provider’s policies and procedures for access controls, including its use of Multi-Factor Authentication as required by 500.12 of this Part, to limit access to relevant Information Systems and Nonpublic Information;  </t>
  </si>
  <si>
    <t>500.11(b)(2)</t>
  </si>
  <si>
    <t xml:space="preserve">the Third Party Service Provider’s policies and procedures for use of encryption as required by 500.15 of this Part to protect Nonpublic Information in transit and at rest; </t>
  </si>
  <si>
    <t>500.11(b)(3)</t>
  </si>
  <si>
    <t xml:space="preserve">notice to be provided to the Covered Entity in the event of a Cybersecurity Event directly impacting the Covered Entity’s Information Systems or the Covered Entity’s Nonpublic Information being held by the Third Party Service Provider; and </t>
  </si>
  <si>
    <t>500.11(b)(4)</t>
  </si>
  <si>
    <t xml:space="preserve">representations and warranties addressing the Third Party Service Provider’s cybersecurity policies and procedures that relate to the security of the Covered Entity’s Information Systems or Nonpublic Information. </t>
  </si>
  <si>
    <t>500.11(c)</t>
  </si>
  <si>
    <t xml:space="preserve">Limited Exception. An agent, employee, representative or designee of a Covered Entity who is itself a Covered Entity need not develop its own Third Party Information Security Policy pursuant to this if the agent, employee, representative or designee follows the policy of the Covered Entity that is required to comply with this Part.   </t>
  </si>
  <si>
    <t>500.11(a)(3)</t>
  </si>
  <si>
    <t xml:space="preserve">due diligence processes used to evaluate the adequacy of cybersecurity practices of such Third Party Service Providers; and </t>
  </si>
  <si>
    <t>500.11(a)(4)</t>
  </si>
  <si>
    <t xml:space="preserve">periodic assessment of such Third Party Service Providers based on the risk they present and the continued adequacy of their cybersecurity practices. </t>
  </si>
  <si>
    <t xml:space="preserve">Access Privileges. As part of its cybersecurity program, based on the Covered Entity’s Risk Assessment each Covered Entity shall limit user access privileges to Information Systems that provide access to Nonpublic Information and shall periodically review such access privileges. </t>
  </si>
  <si>
    <t xml:space="preserve">Multi-Factor Authentication. </t>
  </si>
  <si>
    <t>500.12(a)</t>
  </si>
  <si>
    <t xml:space="preserve">Multi-Factor Authentication.  Based on its Risk Assessment, each Covered Entity shall use effective controls, which may include Multi-Factor Authentication or Risk-Based Authentication, to protect against unauthorized access to Nonpublic Information or Information Systems.   </t>
  </si>
  <si>
    <t>500.12(b)</t>
  </si>
  <si>
    <t xml:space="preserve">Multi-Factor Authentication shall be utilized for any individual accessing the Covered Entity’s internal networks from an external network, unless the Covered Entity’s CISO has approved in writing the use of reasonably equivalent or more secure access controls.   </t>
  </si>
  <si>
    <t xml:space="preserve">Training and Monitoring. As part of its cybersecurity program, each Covered Entity shall: </t>
  </si>
  <si>
    <t>500.14(a)</t>
  </si>
  <si>
    <t xml:space="preserve">implement risk-based policies, procedures and controls designed to monitor the activity of Authorized Users and detect unauthorized access or use of, or tampering with, Nonpublic Information by such Authorized Users; and </t>
  </si>
  <si>
    <t>500.14(b)</t>
  </si>
  <si>
    <t xml:space="preserve">provide regular cybersecurity awareness training for all personnel that is updated to reflect risks identified by the Covered Entity in its Risk Assessment.  </t>
  </si>
  <si>
    <t xml:space="preserve">Definitions. For purposes of this Part only, the following definitions shall apply: </t>
  </si>
  <si>
    <t>500.01(a)</t>
  </si>
  <si>
    <t xml:space="preserve">Affiliate means any Person that controls, is controlled by or is under common control with another Person. For purposes of this subsection, control means the possession, direct or indirect, of the power to direct or cause the direction of the management and policies of a Person, whether through the ownership of stock of such Person or otherwise. </t>
  </si>
  <si>
    <t>500.01(b)</t>
  </si>
  <si>
    <t xml:space="preserve">Authorized User means any employee, contractor, agent or other Person that participates in the business operations of a Covered Entity and is authorized to access and use any Information Systems and data of the Covered Entity. </t>
  </si>
  <si>
    <t>500.01(c)</t>
  </si>
  <si>
    <t xml:space="preserve">Covered Entity means any Person operating under or required to operate under a license, registration, charter, certificate, permit, accreditation or similar authorization under the Banking Law, the Insurance Law or the Financial Services Law.    </t>
  </si>
  <si>
    <t>500.01(d)</t>
  </si>
  <si>
    <t xml:space="preserve">Cybersecurity Event means any act or attempt, successful or unsuccessful, to gain unauthorized access to, disrupt or misuse an Information System or information stored on such Information System. </t>
  </si>
  <si>
    <t>500.01(e)</t>
  </si>
  <si>
    <t xml:space="preserve">Information System means a discrete set of electronic information resources organized for the collection, processing, maintenance, use, sharing, dissemination or disposition of electronic information, as well as any specialized system such as industrial/process controls systems, telephone switching and private branch exchange systems, and environmental control systems.  </t>
  </si>
  <si>
    <t>500.01(f)</t>
  </si>
  <si>
    <t xml:space="preserve">Multi-Factor Authentication means authentication through verification of at least two of the following types of authentication factors:  </t>
  </si>
  <si>
    <t>500.01(f)(1)</t>
  </si>
  <si>
    <t xml:space="preserve">Knowledge factors, such as a password; or </t>
  </si>
  <si>
    <t>500.01(f)(2)</t>
  </si>
  <si>
    <t xml:space="preserve">Possession factors, such as a token or text message on a mobile phone; or </t>
  </si>
  <si>
    <t>500.01(f)(3)</t>
  </si>
  <si>
    <t xml:space="preserve">Inherence factors, such as a biometric characteristic.  </t>
  </si>
  <si>
    <t>500.01(g)</t>
  </si>
  <si>
    <t xml:space="preserve">Nonpublic Information shall mean all electronic information that is not Publicly Available Information and is: </t>
  </si>
  <si>
    <t>500.01(g)(1)</t>
  </si>
  <si>
    <t xml:space="preserve">Business related information of a Covered Entity the tampering with which, or unauthorized disclosure, access or use of which, would cause a material adverse impact to the business, operations or security of the Covered Entity; </t>
  </si>
  <si>
    <t>500.01(g)(2)</t>
  </si>
  <si>
    <t xml:space="preserve">Any information concerning an individual which because of name, number, personal mark, or other identifier can be used to identify such individual, in combination with any one or more of the following data elements: (i) social security number, (ii) drivers’ license number or non-driver identification card number, (iii) account number, credit or debit card number, (iv) any security code, access code or password that would permit access to an individual’s financial account, or (v) biometric records;   </t>
  </si>
  <si>
    <t>500.01(g)(3)</t>
  </si>
  <si>
    <t xml:space="preserve">Any information or data, except age or gender, in any form or medium created by or derived from a health care provider or an individual and that relates to (i) the past, present or future physical, mental or behavioral health or condition of any individual or a member of the individual's family, (ii) the provision of health care to any individual, or (iii) payment for the provision of health care to any individual.  </t>
  </si>
  <si>
    <t>500.01(h)</t>
  </si>
  <si>
    <t xml:space="preserve">Penetration Testing means a test methodology in which assessors attempt to circumvent or defeat the security features of an Information System by attempting penetration of databases or controls from outside or inside the Covered Entity’s Information Systems. </t>
  </si>
  <si>
    <t>500.01(i)</t>
  </si>
  <si>
    <t xml:space="preserve">Person means any individual or any non-governmental entity, including but not limited to any nongovernmental partnership, corporation, branch, agency or association.  </t>
  </si>
  <si>
    <t>500.01(j)</t>
  </si>
  <si>
    <t xml:space="preserve">Publicly Available Information means any information that a Covered Entity has a reasonable basis to believe is lawfully made available to the general public from: federal, state or local government records; widely distributed media; or disclosures to the general public that are required to be made by federal, state or local law. </t>
  </si>
  <si>
    <t>500.01(j)(1)</t>
  </si>
  <si>
    <t xml:space="preserve">For the purposes of this subsection, a Covered Entity has a reasonable basis to believe that information is lawfully made available to the general public if the Covered Entity has taken steps to determine: </t>
  </si>
  <si>
    <t>500.01(j)(1)(i)</t>
  </si>
  <si>
    <t xml:space="preserve">That the information is of the type that is available to the general public; and </t>
  </si>
  <si>
    <t>500.01(j)(1)(ii)</t>
  </si>
  <si>
    <t xml:space="preserve">Whether an individual can direct that the information not be made available to the general public and, if so, that such individual has not done so. </t>
  </si>
  <si>
    <t>500.01(k)</t>
  </si>
  <si>
    <t xml:space="preserve">Risk Assessment means the risk assessment that each Covered Entity is required to conduct under 500.09 of this Part. </t>
  </si>
  <si>
    <t>500.01(l)</t>
  </si>
  <si>
    <t xml:space="preserve">Risk-Based Authentication means any risk-based system of authentication that detects anomalies or changes in the normal use patterns of a Person and requires additional verification of the Person’s identity when such deviations or changes are detected, such as through the use of challenge questions. </t>
  </si>
  <si>
    <t>500.01(m)</t>
  </si>
  <si>
    <t>Senior Officer(s) means the senior individual or individuals (acting collectively or as a committee) responsible for the management, operations, security, information systems, compliance and/or risk of a Covered Entity, including a branch or agency of a foreign banking organization subject to this Part.</t>
  </si>
  <si>
    <t>500.01(n)</t>
  </si>
  <si>
    <t xml:space="preserve">Third Party Service Provider(s) means a Person that (i) is not an Affiliate of the Covered Entity, (ii) provides services to the Covered Entity, and (iii) maintains, processes or otherwise is permitted access to Nonpublic Information through its provision of services to the Covered Entity. </t>
  </si>
  <si>
    <t>500.10(a)</t>
  </si>
  <si>
    <t>Cybersecurity Personnel and Intelligence.  In addition to the requirements set forth in 500.04(a) of this Part, each Covered Entity shall:</t>
  </si>
  <si>
    <t>500.10.</t>
  </si>
  <si>
    <t xml:space="preserve">Cybersecurity Personnel and Intelligence.  </t>
  </si>
  <si>
    <t>500.10(a)(2)</t>
  </si>
  <si>
    <t xml:space="preserve">provide cybersecurity personnel with cybersecurity updates and training sufficient to address relevant cybersecurity risks; and </t>
  </si>
  <si>
    <t>500.10(a)(3)</t>
  </si>
  <si>
    <t xml:space="preserve">verify that key cybersecurity personnel take steps to maintain current knowledge of changing cybersecurity threats and countermeasures. </t>
  </si>
  <si>
    <t xml:space="preserve">Encryption of Nonpublic Information. </t>
  </si>
  <si>
    <t>500.15(a)</t>
  </si>
  <si>
    <t xml:space="preserve">As part of its cybersecurity program, based on its Risk Assessment, each Covered Entity shall implement controls, including encryption, to protect Nonpublic Information held or transmitted by the Covered Entity both in transit over external networks and at rest. </t>
  </si>
  <si>
    <t>500.15(a)(2)</t>
  </si>
  <si>
    <t xml:space="preserve">To the extent a Covered Entity determines that encryption of Nonpublic Information at rest is infeasible, the Covered Entity may instead secure such Nonpublic Information using effective alternative compensating controls reviewed and approved by the Covered Entity’s CISO.  </t>
  </si>
  <si>
    <t>500.15(a)(1)</t>
  </si>
  <si>
    <t xml:space="preserve">To the extent a Covered Entity determines that encryption of Nonpublic Information in transit over external networks is infeasible, the Covered Entity may instead secure such Nonpublic Information using effective alternative compensating controls reviewed and approved by the Covered Entity’s CISO.    </t>
  </si>
  <si>
    <t>500.10(a)(1)</t>
  </si>
  <si>
    <t xml:space="preserve">utilize qualified cybersecurity personnel of the Covered Entity, an Affiliate or a Third Party Service Provider sufficient to manage the Covered Entity’s cybersecurity risks and to perform or oversee the performance of the core cybersecurity functions specified in 500.02(b)(1)-(6) of this Part;  </t>
  </si>
  <si>
    <t>500.10(b)</t>
  </si>
  <si>
    <t xml:space="preserve">A Covered Entity may choose to utilize an Affiliate or qualified Third Party Service Provider to assist in complying with the requirements set forth in this Part, subject to the requirements set forth in 500.11 of this Part.   </t>
  </si>
  <si>
    <t xml:space="preserve">Application Security. </t>
  </si>
  <si>
    <t>500.08(a)</t>
  </si>
  <si>
    <t xml:space="preserve">Each Covered Entity’s cybersecurity program shall include written procedures, guidelines and standards designed to ensure the use of secure development practices for in-house developed applications utilized by the Covered Entity, and procedures for evaluating, assessing or testing the security of externally developed applications utilized by the Covered Entity within the context of the Covered Entity’s technology environment.  </t>
  </si>
  <si>
    <t xml:space="preserve">Limitations on Data Retention. As part of its cybersecurity program, each Covered Entity shall include policies and procedures for the secure disposal on a periodic basis of any Nonpublic Information identified in 500.01(g)(2)-(3) of this Part that is no longer necessary for business operations or for other legitimate business purposes of the Covered Entity, except where such information is otherwise required to be retained by law or regulation, or where targeted disposal is not reasonably feasible due to the manner in which the information is maintained. </t>
  </si>
  <si>
    <t>500.08(b)</t>
  </si>
  <si>
    <t xml:space="preserve">All such procedures, guidelines and standards shall be periodically reviewed, assessed and updated as necessary by the CISO (or a qualified designee) of the Covered Entity. </t>
  </si>
  <si>
    <t xml:space="preserve">Notices to Superintendent. </t>
  </si>
  <si>
    <t>500.02(d)</t>
  </si>
  <si>
    <t xml:space="preserve">All documentation and information relevant to the Covered Entity’s cybersecurity program shall be made available to the superintendent upon request. </t>
  </si>
  <si>
    <t>500.17(a)</t>
  </si>
  <si>
    <t xml:space="preserve">Notice of Cybersecurity Event. Each Covered Entity shall notify the superintendent as promptly as possible but in no event later than 72 hours from a determination that a Cybersecurity Event has occurred that is either of the following: </t>
  </si>
  <si>
    <t>500.17(a)(1)</t>
  </si>
  <si>
    <t xml:space="preserve">Cybersecurity Events impacting the Covered Entity of which notice is required to be provided to any government body, self-regulatory agency or any other supervisory body; or </t>
  </si>
  <si>
    <t>500.17(a)(2)</t>
  </si>
  <si>
    <t xml:space="preserve">Cybersecurity Events that have a reasonable likelihood of materially harming any material part of the normal operation(s) of the Covered Entity. </t>
  </si>
  <si>
    <t>500.17(b)</t>
  </si>
  <si>
    <t xml:space="preserve">Annually each Covered Entity shall submit to the superintendent a written statement covering the prior calendar year.  This statement shall be submitted by February 15 in such form set forth as Appendix A, certifying that the Covered Entity is in compliance with the requirements set forth in this Part. Each Covered Entity shall maintain for examination by the Department all records, schedules and data supporting this certificate for a period of five years. To the extent a Covered Entity has identified areas, systems or processes that require material improvement, updating or redesign, the Covered Entity shall document the identification and the remedial efforts planned and underway to address such areas, systems or processes. Such documentation must be available for inspection by the superintendent. </t>
  </si>
  <si>
    <t>500.02(b)(2)</t>
  </si>
  <si>
    <t xml:space="preserve">use defensive infrastructure and the implementation of policies and procedures to protect the Covered Entity’s Information Systems, and the Nonpublic Information stored on those Information Systems, from unauthorized access, use or other malicious acts; </t>
  </si>
  <si>
    <t xml:space="preserve">Incident Response Plan. </t>
  </si>
  <si>
    <t>500.16(a)</t>
  </si>
  <si>
    <t xml:space="preserve">As part of its cybersecurity program, each Covered Entity shall establish a written incident response plan designed to promptly respond to, and recover from, any Cybersecurity Event materially affecting the confidentiality, integrity or availability of the Covered Entity’s Information Systems or the continuing functionality of any aspect of the Covered Entity’s business or operations.  </t>
  </si>
  <si>
    <t>500.16(b)</t>
  </si>
  <si>
    <t xml:space="preserve">Such incident response plan shall address the following areas: </t>
  </si>
  <si>
    <t>500.16(b)(1)</t>
  </si>
  <si>
    <t xml:space="preserve">the internal processes for responding to a Cybersecurity Event; </t>
  </si>
  <si>
    <t>500.16(b)(2)</t>
  </si>
  <si>
    <t xml:space="preserve">the goals of the incident response plan; </t>
  </si>
  <si>
    <t>500.16(b)(3)</t>
  </si>
  <si>
    <t xml:space="preserve">the definition of clear roles, responsibilities and levels of decision-making authority; </t>
  </si>
  <si>
    <t>500.16(b)(4)</t>
  </si>
  <si>
    <t xml:space="preserve">external and internal communications and information sharing; </t>
  </si>
  <si>
    <t>500.16(b)(5)</t>
  </si>
  <si>
    <t xml:space="preserve">identification of requirements for the remediation of any identified weaknesses in Information Systems and associated controls; </t>
  </si>
  <si>
    <t>500.16(b)(6)</t>
  </si>
  <si>
    <t xml:space="preserve">documentation and reporting regarding Cybersecurity Events and related incident response activities; and </t>
  </si>
  <si>
    <t>500.16(b)(7)</t>
  </si>
  <si>
    <t xml:space="preserve">the evaluation and revision as necessary of the incident response plan following a Cybersecurity Event. </t>
  </si>
  <si>
    <t xml:space="preserve">Audit Trail. </t>
  </si>
  <si>
    <t>500.06(a)</t>
  </si>
  <si>
    <t xml:space="preserve">Each Covered Entity shall securely maintain systems that, to the extent applicable and based on its Risk Assessment: </t>
  </si>
  <si>
    <t>500.06(a)(1)</t>
  </si>
  <si>
    <t xml:space="preserve">are designed to reconstruct material financial transactions sufficient to support normal operations and obligations of the Covered Entity; and </t>
  </si>
  <si>
    <t>500.06(a)(2)</t>
  </si>
  <si>
    <t xml:space="preserve">include audit trails designed to detect and respond to Cybersecurity Events that have a reasonable likelihood of materially harming any material part of the normal operations of the Covered Entity. </t>
  </si>
  <si>
    <t>500.06(a)(b)</t>
  </si>
  <si>
    <t xml:space="preserve">Each Covered Entity shall maintain records required by 500.06(a)(1) of this Part for not fewer than five years and shall maintain records required by 500.06(a)(2) of this Part for not fewer than three years. </t>
  </si>
  <si>
    <t>500.02(b)(3)</t>
  </si>
  <si>
    <t xml:space="preserve">detect Cybersecurity Events;  </t>
  </si>
  <si>
    <t xml:space="preserve">Penetration Testing and Vulnerability Assessments. </t>
  </si>
  <si>
    <t>500.05(a)</t>
  </si>
  <si>
    <t xml:space="preserve">annual Penetration Testing of the Covered Entity’s Information Systems determined each given year based on relevant identified risks in accordance with the Risk Assessment; and </t>
  </si>
  <si>
    <t>500.05(b)</t>
  </si>
  <si>
    <t xml:space="preserve">bi-annual vulnerability assessments, including any systematic scans or reviews of Information Systems reasonably designed to identify publicly known cybersecurity vulnerabilities in the Covered Entity’s Information Systems based on the Risk Assessment. </t>
  </si>
  <si>
    <t>500.05.0</t>
  </si>
  <si>
    <t xml:space="preserve">The cybersecurity program for each Covered Entity shall include monitoring and testing, developed in accordance with the Covered Entity’s Risk Assessment, designed to assess the effectiveness of the Covered Entity’s cybersecurity program.  The monitoring and testing shall include continuous monitoring or periodic Penetration Testing and vulnerability assessments.  Absent effective continuous monitoring, or other systems to detect, on an ongoing basis, changes in Information Systems that may create or indicate vulnerabilities, Covered Entities shall conduct: </t>
  </si>
  <si>
    <t>500.02(b)(6)</t>
  </si>
  <si>
    <t xml:space="preserve">fulfill applicable regulatory reporting obligations. </t>
  </si>
  <si>
    <t>500.02(b)(4)</t>
  </si>
  <si>
    <t xml:space="preserve">respond to identified or detected Cybersecurity Events to mitigate any negative effects; </t>
  </si>
  <si>
    <t>RC</t>
  </si>
  <si>
    <t>RP</t>
  </si>
  <si>
    <t>500.02(b)(5)</t>
  </si>
  <si>
    <t xml:space="preserve">recover from Cybersecurity Events and restore normal operations and services; and  </t>
  </si>
  <si>
    <t>AC-11</t>
  </si>
  <si>
    <t>Device Lock</t>
  </si>
  <si>
    <t>AC-12(2)</t>
  </si>
  <si>
    <t>AC-12(3)</t>
  </si>
  <si>
    <t>AC-16(5)</t>
  </si>
  <si>
    <t>AC-17(10)</t>
  </si>
  <si>
    <t>AC-20(5)</t>
  </si>
  <si>
    <t>AC-3(11)</t>
  </si>
  <si>
    <t>AC-3(12)</t>
  </si>
  <si>
    <t>AC-3(13)</t>
  </si>
  <si>
    <t>AC-3(14)</t>
  </si>
  <si>
    <t>AC-3(15)</t>
  </si>
  <si>
    <t>AC-4(23)</t>
  </si>
  <si>
    <t>AC-4(24)</t>
  </si>
  <si>
    <t>AC-4(25)</t>
  </si>
  <si>
    <t>AC-4(26)</t>
  </si>
  <si>
    <t>AC-4(27)</t>
  </si>
  <si>
    <t>AC-4(28)</t>
  </si>
  <si>
    <t>AC-4(29)</t>
  </si>
  <si>
    <t>AC-4(30)</t>
  </si>
  <si>
    <t>AC-4(31)</t>
  </si>
  <si>
    <t>AC-4(32)</t>
  </si>
  <si>
    <t>AC-7(3)</t>
  </si>
  <si>
    <t>AC-7(4)</t>
  </si>
  <si>
    <t>AT-2(3)</t>
  </si>
  <si>
    <t>AT-2(4)</t>
  </si>
  <si>
    <t>AT-3(5)</t>
  </si>
  <si>
    <t>AU-12(4)</t>
  </si>
  <si>
    <t>AU-13(3)</t>
  </si>
  <si>
    <t>AU-16(3)</t>
  </si>
  <si>
    <t>AU-2</t>
  </si>
  <si>
    <t>Event Logging</t>
  </si>
  <si>
    <t>AU-3(3)</t>
  </si>
  <si>
    <t>AU-5(5)</t>
  </si>
  <si>
    <t>AU-6(4)</t>
  </si>
  <si>
    <t>AU-9(7)</t>
  </si>
  <si>
    <t>CA-1</t>
  </si>
  <si>
    <t>Policy and Procedures</t>
  </si>
  <si>
    <t>CA-3(6)</t>
  </si>
  <si>
    <t>CA-3(7)</t>
  </si>
  <si>
    <t>CA-6</t>
  </si>
  <si>
    <t>Authorization</t>
  </si>
  <si>
    <t>CA-6(1)</t>
  </si>
  <si>
    <t>CA-7(4)</t>
  </si>
  <si>
    <t>CA-7(5)</t>
  </si>
  <si>
    <t>CA-8(3)</t>
  </si>
  <si>
    <t>CM-12</t>
  </si>
  <si>
    <t>Information Location</t>
  </si>
  <si>
    <t>CM-12(1)</t>
  </si>
  <si>
    <t>CM-13</t>
  </si>
  <si>
    <t>Data Action Mapping</t>
  </si>
  <si>
    <t>CM-3(7)</t>
  </si>
  <si>
    <t>CM-3(8)</t>
  </si>
  <si>
    <t>CM-7(6)</t>
  </si>
  <si>
    <t>CM-7(7)</t>
  </si>
  <si>
    <t>CM-7(8)</t>
  </si>
  <si>
    <t>CP-9(8)</t>
  </si>
  <si>
    <t>IA-12</t>
  </si>
  <si>
    <t>Identity Proofing</t>
  </si>
  <si>
    <t>IA-12(1)</t>
  </si>
  <si>
    <t>IA-12(2)</t>
  </si>
  <si>
    <t>IA-12(3)</t>
  </si>
  <si>
    <t>IA-12(4)</t>
  </si>
  <si>
    <t>IA-12(5)</t>
  </si>
  <si>
    <t>IA-12(6)</t>
  </si>
  <si>
    <t>IA-4(8)</t>
  </si>
  <si>
    <t>IA-4(9)</t>
  </si>
  <si>
    <t>IA-5(16)</t>
  </si>
  <si>
    <t>IA-5(17)</t>
  </si>
  <si>
    <t>IA-5(18)</t>
  </si>
  <si>
    <t>IA-5(2)</t>
  </si>
  <si>
    <t>IA-8(6)</t>
  </si>
  <si>
    <t>IR-3(3)</t>
  </si>
  <si>
    <t>IR-4(11)</t>
  </si>
  <si>
    <t>IR-4(12)</t>
  </si>
  <si>
    <t>IR-4(13)</t>
  </si>
  <si>
    <t>IR-4(15)</t>
  </si>
  <si>
    <t>IR-8(1)</t>
  </si>
  <si>
    <t>MA-3(5)</t>
  </si>
  <si>
    <t>MA-3(6)</t>
  </si>
  <si>
    <t>MA-7</t>
  </si>
  <si>
    <t>Field Maintenance</t>
  </si>
  <si>
    <t>PE-21</t>
  </si>
  <si>
    <t>Electromagnetic Pulse Protection</t>
  </si>
  <si>
    <t>PE-22</t>
  </si>
  <si>
    <t>Component Marking</t>
  </si>
  <si>
    <t>PE-23</t>
  </si>
  <si>
    <t>Facility Location</t>
  </si>
  <si>
    <t>PE-3(7)</t>
  </si>
  <si>
    <t>PE-3(8)</t>
  </si>
  <si>
    <t>PL-10</t>
  </si>
  <si>
    <t>Baseline Selection</t>
  </si>
  <si>
    <t>PL-11</t>
  </si>
  <si>
    <t>Baseline Tailoring</t>
  </si>
  <si>
    <t>PM-17</t>
  </si>
  <si>
    <t>Protecting Controlled Unclassified Information on External Systems</t>
  </si>
  <si>
    <t>PM-18</t>
  </si>
  <si>
    <t>Privacy Program Plan</t>
  </si>
  <si>
    <t>PM-19</t>
  </si>
  <si>
    <t>Privacy Program Leadership Role</t>
  </si>
  <si>
    <t>PM-22</t>
  </si>
  <si>
    <t>Personally Identifiable Information Quality Management</t>
  </si>
  <si>
    <t>PM-23</t>
  </si>
  <si>
    <t>Data Governance Body</t>
  </si>
  <si>
    <t>PM-28</t>
  </si>
  <si>
    <t>Risk Framing</t>
  </si>
  <si>
    <t>PM-29</t>
  </si>
  <si>
    <t>Risk Management Program Leadership Roles</t>
  </si>
  <si>
    <t>PM-30</t>
  </si>
  <si>
    <t>Supply Chain Risk Management Strategy</t>
  </si>
  <si>
    <t>PM-32</t>
  </si>
  <si>
    <t>Purposing</t>
  </si>
  <si>
    <t>PM-5(1)</t>
  </si>
  <si>
    <t>PM-7(1)</t>
  </si>
  <si>
    <t>PS-3(4)</t>
  </si>
  <si>
    <t>PT-1</t>
  </si>
  <si>
    <t>Authority to Process Personally Identifiable Information</t>
  </si>
  <si>
    <t>PT-2(1)</t>
  </si>
  <si>
    <t>PT-2(2)</t>
  </si>
  <si>
    <t>PT-3</t>
  </si>
  <si>
    <t>Personally Identifiable Information Processing Purposes</t>
  </si>
  <si>
    <t>PT-3(1)</t>
  </si>
  <si>
    <t>PT-3(2)</t>
  </si>
  <si>
    <t>PT-5(1)</t>
  </si>
  <si>
    <t>PT-5(2)</t>
  </si>
  <si>
    <t>PT-6(1)</t>
  </si>
  <si>
    <t>PT-6(2)</t>
  </si>
  <si>
    <t>PT-7</t>
  </si>
  <si>
    <t>System of Records Notice</t>
  </si>
  <si>
    <t>PT-7(1)</t>
  </si>
  <si>
    <t>PT-7(2)</t>
  </si>
  <si>
    <t>PT-8</t>
  </si>
  <si>
    <t>Computer Matching Requirements</t>
  </si>
  <si>
    <t>RA-10</t>
  </si>
  <si>
    <t>Threat Hunting</t>
  </si>
  <si>
    <t>RA-2(1)</t>
  </si>
  <si>
    <t>RA-3(1)</t>
  </si>
  <si>
    <t>RA-3(2)</t>
  </si>
  <si>
    <t>RA-3(3)</t>
  </si>
  <si>
    <t>RA-3(4)</t>
  </si>
  <si>
    <t>RA-5(11)</t>
  </si>
  <si>
    <t>RA-7</t>
  </si>
  <si>
    <t>Risk Response</t>
  </si>
  <si>
    <t>RA-8</t>
  </si>
  <si>
    <t>Privacy Impact Assessments</t>
  </si>
  <si>
    <t>RA-9</t>
  </si>
  <si>
    <t>Criticality Analysis</t>
  </si>
  <si>
    <t>SA-11(9)</t>
  </si>
  <si>
    <t>SA-15(12)</t>
  </si>
  <si>
    <t>SA-17(8)</t>
  </si>
  <si>
    <t>SA-17(9)</t>
  </si>
  <si>
    <t>SA-23</t>
  </si>
  <si>
    <t>Specialization</t>
  </si>
  <si>
    <t>SA-3(1)</t>
  </si>
  <si>
    <t>SA-3(2)</t>
  </si>
  <si>
    <t>SA-3(3)</t>
  </si>
  <si>
    <t>SA-4(11)</t>
  </si>
  <si>
    <t>SA-4(12)</t>
  </si>
  <si>
    <t>Software Usage Restrictions</t>
  </si>
  <si>
    <t>SA-8(1)</t>
  </si>
  <si>
    <t>SA-8(10)</t>
  </si>
  <si>
    <t>SA-8(11)</t>
  </si>
  <si>
    <t>SA-8(12)</t>
  </si>
  <si>
    <t>SA-8(13)</t>
  </si>
  <si>
    <t>SA-8(14)</t>
  </si>
  <si>
    <t>SA-8(15)</t>
  </si>
  <si>
    <t>SA-8(16)</t>
  </si>
  <si>
    <t>SA-8(17)</t>
  </si>
  <si>
    <t>SA-8(18)</t>
  </si>
  <si>
    <t>SA-8(19)</t>
  </si>
  <si>
    <t>SA-8(2)</t>
  </si>
  <si>
    <t>SA-8(20)</t>
  </si>
  <si>
    <t>SA-8(21)</t>
  </si>
  <si>
    <t>SA-8(22)</t>
  </si>
  <si>
    <t>SA-8(23)</t>
  </si>
  <si>
    <t>SA-8(24)</t>
  </si>
  <si>
    <t>SA-8(25)</t>
  </si>
  <si>
    <t>SA-8(26)</t>
  </si>
  <si>
    <t>SA-8(27)</t>
  </si>
  <si>
    <t>SA-8(28)</t>
  </si>
  <si>
    <t>SA-8(29)</t>
  </si>
  <si>
    <t>SA-8(3)</t>
  </si>
  <si>
    <t>SA-8(30)</t>
  </si>
  <si>
    <t>SA-8(31)</t>
  </si>
  <si>
    <t>SA-8(32)</t>
  </si>
  <si>
    <t>SA-8(4)</t>
  </si>
  <si>
    <t>SA-8(5)</t>
  </si>
  <si>
    <t>SA-8(6)</t>
  </si>
  <si>
    <t>SA-8(7)</t>
  </si>
  <si>
    <t>SA-8(8)</t>
  </si>
  <si>
    <t>SA-8(9)</t>
  </si>
  <si>
    <t>SA-9(6)</t>
  </si>
  <si>
    <t>SA-9(7)</t>
  </si>
  <si>
    <t>SA-9(8)</t>
  </si>
  <si>
    <t>SC-12(6)</t>
  </si>
  <si>
    <t>SC-16(2)</t>
  </si>
  <si>
    <t>SC-2</t>
  </si>
  <si>
    <t>Separation of System and User Functionality</t>
  </si>
  <si>
    <t>SC-2(2)</t>
  </si>
  <si>
    <t>SC-26</t>
  </si>
  <si>
    <t>Decoys</t>
  </si>
  <si>
    <t>SC-28(3)</t>
  </si>
  <si>
    <t>SC-32(1)</t>
  </si>
  <si>
    <t>SC-35</t>
  </si>
  <si>
    <t>External Malicious Code Identification</t>
  </si>
  <si>
    <t>SC-36(2)</t>
  </si>
  <si>
    <t>SC-42(4)</t>
  </si>
  <si>
    <t>SC-42(5)</t>
  </si>
  <si>
    <t>SC-45</t>
  </si>
  <si>
    <t>System Time Synchronization</t>
  </si>
  <si>
    <t>SC-46</t>
  </si>
  <si>
    <t>Cross Domain Policy Enforcement</t>
  </si>
  <si>
    <t>SC-47</t>
  </si>
  <si>
    <t>SC-48</t>
  </si>
  <si>
    <t>Sensor Relocation</t>
  </si>
  <si>
    <t>SC-48(1)</t>
  </si>
  <si>
    <t>SC-49</t>
  </si>
  <si>
    <t>SC-50</t>
  </si>
  <si>
    <t>SC-51</t>
  </si>
  <si>
    <t>SC-7(24)</t>
  </si>
  <si>
    <t>SC-7(25)</t>
  </si>
  <si>
    <t>SC-7(26)</t>
  </si>
  <si>
    <t>SC-7(27)</t>
  </si>
  <si>
    <t>SC-7(28)</t>
  </si>
  <si>
    <t>SC-7(29)</t>
  </si>
  <si>
    <t>SC-8(5)</t>
  </si>
  <si>
    <t>SI-10(6)</t>
  </si>
  <si>
    <t>SI-12(1)</t>
  </si>
  <si>
    <t>SI-12(2)</t>
  </si>
  <si>
    <t>SI-12(3)</t>
  </si>
  <si>
    <t>SI-14(2)</t>
  </si>
  <si>
    <t>SI-14(3)</t>
  </si>
  <si>
    <t>SI-18</t>
  </si>
  <si>
    <t>Personally Identifiable Information Quality Operations</t>
  </si>
  <si>
    <t>SI-18(1)</t>
  </si>
  <si>
    <t>SI-18(2)</t>
  </si>
  <si>
    <t>SI-18(3)</t>
  </si>
  <si>
    <t>SI-18(4)</t>
  </si>
  <si>
    <t>SI-18(5)</t>
  </si>
  <si>
    <t>SI-19</t>
  </si>
  <si>
    <t>SI-19(1)</t>
  </si>
  <si>
    <t>SI-19(2)</t>
  </si>
  <si>
    <t>SI-19(3)</t>
  </si>
  <si>
    <t>SI-19(4)</t>
  </si>
  <si>
    <t>SI-19(5)</t>
  </si>
  <si>
    <t>SI-19(6)</t>
  </si>
  <si>
    <t>SI-19(7)</t>
  </si>
  <si>
    <t>SI-19(8)</t>
  </si>
  <si>
    <t>SI-2(4)</t>
  </si>
  <si>
    <t>SI-20</t>
  </si>
  <si>
    <t>Tainting</t>
  </si>
  <si>
    <t>SI-21</t>
  </si>
  <si>
    <t>Information Refresh</t>
  </si>
  <si>
    <t>SI-22</t>
  </si>
  <si>
    <t>Information Diversity</t>
  </si>
  <si>
    <t>SI-23</t>
  </si>
  <si>
    <t>Information Fragmentation</t>
  </si>
  <si>
    <t>SI-4(25)</t>
  </si>
  <si>
    <t>SI-7(17)</t>
  </si>
  <si>
    <t>SR-1</t>
  </si>
  <si>
    <t>SR-10</t>
  </si>
  <si>
    <t>Inspection of Systems or Components</t>
  </si>
  <si>
    <t>SR-11</t>
  </si>
  <si>
    <t>Component Authenticity</t>
  </si>
  <si>
    <t>SR-11(1)</t>
  </si>
  <si>
    <t>SR-11(2)</t>
  </si>
  <si>
    <t>SR-11(3)</t>
  </si>
  <si>
    <t>SR-2</t>
  </si>
  <si>
    <t>Supply Chain Risk Management Plan</t>
  </si>
  <si>
    <t>SR-2(1)</t>
  </si>
  <si>
    <t>SR-3</t>
  </si>
  <si>
    <t>Supply Chain Controls and Processes</t>
  </si>
  <si>
    <t>SR-3(1)</t>
  </si>
  <si>
    <t>SR-3(2)</t>
  </si>
  <si>
    <t>SR-4</t>
  </si>
  <si>
    <t>Provenance</t>
  </si>
  <si>
    <t>SR-4(1)</t>
  </si>
  <si>
    <t>SR-4(2)</t>
  </si>
  <si>
    <t>SR-4(3)</t>
  </si>
  <si>
    <t>SR-5</t>
  </si>
  <si>
    <t>Acquisition Strategies, Tools, and Methods</t>
  </si>
  <si>
    <t>SR-5(1)</t>
  </si>
  <si>
    <t>SR-5(2)</t>
  </si>
  <si>
    <t>SR-6</t>
  </si>
  <si>
    <t>SR-6(1)</t>
  </si>
  <si>
    <t>SR-7</t>
  </si>
  <si>
    <t>Supply Chain Operations Security</t>
  </si>
  <si>
    <t>SR-8</t>
  </si>
  <si>
    <t>Notification Agreements</t>
  </si>
  <si>
    <t>SR-9</t>
  </si>
  <si>
    <t>Tamper Resistance and Detection</t>
  </si>
  <si>
    <t>SR-9(1)</t>
  </si>
  <si>
    <t>CM-8</t>
  </si>
  <si>
    <t>System Component Inventory</t>
  </si>
  <si>
    <t>CM-8(2)</t>
  </si>
  <si>
    <t>CM-8(7)</t>
  </si>
  <si>
    <t>CM-8(9)</t>
  </si>
  <si>
    <t>PM-5</t>
  </si>
  <si>
    <t>System Inventory</t>
  </si>
  <si>
    <t>CM-8(1)</t>
  </si>
  <si>
    <t>AC-4(17)</t>
  </si>
  <si>
    <t>AC-4(9)</t>
  </si>
  <si>
    <t>CA-9</t>
  </si>
  <si>
    <t>Internal System Connections</t>
  </si>
  <si>
    <t>SA-12(14)</t>
  </si>
  <si>
    <t>AC-16</t>
  </si>
  <si>
    <t>Security and Privacy Attributes</t>
  </si>
  <si>
    <t>AC-16(3)</t>
  </si>
  <si>
    <t>AC-16(6)</t>
  </si>
  <si>
    <t>AC-16(8)</t>
  </si>
  <si>
    <t>AC-19(4)</t>
  </si>
  <si>
    <t>AC-21</t>
  </si>
  <si>
    <t>Information Sharing</t>
  </si>
  <si>
    <t>AC-22</t>
  </si>
  <si>
    <t>Publicly Accessible Content</t>
  </si>
  <si>
    <t>AC-4(18)</t>
  </si>
  <si>
    <t>CP-2(8)</t>
  </si>
  <si>
    <t>RA-2</t>
  </si>
  <si>
    <t>Security Categorization</t>
  </si>
  <si>
    <t>SA-2</t>
  </si>
  <si>
    <t>Allocation of Resources</t>
  </si>
  <si>
    <t>SC-25</t>
  </si>
  <si>
    <t>Thin Nodes</t>
  </si>
  <si>
    <t>CM-8(4)</t>
  </si>
  <si>
    <t>CP-2(4)</t>
  </si>
  <si>
    <t>CP-2(7)</t>
  </si>
  <si>
    <t>PL-8</t>
  </si>
  <si>
    <t>Security and Privacy Architectures</t>
  </si>
  <si>
    <t>PM-8</t>
  </si>
  <si>
    <t>Critical Infrastructure Plan</t>
  </si>
  <si>
    <t>CP-2(1)</t>
  </si>
  <si>
    <t>PM-11</t>
  </si>
  <si>
    <t>Mission and Business Process Definition</t>
  </si>
  <si>
    <t>CP-8</t>
  </si>
  <si>
    <t>Telecommunications Services</t>
  </si>
  <si>
    <t>PE-11</t>
  </si>
  <si>
    <t>Emergency Power</t>
  </si>
  <si>
    <t>PE-11(1)</t>
  </si>
  <si>
    <t>PE-11(2)</t>
  </si>
  <si>
    <t>PE-9</t>
  </si>
  <si>
    <t>Power Equipment and Cabling</t>
  </si>
  <si>
    <t>PE-9(2)</t>
  </si>
  <si>
    <t>SA-14</t>
  </si>
  <si>
    <t>PL-8(1)</t>
  </si>
  <si>
    <t>SC-15</t>
  </si>
  <si>
    <t>Collaborative Computing Devices and Applications</t>
  </si>
  <si>
    <t>CP-11</t>
  </si>
  <si>
    <t>Alternate Communications Protocols</t>
  </si>
  <si>
    <t>CP-2</t>
  </si>
  <si>
    <t>Contingency Plan</t>
  </si>
  <si>
    <t>CP-2(2)</t>
  </si>
  <si>
    <t>CP-2(3)</t>
  </si>
  <si>
    <t>CP-2(5)</t>
  </si>
  <si>
    <t>CP-2(6)</t>
  </si>
  <si>
    <t>PE-9(1)</t>
  </si>
  <si>
    <t>PL-8(2)</t>
  </si>
  <si>
    <t>SA-12(13)</t>
  </si>
  <si>
    <t>SC-29</t>
  </si>
  <si>
    <t>Heterogeneity</t>
  </si>
  <si>
    <t>SC-29(1)</t>
  </si>
  <si>
    <t>SC-24</t>
  </si>
  <si>
    <t>Fail in Known State</t>
  </si>
  <si>
    <t>AC-1</t>
  </si>
  <si>
    <t>AT-1</t>
  </si>
  <si>
    <t>AU-1</t>
  </si>
  <si>
    <t>CM-1</t>
  </si>
  <si>
    <t>IA-1</t>
  </si>
  <si>
    <t>MA-1</t>
  </si>
  <si>
    <t>MP-1</t>
  </si>
  <si>
    <t>PE-1</t>
  </si>
  <si>
    <t>PL-1</t>
  </si>
  <si>
    <t>PM-1</t>
  </si>
  <si>
    <t>Information Security Program Plan</t>
  </si>
  <si>
    <t>PM-20</t>
  </si>
  <si>
    <t>Dissemination of Privacy Program Information</t>
  </si>
  <si>
    <t>PM-21</t>
  </si>
  <si>
    <t>Accounting of Disclosures</t>
  </si>
  <si>
    <t>PM-24</t>
  </si>
  <si>
    <t>Data Integrity Board</t>
  </si>
  <si>
    <t>PM-25</t>
  </si>
  <si>
    <t>PM-26</t>
  </si>
  <si>
    <t>Complaint Management</t>
  </si>
  <si>
    <t>PM-27</t>
  </si>
  <si>
    <t>Privacy Reporting</t>
  </si>
  <si>
    <t>PS-1</t>
  </si>
  <si>
    <t>PT-4</t>
  </si>
  <si>
    <t>PT-5</t>
  </si>
  <si>
    <t>Consent</t>
  </si>
  <si>
    <t>PT-6</t>
  </si>
  <si>
    <t>Privacy Notice</t>
  </si>
  <si>
    <t>RA-1</t>
  </si>
  <si>
    <t>SA-1</t>
  </si>
  <si>
    <t>SC-1</t>
  </si>
  <si>
    <t>SI-1</t>
  </si>
  <si>
    <t>AC-21(1)</t>
  </si>
  <si>
    <t>AU-16</t>
  </si>
  <si>
    <t>PS-7</t>
  </si>
  <si>
    <t>External Personnel Security</t>
  </si>
  <si>
    <t>SA-9(4)</t>
  </si>
  <si>
    <t>PL-9</t>
  </si>
  <si>
    <t>Central Management</t>
  </si>
  <si>
    <t>PM-2</t>
  </si>
  <si>
    <t>Information Security Program Leadership Role</t>
  </si>
  <si>
    <t>SA-9(3)</t>
  </si>
  <si>
    <t>SA-9(5)</t>
  </si>
  <si>
    <t>AC-4(3)</t>
  </si>
  <si>
    <t>PM-9</t>
  </si>
  <si>
    <t>Risk Management Strategy</t>
  </si>
  <si>
    <t>PM-3</t>
  </si>
  <si>
    <t>Information Security and Privacy Resources</t>
  </si>
  <si>
    <t>CA-2</t>
  </si>
  <si>
    <t>Control Assessments</t>
  </si>
  <si>
    <t>CA-2(1)</t>
  </si>
  <si>
    <t>CA-2(2)</t>
  </si>
  <si>
    <t>CA-2(3)</t>
  </si>
  <si>
    <t>CA-7(1)</t>
  </si>
  <si>
    <t>CA-7(3)</t>
  </si>
  <si>
    <t>CA-8</t>
  </si>
  <si>
    <t>Penetration Testing</t>
  </si>
  <si>
    <t>CA-8(1)</t>
  </si>
  <si>
    <t>CA-8(2)</t>
  </si>
  <si>
    <t>RA-3</t>
  </si>
  <si>
    <t>Risk Assessment</t>
  </si>
  <si>
    <t>RA-5</t>
  </si>
  <si>
    <t>Vulnerability Monitoring and Scanning</t>
  </si>
  <si>
    <t>RA-5(1)</t>
  </si>
  <si>
    <t>RA-5(10)</t>
  </si>
  <si>
    <t>RA-5(2)</t>
  </si>
  <si>
    <t>RA-5(3)</t>
  </si>
  <si>
    <t>RA-5(4)</t>
  </si>
  <si>
    <t>RA-5(5)</t>
  </si>
  <si>
    <t>RA-5(6)</t>
  </si>
  <si>
    <t>RA-5(8)</t>
  </si>
  <si>
    <t>RA-6</t>
  </si>
  <si>
    <t>Technical Surveillance Countermeasures Survey</t>
  </si>
  <si>
    <t>SA-11</t>
  </si>
  <si>
    <t>Developer Testing and Evaluation</t>
  </si>
  <si>
    <t>SA-11(1)</t>
  </si>
  <si>
    <t>SA-11(2)</t>
  </si>
  <si>
    <t>SA-11(3)</t>
  </si>
  <si>
    <t>SA-11(4)</t>
  </si>
  <si>
    <t>SA-11(5)</t>
  </si>
  <si>
    <t>SA-11(6)</t>
  </si>
  <si>
    <t>SA-11(7)</t>
  </si>
  <si>
    <t>SA-12(7)</t>
  </si>
  <si>
    <t>SA-5</t>
  </si>
  <si>
    <t>System Documentation</t>
  </si>
  <si>
    <t>SI-2</t>
  </si>
  <si>
    <t>Flaw Remediation</t>
  </si>
  <si>
    <t>SI-2(1)</t>
  </si>
  <si>
    <t>SI-2(2)</t>
  </si>
  <si>
    <t>SI-2(3)</t>
  </si>
  <si>
    <t>SI-2(5)</t>
  </si>
  <si>
    <t>SI-2(6)</t>
  </si>
  <si>
    <t>SI-4</t>
  </si>
  <si>
    <t>System Monitoring</t>
  </si>
  <si>
    <t>SI-4(1)</t>
  </si>
  <si>
    <t>SI-4(10)</t>
  </si>
  <si>
    <t>SI-4(11)</t>
  </si>
  <si>
    <t>SI-4(12)</t>
  </si>
  <si>
    <t>SI-4(13)</t>
  </si>
  <si>
    <t>SI-4(14)</t>
  </si>
  <si>
    <t>SI-4(15)</t>
  </si>
  <si>
    <t>SI-4(16)</t>
  </si>
  <si>
    <t>SI-4(17)</t>
  </si>
  <si>
    <t>SI-4(18)</t>
  </si>
  <si>
    <t>SI-4(20)</t>
  </si>
  <si>
    <t>SI-4(3)</t>
  </si>
  <si>
    <t>SI-4(4)</t>
  </si>
  <si>
    <t>SI-4(5)</t>
  </si>
  <si>
    <t>PM-15</t>
  </si>
  <si>
    <t>Security and Privacy Groups and Associations</t>
  </si>
  <si>
    <t>PM-16</t>
  </si>
  <si>
    <t>Threat Awareness Program</t>
  </si>
  <si>
    <t>PM-12</t>
  </si>
  <si>
    <t>Insider Threat Program</t>
  </si>
  <si>
    <t>SI-5(1)</t>
  </si>
  <si>
    <t>SA-9(1)</t>
  </si>
  <si>
    <t>PM-7</t>
  </si>
  <si>
    <t>Enterprise Architecture</t>
  </si>
  <si>
    <t>PM-4</t>
  </si>
  <si>
    <t>Plan of Action and Milestones Process</t>
  </si>
  <si>
    <t>AC-20</t>
  </si>
  <si>
    <t>Use of External Systems</t>
  </si>
  <si>
    <t>SA-12</t>
  </si>
  <si>
    <t>SA-12(2)</t>
  </si>
  <si>
    <t>AC-20(1)</t>
  </si>
  <si>
    <t>SA-12(12)</t>
  </si>
  <si>
    <t>SA-12(5)</t>
  </si>
  <si>
    <t>SA-12(8)</t>
  </si>
  <si>
    <t>SA-12(9)</t>
  </si>
  <si>
    <t>AC-12(1)</t>
  </si>
  <si>
    <t>AC-17(9)</t>
  </si>
  <si>
    <t>AC-2</t>
  </si>
  <si>
    <t>Account Management</t>
  </si>
  <si>
    <t>AC-3(5)</t>
  </si>
  <si>
    <t>AC-3(8)</t>
  </si>
  <si>
    <t>AC-6(7)</t>
  </si>
  <si>
    <t>IA-10</t>
  </si>
  <si>
    <t>Adaptive Authentication</t>
  </si>
  <si>
    <t>IA-11</t>
  </si>
  <si>
    <t>Re-authentication</t>
  </si>
  <si>
    <t>IA-2</t>
  </si>
  <si>
    <t>IA-2(1)</t>
  </si>
  <si>
    <t>IA-2(10)</t>
  </si>
  <si>
    <t>IA-2(11)</t>
  </si>
  <si>
    <t>IA-2(12)</t>
  </si>
  <si>
    <t>IA-2(13)</t>
  </si>
  <si>
    <t>IA-2(2)</t>
  </si>
  <si>
    <t>IA-2(3)</t>
  </si>
  <si>
    <t>IA-2(4)</t>
  </si>
  <si>
    <t>IA-2(5)</t>
  </si>
  <si>
    <t>IA-2(6)</t>
  </si>
  <si>
    <t>IA-2(7)</t>
  </si>
  <si>
    <t>IA-2(8)</t>
  </si>
  <si>
    <t>IA-2(9)</t>
  </si>
  <si>
    <t>IA-3</t>
  </si>
  <si>
    <t>Device Identification and Authentication</t>
  </si>
  <si>
    <t>IA-3(1)</t>
  </si>
  <si>
    <t>IA-3(3)</t>
  </si>
  <si>
    <t>IA-3(4)</t>
  </si>
  <si>
    <t>IA-4</t>
  </si>
  <si>
    <t>Identifier Management</t>
  </si>
  <si>
    <t>IA-4(1)</t>
  </si>
  <si>
    <t>IA-4(2)</t>
  </si>
  <si>
    <t>IA-4(3)</t>
  </si>
  <si>
    <t>IA-4(4)</t>
  </si>
  <si>
    <t>IA-4(5)</t>
  </si>
  <si>
    <t>IA-4(6)</t>
  </si>
  <si>
    <t>IA-4(7)</t>
  </si>
  <si>
    <t>IA-5</t>
  </si>
  <si>
    <t>Authenticator Management</t>
  </si>
  <si>
    <t>IA-5(1)</t>
  </si>
  <si>
    <t>IA-5(10)</t>
  </si>
  <si>
    <t>IA-5(11)</t>
  </si>
  <si>
    <t>IA-5(12)</t>
  </si>
  <si>
    <t>IA-5(13)</t>
  </si>
  <si>
    <t>IA-5(14)</t>
  </si>
  <si>
    <t>IA-5(15)</t>
  </si>
  <si>
    <t>IA-5(3)</t>
  </si>
  <si>
    <t>IA-5(4)</t>
  </si>
  <si>
    <t>IA-5(5)</t>
  </si>
  <si>
    <t>IA-5(6)</t>
  </si>
  <si>
    <t>IA-5(7)</t>
  </si>
  <si>
    <t>IA-5(8)</t>
  </si>
  <si>
    <t>IA-5(9)</t>
  </si>
  <si>
    <t>IA-6</t>
  </si>
  <si>
    <t>IA-7</t>
  </si>
  <si>
    <t>Cryptographic Module Authentication</t>
  </si>
  <si>
    <t>IA-8</t>
  </si>
  <si>
    <t>IA-8(1)</t>
  </si>
  <si>
    <t>IA-8(2)</t>
  </si>
  <si>
    <t>IA-8(3)</t>
  </si>
  <si>
    <t>IA-8(4)</t>
  </si>
  <si>
    <t>IA-8(5)</t>
  </si>
  <si>
    <t>IA-9</t>
  </si>
  <si>
    <t>Service Identification and Authentication</t>
  </si>
  <si>
    <t>IA-9(1)</t>
  </si>
  <si>
    <t>IA-9(2)</t>
  </si>
  <si>
    <t>AC-2(1)</t>
  </si>
  <si>
    <t>AC-2(2)</t>
  </si>
  <si>
    <t>AC-2(3)</t>
  </si>
  <si>
    <t>AC-2(8)</t>
  </si>
  <si>
    <t>AC-24</t>
  </si>
  <si>
    <t>Access Control Decisions</t>
  </si>
  <si>
    <t>AC-2(13)</t>
  </si>
  <si>
    <t>AC-18(5)</t>
  </si>
  <si>
    <t>PE-2</t>
  </si>
  <si>
    <t>Physical Access Authorizations</t>
  </si>
  <si>
    <t>PE-2(1)</t>
  </si>
  <si>
    <t>PE-2(2)</t>
  </si>
  <si>
    <t>PE-2(3)</t>
  </si>
  <si>
    <t>PE-3</t>
  </si>
  <si>
    <t>Physical Access Control</t>
  </si>
  <si>
    <t>PE-3(1)</t>
  </si>
  <si>
    <t>PE-3(2)</t>
  </si>
  <si>
    <t>PE-3(3)</t>
  </si>
  <si>
    <t>PE-3(4)</t>
  </si>
  <si>
    <t>PE-3(5)</t>
  </si>
  <si>
    <t>PE-3(6)</t>
  </si>
  <si>
    <t>PE-4</t>
  </si>
  <si>
    <t>Access Control for Transmission</t>
  </si>
  <si>
    <t>PE-5</t>
  </si>
  <si>
    <t>Access Control for Output Devices</t>
  </si>
  <si>
    <t>PE-5(1)</t>
  </si>
  <si>
    <t>PE-5(2)</t>
  </si>
  <si>
    <t>PE-5(3)</t>
  </si>
  <si>
    <t>PE-6</t>
  </si>
  <si>
    <t>Monitoring Physical Access</t>
  </si>
  <si>
    <t>PE-6(1)</t>
  </si>
  <si>
    <t>PE-6(3)</t>
  </si>
  <si>
    <t>PE-6(4)</t>
  </si>
  <si>
    <t>PE-8</t>
  </si>
  <si>
    <t>Visitor Access Records</t>
  </si>
  <si>
    <t>PE-8(1)</t>
  </si>
  <si>
    <t>AC-2(5)</t>
  </si>
  <si>
    <t>AC-17</t>
  </si>
  <si>
    <t>Remote Access</t>
  </si>
  <si>
    <t>AC-19</t>
  </si>
  <si>
    <t>Access Control for Mobile Devices</t>
  </si>
  <si>
    <t>AC-20(2)</t>
  </si>
  <si>
    <t>AC-4(22)</t>
  </si>
  <si>
    <t>AC-7(2)</t>
  </si>
  <si>
    <t>AU-14(3)</t>
  </si>
  <si>
    <t>AC-16(1)</t>
  </si>
  <si>
    <t>AC-16(10)</t>
  </si>
  <si>
    <t>AC-16(2)</t>
  </si>
  <si>
    <t>AC-16(4)</t>
  </si>
  <si>
    <t>AC-17(4)</t>
  </si>
  <si>
    <t>AC-2(11)</t>
  </si>
  <si>
    <t>AC-3</t>
  </si>
  <si>
    <t>Access Enforcement</t>
  </si>
  <si>
    <t>AC-3(3)</t>
  </si>
  <si>
    <t>AC-3(4)</t>
  </si>
  <si>
    <t>AC-6</t>
  </si>
  <si>
    <t>Least Privilege</t>
  </si>
  <si>
    <t>AC-6(1)</t>
  </si>
  <si>
    <t>AC-6(10)</t>
  </si>
  <si>
    <t>AC-6(2)</t>
  </si>
  <si>
    <t>AC-6(5)</t>
  </si>
  <si>
    <t>AC-6(6)</t>
  </si>
  <si>
    <t>AC-6(8)</t>
  </si>
  <si>
    <t>AU-12(3)</t>
  </si>
  <si>
    <t>AU-9</t>
  </si>
  <si>
    <t>Protection of Audit Information</t>
  </si>
  <si>
    <t>AU-9(4)</t>
  </si>
  <si>
    <t>AC-3(7)</t>
  </si>
  <si>
    <t>AC-5</t>
  </si>
  <si>
    <t>Separation of Duties</t>
  </si>
  <si>
    <t>AC-14</t>
  </si>
  <si>
    <t>AC-2(7)</t>
  </si>
  <si>
    <t>PL-4(1)</t>
  </si>
  <si>
    <t>PM-10</t>
  </si>
  <si>
    <t>Authorization Process</t>
  </si>
  <si>
    <t>AC-18</t>
  </si>
  <si>
    <t>Wireless Access</t>
  </si>
  <si>
    <t>AC-20(3)</t>
  </si>
  <si>
    <t>AC-20(4)</t>
  </si>
  <si>
    <t>AC-4(2)</t>
  </si>
  <si>
    <t>AC-4(21)</t>
  </si>
  <si>
    <t>AC-6(4)</t>
  </si>
  <si>
    <t>CA-3(1)</t>
  </si>
  <si>
    <t>CA-3(3)</t>
  </si>
  <si>
    <t>SC-7</t>
  </si>
  <si>
    <t>Boundary Protection</t>
  </si>
  <si>
    <t>SC-7(10)</t>
  </si>
  <si>
    <t>SC-7(11)</t>
  </si>
  <si>
    <t>SC-7(12)</t>
  </si>
  <si>
    <t>SC-7(13)</t>
  </si>
  <si>
    <t>SC-7(14)</t>
  </si>
  <si>
    <t>SC-7(15)</t>
  </si>
  <si>
    <t>SC-7(16)</t>
  </si>
  <si>
    <t>SC-7(17)</t>
  </si>
  <si>
    <t>SC-7(18)</t>
  </si>
  <si>
    <t>SC-7(19)</t>
  </si>
  <si>
    <t>SC-7(20)</t>
  </si>
  <si>
    <t>SC-7(21)</t>
  </si>
  <si>
    <t>SC-7(22)</t>
  </si>
  <si>
    <t>SC-7(23)</t>
  </si>
  <si>
    <t>SC-7(3)</t>
  </si>
  <si>
    <t>SC-7(4)</t>
  </si>
  <si>
    <t>SC-7(5)</t>
  </si>
  <si>
    <t>SC-7(7)</t>
  </si>
  <si>
    <t>SC-7(8)</t>
  </si>
  <si>
    <t>SC-7(9)</t>
  </si>
  <si>
    <t>CA-3(2)</t>
  </si>
  <si>
    <t>CA-3(5)</t>
  </si>
  <si>
    <t>CA-3(4)</t>
  </si>
  <si>
    <t>SC-10</t>
  </si>
  <si>
    <t>Network Disconnect</t>
  </si>
  <si>
    <t>SC-11</t>
  </si>
  <si>
    <t>Trusted Path</t>
  </si>
  <si>
    <t>SC-11(1)</t>
  </si>
  <si>
    <t>AC-12</t>
  </si>
  <si>
    <t>Session Termination</t>
  </si>
  <si>
    <t>AU-16(1)</t>
  </si>
  <si>
    <t>AC-2(10)</t>
  </si>
  <si>
    <t>AC-2(6)</t>
  </si>
  <si>
    <t>AC-2(9)</t>
  </si>
  <si>
    <t>AC-25</t>
  </si>
  <si>
    <t>Reference Monitor</t>
  </si>
  <si>
    <t>AC-3(2)</t>
  </si>
  <si>
    <t>AC-24(1)</t>
  </si>
  <si>
    <t>AC-24(2)</t>
  </si>
  <si>
    <t>AC-17(6)</t>
  </si>
  <si>
    <t>AT-2</t>
  </si>
  <si>
    <t>AT-2(1)</t>
  </si>
  <si>
    <t>AT-2(2)</t>
  </si>
  <si>
    <t>AT-2(5)</t>
  </si>
  <si>
    <t>AT-2(6)</t>
  </si>
  <si>
    <t>AT-3(4)</t>
  </si>
  <si>
    <t>AT-4</t>
  </si>
  <si>
    <t>Training Records</t>
  </si>
  <si>
    <t>PM-13</t>
  </si>
  <si>
    <t>Security and Privacy Workforce</t>
  </si>
  <si>
    <t>SA-16</t>
  </si>
  <si>
    <t>PL-4</t>
  </si>
  <si>
    <t>Rules of Behavior</t>
  </si>
  <si>
    <t>AC-18(4)</t>
  </si>
  <si>
    <t>AC-4(10)</t>
  </si>
  <si>
    <t>AC-4(11)</t>
  </si>
  <si>
    <t>AC-8</t>
  </si>
  <si>
    <t>System Use Notification</t>
  </si>
  <si>
    <t>AT-3(3)</t>
  </si>
  <si>
    <t>SC-42(3)</t>
  </si>
  <si>
    <t>SA-9</t>
  </si>
  <si>
    <t>External System Services</t>
  </si>
  <si>
    <t>SA-9(2)</t>
  </si>
  <si>
    <t>AT-3</t>
  </si>
  <si>
    <t>AT-3(1)</t>
  </si>
  <si>
    <t>AT-3(2)</t>
  </si>
  <si>
    <t>SA-19(1)</t>
  </si>
  <si>
    <t>AC-19(5)</t>
  </si>
  <si>
    <t>AU-9(3)</t>
  </si>
  <si>
    <t>SC-28</t>
  </si>
  <si>
    <t>Protection of Information at Rest</t>
  </si>
  <si>
    <t>SC-28(1)</t>
  </si>
  <si>
    <t>SC-28(2)</t>
  </si>
  <si>
    <t>SC-8</t>
  </si>
  <si>
    <t>Transmission Confidentiality and Integrity</t>
  </si>
  <si>
    <t>SC-8(1)</t>
  </si>
  <si>
    <t>SC-8(2)</t>
  </si>
  <si>
    <t>SC-8(3)</t>
  </si>
  <si>
    <t>SC-8(4)</t>
  </si>
  <si>
    <t>AC-17(2)</t>
  </si>
  <si>
    <t>AC-18(1)</t>
  </si>
  <si>
    <t>SC-23</t>
  </si>
  <si>
    <t>Session Authenticity</t>
  </si>
  <si>
    <t>SC-23(1)</t>
  </si>
  <si>
    <t>SC-23(3)</t>
  </si>
  <si>
    <t>SC-23(5)</t>
  </si>
  <si>
    <t>AU-10(1)</t>
  </si>
  <si>
    <t>AU-10(3)</t>
  </si>
  <si>
    <t>CM-8(3)</t>
  </si>
  <si>
    <t>CM-8(5)</t>
  </si>
  <si>
    <t>CM-8(6)</t>
  </si>
  <si>
    <t>CM-8(8)</t>
  </si>
  <si>
    <t>MP-6</t>
  </si>
  <si>
    <t>Media Sanitization</t>
  </si>
  <si>
    <t>MP-6(1)</t>
  </si>
  <si>
    <t>MP-6(2)</t>
  </si>
  <si>
    <t>MP-6(3)</t>
  </si>
  <si>
    <t>MP-6(7)</t>
  </si>
  <si>
    <t>MP-6(8)</t>
  </si>
  <si>
    <t>PE-16</t>
  </si>
  <si>
    <t>Delivery and Removal</t>
  </si>
  <si>
    <t>SA-12(1)</t>
  </si>
  <si>
    <t>SI-12</t>
  </si>
  <si>
    <t>Information Management and Retention</t>
  </si>
  <si>
    <t>AC-10</t>
  </si>
  <si>
    <t>Concurrent Session Control</t>
  </si>
  <si>
    <t>AU-15</t>
  </si>
  <si>
    <t>AU-4</t>
  </si>
  <si>
    <t>Audit Log Storage Capacity</t>
  </si>
  <si>
    <t>AU-4(1)</t>
  </si>
  <si>
    <t>AU-5</t>
  </si>
  <si>
    <t>Response to Audit Logging Process Failures</t>
  </si>
  <si>
    <t>AU-5(1)</t>
  </si>
  <si>
    <t>CM-2(3)</t>
  </si>
  <si>
    <t>PE-17</t>
  </si>
  <si>
    <t>Alternate Work Site</t>
  </si>
  <si>
    <t>SC-22</t>
  </si>
  <si>
    <t>SC-5</t>
  </si>
  <si>
    <t>SC-5(1)</t>
  </si>
  <si>
    <t>SC-5(2)</t>
  </si>
  <si>
    <t>SC-5(3)</t>
  </si>
  <si>
    <t>SC-6</t>
  </si>
  <si>
    <t>Resource Availability</t>
  </si>
  <si>
    <t>AC-21(2)</t>
  </si>
  <si>
    <t>AC-23</t>
  </si>
  <si>
    <t>Data Mining Protection</t>
  </si>
  <si>
    <t>AC-3(9)</t>
  </si>
  <si>
    <t>AU-13</t>
  </si>
  <si>
    <t>Monitoring for Information Disclosure</t>
  </si>
  <si>
    <t>AU-13(1)</t>
  </si>
  <si>
    <t>AU-13(2)</t>
  </si>
  <si>
    <t>PE-19</t>
  </si>
  <si>
    <t>Information Leakage</t>
  </si>
  <si>
    <t>PE-19(1)</t>
  </si>
  <si>
    <t>PS-3</t>
  </si>
  <si>
    <t>Personnel Screening</t>
  </si>
  <si>
    <t>PS-3(1)</t>
  </si>
  <si>
    <t>PS-3(2)</t>
  </si>
  <si>
    <t>PS-3(3)</t>
  </si>
  <si>
    <t>PS-6</t>
  </si>
  <si>
    <t>Access Agreements</t>
  </si>
  <si>
    <t>PS-6(2)</t>
  </si>
  <si>
    <t>PS-6(3)</t>
  </si>
  <si>
    <t>SC-13</t>
  </si>
  <si>
    <t>Cryptographic Protection</t>
  </si>
  <si>
    <t>SC-31</t>
  </si>
  <si>
    <t>Covert Channel Analysis</t>
  </si>
  <si>
    <t>SC-31(1)</t>
  </si>
  <si>
    <t>SC-31(2)</t>
  </si>
  <si>
    <t>SC-31(3)</t>
  </si>
  <si>
    <t>SI-4(19)</t>
  </si>
  <si>
    <t>SI-4(2)</t>
  </si>
  <si>
    <t>SI-4(21)</t>
  </si>
  <si>
    <t>SI-4(22)</t>
  </si>
  <si>
    <t>SI-4(24)</t>
  </si>
  <si>
    <t>SI-4(7)</t>
  </si>
  <si>
    <t>SC-16</t>
  </si>
  <si>
    <t>Transmission of Security and Privacy Attributes</t>
  </si>
  <si>
    <t>SI-15</t>
  </si>
  <si>
    <t>Information Output Filtering</t>
  </si>
  <si>
    <t>SI-16</t>
  </si>
  <si>
    <t>Memory Protection</t>
  </si>
  <si>
    <t>AC-16(7)</t>
  </si>
  <si>
    <t>AC-16(9)</t>
  </si>
  <si>
    <t>AC-4(12)</t>
  </si>
  <si>
    <t>AC-4(5)</t>
  </si>
  <si>
    <t>AU-10</t>
  </si>
  <si>
    <t>Non-repudiation</t>
  </si>
  <si>
    <t>AU-10(2)</t>
  </si>
  <si>
    <t>AU-10(4)</t>
  </si>
  <si>
    <t>AU-9(1)</t>
  </si>
  <si>
    <t>AU-9(6)</t>
  </si>
  <si>
    <t>SA-12(10)</t>
  </si>
  <si>
    <t>SA-18</t>
  </si>
  <si>
    <t>SA-19</t>
  </si>
  <si>
    <t>SI-7</t>
  </si>
  <si>
    <t>Software, Firmware, and Information Integrity</t>
  </si>
  <si>
    <t>SI-7(1)</t>
  </si>
  <si>
    <t>SI-7(10)</t>
  </si>
  <si>
    <t>SI-7(11)</t>
  </si>
  <si>
    <t>SI-7(12)</t>
  </si>
  <si>
    <t>SI-7(13)</t>
  </si>
  <si>
    <t>SI-7(14)</t>
  </si>
  <si>
    <t>SI-7(15)</t>
  </si>
  <si>
    <t>SI-7(16)</t>
  </si>
  <si>
    <t>SI-7(2)</t>
  </si>
  <si>
    <t>SI-7(3)</t>
  </si>
  <si>
    <t>SI-7(5)</t>
  </si>
  <si>
    <t>SI-7(6)</t>
  </si>
  <si>
    <t>SI-7(7)</t>
  </si>
  <si>
    <t>SI-7(8)</t>
  </si>
  <si>
    <t>SI-7(9)</t>
  </si>
  <si>
    <t>SC-16(1)</t>
  </si>
  <si>
    <t>SC-20(2)</t>
  </si>
  <si>
    <t>SC-21</t>
  </si>
  <si>
    <t>SI-10</t>
  </si>
  <si>
    <t>Information Input Validation</t>
  </si>
  <si>
    <t>SI-10(1)</t>
  </si>
  <si>
    <t>SI-10(2)</t>
  </si>
  <si>
    <t>SI-10(3)</t>
  </si>
  <si>
    <t>SI-10(4)</t>
  </si>
  <si>
    <t>SI-10(5)</t>
  </si>
  <si>
    <t>CM-2(6)</t>
  </si>
  <si>
    <t>AC-18(3)</t>
  </si>
  <si>
    <t>CM-2</t>
  </si>
  <si>
    <t>Baseline Configuration</t>
  </si>
  <si>
    <t>CM-2(1)</t>
  </si>
  <si>
    <t>CM-2(2)</t>
  </si>
  <si>
    <t>CM-3</t>
  </si>
  <si>
    <t>Configuration Change Control</t>
  </si>
  <si>
    <t>CM-3(1)</t>
  </si>
  <si>
    <t>CM-3(2)</t>
  </si>
  <si>
    <t>CM-3(3)</t>
  </si>
  <si>
    <t>CM-3(4)</t>
  </si>
  <si>
    <t>CM-3(5)</t>
  </si>
  <si>
    <t>CM-3(6)</t>
  </si>
  <si>
    <t>CM-4</t>
  </si>
  <si>
    <t>Impact Analyses</t>
  </si>
  <si>
    <t>CM-4(1)</t>
  </si>
  <si>
    <t>CM-4(2)</t>
  </si>
  <si>
    <t>CM-5</t>
  </si>
  <si>
    <t>Access Restrictions for Change</t>
  </si>
  <si>
    <t>CM-5(1)</t>
  </si>
  <si>
    <t>CM-5(2)</t>
  </si>
  <si>
    <t>CM-5(3)</t>
  </si>
  <si>
    <t>CM-5(4)</t>
  </si>
  <si>
    <t>CM-5(5)</t>
  </si>
  <si>
    <t>CM-5(6)</t>
  </si>
  <si>
    <t>CM-6</t>
  </si>
  <si>
    <t>Configuration Settings</t>
  </si>
  <si>
    <t>CM-6(1)</t>
  </si>
  <si>
    <t>CM-6(2)</t>
  </si>
  <si>
    <t>CM-7</t>
  </si>
  <si>
    <t>Least Functionality</t>
  </si>
  <si>
    <t>CM-7(1)</t>
  </si>
  <si>
    <t>CM-7(2)</t>
  </si>
  <si>
    <t>CM-7(3)</t>
  </si>
  <si>
    <t>CM-7(4)</t>
  </si>
  <si>
    <t>CM-7(5)</t>
  </si>
  <si>
    <t>CM-9</t>
  </si>
  <si>
    <t>Configuration Management Plan</t>
  </si>
  <si>
    <t>CM-9(1)</t>
  </si>
  <si>
    <t>IR-8</t>
  </si>
  <si>
    <t>Incident Response Plan</t>
  </si>
  <si>
    <t>MP-3</t>
  </si>
  <si>
    <t>Media Marking</t>
  </si>
  <si>
    <t>MP-8</t>
  </si>
  <si>
    <t>Media Downgrading</t>
  </si>
  <si>
    <t>MP-8(1)</t>
  </si>
  <si>
    <t>MP-8(2)</t>
  </si>
  <si>
    <t>MP-8(3)</t>
  </si>
  <si>
    <t>MP-8(4)</t>
  </si>
  <si>
    <t>SA-10</t>
  </si>
  <si>
    <t>Developer Configuration Management</t>
  </si>
  <si>
    <t>SA-10(2)</t>
  </si>
  <si>
    <t>SA-10(3)</t>
  </si>
  <si>
    <t>SA-10(4)</t>
  </si>
  <si>
    <t>SA-10(5)</t>
  </si>
  <si>
    <t>SA-10(6)</t>
  </si>
  <si>
    <t>SI-14</t>
  </si>
  <si>
    <t>SI-14(1)</t>
  </si>
  <si>
    <t>CP-4</t>
  </si>
  <si>
    <t>Contingency Plan Testing</t>
  </si>
  <si>
    <t>CP-4(1)</t>
  </si>
  <si>
    <t>CP-4(2)</t>
  </si>
  <si>
    <t>CP-4(3)</t>
  </si>
  <si>
    <t>CP-4(4)</t>
  </si>
  <si>
    <t>IR-3</t>
  </si>
  <si>
    <t>Incident Response Testing</t>
  </si>
  <si>
    <t>IR-3(1)</t>
  </si>
  <si>
    <t>IR-3(2)</t>
  </si>
  <si>
    <t>PM-14</t>
  </si>
  <si>
    <t>Testing, Training, and Monitoring</t>
  </si>
  <si>
    <t>PS-2</t>
  </si>
  <si>
    <t>Position Risk Designation</t>
  </si>
  <si>
    <t>PS-4</t>
  </si>
  <si>
    <t>Personnel Termination</t>
  </si>
  <si>
    <t>PS-4(1)</t>
  </si>
  <si>
    <t>PS-4(2)</t>
  </si>
  <si>
    <t>PS-5</t>
  </si>
  <si>
    <t>Personnel Transfer</t>
  </si>
  <si>
    <t>SA-21</t>
  </si>
  <si>
    <t>Developer Screening</t>
  </si>
  <si>
    <t>SA-21(1)</t>
  </si>
  <si>
    <t>PS-8</t>
  </si>
  <si>
    <t>Personnel Sanctions</t>
  </si>
  <si>
    <t>SA-12(11)</t>
  </si>
  <si>
    <t>SA-10(1)</t>
  </si>
  <si>
    <t>SA-11(8)</t>
  </si>
  <si>
    <t>SA-15</t>
  </si>
  <si>
    <t>Development Process, Standards, and Tools</t>
  </si>
  <si>
    <t>SA-15(1)</t>
  </si>
  <si>
    <t>SA-15(10)</t>
  </si>
  <si>
    <t>SA-15(11)</t>
  </si>
  <si>
    <t>SA-15(2)</t>
  </si>
  <si>
    <t>SA-15(3)</t>
  </si>
  <si>
    <t>SA-15(4)</t>
  </si>
  <si>
    <t>SA-15(5)</t>
  </si>
  <si>
    <t>SA-15(6)</t>
  </si>
  <si>
    <t>SA-15(7)</t>
  </si>
  <si>
    <t>SA-15(8)</t>
  </si>
  <si>
    <t>SA-15(9)</t>
  </si>
  <si>
    <t>SA-17</t>
  </si>
  <si>
    <t>SA-17(1)</t>
  </si>
  <si>
    <t>SA-17(2)</t>
  </si>
  <si>
    <t>SA-17(3)</t>
  </si>
  <si>
    <t>SA-17(4)</t>
  </si>
  <si>
    <t>SA-17(5)</t>
  </si>
  <si>
    <t>SA-17(6)</t>
  </si>
  <si>
    <t>SA-17(7)</t>
  </si>
  <si>
    <t>SA-18(1)</t>
  </si>
  <si>
    <t>SA-22</t>
  </si>
  <si>
    <t>Unsupported System Components</t>
  </si>
  <si>
    <t>SA-22(1)</t>
  </si>
  <si>
    <t>SA-3</t>
  </si>
  <si>
    <t>System Development Life Cycle</t>
  </si>
  <si>
    <t>SA-4</t>
  </si>
  <si>
    <t>Acquisition Process</t>
  </si>
  <si>
    <t>SA-4(1)</t>
  </si>
  <si>
    <t>SA-4(10)</t>
  </si>
  <si>
    <t>SA-4(2)</t>
  </si>
  <si>
    <t>SA-4(3)</t>
  </si>
  <si>
    <t>SA-4(5)</t>
  </si>
  <si>
    <t>SA-4(6)</t>
  </si>
  <si>
    <t>SA-4(7)</t>
  </si>
  <si>
    <t>SA-4(8)</t>
  </si>
  <si>
    <t>SA-4(9)</t>
  </si>
  <si>
    <t>SA-8</t>
  </si>
  <si>
    <t>Security and Privacy Engineering Principles</t>
  </si>
  <si>
    <t>PL-7</t>
  </si>
  <si>
    <t>Concept of Operations</t>
  </si>
  <si>
    <t>AC-3(10)</t>
  </si>
  <si>
    <t>AC-4(20)</t>
  </si>
  <si>
    <t>CA-9(1)</t>
  </si>
  <si>
    <t>SA-13</t>
  </si>
  <si>
    <t>CA-3</t>
  </si>
  <si>
    <t>Information Exchange</t>
  </si>
  <si>
    <t>AU-11(1)</t>
  </si>
  <si>
    <t>AU-9(2)</t>
  </si>
  <si>
    <t>CP-6</t>
  </si>
  <si>
    <t>Alternate Storage Site</t>
  </si>
  <si>
    <t>CP-6(1)</t>
  </si>
  <si>
    <t>CP-6(2)</t>
  </si>
  <si>
    <t>CP-6(3)</t>
  </si>
  <si>
    <t>CP-9</t>
  </si>
  <si>
    <t>System Backup</t>
  </si>
  <si>
    <t>CP-9(1)</t>
  </si>
  <si>
    <t>CP-9(2)</t>
  </si>
  <si>
    <t>CP-9(3)</t>
  </si>
  <si>
    <t>CP-9(5)</t>
  </si>
  <si>
    <t>CP-9(6)</t>
  </si>
  <si>
    <t>CP-9(7)</t>
  </si>
  <si>
    <t>PE-10</t>
  </si>
  <si>
    <t>Emergency Shutoff</t>
  </si>
  <si>
    <t>PE-12</t>
  </si>
  <si>
    <t>Emergency Lighting</t>
  </si>
  <si>
    <t>PE-12(1)</t>
  </si>
  <si>
    <t>PE-13</t>
  </si>
  <si>
    <t>Fire Protection</t>
  </si>
  <si>
    <t>PE-13(1)</t>
  </si>
  <si>
    <t>PE-13(2)</t>
  </si>
  <si>
    <t>PE-13(3)</t>
  </si>
  <si>
    <t>PE-13(4)</t>
  </si>
  <si>
    <t>PE-14</t>
  </si>
  <si>
    <t>Environmental Controls</t>
  </si>
  <si>
    <t>PE-14(1)</t>
  </si>
  <si>
    <t>PE-14(2)</t>
  </si>
  <si>
    <t>PE-15</t>
  </si>
  <si>
    <t>Water Damage Protection</t>
  </si>
  <si>
    <t>PE-15(1)</t>
  </si>
  <si>
    <t>PE-18</t>
  </si>
  <si>
    <t>Location of System Components</t>
  </si>
  <si>
    <t>PE-18(1)</t>
  </si>
  <si>
    <t>AU-11</t>
  </si>
  <si>
    <t>Audit Record Retention</t>
  </si>
  <si>
    <t>SA-19(3)</t>
  </si>
  <si>
    <t>CA-5</t>
  </si>
  <si>
    <t>Plan of Action and Milestones</t>
  </si>
  <si>
    <t>PL-2</t>
  </si>
  <si>
    <t>System Security and Privacy Plans</t>
  </si>
  <si>
    <t>PL-2(3)</t>
  </si>
  <si>
    <t>PM-6</t>
  </si>
  <si>
    <t>Measures of Performance</t>
  </si>
  <si>
    <t>SA-20</t>
  </si>
  <si>
    <t>Customized Development of Critical Components</t>
  </si>
  <si>
    <t>SC-3(4)</t>
  </si>
  <si>
    <t>CA-5(1)</t>
  </si>
  <si>
    <t>SC-12</t>
  </si>
  <si>
    <t>Cryptographic Key Establishment and Management</t>
  </si>
  <si>
    <t>SC-12(1)</t>
  </si>
  <si>
    <t>SC-30</t>
  </si>
  <si>
    <t>Concealment and Misdirection</t>
  </si>
  <si>
    <t>SC-30(2)</t>
  </si>
  <si>
    <t>SC-30(3)</t>
  </si>
  <si>
    <t>SC-30(4)</t>
  </si>
  <si>
    <t>SC-30(5)</t>
  </si>
  <si>
    <t>SC-34</t>
  </si>
  <si>
    <t>SC-34(1)</t>
  </si>
  <si>
    <t>SC-34(2)</t>
  </si>
  <si>
    <t>SC-34(3)</t>
  </si>
  <si>
    <t>SC-38</t>
  </si>
  <si>
    <t>Operations Security</t>
  </si>
  <si>
    <t>SI-4(23)</t>
  </si>
  <si>
    <t>CP-1</t>
  </si>
  <si>
    <t>IR-1</t>
  </si>
  <si>
    <t>MA-2</t>
  </si>
  <si>
    <t>Controlled Maintenance</t>
  </si>
  <si>
    <t>MA-2(2)</t>
  </si>
  <si>
    <t>MA-3</t>
  </si>
  <si>
    <t>Maintenance Tools</t>
  </si>
  <si>
    <t>MA-3(1)</t>
  </si>
  <si>
    <t>MA-3(2)</t>
  </si>
  <si>
    <t>MA-3(3)</t>
  </si>
  <si>
    <t>MA-3(4)</t>
  </si>
  <si>
    <t>MA-5</t>
  </si>
  <si>
    <t>Maintenance Personnel</t>
  </si>
  <si>
    <t>MA-5(1)</t>
  </si>
  <si>
    <t>MA-5(3)</t>
  </si>
  <si>
    <t>MA-5(4)</t>
  </si>
  <si>
    <t>MA-5(5)</t>
  </si>
  <si>
    <t>MA-6</t>
  </si>
  <si>
    <t>Timely Maintenance</t>
  </si>
  <si>
    <t>MA-6(1)</t>
  </si>
  <si>
    <t>MA-6(2)</t>
  </si>
  <si>
    <t>MA-6(3)</t>
  </si>
  <si>
    <t>SA-19(2)</t>
  </si>
  <si>
    <t>MA-5(2)</t>
  </si>
  <si>
    <t>MA-4</t>
  </si>
  <si>
    <t>Nonlocal Maintenance</t>
  </si>
  <si>
    <t>MA-4(1)</t>
  </si>
  <si>
    <t>MA-4(2)</t>
  </si>
  <si>
    <t>MA-4(3)</t>
  </si>
  <si>
    <t>MA-4(4)</t>
  </si>
  <si>
    <t>MA-4(5)</t>
  </si>
  <si>
    <t>MA-4(6)</t>
  </si>
  <si>
    <t>MA-4(7)</t>
  </si>
  <si>
    <t>AU-12</t>
  </si>
  <si>
    <t>Audit Record Generation</t>
  </si>
  <si>
    <t>AU-12(1)</t>
  </si>
  <si>
    <t>AU-14</t>
  </si>
  <si>
    <t>Session Audit</t>
  </si>
  <si>
    <t>AU-14(1)</t>
  </si>
  <si>
    <t>AU-14(2)</t>
  </si>
  <si>
    <t>AU-3</t>
  </si>
  <si>
    <t>Content of Audit Records</t>
  </si>
  <si>
    <t>AU-3(1)</t>
  </si>
  <si>
    <t>AU-6</t>
  </si>
  <si>
    <t>Audit Record Review, Analysis, and Reporting</t>
  </si>
  <si>
    <t>AU-6(1)</t>
  </si>
  <si>
    <t>AU-6(10)</t>
  </si>
  <si>
    <t>AU-6(3)</t>
  </si>
  <si>
    <t>AU-6(5)</t>
  </si>
  <si>
    <t>AU-6(6)</t>
  </si>
  <si>
    <t>AU-6(7)</t>
  </si>
  <si>
    <t>AU-6(8)</t>
  </si>
  <si>
    <t>AU-6(9)</t>
  </si>
  <si>
    <t>AU-7</t>
  </si>
  <si>
    <t>Audit Record Reduction and Report Generation</t>
  </si>
  <si>
    <t>AU-7(1)</t>
  </si>
  <si>
    <t>AU-7(2)</t>
  </si>
  <si>
    <t>AU-8</t>
  </si>
  <si>
    <t>Time Stamps</t>
  </si>
  <si>
    <t>AU-8(1)</t>
  </si>
  <si>
    <t>AU-8(2)</t>
  </si>
  <si>
    <t>SC-42(1)</t>
  </si>
  <si>
    <t>SI-6(2)</t>
  </si>
  <si>
    <t>MP-2</t>
  </si>
  <si>
    <t>Media Access</t>
  </si>
  <si>
    <t>MP-4</t>
  </si>
  <si>
    <t>Media Storage</t>
  </si>
  <si>
    <t>MP-4(2)</t>
  </si>
  <si>
    <t>MP-5</t>
  </si>
  <si>
    <t>Media Transport</t>
  </si>
  <si>
    <t>MP-5(3)</t>
  </si>
  <si>
    <t>MP-5(4)</t>
  </si>
  <si>
    <t>MP-7</t>
  </si>
  <si>
    <t>Media Use</t>
  </si>
  <si>
    <t>MP-7(1)</t>
  </si>
  <si>
    <t>MP-7(2)</t>
  </si>
  <si>
    <t>SC-41</t>
  </si>
  <si>
    <t>Port and I/O Device Access</t>
  </si>
  <si>
    <t>AC-11(1)</t>
  </si>
  <si>
    <t>AC-4(1)</t>
  </si>
  <si>
    <t>AC-4(14)</t>
  </si>
  <si>
    <t>AC-4(8)</t>
  </si>
  <si>
    <t>SC-3</t>
  </si>
  <si>
    <t>Security Function Isolation</t>
  </si>
  <si>
    <t>SC-3(1)</t>
  </si>
  <si>
    <t>SC-3(2)</t>
  </si>
  <si>
    <t>SC-3(3)</t>
  </si>
  <si>
    <t>SC-3(5)</t>
  </si>
  <si>
    <t>SC-12(2)</t>
  </si>
  <si>
    <t>SC-12(3)</t>
  </si>
  <si>
    <t>SC-15(1)</t>
  </si>
  <si>
    <t>SC-15(3)</t>
  </si>
  <si>
    <t>SC-15(4)</t>
  </si>
  <si>
    <t>SC-17</t>
  </si>
  <si>
    <t>Public Key Infrastructure Certificates</t>
  </si>
  <si>
    <t>SC-2(1)</t>
  </si>
  <si>
    <t>SC-27</t>
  </si>
  <si>
    <t>SC-32</t>
  </si>
  <si>
    <t>System Partitioning</t>
  </si>
  <si>
    <t>SC-37</t>
  </si>
  <si>
    <t>SC-37(1)</t>
  </si>
  <si>
    <t>SC-39</t>
  </si>
  <si>
    <t>Process Isolation</t>
  </si>
  <si>
    <t>SC-39(1)</t>
  </si>
  <si>
    <t>SC-39(2)</t>
  </si>
  <si>
    <t>SC-4</t>
  </si>
  <si>
    <t>Information in Shared System Resources</t>
  </si>
  <si>
    <t>SC-4(2)</t>
  </si>
  <si>
    <t>SC-42(2)</t>
  </si>
  <si>
    <t>SC-43</t>
  </si>
  <si>
    <t>Usage Restrictions</t>
  </si>
  <si>
    <t>AC-17(3)</t>
  </si>
  <si>
    <t>AC-4(7)</t>
  </si>
  <si>
    <t>AC-6(3)</t>
  </si>
  <si>
    <t>CP-8(1)</t>
  </si>
  <si>
    <t>CP-8(2)</t>
  </si>
  <si>
    <t>CP-8(3)</t>
  </si>
  <si>
    <t>CP-8(4)</t>
  </si>
  <si>
    <t>CP-8(5)</t>
  </si>
  <si>
    <t>SC-20</t>
  </si>
  <si>
    <t>SC-7(1)</t>
  </si>
  <si>
    <t>SC-7(2)</t>
  </si>
  <si>
    <t>SC-7(6)</t>
  </si>
  <si>
    <t>SC-19</t>
  </si>
  <si>
    <t>SC-40</t>
  </si>
  <si>
    <t>Wireless Link Protection</t>
  </si>
  <si>
    <t>SC-40(1)</t>
  </si>
  <si>
    <t>SC-40(2)</t>
  </si>
  <si>
    <t>SC-40(3)</t>
  </si>
  <si>
    <t>SC-40(4)</t>
  </si>
  <si>
    <t>SC-42</t>
  </si>
  <si>
    <t>Sensor Capability and Data</t>
  </si>
  <si>
    <t>AU-5(4)</t>
  </si>
  <si>
    <t>CM-2(7)</t>
  </si>
  <si>
    <t>IR-4(14)</t>
  </si>
  <si>
    <t>PM-16(1)</t>
  </si>
  <si>
    <t>PM-31</t>
  </si>
  <si>
    <t>Continuous Monitoring Strategy</t>
  </si>
  <si>
    <t>AC-4</t>
  </si>
  <si>
    <t>Information Flow Enforcement</t>
  </si>
  <si>
    <t>AC-2(4)</t>
  </si>
  <si>
    <t>SI-6</t>
  </si>
  <si>
    <t>Security and Privacy Function Verification</t>
  </si>
  <si>
    <t>IR-4</t>
  </si>
  <si>
    <t>Incident Handling</t>
  </si>
  <si>
    <t>IR-4(1)</t>
  </si>
  <si>
    <t>IR-4(10)</t>
  </si>
  <si>
    <t>IR-4(2)</t>
  </si>
  <si>
    <t>IR-4(3)</t>
  </si>
  <si>
    <t>IR-4(9)</t>
  </si>
  <si>
    <t>SI-4(9)</t>
  </si>
  <si>
    <t>SI-8</t>
  </si>
  <si>
    <t>Spam Protection</t>
  </si>
  <si>
    <t>SI-8(2)</t>
  </si>
  <si>
    <t>SI-8(3)</t>
  </si>
  <si>
    <t>AU-12(2)</t>
  </si>
  <si>
    <t>AU-3(2)</t>
  </si>
  <si>
    <t>IR-4(5)</t>
  </si>
  <si>
    <t>IR-4(7)</t>
  </si>
  <si>
    <t>IR-4(8)</t>
  </si>
  <si>
    <t>IR-5</t>
  </si>
  <si>
    <t>Incident Monitoring</t>
  </si>
  <si>
    <t>SI-6(3)</t>
  </si>
  <si>
    <t>IR-4(6)</t>
  </si>
  <si>
    <t>IR-5(1)</t>
  </si>
  <si>
    <t>AC-4(19)</t>
  </si>
  <si>
    <t>AC-4(4)</t>
  </si>
  <si>
    <t>CA-7</t>
  </si>
  <si>
    <t>Continuous Monitoring</t>
  </si>
  <si>
    <t>SA-18(2)</t>
  </si>
  <si>
    <t>SI-8(1)</t>
  </si>
  <si>
    <t>PE-20</t>
  </si>
  <si>
    <t>Asset Monitoring and Tracking</t>
  </si>
  <si>
    <t>PE-6(2)</t>
  </si>
  <si>
    <t>AC-2(12)</t>
  </si>
  <si>
    <t>AC-6(9)</t>
  </si>
  <si>
    <t>AC-9</t>
  </si>
  <si>
    <t>Previous Logon Notification</t>
  </si>
  <si>
    <t>AC-9(4)</t>
  </si>
  <si>
    <t>CM-10</t>
  </si>
  <si>
    <t>CM-10(1)</t>
  </si>
  <si>
    <t>CM-11</t>
  </si>
  <si>
    <t>CM-11(1)</t>
  </si>
  <si>
    <t>CM-11(2)</t>
  </si>
  <si>
    <t>SI-3</t>
  </si>
  <si>
    <t>Malicious Code Protection</t>
  </si>
  <si>
    <t>SI-3(1)</t>
  </si>
  <si>
    <t>SI-3(10)</t>
  </si>
  <si>
    <t>SI-3(2)</t>
  </si>
  <si>
    <t>SI-3(4)</t>
  </si>
  <si>
    <t>SI-3(6)</t>
  </si>
  <si>
    <t>SI-3(7)</t>
  </si>
  <si>
    <t>SI-3(8)</t>
  </si>
  <si>
    <t>SI-3(9)</t>
  </si>
  <si>
    <t>SC-18</t>
  </si>
  <si>
    <t>Mobile Code</t>
  </si>
  <si>
    <t>SC-18(1)</t>
  </si>
  <si>
    <t>SC-18(2)</t>
  </si>
  <si>
    <t>SC-18(3)</t>
  </si>
  <si>
    <t>SC-18(4)</t>
  </si>
  <si>
    <t>SC-18(5)</t>
  </si>
  <si>
    <t>SC-44</t>
  </si>
  <si>
    <t>Detonation Chambers</t>
  </si>
  <si>
    <t>AU-16(2)</t>
  </si>
  <si>
    <t>SA-12(15)</t>
  </si>
  <si>
    <t>AC-17(1)</t>
  </si>
  <si>
    <t>AC-4(13)</t>
  </si>
  <si>
    <t>AC-4(15)</t>
  </si>
  <si>
    <t>AC-4(6)</t>
  </si>
  <si>
    <t>AC-7</t>
  </si>
  <si>
    <t>Unsuccessful Logon Attempts</t>
  </si>
  <si>
    <t>AC-9(1)</t>
  </si>
  <si>
    <t>AC-9(2)</t>
  </si>
  <si>
    <t>AC-9(3)</t>
  </si>
  <si>
    <t>SA-19(4)</t>
  </si>
  <si>
    <t>SI-11</t>
  </si>
  <si>
    <t>Error Handling</t>
  </si>
  <si>
    <t>AU-2(3)</t>
  </si>
  <si>
    <t>AU-5(2)</t>
  </si>
  <si>
    <t>CP-3</t>
  </si>
  <si>
    <t>Contingency Training</t>
  </si>
  <si>
    <t>CP-3(1)</t>
  </si>
  <si>
    <t>CP-3(2)</t>
  </si>
  <si>
    <t>AU-5(3)</t>
  </si>
  <si>
    <t>IR-6</t>
  </si>
  <si>
    <t>Incident Reporting</t>
  </si>
  <si>
    <t>IR-6(1)</t>
  </si>
  <si>
    <t>IR-6(2)</t>
  </si>
  <si>
    <t>IR-6(3)</t>
  </si>
  <si>
    <t>SI-5</t>
  </si>
  <si>
    <t>Security Alerts, Advisories, and Directives</t>
  </si>
  <si>
    <t>IR-4(4)</t>
  </si>
  <si>
    <t>CP-10</t>
  </si>
  <si>
    <t>System Recovery and Reconstitution</t>
  </si>
  <si>
    <t>CP-10(2)</t>
  </si>
  <si>
    <t>CP-10(4)</t>
  </si>
  <si>
    <t>CP-10(6)</t>
  </si>
  <si>
    <t>IR-10</t>
  </si>
  <si>
    <t>IR-2</t>
  </si>
  <si>
    <t>Incident Response Training</t>
  </si>
  <si>
    <t>IR-2(1)</t>
  </si>
  <si>
    <t>IR-2(2)</t>
  </si>
  <si>
    <t>IR-7</t>
  </si>
  <si>
    <t>Incident Response Assistance</t>
  </si>
  <si>
    <t>IR-7(1)</t>
  </si>
  <si>
    <t>IR-7(2)</t>
  </si>
  <si>
    <t>IR-9</t>
  </si>
  <si>
    <t>Information Spillage Response</t>
  </si>
  <si>
    <t>IR-9(1)</t>
  </si>
  <si>
    <t>IR-9(2)</t>
  </si>
  <si>
    <t>IR-9(3)</t>
  </si>
  <si>
    <t>IR-9(4)</t>
  </si>
  <si>
    <t>SI-17</t>
  </si>
  <si>
    <t>SI-13</t>
  </si>
  <si>
    <t>Predictable Failure Prevention</t>
  </si>
  <si>
    <t>SI-13(1)</t>
  </si>
  <si>
    <t>SI-13(3)</t>
  </si>
  <si>
    <t>SI-13(4)</t>
  </si>
  <si>
    <t>SI-13(5)</t>
  </si>
  <si>
    <t>SC-36</t>
  </si>
  <si>
    <t>Distributed Processing and Storage</t>
  </si>
  <si>
    <t>SC-36(1)</t>
  </si>
  <si>
    <t>AU-9(5)</t>
  </si>
  <si>
    <t>CP-12</t>
  </si>
  <si>
    <t>Safe Mode</t>
  </si>
  <si>
    <t>CP-13</t>
  </si>
  <si>
    <t>Alternative Security Mechanisms</t>
  </si>
  <si>
    <t>CP-7</t>
  </si>
  <si>
    <t>Alternate Processing Site</t>
  </si>
  <si>
    <t>CP-7(1)</t>
  </si>
  <si>
    <t>CP-7(2)</t>
  </si>
  <si>
    <t>CP-7(3)</t>
  </si>
  <si>
    <t>CP-7(4)</t>
  </si>
  <si>
    <t>CP-7(6)</t>
  </si>
  <si>
    <t>AP-1</t>
  </si>
  <si>
    <t>AUTHORITY TO COLLECT</t>
  </si>
  <si>
    <t>AP-2</t>
  </si>
  <si>
    <t>PURPOSE SPECIFICATION</t>
  </si>
  <si>
    <t>AR-1</t>
  </si>
  <si>
    <t>GOVERNANCE AND PRIVACY PROGRAM</t>
  </si>
  <si>
    <t>AR-2</t>
  </si>
  <si>
    <t>PRIVACY IMPACT AND RISK ASSESSMENT</t>
  </si>
  <si>
    <t>AR-3</t>
  </si>
  <si>
    <t>PRIVACY REQUIREMENTS FOR CONTRACTORS AND SERVICE PROVIDERS</t>
  </si>
  <si>
    <t>AR-4</t>
  </si>
  <si>
    <t>PRIVACY MONITORING AND AUDITING</t>
  </si>
  <si>
    <t>AR-5</t>
  </si>
  <si>
    <t>PRIVACY AWARENESS AND TRAINING</t>
  </si>
  <si>
    <t>AR-6</t>
  </si>
  <si>
    <t>PRIVACY REPORTING</t>
  </si>
  <si>
    <t>AR-7</t>
  </si>
  <si>
    <t>PRIVACY-ENHANCED SYSTEM DESIGN AND DEVELOPMENT</t>
  </si>
  <si>
    <t>AR-8</t>
  </si>
  <si>
    <t>ACCOUNTING OF DISCLOSURES</t>
  </si>
  <si>
    <t>DI-1</t>
  </si>
  <si>
    <t>DATA QUALITY</t>
  </si>
  <si>
    <t>DI-2</t>
  </si>
  <si>
    <t>DATA INTEGRITY AND DATA INTEGRITY BOARD</t>
  </si>
  <si>
    <t>DM-1</t>
  </si>
  <si>
    <t>MINIMIZATION OF PERSONALLY IDENTIFIABLE INFORMATION</t>
  </si>
  <si>
    <t>DM-2</t>
  </si>
  <si>
    <t>DATA RETENTION AND DISPOSAL</t>
  </si>
  <si>
    <t>DM-3</t>
  </si>
  <si>
    <t>MINIMIZATION OF PII USED IN TESTING, TRAINING, AND RESEARCH</t>
  </si>
  <si>
    <t>IP-1</t>
  </si>
  <si>
    <t>CONSENT</t>
  </si>
  <si>
    <t>IP-1(1)</t>
  </si>
  <si>
    <t>CONSENT | MECHANISMS SUPPORTING ITEMIZED OR TIERED CONSENT</t>
  </si>
  <si>
    <t>IP-2</t>
  </si>
  <si>
    <t>INDIVIDUAL ACCESS</t>
  </si>
  <si>
    <t>IP-3</t>
  </si>
  <si>
    <t>REDRESS</t>
  </si>
  <si>
    <t>IP-4</t>
  </si>
  <si>
    <t>COMPLAINT MANAGEMENT</t>
  </si>
  <si>
    <t>IP-4(1)</t>
  </si>
  <si>
    <t>COMPLAINT MANAGEMENT | RESPONSE TIMES</t>
  </si>
  <si>
    <t>SE-1</t>
  </si>
  <si>
    <t>INVENTORY OF PERSONALLY IDENTIFIABLE INFORMATION</t>
  </si>
  <si>
    <t>SE-2</t>
  </si>
  <si>
    <t>PRIVACY INCIDENT RESPONSE</t>
  </si>
  <si>
    <t>TR-1</t>
  </si>
  <si>
    <t>PRIVACY NOTICE</t>
  </si>
  <si>
    <t>TR-1(1)</t>
  </si>
  <si>
    <t>PRIVACY NOTICE | REAL-TIME OR LAYERED NOTICE</t>
  </si>
  <si>
    <t>TR-2</t>
  </si>
  <si>
    <t>SYSTEM OF RECORDS NOTICES AND PRIVACY ACT STATEMENTS</t>
  </si>
  <si>
    <t>TR-2(1)</t>
  </si>
  <si>
    <t>SYSTEM OF RECORDS NOTICES AND PRIVACY ACT STATEMENTS | PUBLIC WEBSITE PUBLICATION</t>
  </si>
  <si>
    <t>TR-3</t>
  </si>
  <si>
    <t>DISSEMINATION OF PRIVACY PROGRAM INFORMATION</t>
  </si>
  <si>
    <t>UL-1</t>
  </si>
  <si>
    <t>INTERNAL USE</t>
  </si>
  <si>
    <t>UL-2</t>
  </si>
  <si>
    <t>INFORMATION SHARING WITH THIRD PARTIES</t>
  </si>
  <si>
    <t>INFORMATION SYSTEM COMPONENT INVENTORY</t>
  </si>
  <si>
    <t>INFORMATION SYSTEM COMPONENT INVENTORY | AUTOMATED MAINTENANCE</t>
  </si>
  <si>
    <t>INFORMATION SYSTEM COMPONENT INVENTORY | CENTRALIZED REPOSITORY</t>
  </si>
  <si>
    <t>INFORMATION SYSTEM COMPONENT INVENTORY | ASSIGNMENT OF COMPONENTS TO SYSTEMS</t>
  </si>
  <si>
    <t>INFORMATION SYSTEM INVENTORY</t>
  </si>
  <si>
    <t>INFORMATION SYSTEM COMPONENT INVENTORY | UPDATES DURING INSTALLATIONS / REMOVALS</t>
  </si>
  <si>
    <t>INFORMATION FLOW ENFORCEMENT | DOMAIN AUTHENTICATION</t>
  </si>
  <si>
    <t>INFORMATION FLOW ENFORCEMENT | HUMAN REVIEWS</t>
  </si>
  <si>
    <t>INTERNAL SYSTEM CONNECTIONS</t>
  </si>
  <si>
    <t>SUPPLY CHAIN PROTECTION | IDENTITY AND TRACEABILITY</t>
  </si>
  <si>
    <t>EXTERNAL INFORMATION SYSTEM SERVICES</t>
  </si>
  <si>
    <t>EXTERNAL INFORMATION SYSTEM SERVICES | IDENTIFICATION OF FUNCTIONS / PORTS / PROTOCOLS / SERVICES</t>
  </si>
  <si>
    <t>SECURITY ATTRIBUTES</t>
  </si>
  <si>
    <t>SECURITY ATTRIBUTES | MAINTENANCE OF ATTRIBUTE ASSOCIATIONS BY INFORMATION SYSTEM</t>
  </si>
  <si>
    <t>SECURITY ATTRIBUTES | MAINTENANCE OF ATTRIBUTE ASSOCIATION BY ORGANIZATION</t>
  </si>
  <si>
    <t>SECURITY ATTRIBUTES | ASSOCIATION TECHNIQUES/TECHNOLOGIES</t>
  </si>
  <si>
    <t>ACCESS CONTROL FOR MOBILE DEVICES | RESTRICTIONS FOR CLASSIFIED INFORMATION</t>
  </si>
  <si>
    <t>INFORMATION SHARING</t>
  </si>
  <si>
    <t>PUBLICLY ACCESSIBLE CONTENT</t>
  </si>
  <si>
    <t>INFORMATION FLOW ENFORCEMENT | SECURITY ATTRIBUTE BINDING</t>
  </si>
  <si>
    <t>CONTINGENCY PLAN | IDENTIFY CRITICAL ASSETS</t>
  </si>
  <si>
    <t>SECURITY CATEGORIZATION</t>
  </si>
  <si>
    <t>ALLOCATION OF RESOURCES</t>
  </si>
  <si>
    <t>THIN NODES</t>
  </si>
  <si>
    <t>INFORMATION SYSTEM COMPONENT INVENTORY | ACCOUNTABILITY INFORMATION</t>
  </si>
  <si>
    <t>CONTINGENCY PLAN | RESUME ALL MISSIONS / BUSINESS FUNCTIONS</t>
  </si>
  <si>
    <t>THIRD-PARTY PERSONNEL SECURITY</t>
  </si>
  <si>
    <t>CONTINGENCY PLAN | COORDINATE WITH EXTERNAL SERVICE PROVIDERS</t>
  </si>
  <si>
    <t>INFORMATION SECURITY ARCHITECTURE</t>
  </si>
  <si>
    <t>CRITICAL INFRASTRUCTURE PLAN</t>
  </si>
  <si>
    <t>CONTINGENCY PLAN | COORDINATE WITH RELATED PLANS</t>
  </si>
  <si>
    <t>MISSION/BUSINESS PROCESS DEFINITION</t>
  </si>
  <si>
    <t>TELECOMMUNICATIONS SERVICES</t>
  </si>
  <si>
    <t>EMERGENCY POWER</t>
  </si>
  <si>
    <t>EMERGENCY POWER | LONG-TERM ALTERNATE POWER SUPPLY – MINIMAL OPERATIONAL CAPABILITY</t>
  </si>
  <si>
    <t>EMERGENCY POWER | LONG-TERM ALTERNATE POWER SUPPLY – SELF-CONTAINED</t>
  </si>
  <si>
    <t>POWER EQUIPMENT AND CABLING</t>
  </si>
  <si>
    <t>POWER EQUIPMENT AND CABLING | AUTOMATIC VOLTAGE CONTROLS</t>
  </si>
  <si>
    <t>CRITICALITY ANALYSIS</t>
  </si>
  <si>
    <t>INFORMATION SECURITY ARCHITECTURE | DEFENSE-IN-DEPTH</t>
  </si>
  <si>
    <t>COLLABORATIVE COMPUTING DEVICES</t>
  </si>
  <si>
    <t>ALTERNATE COMMUNICATIONS PROTOCOLS</t>
  </si>
  <si>
    <t>CONTINGENCY PLAN</t>
  </si>
  <si>
    <t>CONTINGENCY PLAN | CAPACITY PLANNING</t>
  </si>
  <si>
    <t>CONTINGENCY PLAN | RESUME ESSENTIAL MISSIONS/BUSINESS FUNCTIONS</t>
  </si>
  <si>
    <t>CONTINGENCY PLAN | CONTINUE ESSENTIAL MISSIONS / BUSINESS FUNCTIONS</t>
  </si>
  <si>
    <t>CONTINGENCY PLAN | ALTERNATE PROCESSING / STORAGE SITE</t>
  </si>
  <si>
    <t>POWER EQUIPMENT AND CABLING | REDUNDANT CABLING</t>
  </si>
  <si>
    <t>INFORMATION SECURITY ARCHITECTURE | SUPPLIER DIVERSITY</t>
  </si>
  <si>
    <t>SUPPLY CHAIN PROTECTION | CRITICAL INFORMATION SYSTEM COMPONENTS</t>
  </si>
  <si>
    <t>HETEROGENEITY</t>
  </si>
  <si>
    <t>HETEROGENEITY | VIRTUALIZATION TECHNIQUES</t>
  </si>
  <si>
    <t>FAIL IN KNOWN STATE</t>
  </si>
  <si>
    <t>ACCESS CONTROL POLICY AND PROCEDURES</t>
  </si>
  <si>
    <t xml:space="preserve">SECURITY AWARENESS AND TRAINING </t>
  </si>
  <si>
    <t>AUDIT AND ACCOUNTABILITY POLICY AND PROCEDURES</t>
  </si>
  <si>
    <t>SECURITY ASSESSMENT AND AUTHORIZATION POLICY AND PROCEDURES</t>
  </si>
  <si>
    <t>CONFIGURATION MANAGEMENT POLICY AND PROCEDURES</t>
  </si>
  <si>
    <t xml:space="preserve">IDENTIFICATION AND AUTHENTICATION </t>
  </si>
  <si>
    <t xml:space="preserve">SYSTEM MAINTENANCE </t>
  </si>
  <si>
    <t xml:space="preserve">MEDIA PROTECTION </t>
  </si>
  <si>
    <t xml:space="preserve">PHYSICAL AND ENVIRONMENTAL PROTECTION </t>
  </si>
  <si>
    <t xml:space="preserve">SECURITY PLANNING </t>
  </si>
  <si>
    <t>INFORMATION SECURITY PROGRAM PLAN</t>
  </si>
  <si>
    <t xml:space="preserve">PERSONNEL SECURITY </t>
  </si>
  <si>
    <t xml:space="preserve">RISK ASSESSMENT </t>
  </si>
  <si>
    <t>SYSTEM AND SERVICES ACQUISITION POLICY AND PROCEDURES</t>
  </si>
  <si>
    <t xml:space="preserve">SYSTEM AND COMMUNICATIONS PROTECTION </t>
  </si>
  <si>
    <t xml:space="preserve">SYSTEM AND INFORMATION INTEGRITY </t>
  </si>
  <si>
    <t>INFORMATION SHARING | AUTOMATED DECISION SUPPORT</t>
  </si>
  <si>
    <t>CROSS-ORGANIZATIONAL AUDITING</t>
  </si>
  <si>
    <t>EXTERNAL INFORMATION SYSTEM SERVICES | CONSISTENT INTERESTS OF CONSUMERS AND PROVIDERS</t>
  </si>
  <si>
    <t>CENTRAL MANAGEMENT</t>
  </si>
  <si>
    <t>SENIOR INFORMATION SECURITY OFFICER</t>
  </si>
  <si>
    <t>EXTERNAL INFORMATION SYSTEM SERVICES | ESTABLISH / MAINTAIN TRUST RELATIONSHIP WITH PROVIDERS</t>
  </si>
  <si>
    <t>EXTERNAL INFORMATION SYSTEM SERVICES | PROCESSING, STORAGE, AND SERVICE LOCATION</t>
  </si>
  <si>
    <t>INFORMATION FLOW ENFORCEMENT | DYNAMIC INFORMATION FLOW CONTROL</t>
  </si>
  <si>
    <t>RISK MANAGEMENT STRATEGY</t>
  </si>
  <si>
    <t>INFORMATION SECURITY RESOURCES</t>
  </si>
  <si>
    <t>SECURITY ASSESSMENTS</t>
  </si>
  <si>
    <t>SECURITY ASSESSMENTS | INDEPENDENT ASSESSORS</t>
  </si>
  <si>
    <t>SECURITY ASSESSMENTS | SPECIALIZED ASSESSMENTS</t>
  </si>
  <si>
    <t>SECURITY ASSESSMENTS | EXTERNAL ORGANIZATIONS</t>
  </si>
  <si>
    <t>CONTINUOUS MONITORING | INDEPENDENT ASSESSMENT</t>
  </si>
  <si>
    <t>CONTINUOUS MONITORING | TREND ANALYSIS</t>
  </si>
  <si>
    <t>PENETRATION TESTING</t>
  </si>
  <si>
    <t>PENETRATION TESTING | INDEPENDENT PENETRATION AGENT OR TEAM</t>
  </si>
  <si>
    <t>PENETRATION TESTING | RED TEAM EXERCISES</t>
  </si>
  <si>
    <t>RISK ASSESSMENT</t>
  </si>
  <si>
    <t>VULNERABILITY SCANNING</t>
  </si>
  <si>
    <t>VULNERABILITY SCANNING | UPDATE TOOL CAPABILITY</t>
  </si>
  <si>
    <t>VULNERABILITY SCANNING | CORRELATE SCANNING INFORMATION</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</si>
  <si>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</si>
  <si>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</si>
  <si>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</si>
  <si>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</si>
  <si>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</si>
  <si>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</si>
  <si>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TECHNICAL SURVEILLANCE COUNTERMEASURES SURVEY</t>
  </si>
  <si>
    <t>DEVELOPER SECURITY TESTING AND EVALUATION</t>
  </si>
  <si>
    <t>DEVELOPER SECURITY TESTING AND EVALUATION | STATIC CODE ANALYSIS</t>
  </si>
  <si>
    <t>DEVELOPER SECURITY TESTING AND EVALUATION | THREAT AND VULNERABILITY ANALYSES</t>
  </si>
  <si>
    <t>DEVELOPER SECURITY TESTING AND EVALUATION | INDEPENDENT VERIFICATION OF ASSESSMENT PLANS / EVIDENCE</t>
  </si>
  <si>
    <t>DEVELOPER SECURITY TESTING AND EVALUATION | MANUAL CODE REVIEWS</t>
  </si>
  <si>
    <t>DEVELOPER SECURITY TESTING AND EVALUATION | PENETRATION TESTING / ANALYSIS</t>
  </si>
  <si>
    <t>DEVELOPER SECURITY TESTING AND EVALUATION | ATTACK SURFACE REVIEWS</t>
  </si>
  <si>
    <t>DEVELOPER SECURITY TESTING AND EVALUATION | VERIFY SCOPE OF TESTING / EVALUATION</t>
  </si>
  <si>
    <t>SUPPLY CHAIN PROTECTION | ASSESSMENTS PRIOR TO SELECTION / ACCEPTANCE / UPDATE</t>
  </si>
  <si>
    <t>INFORMATION SYSTEM DOCUMENTATION</t>
  </si>
  <si>
    <t>FLAW REMEDIATION</t>
  </si>
  <si>
    <t>FLAW REMEDIATION | CENTRAL MANAGEMENT</t>
  </si>
  <si>
    <t>FLAW REMEDIATION | AUTOMATED FLAW REMEDIATION STATUS</t>
  </si>
  <si>
    <t>FLAW REMEDIATION | TIME TO REMEDIATE FLAWS / BENCHMARKS FOR CORRECTION ACTIONS</t>
  </si>
  <si>
    <t>FLAW REMEDIATION | AUTOMATIC SOFTWARE / FIRMWARE UPDATES</t>
  </si>
  <si>
    <t>FLAW REMEDIATION | REMOVAL OF PREVIOUS VERSIONS OF SOFTWARE / FIRMWARE</t>
  </si>
  <si>
    <t>INFORMATION SYSTEM MONITORING</t>
  </si>
  <si>
    <t>INFORMATION SYSTEM MONITORING | SYSTEM-WIDE INTRUSION DETECTION SYSTEM</t>
  </si>
  <si>
    <t>INFORMATION SYSTEM MONITORING | VISIBILITY OF ENCRYPTED COMMUNICATIONS</t>
  </si>
  <si>
    <t>INFORMATION SYSTEM MONITORING | ANALYZE COMMUNICATIONS TRAFFIC ANOMALIES</t>
  </si>
  <si>
    <t>INFORMATION SYSTEM MONITORING | AUTOMATED ALERTS</t>
  </si>
  <si>
    <t>INFORMATION SYSTEM MONITORING | ANALYZE TRAFFIC/EVENT PATTERNS</t>
  </si>
  <si>
    <t>INFORMATION SYSTEM MONITORING | WIRELESS INTRUSION DETECTION</t>
  </si>
  <si>
    <t>INFORMATION SYSTEM MONITORING | WIRELESS TO WIRELINE COMMUNICATIONS</t>
  </si>
  <si>
    <t>INFORMATION SYSTEM MONITORING | CORRELATE MONITORING INFORMATION</t>
  </si>
  <si>
    <t>INFORMATION SYSTEM MONITORING | INTEGRATED SITUATIONAL AWARENESS</t>
  </si>
  <si>
    <t>INFORMATION SYSTEM MONITORING | ANALYZE TRAFFIC / COVERT EXFILTRATION</t>
  </si>
  <si>
    <t>INFORMATION SYSTEM MONITORING | PRIVILEGED USERS</t>
  </si>
  <si>
    <t>INFORMATION SYSTEM MONITORING | AUTOMATED TOOL INTEGRATION</t>
  </si>
  <si>
    <t>INFORMATION SYSTEM MONITORING | INBOUND AND OUTBOUND COMMUNICATIONS TRAFFIC</t>
  </si>
  <si>
    <t>INFORMATION SYSTEM MONITORING | SYSTEM-GENERATED ALERTS</t>
  </si>
  <si>
    <t>CONTACTS WITH SECURITY GROUPS AND ASSOCIATIONS</t>
  </si>
  <si>
    <t>THREAT AWARENESS PROGRAM</t>
  </si>
  <si>
    <t>INSIDER THREAT PROGRAM</t>
  </si>
  <si>
    <t>SECURITY ALERTS, ADVISORIES, AND DIRECTIVES | AUTOMATED ALERTS AND ADVISORIES</t>
  </si>
  <si>
    <t>EXTERNAL INFORMATION SYSTEM SERVICES | RISK ASSESSMENTS / ORGANIZATIONAL APPROVALS</t>
  </si>
  <si>
    <t>ENTERPRISE ARCHITECTURE</t>
  </si>
  <si>
    <t>PLAN OF ACTION AND MILESTONES PROCESS</t>
  </si>
  <si>
    <t>USE OF EXTERNAL INFORMATION SYSTEMS</t>
  </si>
  <si>
    <t>SUPPLY CHAIN PROTECTION</t>
  </si>
  <si>
    <t>SUPPLY CHAIN PROTECTION | SUPPLIER REVIEWS</t>
  </si>
  <si>
    <t>USE OF EXTERNAL INFORMATION SYSTEMS | LIMITS ON AUTHORIZED USE</t>
  </si>
  <si>
    <t>SUPPLY CHAIN PROTECTION | INTER-ORGANIZATIONAL AGREEMENTS</t>
  </si>
  <si>
    <t>SUPPLY CHAIN PROTECTION | LIMITATION OF HARM</t>
  </si>
  <si>
    <t>SUPPLY CHAIN PROTECTION | USE OF ALL-SOURCE INTELLIGENCE</t>
  </si>
  <si>
    <t>SUPPLY CHAIN PROTECTION | OPERATIONS SECURITY</t>
  </si>
  <si>
    <t>SESSION TERMINATION | USER-INITIATED LOGOUTS/MESSAGE DISPLAYS</t>
  </si>
  <si>
    <t>REMOTE ACCESS | DISCONNECT/DISABLE ACCESS</t>
  </si>
  <si>
    <t>ACCOUNT MANAGEMENT</t>
  </si>
  <si>
    <t>ACCESS ENFORCEMENT | SECURITY-RELEVANT INFORMATION</t>
  </si>
  <si>
    <t>ACCESS ENFORCEMENT | REVOCATION OF ACCESS AUTHORIZATIONS</t>
  </si>
  <si>
    <t>LEAST PRIVILEGE | REVIEW OF USER PRIVILEGES</t>
  </si>
  <si>
    <t>ADAPTIVE IDENTIFICATION AND AUTHENTICATION</t>
  </si>
  <si>
    <t>RE-AUTHENTICATION</t>
  </si>
  <si>
    <t>IDENTIFICATION AND AUTHENTICATION (ORGANIZATIONAL USERS)</t>
  </si>
  <si>
    <t>IDENTIFICATION AND AUTHENTICATION | NETWORK ACCESS TO PRIVILEGED ACCOUNTS</t>
  </si>
  <si>
    <t>IDENTIFICATION AND AUTHENTICATION | SINGLE SIGN-ON</t>
  </si>
  <si>
    <t>IDENTIFICATION AND AUTHENTICATION | REMOTE ACCESS – SEPARATE DEVICE</t>
  </si>
  <si>
    <t>IDENTIFICATION AND AUTHENTICATION | ACCEPTANCE OF PIV CREDENTIALS</t>
  </si>
  <si>
    <t>IDENTIFICATION AND AUTHENTICATION | OUT-OF-BAND AUTHENTICATION</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</si>
  <si>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</si>
  <si>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</si>
  <si>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</si>
  <si>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 GROUP AUTHENTICATION</t>
  </si>
  <si>
    <t>IDENTIFICATION AND AUTHENTICATION | NETWORK ACCESS TO PRIVILEGED ACCOUNTS –SEPARATE DEVICE</t>
  </si>
  <si>
    <t>IDENTIFICATION AND AUTHENTICATION | NETWORK ACCESS TO NON-PRIVILEGED ACCOUNTS –SEPARATE DEVICE</t>
  </si>
  <si>
    <t>IDENTIFICATION AND AUTHENTICATION | NETWORK ACCESS TO PRIVILEGED ACCOUNTS – REPLAY RESISTANT</t>
  </si>
  <si>
    <t>IDENTIFICATION AND AUTHENTICATION | NETWORK ACCESS TO NON-PRIVILEGED ACCOUNTS – REPLAY RESISTANT</t>
  </si>
  <si>
    <t>DEVICE IDENTIFICATION AND AUTHENTICATION</t>
  </si>
  <si>
    <t>DEVICE IDENTIFICATION AND AUTHENTICATION |CRYPTOGRAPHIC BIDIRECTIONAL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</si>
  <si>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</si>
  <si>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</si>
  <si>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</si>
  <si>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</si>
  <si>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</si>
  <si>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</si>
  <si>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</si>
  <si>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</si>
  <si>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</si>
  <si>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</si>
  <si>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AUTHENTICATOR MANAGEMENT</t>
  </si>
  <si>
    <t>AUTHENTICATOR MANAGEMENT | PASSWORD-BASED AUTHENTICATION</t>
  </si>
  <si>
    <t>AUTHENTICATOR MANAGEMENT | DYNAMIC CREDENTIAL ASSOCIATION</t>
  </si>
  <si>
    <t>AUTHENTICATOR MANAGEMENT | HARDWARE TOKEN-BASED AUTHENTICATION</t>
  </si>
  <si>
    <t>AUTHENTICATOR MANAGEMENT | BIOMETRIC AUTHENTICATION</t>
  </si>
  <si>
    <t>AUTHENTICATOR MANAGEMENT | EXPIRATION OF CACHED AUTHENTICATORS</t>
  </si>
  <si>
    <t>AUTHENTICATOR MANAGEMENT | MANAGING CONTENT OF PKI TRUST STORES</t>
  </si>
  <si>
    <t>AUTHENTICATOR MANAGEMENT | FICAM-APPROVED PRODUCTS AND SERVICES</t>
  </si>
  <si>
    <t>AUTHENTICATOR MANAGEMENT | PKI-BASED AUTHENTICATION</t>
  </si>
  <si>
    <t>AUTHENTICATOR MANAGEMENT | IN-PERSON OR TRUSTED THIRD-PARTY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</si>
  <si>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</si>
  <si>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</si>
  <si>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</si>
  <si>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</si>
  <si>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INFORMATION SYSTEM ACCOUNTS</t>
  </si>
  <si>
    <t>AUTHENTICATOR MANAGEMENT | CROSS-ORGANIZATIONAL CREDENTIAL MANAGEMENT</t>
  </si>
  <si>
    <t>AUTHENTICATOR FEEDBACK</t>
  </si>
  <si>
    <t>CRYPTOGRAPHIC MODULE AUTHENTICATION</t>
  </si>
  <si>
    <t>IDENTIFICATION AND AUTHENTICATION (NON-ORGANIZATIONAL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</si>
  <si>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</si>
  <si>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</si>
  <si>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</si>
  <si>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</si>
  <si>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IDENTIFICATION AND AUTHENTICATION | ACCEPTANCE OF PIV-I CREDENTIALS</t>
  </si>
  <si>
    <t>SERVICE IDENTIFICATION AND AUTHENTICATION</t>
  </si>
  <si>
    <t>SERVICE IDENTIFICATION AND AUTHENTICATION | INFORMATION EXCHANGE</t>
  </si>
  <si>
    <t>SERVICE IDENTIFICATION AND AUTHENTICATION | TRANSMISSION OF DECISIONS</t>
  </si>
  <si>
    <t>ACCOUNT MANAGEMENT | AUTOMATED SYSTEM ACCOUNT MANAGEMENT</t>
  </si>
  <si>
    <t>ACCOUNT MANAGEMENT | REMOVAL OF TEMPORARY/EMERGENCY ACCOUNTS</t>
  </si>
  <si>
    <t>ACCOUNT MANAGEMENT | DISABLE INACTIVE ACCOUNTS</t>
  </si>
  <si>
    <t>ACCOUNT MANAGEMENT | DYNAMIC ACCOUNT CREATION</t>
  </si>
  <si>
    <t>ACCESS CONTROL DECISIONS</t>
  </si>
  <si>
    <t>ACCOUNT MANAGEMENT | DISABLE ACCOUNTS FOR HIGH-RISK INDIVIDUALS</t>
  </si>
  <si>
    <t>WIRELESS ACCESS | ANTENNAS/TRANSMISSION POWER LEVELS</t>
  </si>
  <si>
    <t>PHYSICAL ACCESS AUTHORIZATIONS</t>
  </si>
  <si>
    <t>PHYSICAL ACCESS AUTHORIZATIONS | ACCESS BY POSITION / ROLE</t>
  </si>
  <si>
    <t>PHYSICAL ACCESS AUTHORIZATIONS | TWO FORMS OF IDENTIFICATION</t>
  </si>
  <si>
    <t>PHYSICAL ACCESS AUTHORIZATIONS | RESTRICT UNESCORTED ACCESS</t>
  </si>
  <si>
    <t>PHYSICAL ACCESS CONTROL</t>
  </si>
  <si>
    <t>PHYSICAL ACCESS CONTROL | INFORMATION SYSTEM ACCESS</t>
  </si>
  <si>
    <t>PHYSICAL ACCESS CONTROL | FACILITY/INFORMATION SYSTEM BOUNDARIES</t>
  </si>
  <si>
    <t>PHYSICAL ACCESS CONTROL | CONTINUOUS GUARDS / ALARMS / MONITORING</t>
  </si>
  <si>
    <t>PHYSICAL ACCESS CONTROL | LOCKABLE CASINGS</t>
  </si>
  <si>
    <t>PHYSICAL ACCESS CONTROL | TAMPER PROTECTION</t>
  </si>
  <si>
    <t>PHYSICAL ACCESS CONTROL | FACILITY PENETRATION TESTING</t>
  </si>
  <si>
    <t>ACCESS CONTROL FOR TRANSMISSION MEDIUM</t>
  </si>
  <si>
    <t>ACCESS CONTROL FOR OUTPUT DEVICES</t>
  </si>
  <si>
    <t>ACCESS CONTROL FOR OUTPUT DEVICES | ACCESS TO OUTPUT BY AUTHORIZED INDIVIDUALS</t>
  </si>
  <si>
    <t>ACCESS CONTROL FOR OUTPUT DEVICES | ACCESS TO OUTPUT BY INDIVIDUAL IDENTITY</t>
  </si>
  <si>
    <t>ACCESS CONTROL FOR OUTPUT DEVICES | MARKING OUTPUT DEVICES</t>
  </si>
  <si>
    <t>MONITORING PHYSICAL ACCESS</t>
  </si>
  <si>
    <t>MONITORING PHYSICAL ACCESS | INTRUSION ALARMS / SURVEILLANCE EQUIPMENT</t>
  </si>
  <si>
    <t>MONITORING PHYSICAL ACCESS | VIDEO SURVEILLANCE</t>
  </si>
  <si>
    <t>MONITORING PHYSICAL ACCESS | MONITORING PHYSICAL ACCESS TO INFORMATION SYSTEMS</t>
  </si>
  <si>
    <t>VISITOR ACCESS RECORDS</t>
  </si>
  <si>
    <t>VISITOR ACCESS RECORDS | AUTOMATED RECORDS MAINTENANCE / REVIEW</t>
  </si>
  <si>
    <t>ACCOUNT MANAGEMENT | INACTIVITY LOGOUT</t>
  </si>
  <si>
    <t>REMOTE ACCESS</t>
  </si>
  <si>
    <t>ACCESS CONTROL FOR MOBILE DEVICES</t>
  </si>
  <si>
    <t>USE OF EXTERNAL INFORMATION SYSTEMS | PORTABLE STORAGE DEVICES</t>
  </si>
  <si>
    <t>INFORMATION FLOW ENFORCEMENT | ACCESS ONLY</t>
  </si>
  <si>
    <t>UNSUCCESSFUL LOGON ATTEMPTS | PURGE / WIPE MOBILE DEVICE</t>
  </si>
  <si>
    <t>SESSION AUDIT | REMOTE VIEWING / LISTENING</t>
  </si>
  <si>
    <t>SECURITY ATTRIBUTES | DYNAMIC ATTRIBUTE ASSOCIATION</t>
  </si>
  <si>
    <t>SECURITY ATTRIBUTES | ATTRIBUTE CONFIGURATION BY AUTHORIZED INDIVIDUALS</t>
  </si>
  <si>
    <t>SECURITY ATTRIBUTES | ATTRIBUTE VALUE CHANGES BY AUTHORIZED INDIVIDUALS</t>
  </si>
  <si>
    <t>SECURITY ATTRIBUTES | ASSOCIATION OF ATTRIBUTES BY AUTHORIZED INDIVIDUALS</t>
  </si>
  <si>
    <t>REMOTE ACCESS | PRIVILEGED COMMANDS / ACCESS</t>
  </si>
  <si>
    <t>ACCOUNT MANAGEMENT | USAGE CONDITIONS</t>
  </si>
  <si>
    <t>ACCESS ENFORCEMENT</t>
  </si>
  <si>
    <t>ACCESS ENFORCEMENT | MANDATORY ACCESS CONTROL</t>
  </si>
  <si>
    <t>ACCESS ENFORCEMENT | DISCRETIONARY ACCESS CONTROL</t>
  </si>
  <si>
    <t>LEAST PRIVILEGE</t>
  </si>
  <si>
    <t>LEAST PRIVILEGE | AUTHORIZE ACCESS TO SECURITY FUNCTIONS</t>
  </si>
  <si>
    <t>LEAST PRIVILEGE | PROHIBIT NON-PRIVILEGED USERS FROM EXECUTING PRIVILEGED FUNCTIONS</t>
  </si>
  <si>
    <t>LEAST PRIVILEGE | NON-PRIVILEGED ACCESS FOR NONSECURITY FUNCTIONS</t>
  </si>
  <si>
    <t>LEAST PRIVILEGE | PRIVILEGED ACCOUNTS</t>
  </si>
  <si>
    <t>LEAST PRIVILEGE | PRIVILEGED ACCESS BY NON-ORGANIZATIONAL USERS</t>
  </si>
  <si>
    <t>LEAST PRIVILEGE | PRIVILEGE LEVELS FOR CODE EXECUTION</t>
  </si>
  <si>
    <t>AUDIT GENERATION | CHANGES BY AUTHORIZED INDIVIDUALS</t>
  </si>
  <si>
    <t>PROTECTION OF AUDIT INFORMATION</t>
  </si>
  <si>
    <t>PROTECTION OF AUDIT INFORMATION | ACCESS BY SUBSET OF PRIVILEGED USERS</t>
  </si>
  <si>
    <t>ACCESS ENFORCEMENT | ROLE-BASED ACCESS CONTROL</t>
  </si>
  <si>
    <t>SEPARATION OF DUTIES</t>
  </si>
  <si>
    <t>PERMITTED ACTIONS WITHOUT IDENTIFICATION OR AUTHENTICATION</t>
  </si>
  <si>
    <t>ACCOUNT MANAGEMENT | ROLE-BASED SCHEMES</t>
  </si>
  <si>
    <t>RULES OF BEHAVIOR | SOCIAL MEDIA AND NETWORKING RESTRICTIONS</t>
  </si>
  <si>
    <t>SECURITY AUTHORIZATION PROCESS</t>
  </si>
  <si>
    <t>WIRELESS ACCESS</t>
  </si>
  <si>
    <t>USE OF EXTERNAL INFORMATION SYSTEMS |NON-ORGANIZATIONALLY OWNED SYSTEMS / COMPONENTS / DEVICES</t>
  </si>
  <si>
    <t>USE OF EXTERNAL INFORMATION SYSTEMS | NETWORK ACCESSIBLE STORAGE DEVICES</t>
  </si>
  <si>
    <t>INFORMATION FLOW ENFORCEMENT | PROCESSING DOMAINS</t>
  </si>
  <si>
    <t>INFORMATION FLOW ENFORCEMENT | PHYSICAL / LOGICAL SEPARATION OF INFORMATION FLOWS</t>
  </si>
  <si>
    <t>LEAST PRIVILEGE | SEPARATE PROCESSING DOMAINS</t>
  </si>
  <si>
    <t>SYSTEM INTERCONNECTIONS | UNCLASSIFIED NATIONAL SECURITY SYSTEM CONNECTIONS</t>
  </si>
  <si>
    <t>SYSTEM INTERCONNECTIONS | UNCLASSIFIED NON-NATIONAL SECURITY SYSTEM CONNECTIONS</t>
  </si>
  <si>
    <t>BOUNDARY PROTECTION</t>
  </si>
  <si>
    <t>BOUNDARY PROTECTION | PREVENT UNAUTHORIZED EXFILTRATION</t>
  </si>
  <si>
    <t>BOUNDARY PROTECTION | RESTRICT INCOMING COMMUNICATIONS TRAFFIC</t>
  </si>
  <si>
    <t>BOUNDARY PROTECTION | HOST-BASED PROTECTION</t>
  </si>
  <si>
    <t>BOUNDARY PROTECTION | ISOLATION OF SECURITY TOOLS / MECHANISMS / SUPPORT COMPONENTS</t>
  </si>
  <si>
    <t>BOUNDARY PROTECTION | PROTECTS AGAINST UNAUTHORIZED PHYSICAL CONNECTIONS</t>
  </si>
  <si>
    <t>BOUNDARY PROTECTION | ROUTE PRIVILEGED NETWORK ACCESSES</t>
  </si>
  <si>
    <t>BOUNDARY PROTECTION | PREVENT DISCOVERY OF COMPONENTS / DEVICES</t>
  </si>
  <si>
    <t>BOUNDARY PROTECTION | AUTOMATED ENFORCEMENT OF PROTOCOL FORMATS</t>
  </si>
  <si>
    <t>BOUNDARY PROTECTION | FAIL SECURE</t>
  </si>
  <si>
    <t>BOUNDARY PROTECTION | BLOCKS COMMUNICATION FROM NON-ORGANIZATIONALLY CONFIGURED HOSTS</t>
  </si>
  <si>
    <t>BOUNDARY PROTECTION | DYNAMIC ISOLATION / SEGREGATION</t>
  </si>
  <si>
    <t>BOUNDARY PROTECTION | ISOLATION OF INFORMATION SYSTEM COMPONENTS</t>
  </si>
  <si>
    <t>BOUNDARY PROTECTION | SEPARATE SUBNETS FOR CONNECTING TO DIFFERENT SECURITY DOMAINS</t>
  </si>
  <si>
    <t>BOUNDARY PROTECTION | DISABLE SENDER FEEDBACK ON PROTOCOL VALIDATION FAILURE</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</si>
  <si>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</si>
  <si>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</si>
  <si>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</si>
  <si>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</si>
  <si>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</si>
  <si>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RESTRICT THREATENING OUTGOING COMMUNICATIONS TRAFFIC</t>
  </si>
  <si>
    <t>SYSTEM INTERCONNECTIONS | CLASSIFIED NATIONAL SECURITY SYSTEM CONNECTIONS</t>
  </si>
  <si>
    <t>SYSTEM INTERCONNECTIONS | RESTRICTIONS ON EXTERNAL SYSTEM CONNECTIONS</t>
  </si>
  <si>
    <t>SYSTEM INTERCONNECTIONS | CONNECTIONS TO PUBLIC NETWORKS</t>
  </si>
  <si>
    <t>NETWORK DISCONNECT</t>
  </si>
  <si>
    <t>TRUSTED PATH</t>
  </si>
  <si>
    <t>TRUSTED PATH | LOGICAL ISOLATION</t>
  </si>
  <si>
    <t>SESSION TERMINATION</t>
  </si>
  <si>
    <t>CROSS-ORGANIZATIONAL AUDITING | IDENTITY PRESERVATION</t>
  </si>
  <si>
    <t>PROTECTION OF AUDIT INFORMATION | DUAL AUTHORIZATION</t>
  </si>
  <si>
    <t>ACCOUNT MANAGEMENT | SHARED / GROUP ACCOUNT CREDENTIAL TERMINATION</t>
  </si>
  <si>
    <t>ACCOUNT MANAGEMENT | DYNAMIC PRIVILEGE MANAGEMENT</t>
  </si>
  <si>
    <t>ACCOUNT MANAGEMENT | RESTRICTIONS ON USE OF SHARED / GROUP ACCOUNTS</t>
  </si>
  <si>
    <t>REFERENCE MONITOR</t>
  </si>
  <si>
    <t>ACCESS ENFORCEMENT | DUAL AUTHORIZATION</t>
  </si>
  <si>
    <t>ACCESS CONTROL DECISIONS | TRANSMIT ACCESS AUTHORIZATION INFORMATION</t>
  </si>
  <si>
    <t>ACCESS CONTROL DECISIONS | NO USER OR PROCESS IDENTITY</t>
  </si>
  <si>
    <t>REMOTE ACCESS | PROTECTION OF INFORMATION</t>
  </si>
  <si>
    <t>SECURITY AWARENESS TRAINING</t>
  </si>
  <si>
    <t>SECURITY AWARENESS TRAINING | PRACTICAL EXERCISE</t>
  </si>
  <si>
    <t>SECURITY AWARENESS TRAINING | INSIDER THREAT</t>
  </si>
  <si>
    <t>ROLE-BASED SECURITY TRAINING |SUSPICIOUS COMMUNICATIONS AND ANOMALOUS SYSTEM BEHAVIOR</t>
  </si>
  <si>
    <t>SECURITY TRAINING RECORDS</t>
  </si>
  <si>
    <t>INFORMATION SECURITY WORKFORCE</t>
  </si>
  <si>
    <t>DEVELOPER-PROVIDED TRAINING</t>
  </si>
  <si>
    <t>RULES OF BEHAVIOR</t>
  </si>
  <si>
    <t>WIRELESS ACCESS | RESTRICT CONFIGURATIONS BY USERS</t>
  </si>
  <si>
    <t>INFORMATION FLOW ENFORCEMENT | ENABLE / DISABLE SECURITY POLICY FILTERS</t>
  </si>
  <si>
    <t>INFORMATION FLOW ENFORCEMENT | CONFIGURATION OF SECURITY POLICY FILTERS</t>
  </si>
  <si>
    <t>SYSTEM USE NOTIFICATION</t>
  </si>
  <si>
    <t>ROLE-BASED SECURITY TRAINING | PRACTICAL EXERCISES</t>
  </si>
  <si>
    <t>SENSOR CAPABILITY AND DATA | PROHIBIT USE OF DEVICES</t>
  </si>
  <si>
    <t>SECURITY AUTHORIZATION</t>
  </si>
  <si>
    <t>ROLE-BASED SECURITY TRAINING</t>
  </si>
  <si>
    <t>ROLE-BASED SECURITY TRAINING | ENVIRONMENTAL CONTROLS</t>
  </si>
  <si>
    <t>ROLE-BASED SECURITY TRAINING | PHYSICAL SECURITY CONTROLS</t>
  </si>
  <si>
    <t>COMPONENT AUTHENTICITY | ANTI-COUNTERFEIT TRAINING</t>
  </si>
  <si>
    <t>ACCESS CONTROL FOR MOBILE DEVICES | FULL DEVICE / CONTAINER-BASED ENCRYPTION</t>
  </si>
  <si>
    <t>PROTECTION OF AUDIT INFORMATION | CRYPTOGRAPHIC PROTECTION</t>
  </si>
  <si>
    <t>PROTECTION OF INFORMATION AT REST</t>
  </si>
  <si>
    <t>PROTECTION OF INFORMATION AT REST | CRYPTOGRAPHIC PROTECTIONS</t>
  </si>
  <si>
    <t>PROTECTION OF INFORMATION AT REST | OFF-LINE STORAGE</t>
  </si>
  <si>
    <t>TRANSMISSION CONFIDENTIALITY AND INTEGRITY</t>
  </si>
  <si>
    <t>TRANSMISSION CONFIDENTIALITY AND INTEGRITY | CRYPTOGRAPHIC OR ALTERNATE PHYSICAL PROTECTION</t>
  </si>
  <si>
    <t>TRANSMISSION CONFIDENTIALITY AND INTEGRITY | PRE / POST TRANSMISSION HANDLING</t>
  </si>
  <si>
    <t>TRANSMISSION CONFIDENTIALITY AND INTEGRITY | CRYPTOGRAPHIC PROTECTION FOR MESSAGE EXTERNALS</t>
  </si>
  <si>
    <t>TRANSMISSION CONFIDENTIALITY AND INTEGRITY | CONCEAL / RANDOMIZE COMMUNICATIONS</t>
  </si>
  <si>
    <t>REMOTE ACCESS | PROTECTION OF CONFIDENTIALITY/INTEGRITY USING ENCRYPTION</t>
  </si>
  <si>
    <t>WIRELESS ACCESS | AUTHENTICATION AND ENCRYPTION</t>
  </si>
  <si>
    <t>SESSION AUTHENTICITY</t>
  </si>
  <si>
    <t>SESSION AUTHENTICITY | INVALIDATE SESSION IDENTIFIERS AT LOGOUT</t>
  </si>
  <si>
    <t>SESSION AUTHENTICITY | UNIQUE SESSION IDENTIFIERS WITH RANDOMIZATION</t>
  </si>
  <si>
    <t>SESSION AUTHENTICITY | ALLOWED CERTIFICATE AUTHORITIES</t>
  </si>
  <si>
    <t>NON-REPUDIATION | ASSOCIATION OF IDENTITIES</t>
  </si>
  <si>
    <t>NON-REPUDIATION | CHAIN OF CUSTODY</t>
  </si>
  <si>
    <t>INFORMATION SYSTEM COMPONENT INVENTORY | AUTOMATED UNAUTHORIZED COMPONENT DETECTION</t>
  </si>
  <si>
    <t>INFORMATION SYSTEM COMPONENT INVENTORY | NO DUPLICATE ACCOUNTING OF COMPONENTS</t>
  </si>
  <si>
    <t>INFORMATION SYSTEM COMPONENT INVENTORY | ASSESSED CONFIGURATIONS / APPROVED DEVIATIONS</t>
  </si>
  <si>
    <t>INFORMATION SYSTEM COMPONENT INVENTORY | AUTOMATED LOCATION TRACKING</t>
  </si>
  <si>
    <t>MEDIA SANITIZATION</t>
  </si>
  <si>
    <t>MEDIA SANITIZATION | REVIEW / APPROVE / TRACK / DOCUMENT / VERIFY</t>
  </si>
  <si>
    <t>MEDIA SANITIZATION | EQUIPMENT TESTING</t>
  </si>
  <si>
    <t>MEDIA SANITIZATION | NONDESTRUCTIVE TECHNIQUES</t>
  </si>
  <si>
    <t>MEDIA SANITIZATION | DUAL AUTHORIZATION</t>
  </si>
  <si>
    <t>MEDIA SANITIZATION | REMOTE PURGING / WIPING OF INFORMATION</t>
  </si>
  <si>
    <t>DELIVERY AND REMOVAL</t>
  </si>
  <si>
    <t>SUPPLY CHAIN PROTECTION | ACQUISITION STRATEGIES / TOOLS / METHODS</t>
  </si>
  <si>
    <t>INFORMATION HANDLING AND RETENTION</t>
  </si>
  <si>
    <t>CONCURRENT SESSION CONTROL</t>
  </si>
  <si>
    <t>ALTERNATE AUDIT CAPABILITY</t>
  </si>
  <si>
    <t>AUDIT STORAGE CAPACITY</t>
  </si>
  <si>
    <t>AUDIT STORAGE CAPACITY | TRANSFER TO ALTERNATE STORAGE</t>
  </si>
  <si>
    <t>RESPONSE TO AUDIT PROCESSING FAILURES</t>
  </si>
  <si>
    <t>RESPONSE TO AUDIT PROCESSING FAILURES | AUDIT STORAGE CAPACITY</t>
  </si>
  <si>
    <t>BASELINE CONFIGURATION | RETENTION OF PREVIOUS CONFIGURATIONS</t>
  </si>
  <si>
    <t>ALTERNATE WORK SITE</t>
  </si>
  <si>
    <t>ARCHITECTURE AND PROVISIONING FOR NAME / ADDRESS RESOLUTION SERVICE</t>
  </si>
  <si>
    <t>DENIAL OF SERVICE PROTECTION</t>
  </si>
  <si>
    <t>DENIAL OF SERVICE PROTECTION | RESTRICT INTERNAL USERS</t>
  </si>
  <si>
    <t>DENIAL OF SERVICE PROTECTION | EXCESS CAPACITY / BANDWIDTH / REDUNDANCY</t>
  </si>
  <si>
    <t>DENIAL OF SERVICE PROTECTION | DETECTION / MONITORING</t>
  </si>
  <si>
    <t>RESOURCE AVAILABILITY</t>
  </si>
  <si>
    <t>INFORMATION SHARING | INFORMATION SEARCH AND RETRIEVAL</t>
  </si>
  <si>
    <t>DATA MINING PROTECTION</t>
  </si>
  <si>
    <t>ACCESS ENFORCEMENT | CONTROLLED RELEASE</t>
  </si>
  <si>
    <t>MONITORING FOR INFORMATION DISCLOSURE</t>
  </si>
  <si>
    <t>MONITORING FOR INFORMATION DISCLOSURE | USE OF AUTOMATED TOOLS</t>
  </si>
  <si>
    <t>MONITORING FOR INFORMATION DISCLOSURE | REVIEW OF MONITORED SITES</t>
  </si>
  <si>
    <t>INFORMATION LEAKAGE</t>
  </si>
  <si>
    <t>INFORMATION LEAKAGE | NATIONAL EMISSIONS / TEMPEST POLICIES AND PROCEDURES</t>
  </si>
  <si>
    <t>PERSONNEL SCREENING</t>
  </si>
  <si>
    <t>PERSONNEL SCREENING | CLASSIFIED INFORMATION</t>
  </si>
  <si>
    <t>PERSONNEL SCREENING | FORMAL INDOCTRINATION</t>
  </si>
  <si>
    <t>PERSONNEL SCREENING | INFORMATION WITH SPECIAL PROTECTION MEASURES</t>
  </si>
  <si>
    <t>ACCESS AGREEMENTS</t>
  </si>
  <si>
    <t>ACCESS AGREEMENTS | CLASSIFIED INFORMATION REQUIRING SPECIAL PROTECTION</t>
  </si>
  <si>
    <t>ACCESS AGREEMENTS | POST-EMPLOYMENT REQUIREMENTS</t>
  </si>
  <si>
    <t>CRYPTOGRAPHIC PROTECTION</t>
  </si>
  <si>
    <t>COVERT CHANNEL ANALYSIS</t>
  </si>
  <si>
    <t>COVERT CHANNEL ANALYSIS | TEST COVERT CHANNELS FOR EXPLOITABILITY</t>
  </si>
  <si>
    <t>COVERT CHANNEL ANALYSIS | MAXIMUM BANDWIDTH</t>
  </si>
  <si>
    <t>COVERT CHANNEL ANALYSIS | MEASURE BANDWIDTH IN OPERATIONAL ENVIRONMENTS</t>
  </si>
  <si>
    <t>INFORMATION SYSTEM MONITORING | INDIVIDUALS POSING GREATER RISK</t>
  </si>
  <si>
    <t>INFORMATION SYSTEM MONITORING | AUTOMATED TOOLS FOR REAL-TIME ANALYSIS</t>
  </si>
  <si>
    <t>INFORMATION SYSTEM MONITORING | PROBATIONARY PERIODS</t>
  </si>
  <si>
    <t>INFORMATION SYSTEM MONITORING | UNAUTHORIZED NETWORK SERVICES</t>
  </si>
  <si>
    <t>INFORMATION SYSTEM MONITORING | INDICATORS OF COMPROMISE</t>
  </si>
  <si>
    <t>INFORMATION SYSTEM MONITORING | AUTOMATED RESPONSE TO SUSPICIOUS EVENTS</t>
  </si>
  <si>
    <t>TRANSMISSION OF SECURITY ATTRIBUTES</t>
  </si>
  <si>
    <t>INFORMATION OUTPUT FILTERING</t>
  </si>
  <si>
    <t>MEMORY PROTECTION</t>
  </si>
  <si>
    <t>SECURITY ATTRIBUTES | CONSISTENT ATTRIBUTE INTERPRETATION</t>
  </si>
  <si>
    <t>SECURITY ATTRIBUTES | ATTRIBUTE REASSIGNMENT</t>
  </si>
  <si>
    <t>INFORMATION FLOW ENFORCEMENT | DATA TYPE IDENTIFIERS</t>
  </si>
  <si>
    <t>INFORMATION FLOW ENFORCEMENT | EMBEDDED DATA TYPES</t>
  </si>
  <si>
    <t>NON-REPUDIATION</t>
  </si>
  <si>
    <t>NON-REPUDIATION | VALIDATE BINDING OF INFORMATION PRODUCER IDENTITY</t>
  </si>
  <si>
    <t>NON-REPUDIATION | VALIDATE BINDING OF INFORMATION REVIEWER IDENTITY</t>
  </si>
  <si>
    <t>PROTECTION OF AUDIT INFORMATION | HARDWARE WRITE-ONCE MEDIA</t>
  </si>
  <si>
    <t>PROTECTION OF AUDIT INFORMATION | READ ONLY ACCESS</t>
  </si>
  <si>
    <t>SUPPLY CHAIN PROTECTION | VALIDATE AS GENUINE AND NOT ALTERED</t>
  </si>
  <si>
    <t>TAMPER RESISTANCE AND DETECTION</t>
  </si>
  <si>
    <t>COMPONENT AUTHENTICITY</t>
  </si>
  <si>
    <t>SOFTWARE, FIRMWARE, AND INFORMATION INTEGRITY</t>
  </si>
  <si>
    <t>SOFTWARE, FIRMWARE, AND INFORMATION INTEGRITY | INTEGRITY CHECKS</t>
  </si>
  <si>
    <t>SOFTWARE, FIRMWARE, AND INFORMATION INTEGRITY | PROTECTION OF BOOT SOFTWARE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</si>
  <si>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</si>
  <si>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</si>
  <si>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</si>
  <si>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</si>
  <si>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</si>
  <si>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</si>
  <si>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AUTOMATED NOTIFICATIONS OF INTEGRITY VIOLATIONS</t>
  </si>
  <si>
    <t>SOFTWARE, FIRMWARE, AND INFORMATION INTEGRITY | CENTRALLY-MANAGED INTEGRITY TOOLS</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</si>
  <si>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</si>
  <si>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</si>
  <si>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</si>
  <si>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</si>
  <si>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</si>
  <si>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TRANSMISSION OF SECURITY ATTRIBUTES | INTEGRITY VALIDATION</t>
  </si>
  <si>
    <t>SECURE NAME/ADDRESS RESOLUTION SERVICE (AUTHORITATIVE SOURCE) | DATA ORIGIN / DATA INTEGRITY</t>
  </si>
  <si>
    <t>SECURE NAME / ADDRESS RESOLUTION SERVICE (RECURSIVE OR CACHING RESOLVER)</t>
  </si>
  <si>
    <t>INFORMATION INPUT VALIDATION</t>
  </si>
  <si>
    <t>INFORMATION INPUT VALIDATION | MANUAL OVERRIDE CAPABILITY</t>
  </si>
  <si>
    <t>INFORMATION INPUT VALIDATION | REVIEW / RESOLUTION OF ERRORS</t>
  </si>
  <si>
    <t>INFORMATION INPUT VALIDATION | PREDICTABLE BEHAVIOR</t>
  </si>
  <si>
    <t>INFORMATION INPUT VALIDATION | REVIEW / TIMING INTERACTIONS</t>
  </si>
  <si>
    <t>INFORMATION INPUT VALIDATION | RESTRICT INPUTS TO TRUSTED SOURCES AND APPROVED FORMATS</t>
  </si>
  <si>
    <t>BASELINE CONFIGURATION | DEVELOPMENT AND TEST ENVIRONMENTS</t>
  </si>
  <si>
    <t>WIRELESS ACCESS | DISABLE WIRELESS NETWORKING</t>
  </si>
  <si>
    <t>BASELINE CONFIGURATION</t>
  </si>
  <si>
    <t>BASELINE CONFIGURATION | REVIEWS AND UPDATES</t>
  </si>
  <si>
    <t>BASELINE CONFIGURATION | AUTOMATION SUPPORT FOR ACCURACY / CURRENCY</t>
  </si>
  <si>
    <t>CONFIGURATION CHANGE CONTROL</t>
  </si>
  <si>
    <t>CONFIGURATION CHANGE CONTROL | AUTOMATED DOCUMENT / NOTIFICATION / PROHIBITION OF CHANGES</t>
  </si>
  <si>
    <t>CONFIGURATION CHANGE CONTROL | TEST / VALIDATE / DOCUMENT CHANGES</t>
  </si>
  <si>
    <t>CONFIGURATION CHANGE CONTROL | AUTOMATED CHANGE IMPLEMENTATION</t>
  </si>
  <si>
    <t>CONFIGURATION CHANGE CONTROL | SECURITY REPRESENTATIVE</t>
  </si>
  <si>
    <t>CONFIGURATION CHANGE CONTROL | AUTOMATED SECURITY RESPONSE</t>
  </si>
  <si>
    <t>CONFIGURATION CHANGE CONTROL | CRYPTOGRAPHY MANAGEMENT</t>
  </si>
  <si>
    <t>SECURITY IMPACT ANALYSIS</t>
  </si>
  <si>
    <t>SECURITY IMPACT ANALYSIS | SEPARATE TEST ENVIRONMENTS</t>
  </si>
  <si>
    <t>SECURITY IMPACT ANALYSIS | VERIFICATION OF SECURITY FUNCTIONS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</si>
  <si>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</si>
  <si>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</si>
  <si>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</si>
  <si>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</si>
  <si>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DUAL AUTHORIZATION</t>
  </si>
  <si>
    <t>ACCESS RESTRICTIONS FOR CHANGE | LIMIT PRODUCTION / OPERATIONAL PRIVILEGES</t>
  </si>
  <si>
    <t>ACCESS RESTRICTIONS FOR CHANGE | LIMIT LIBRARY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</si>
  <si>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</si>
  <si>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</si>
  <si>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</si>
  <si>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</si>
  <si>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</si>
  <si>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</si>
  <si>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REGISTRATION COMPLIANCE</t>
  </si>
  <si>
    <t>LEAST FUNCTIONALITY | UNAUTHORIZED SOFTWARE (BLACKLISTING)</t>
  </si>
  <si>
    <t>LEAST FUNCTIONALITY | AUTHORIZED SOFTWARE (WHITELISTING)</t>
  </si>
  <si>
    <t>CONFIGURATION MANAGEMENT PLAN</t>
  </si>
  <si>
    <t>CONFIGURATION MANAGEMENT PLAN | ASSIGNMENT OF RESPONSIBILITY</t>
  </si>
  <si>
    <t>INCIDENT RESPONSE PLAN</t>
  </si>
  <si>
    <t>MEDIA MARKING</t>
  </si>
  <si>
    <t>MEDIA DOWNGRADING</t>
  </si>
  <si>
    <t>MEDIA DOWNGRADING | DOCUMENTATION OF PROCESS</t>
  </si>
  <si>
    <t>MEDIA DOWNGRADING | EQUIPMENT TESTING</t>
  </si>
  <si>
    <t>MEDIA DOWNGRADING | CONTROLLED UNCLASSIFIED INFORMATION</t>
  </si>
  <si>
    <t>MEDIA DOWNGRADING | CLASSIFIED INFORMATION</t>
  </si>
  <si>
    <t>DEVELOPER CONFIGURATION MANAGEMENT</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</si>
  <si>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</si>
  <si>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</si>
  <si>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</si>
  <si>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</si>
  <si>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</si>
  <si>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NON-PERSISTENCE</t>
  </si>
  <si>
    <t>NON-PERSISTENCE | REFRESH FROM TRUSTED SOURCES</t>
  </si>
  <si>
    <t>CONTINGENCY PLAN TESTING</t>
  </si>
  <si>
    <t>CONTINGENCY PLAN TESTING | COORDINATE WITH RELATED PLANS</t>
  </si>
  <si>
    <t>CONTINGENCY PLAN TESTING | ALTERNATE PROCESSING SITE</t>
  </si>
  <si>
    <t>CONTINGENCY PLAN TESTING | AUTOMATED TESTING</t>
  </si>
  <si>
    <t>CONTINGENCY PLAN TESTING | FULL RECOVERY / RECONSTITUTION</t>
  </si>
  <si>
    <t>INCIDENT RESPONSE TESTING</t>
  </si>
  <si>
    <t>INCIDENT RESPONSE TESTING | AUTOMATED TESTING</t>
  </si>
  <si>
    <t>INCIDENT RESPONSE TESTING | COORDINATION WITH RELATED PLANS</t>
  </si>
  <si>
    <t>TESTING, TRAINING, AND MONITORING</t>
  </si>
  <si>
    <t>POSITION RISK DESIGNATION</t>
  </si>
  <si>
    <t>PERSONNEL TERMINATION</t>
  </si>
  <si>
    <t>PERSONNEL TERMINATION | POST-EMPLOYMENT REQUIREMENTS</t>
  </si>
  <si>
    <t>PERSONNEL TERMINATION | AUTOMATED NOTIFICATION</t>
  </si>
  <si>
    <t>PERSONNEL TRANSFER</t>
  </si>
  <si>
    <t>DEVELOPER SCREENING</t>
  </si>
  <si>
    <t>DEVELOPER SCREENING | VALIDATION OF SCREENING</t>
  </si>
  <si>
    <t>PERSONNEL SANCTIONS</t>
  </si>
  <si>
    <t>SUPPLY CHAIN PROTECTION | PENETRATION TESTING / ANALYSIS OF ELEMENTS, PROCESSES, AND ACTORS</t>
  </si>
  <si>
    <t>DEVELOPER CONFIGURATION MANAGEMENT | SOFTWARE / FIRMWARE INTEGRITY VERIFICATION</t>
  </si>
  <si>
    <t>DEVELOPER SECURITY TESTING AND EVALUATION | DYNAMIC CODE ANALYSIS</t>
  </si>
  <si>
    <t>DEVELOPMENT PROCESS, STANDARDS, AND TOOLS</t>
  </si>
  <si>
    <t>DEVELOPMENT PROCESS, STANDARDS, AND TOOLS | QUALITY METRICS</t>
  </si>
  <si>
    <t>DEVELOPMENT PROCESS, STANDARDS, AND TOOLS | INCIDENT RESPONSE PLAN</t>
  </si>
  <si>
    <t>DEVELOPMENT PROCESS, STANDARDS, AND TOOLS | ARCHIVE INFORMATION SYSTEM / COMPONENT</t>
  </si>
  <si>
    <t>DEVELOPMENT PROCESS, STANDARDS, AND TOOLS | SECURITY TRACKING TOOLS</t>
  </si>
  <si>
    <t>DEVELOPMENT PROCESS, STANDARDS, AND TOOLS | CRITICALITY ANALYSIS</t>
  </si>
  <si>
    <t>DEVELOPMENT PROCESS, STANDARDS, AND TOOLS | THREAT MODELING /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</si>
  <si>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</si>
  <si>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</si>
  <si>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</si>
  <si>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 VULNERABILITY INFORMATION</t>
  </si>
  <si>
    <t>DEVELOPMENT PROCESS, STANDARDS, AND TOOLS | USE OF LIVE DATA</t>
  </si>
  <si>
    <t>DEVELOPER SECURITY ARCHITECTURE AND DESIGN</t>
  </si>
  <si>
    <t>DEVELOPER SECURITY ARCHITECTURE AND DESIGN | FORMAL POLICY MODEL</t>
  </si>
  <si>
    <t>DEVELOPER SECURITY ARCHITECTURE AND DESIGN | SECURITY-RELEVANT COMPONENTS</t>
  </si>
  <si>
    <t>DEVELOPER SECURITY ARCHITECTURE AND DESIGN | FORMAL CORRESPONDENCE</t>
  </si>
  <si>
    <t>DEVELOPER SECURITY ARCHITECTURE AND DESIGN | INFORMAL CORRESPONDENCE</t>
  </si>
  <si>
    <t>DEVELOPER SECURITY ARCHITECTURE AND DESIGN | CONCEPTUALLY SIMPLE DESIGN</t>
  </si>
  <si>
    <t>DEVELOPER SECURITY ARCHITECTURE AND DESIGN | STRUCTURE FOR TESTING</t>
  </si>
  <si>
    <t>DEVELOPER SECURITY ARCHITECTURE AND DESIGN | STRUCTURE FOR LEAST PRIVILEGE</t>
  </si>
  <si>
    <t>TAMPER RESISTANCE AND DETECTION | MULTIPLE PHASES OF SDLC</t>
  </si>
  <si>
    <t>UNSUPPORTED SYSTEM COMPONENTS</t>
  </si>
  <si>
    <t>UNSUPPORTED SYSTEM COMPONENTS | ALTERNATIVE SOURCES FOR CONTINUED SUPPORT</t>
  </si>
  <si>
    <t>SYSTEM DEVELOPMENT LIFE CYCLE</t>
  </si>
  <si>
    <t>ACQUISITION PROCESS</t>
  </si>
  <si>
    <t>ACQUISITION PROCESS | FUNCTIONAL PROPERTIES OF SECURITY CONTROLS</t>
  </si>
  <si>
    <t>ACQUISITION PROCESS | USE OF APPROVED PIV PRODUCTS</t>
  </si>
  <si>
    <t>ACQUISITION PROCESS | DESIGN / IMPLEMENTATION INFORMATION FOR SECURITY CONTROLS</t>
  </si>
  <si>
    <t>ACQUISITION PROCESS | DEVELOPMENT METHODS / TECHNIQUES / PRACTICES</t>
  </si>
  <si>
    <t>ACQUISITION PROCESS | SYSTEM / COMPONENT / SERVICE CONFIGURATIONS</t>
  </si>
  <si>
    <t>ACQUISITION PROCESS | USE OF INFORMATION ASSURANCE PRODUCTS</t>
  </si>
  <si>
    <t>ACQUISITION PROCESS | NIAP-APPROVED PROTECTION PROFILES</t>
  </si>
  <si>
    <t>ACQUISITION PROCESS | CONTINUOUS MONITORING PLAN</t>
  </si>
  <si>
    <t>ACQUISITION PROCESS | FUNCTIONS / PORTS / PROTOCOLS / SERVICES IN USE</t>
  </si>
  <si>
    <t>SECURITY ENGINEERING PRINCIPLES</t>
  </si>
  <si>
    <t>SECURITY CONCEPT OF OPERATIONS</t>
  </si>
  <si>
    <t>ACCESS ENFORCEMENT | AUDITED OVERRIDE OF ACCESS CONTROL MECHANISMS</t>
  </si>
  <si>
    <t>INFORMATION FLOW ENFORCEMENT | APPROVED SOLUTIONS</t>
  </si>
  <si>
    <t>INTERNAL SYSTEM CONNECTIONS | SECURITY COMPLIANCE CHECKS</t>
  </si>
  <si>
    <t>TRUSTWORTHINESS</t>
  </si>
  <si>
    <t>SYSTEM INTERCONNECTIONS</t>
  </si>
  <si>
    <t>AUDIT RECORD RETENTION | LONG-TERM RETRIEVAL CAPABILITY</t>
  </si>
  <si>
    <t>PROTECTION OF AUDIT INFORMATION | AUDIT BACKUP ON SEPARATE PHYSICAL SYSTEMS / COMPONENTS</t>
  </si>
  <si>
    <t>ALTERNATE STORAGE SITE</t>
  </si>
  <si>
    <t>ALTERNATE STORAGE SITE | SEPARATION FROM PRIMARY SITE</t>
  </si>
  <si>
    <t>ALTERNATE STORAGE SITE | RECOVERY TIME / POINT OBJECTIVES</t>
  </si>
  <si>
    <t>ALTERNATE STORAGE SITE | ACCESSIBILITY</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</si>
  <si>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</si>
  <si>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</si>
  <si>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</si>
  <si>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</si>
  <si>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</si>
  <si>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INFORMATION SYSTEM BACKUP | REDUNDANT SECONDARY SYSTEM</t>
  </si>
  <si>
    <t>INFORMATION SYSTEM BACKUP | DUAL AUTHORIZATION</t>
  </si>
  <si>
    <t>EMERGENCY SHUTOFF</t>
  </si>
  <si>
    <t>EMERGENCY LIGHTING</t>
  </si>
  <si>
    <t>EMERGENCY LIGHTING | ESSENTIAL MISSIONS / BUSINESS FUNCTIONS</t>
  </si>
  <si>
    <t>FIRE PROTECTION</t>
  </si>
  <si>
    <t>FIRE PROTECTION | DETECTION DEVICES / SYSTEMS</t>
  </si>
  <si>
    <t>FIRE PROTECTION | SUPPRESSION DEVICES / SYSTEMS</t>
  </si>
  <si>
    <t>FIRE PROTECTION | AUTOMATIC FIRE SUPPRESSION</t>
  </si>
  <si>
    <t>FIRE PROTECTION | INSPECTIONS</t>
  </si>
  <si>
    <t>TEMPERATURE AND HUMIDITY CONTROLS</t>
  </si>
  <si>
    <t>TEMPERATURE AND HUMIDITY CONTROLS | AUTOMATIC CONTROLS</t>
  </si>
  <si>
    <t>TEMPERATURE AND HUMIDITY CONTROLS | MONITORING WITH ALARMS / NOTIFICATIONS</t>
  </si>
  <si>
    <t>WATER DAMAGE PROTECTION</t>
  </si>
  <si>
    <t>WATER DAMAGE PROTECTION | AUTOMATION SUPPORT</t>
  </si>
  <si>
    <t>LOCATION OF INFORMATION SYSTEM COMPONENTS</t>
  </si>
  <si>
    <t>LOCATION OF INFORMATION SYSTEM COMPONENTS | FACILITY SITE</t>
  </si>
  <si>
    <t>AUDIT RECORD RETENTION</t>
  </si>
  <si>
    <t>COMPONENT AUTHENTICITY | COMPONENT DISPOSAL</t>
  </si>
  <si>
    <t>PLAN OF ACTION AND MILESTONES</t>
  </si>
  <si>
    <t>SYSTEM SECURITY PLAN</t>
  </si>
  <si>
    <t>SYSTEM SECURITY PLAN | PLAN / COORDINATE WITH OTHER ORGANIZATIONAL ENTITIES</t>
  </si>
  <si>
    <t>INFORMATION SECURITY MEASURES OF PERFORMANCE</t>
  </si>
  <si>
    <t>CUSTOMIZED DEVELOPMENT OF CRITICAL COMPONENTS</t>
  </si>
  <si>
    <t>SECURITY FUNCTION ISOLATION | MODULE COUPLING AND COHESIVENESS</t>
  </si>
  <si>
    <t>PLAN OF ACTION AND MILESTONES | AUTOMATION SUPPORT FOR ACCURACY / CURRENCY</t>
  </si>
  <si>
    <t>CRYPTOGRAPHIC KEY ESTABLISHMENT AND MANAGEMENT</t>
  </si>
  <si>
    <t>CRYPTOGRAPHIC KEY ESTABLISHMENT AND MANAGEMENT | AVAILABILITY</t>
  </si>
  <si>
    <t>CONCEALMENT AND MISDIRECTION</t>
  </si>
  <si>
    <t>CONCEALMENT AND MISDIRECTION | RANDOMNESS</t>
  </si>
  <si>
    <t>CONCEALMENT AND MISDIRECTION | CHANGE PROCESSING / STORAGE LOCATIONS</t>
  </si>
  <si>
    <t>CONCEALMENT AND MISDIRECTION | MISLEADING INFORMATION</t>
  </si>
  <si>
    <t>CONCEALMENT AND MISDIRECTION | CONCEALMENT OF SYSTEM COMPONENTS</t>
  </si>
  <si>
    <t>NON-MODIFIABLE EXECUTABLE PROGRAMS</t>
  </si>
  <si>
    <t>NON-MODIFIABLE EXECUTABLE PROGRAMS | NO WRITABLE STORAGE</t>
  </si>
  <si>
    <t>NON-MODIFIABLE EXECUTABLE PROGRAMS | INTEGRITY PROTECTION/READ-ONLY MEDIA</t>
  </si>
  <si>
    <t>NON-MODIFIABLE EXECUTABLE PROGRAMS | HARDWARE-BASED PROTECTION</t>
  </si>
  <si>
    <t>OPERATIONS SECURITY</t>
  </si>
  <si>
    <t>INFORMATION SYSTEM MONITORING | HOST-BASED DEVICES</t>
  </si>
  <si>
    <t xml:space="preserve">CONTINGENCY PLANNING </t>
  </si>
  <si>
    <t xml:space="preserve">INCIDENT RESPONSE </t>
  </si>
  <si>
    <t>CONTROLLED MAINTENANCE</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</si>
  <si>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</si>
  <si>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</si>
  <si>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</si>
  <si>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</si>
  <si>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</si>
  <si>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</si>
  <si>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PERSONNEL</t>
  </si>
  <si>
    <t>MAINTENANCE PERSONNEL | INDIVIDUALS WITHOUT APPROPRIATE ACCESS</t>
  </si>
  <si>
    <t>MAINTENANCE PERSONNEL | CITIZENSHIP REQUIREMENTS FOR CLASSIFIED SYSTEMS</t>
  </si>
  <si>
    <t>MAINTENANCE PERSONNEL | FOREIGN NATIONALS</t>
  </si>
  <si>
    <t>MAINTENANCE PERSONNEL | NONSYSTEM-RELATED MAINTENANCE</t>
  </si>
  <si>
    <t>TIMELY MAINTENANCE</t>
  </si>
  <si>
    <t>TIMELY MAINTENANCE | PREVENTIVE MAINTENANCE</t>
  </si>
  <si>
    <t>TIMELY MAINTENANCE |PREDICTIVE MAINTENANCE</t>
  </si>
  <si>
    <t>TIMELY MAINTENANCE | AUTOMATED SUPPORT FOR PREDICTIVE MAINTENANCE</t>
  </si>
  <si>
    <t>COMPONENT AUTHENTICITY | CONFIGURATION CONTROL FOR COMPONENT SERVICE / REPAIR</t>
  </si>
  <si>
    <t>MAINTENANCE PERSONNEL | SECURITY CLEARANCES FOR CLASSIFIED SYSTEMS</t>
  </si>
  <si>
    <t>NONLOCAL MAINTENANCE</t>
  </si>
  <si>
    <t>NONLOCAL MAINTENANCE | AUDITING AND REVIEW</t>
  </si>
  <si>
    <t>NONLOCAL MAINTENANCE | DOCUMENT NONLOCAL MAINTENANCE</t>
  </si>
  <si>
    <t>NONLOCAL MAINTENANCE | COMPARABLE SECURITY / SANITIZATION</t>
  </si>
  <si>
    <t>NONLOCAL MAINTENANCE | AUTHENTICATION / SEPARATION OF MAINTENANCE SESSIONS</t>
  </si>
  <si>
    <t>NONLOCAL MAINTENANCE | APPROVALS AND NOTIFICATIONS</t>
  </si>
  <si>
    <t>NONLOCAL MAINTENANCE | CRYPTOGRAPHIC PROTECTION</t>
  </si>
  <si>
    <t>NONLOCAL MAINTENANCE | REMOTE DISCONNECT VERIFICATION</t>
  </si>
  <si>
    <t>AUDIT GENERATION</t>
  </si>
  <si>
    <t>AUDIT GENERATION | SYSTEM-WIDE / TIME-CORRELATED AUDIT TRAIL</t>
  </si>
  <si>
    <t>SESSION AUDIT</t>
  </si>
  <si>
    <t>SESSION AUDIT | SYSTEM START-UP</t>
  </si>
  <si>
    <t>SESSION AUDIT | CAPTURE / RECORD AND LOG CONTENT</t>
  </si>
  <si>
    <t>AUDIT EVENTS</t>
  </si>
  <si>
    <t>CONTENT OF AUDIT RECORDS</t>
  </si>
  <si>
    <t>CONTENT OF AUDIT RECORDS | ADDITIONAL AUDIT INFORMATION</t>
  </si>
  <si>
    <t>AUDIT REVIEW, ANALYSIS, AND REPORTING</t>
  </si>
  <si>
    <t>AUDIT REVIEW, ANALYSIS, AND REPORTING | PROCESS INTEGRATION</t>
  </si>
  <si>
    <t>AUDIT REVIEW, ANALYSIS, AND REPORTING | AUDIT LEVEL ADJUSTMENT</t>
  </si>
  <si>
    <t>AUDIT REVIEW, ANALYSIS, AND REPORTING | CORRELATE AUDIT REPOSITORIES</t>
  </si>
  <si>
    <t>AUDIT REVIEW, ANALYSIS, AND REPORTING | INTEGRATION/SCANNING AND MONITORING CAPABILITIES</t>
  </si>
  <si>
    <t>AUDIT REVIEW, ANALYSIS, AND REPORTING | CORRELATION WITH PHYSICAL MONITORING</t>
  </si>
  <si>
    <t>AUDIT REVIEW, ANALYSIS, AND REPORTING | PERMITTED ACTIONS</t>
  </si>
  <si>
    <t>AUDIT REVIEW, ANALYSIS, AND REPORTING | FULL TEXT ANALYSIS OF PRIVILEGED COMMANDS</t>
  </si>
  <si>
    <t>AUDIT REVIEW, ANALYSIS, AND REPORTING | CORRELATION WITH INFORMATION FROM NONTECHNICAL SOURCES</t>
  </si>
  <si>
    <t>AUDIT REDUCTION AND REPORT GENERATION</t>
  </si>
  <si>
    <t>AUDIT REDUCTION AND REPORT GENERATION | AUTOMATIC PROCESSING</t>
  </si>
  <si>
    <t>AUDIT REDUCTION AND REPORT GENERATION | AUTOMATIC SORT AND SEARCH</t>
  </si>
  <si>
    <t>TIME STAMPS</t>
  </si>
  <si>
    <t>TIME STAMPS | SYNCHRONIZATION WITH AUTHORITATIVE TIME SOURCE</t>
  </si>
  <si>
    <t>TIME STAMPS | SECONDARY AUTHORITATIVE TIME SOURCE</t>
  </si>
  <si>
    <t>SENSOR CAPABILITY AND DATA | REPORTING TO AUTHORIZED INDIVIDUALS OR ROLES</t>
  </si>
  <si>
    <t>SECURITY FUNCTION VERIFICATION | AUTOMATION SUPPORT FOR DISTRIBUTED TESTING</t>
  </si>
  <si>
    <t>MEDIA ACCESS</t>
  </si>
  <si>
    <t>MEDIA STORAGE</t>
  </si>
  <si>
    <t>MEDIA STORAGE | AUTOMATED RESTRICTED ACCESS</t>
  </si>
  <si>
    <t>MEDIA TRANSPORT</t>
  </si>
  <si>
    <t>MEDIA TRANSPORT | CUSTODIANS</t>
  </si>
  <si>
    <t>MEDIA TRANSPORT | CRYPTOGRAPHIC PROTECTION</t>
  </si>
  <si>
    <t>MEDIA USE</t>
  </si>
  <si>
    <t>MEDIA USE | PROHIBIT USE WITHOUT OWNER</t>
  </si>
  <si>
    <t>MEDIA USE | PROHIBIT USE OF SANITIZATION-RESISTANT MEDIA</t>
  </si>
  <si>
    <t>PORT AND I/O DEVICE ACCESS</t>
  </si>
  <si>
    <t>SESSION LOCK</t>
  </si>
  <si>
    <t>SESSION LOCK | PATTERN-HIDING DISPLAYS</t>
  </si>
  <si>
    <t>INFORMATION FLOW ENFORCEMENT | OBJECT SECURITY ATTRIBUTES</t>
  </si>
  <si>
    <t>INFORMATION FLOW ENFORCEMENT | SECURITY POLICY FILTER CONSTRAINTS</t>
  </si>
  <si>
    <t>INFORMATION FLOW ENFORCEMENT | SECURITY POLICY FILTERS</t>
  </si>
  <si>
    <t>SECURITY FUNCTION ISOLATION</t>
  </si>
  <si>
    <t>SECURITY FUNCTION ISOLATION | HARDWARE SEPARATION</t>
  </si>
  <si>
    <t>SECURITY FUNCTION ISOLATION | ACCESS/FLOW CONTROL FUNCTIONS</t>
  </si>
  <si>
    <t>SECURITY FUNCTION ISOLATION | MINIMIZE NONSECURITY FUNCTIONALITY</t>
  </si>
  <si>
    <t>SECURITY FUNCTION ISOLATION | LAYERED STRUCTURES</t>
  </si>
  <si>
    <t>CRYPTOGRAPHIC KEY ESTABLISHMENT AND MANAGEMENT | SYMMETRIC KEYS</t>
  </si>
  <si>
    <t>CRYPTOGRAPHIC KEY ESTABLISHMENT AND MANAGEMENT | ASYMMETRIC KEYS</t>
  </si>
  <si>
    <t>COLLABORATIVE COMPUTING DEVICES | PHYSICAL DISCONNECT</t>
  </si>
  <si>
    <t>COLLABORATIVE COMPUTING DEVICES |DISABLING / REMOVAL IN SECURE WORK AREAS</t>
  </si>
  <si>
    <t>COLLABORATIVE COMPUTING DEVICES | EXPLICITLY INDICATE CURRENT PARTICIPANTS</t>
  </si>
  <si>
    <t>PUBLIC KEY INFRASTRUCTURE CERTIFICATES</t>
  </si>
  <si>
    <t>APPLICATION PARTITIONING</t>
  </si>
  <si>
    <t>APPLICATION PARTITIONING | INTERFACES FOR NON-PRIVILEGED USERS</t>
  </si>
  <si>
    <t>PLATFORM-INDEPENDENT APPLICATIONS</t>
  </si>
  <si>
    <t>INFORMATION SYSTEM PARTITIONING</t>
  </si>
  <si>
    <t>OUT-OF-BAND CHANNELS</t>
  </si>
  <si>
    <t>OUT-OF-BAND CHANNELS | ENSURE DELIVERY / TRANSMISSION</t>
  </si>
  <si>
    <t>PROCESS ISOLATION</t>
  </si>
  <si>
    <t>PROCESS ISOLATION | HARDWARE SEPARATION</t>
  </si>
  <si>
    <t>PROCESS ISOLATION | THREAD ISOLATION</t>
  </si>
  <si>
    <t>INFORMATION IN SHARED RESOURCES</t>
  </si>
  <si>
    <t>INFORMATION IN SHARED RESOURCES | PERIODS PROCESSING</t>
  </si>
  <si>
    <t>SENSOR CAPABILITY AND DATA | AUTHORIZED USE</t>
  </si>
  <si>
    <t>USAGE RESTRICTIONS</t>
  </si>
  <si>
    <t>REMOTE ACCESS | MANAGED ACCESS CONTROL POINTS</t>
  </si>
  <si>
    <t>INFORMATION FLOW ENFORCEMENT | ONE-WAY FLOW MECHANISMS</t>
  </si>
  <si>
    <t>LEAST PRIVILEGE | NETWORK ACCESS TO PRIVILEGED COMMANDS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</si>
  <si>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</si>
  <si>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</si>
  <si>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</si>
  <si>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</si>
  <si>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TELECOMMUNICATIONS SERVICES | ALTERNATE TELECOMMUNICATION SERVICE TESTING</t>
  </si>
  <si>
    <t>SECURE NAME / ADDRESS RESOLUTION SERVICE (AUTHORITATIVE SOURCE)</t>
  </si>
  <si>
    <t>BOUNDARY PROTECTION | PHYSICALLY SEPARATED SUBNETWORKS</t>
  </si>
  <si>
    <t>BOUNDARY PROTECTION | PUBLIC ACCESS</t>
  </si>
  <si>
    <t>BOUNDARY PROTECTION | RESPONSE TO RECOGNIZED FAILURES</t>
  </si>
  <si>
    <t>VOICE OVER INTERNET PROTOCOL</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</si>
  <si>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</si>
  <si>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</si>
  <si>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</si>
  <si>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</si>
  <si>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</si>
  <si>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SENSOR CAPABILITY AND DATA</t>
  </si>
  <si>
    <t>RESPONSE TO AUDIT PROCESSING FAILURES | SHUTDOWN ON FAILURE</t>
  </si>
  <si>
    <t>BASELINE CONFIGURATION | CONFIGURE SYSTEMS, COMPONENTS, OR DEVICES FOR HIGH-RISK AREAS</t>
  </si>
  <si>
    <t>INFORMATION FLOW ENFORCEMENT</t>
  </si>
  <si>
    <t>ACCOUNT MANAGEMENT | AUTOMATED AUDIT ACTIONS</t>
  </si>
  <si>
    <t>SECURITY FUNCTION VERIFICATION</t>
  </si>
  <si>
    <t>INCIDENT HANDLING</t>
  </si>
  <si>
    <t>INCIDENT HANDLING | AUTOMATED INCIDENT HANDLING PROCESSES</t>
  </si>
  <si>
    <t>INCIDENT HANDLING | SUPPLY CHAIN COORDINATION</t>
  </si>
  <si>
    <t>INCIDENT HANDLING | DYNAMIC RECONFIGURATION</t>
  </si>
  <si>
    <t>INCIDENT HANDLING | CONTINUITY OF OPERATIONS</t>
  </si>
  <si>
    <t>INCIDENT HANDLING | DYNAMIC RESPONSE CAPABILITY</t>
  </si>
  <si>
    <t>INFORMATION SYSTEM MONITORING | TESTING OF MONITORING TOOLS</t>
  </si>
  <si>
    <t>HONEY POTS</t>
  </si>
  <si>
    <t>SPAM PROTECTION</t>
  </si>
  <si>
    <t>SPAM PROTECTION | AUTOMATIC UPDATES</t>
  </si>
  <si>
    <t>SPAM PROTECTION | CONTINUOUS LEARNING CAPABILITY</t>
  </si>
  <si>
    <t>AUDIT GENERATION | STANDARDIZED FORMATS</t>
  </si>
  <si>
    <t>CONTENT OF AUDIT RECORDS | CENTRALIZED MANAGEMENT OF PLANNED AUDIT RECORD CONTENT</t>
  </si>
  <si>
    <t>INCIDENT HANDLING | AUTOMATIC DISABLING OF INFORMATION SYSTEM.</t>
  </si>
  <si>
    <t>INCIDENT HANDLING | INSIDER THREATS – INTRA-ORGANIZATION COORDINATION</t>
  </si>
  <si>
    <t>INCIDENT HANDLING | CORRELATION WITH EXTERNAL ORGANIZATIONS</t>
  </si>
  <si>
    <t>INCIDENT MONITORING</t>
  </si>
  <si>
    <t>SECURITY FUNCTION VERIFICATION | REPORT VERIFICATION RESULTS</t>
  </si>
  <si>
    <t>INCIDENT HANDLING | INSIDER THREATS – SPECIFIC CAPABILITIES</t>
  </si>
  <si>
    <t>INCIDENT MONITORING | AUTOMATED TRACKING / DATA COLLECTION / ANALYSIS</t>
  </si>
  <si>
    <t xml:space="preserve">INFORMATION FLOW ENFORCEMENT  |  VALIDATION OF METADATA </t>
  </si>
  <si>
    <t>INFORMATION FLOW ENFORCEMENT | CONTENT CHECK ENCRYPTED INFORMATION</t>
  </si>
  <si>
    <t>CONTINUOUS MONITORING</t>
  </si>
  <si>
    <t>TAMPER RESISTANCE AND DETECTION | INSPECTION OF INFORMATION SYSTEMS, COMPONENTS, OR DEVICES</t>
  </si>
  <si>
    <t>SPAM PROTECTION | CENTRAL MANAGEMENT</t>
  </si>
  <si>
    <t>ASSET MONITORING AND TRACKING</t>
  </si>
  <si>
    <t>MONITORING PHYSICAL ACCESS | AUTOMATED INTRUSION RECOGNITION / RESPONSES</t>
  </si>
  <si>
    <t>ACCOUNT MANAGEMENT | ACCOUNT MONITORING / ATYPICAL USAGE</t>
  </si>
  <si>
    <t>LEAST PRIVILEGE | AUDITING USE OF PRIVILEGED FUNCTIONS</t>
  </si>
  <si>
    <t>PREVIOUS LOGON (ACCESS) NOTIFICATION</t>
  </si>
  <si>
    <t>PREVIOUS LOGON NOTIFICATION | ADDITIONAL LOGON INFORMATION</t>
  </si>
  <si>
    <t>SOFTWARE USAGE RESTRICTIONS</t>
  </si>
  <si>
    <t>SOFTWARE USAGE RESTRICTIONS | OPEN SOURCE SOFTWARE</t>
  </si>
  <si>
    <t>USER-INSTALLED SOFTWARE</t>
  </si>
  <si>
    <t>USER-INSTALLED SOFTWARE | ALERTS FOR UNAUTHORIZED INSTALLATIONS</t>
  </si>
  <si>
    <t>USER-INSTALLED SOFTWARE | PROHIBIT INSTALLATION WITHOUT PRIVILEGED STATUS</t>
  </si>
  <si>
    <t>MALICIOUS CODE PROTECTION</t>
  </si>
  <si>
    <t>MALICIOUS CODE PROTECTION | CENTRAL MANAGEMENT</t>
  </si>
  <si>
    <t>MALICIOUS CODE PROTECTION | MALICIOUS CODE ANALYSIS</t>
  </si>
  <si>
    <t>MALICIOUS CODE PROTECTION | AUTOMATIC UPDATES</t>
  </si>
  <si>
    <t>MALICIOUS CODE PROTECTION | UPDATES ONLY BY PRIVILEGED USERS</t>
  </si>
  <si>
    <t>MALICIOUS CODE PROTECTION | TESTING / VERIFICATION</t>
  </si>
  <si>
    <t>MALICIOUS CODE PROTECTION | NONSIGNATURE-BASED DETECTION</t>
  </si>
  <si>
    <t>MALICIOUS CODE PROTECTION | DETECT UNAUTHORIZED COMMANDS</t>
  </si>
  <si>
    <t>MALICIOUS CODE PROTECTION | AUTHENTICATE REMOTE COMMANDS</t>
  </si>
  <si>
    <t>HONEYCLIENTS</t>
  </si>
  <si>
    <t>MOBILE CODE</t>
  </si>
  <si>
    <t>MOBILE CODE | IDENTIFY UNACCEPTABLE CODE / TAKE CORRECTION ACTIONS</t>
  </si>
  <si>
    <t>MOBILE CODE | ACQUISITION / DEVELOPMENT / USE</t>
  </si>
  <si>
    <t>MOBILE CODE | PREVENT DOWNLOADING / EXECUTION</t>
  </si>
  <si>
    <t>MOBILE CODE | PREVENT AUTOMATIC EXECUTION</t>
  </si>
  <si>
    <t>MOBILE CODE | ALLOW EXECUTION ONLY IN CONFINED ENVIRONMENTS</t>
  </si>
  <si>
    <t>DETONATION CHAMBERS</t>
  </si>
  <si>
    <t>CROSS-ORGANIZATIONAL AUDITING | SHARING OF AUDIT INFORMATION</t>
  </si>
  <si>
    <t>SUPPLY CHAIN PROTECTION | PROCESSES TO ADDRESS WEAKNESSES OR DEFICIENCIES</t>
  </si>
  <si>
    <t>REMOTE ACCESS | AUTOMATED MONITORING/CONTROL</t>
  </si>
  <si>
    <t>INFORMATION FLOW ENFORCEMENT | DECOMPOSITION INTO POLICY-RELEVANT SUBCOMPONENTS</t>
  </si>
  <si>
    <t>INFORMATION FLOW ENFORCEMENT | DETECTION OF UNSANCTIONED INFORMATION</t>
  </si>
  <si>
    <t>INFORMATION FLOW ENFORCEMENT | METADATA</t>
  </si>
  <si>
    <t>UNSUCCESSFUL LOGIN ATTEMPTS</t>
  </si>
  <si>
    <t>PREVIOUS LOGON NOTIFICATION | UNSUCCESSFUL LOGONS</t>
  </si>
  <si>
    <t>PREVIOUS LOGON NOTIFICATION | SUCCESSFUL / UNSUCCESSFUL LOGONS</t>
  </si>
  <si>
    <t>PREVIOUS LOGON NOTIFICATION | NOTIFICATION OF ACCOUNT CHANGES</t>
  </si>
  <si>
    <t>COMPONENT AUTHENTICITY | ANTI-COUNTERFEIT SCANNING</t>
  </si>
  <si>
    <t>ERROR HANDLING</t>
  </si>
  <si>
    <t>AUDIT EVENTS | REVIEWS AND UPDATES</t>
  </si>
  <si>
    <t>RESPONSE TO AUDIT PROCESSING FAILURES | REAL-TIME ALERTS</t>
  </si>
  <si>
    <t>CONTINGENCY TRAINING</t>
  </si>
  <si>
    <t>CONTINGENCY TRAINING | SIMULATED EVENTS</t>
  </si>
  <si>
    <t>CONTINGENCY TRAINING | AUTOMATED TRAINING ENVIRONMENTS</t>
  </si>
  <si>
    <t>RESPONSE TO AUDIT PROCESSING FAILURES | CONFIGURABLE TRAFFIC VOLUME THRESHOLDS</t>
  </si>
  <si>
    <t>INCIDENT REPORTING</t>
  </si>
  <si>
    <t>INCIDENT REPORTING | AUTOMATED REPORTING</t>
  </si>
  <si>
    <t>INCIDENT REPORTING | VULNERABILITIES RELATED TO INCIDENTS</t>
  </si>
  <si>
    <t>INCIDENT REPORTING | COORDINATION WITH SUPPLY CHAIN</t>
  </si>
  <si>
    <t>SECURITY ALERTS, ADVISORIES, AND DIRECTIVES</t>
  </si>
  <si>
    <t>INCIDENT HANDLING | INFORMATION CORRELATION</t>
  </si>
  <si>
    <t>INFORMATION SYSTEM RECOVERY AND RECONSTITUTION</t>
  </si>
  <si>
    <t>INFORMATION SYSTEM RECOVERY AND RECONSTITUTION | TRANSACTION RECOVERY</t>
  </si>
  <si>
    <t>INFORMATION SYSTEM RECOVERY AND RECONSTITUTION | RESTORE WITHIN TIME PERIOD</t>
  </si>
  <si>
    <t>INFORMATION SYSTEM RECOVERY AND RECONSTITUTION | COMPONENT PROTECTION</t>
  </si>
  <si>
    <t>INTEGRATED INFORMATION SECURITY ANALYSIS TEAM</t>
  </si>
  <si>
    <t>INCIDENT RESPONSE TRAINING</t>
  </si>
  <si>
    <t>INCIDENT RESPONSE TRAINING | SIMULATED EVENTS</t>
  </si>
  <si>
    <t>INCIDENT RESPONSE TRAINING | AUTOMATED TRAINING ENVIRONMENTS</t>
  </si>
  <si>
    <t>INCIDENT RESPONSE ASSISTANCE</t>
  </si>
  <si>
    <t>INCIDENT RESPONSE ASSISTANCE | AUTOMATION SUPPORT FOR AVAILABILITY OF INFORMATION / SUPPORT</t>
  </si>
  <si>
    <t>INCIDENT RESPONSE ASSISTANCE | COORDINATION WITH EXTERNAL PROVIDERS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</si>
  <si>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</si>
  <si>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</si>
  <si>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</si>
  <si>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</si>
  <si>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</si>
  <si>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FAIL-SAFE PROCEDURES</t>
  </si>
  <si>
    <t>PREDICTABLE FAILURE PREVENTION</t>
  </si>
  <si>
    <t>PREDICTABLE FAILURE PREVENTION | TRANSFERRING COMPONENT RESPONSIBILITIES</t>
  </si>
  <si>
    <t>PREDICTABLE FAILURE PREVENTION | MANUAL TRANSFER BETWEEN COMPONENTS</t>
  </si>
  <si>
    <t>PREDICTABLE FAILURE PREVENTION | STANDBY COMPONENT INSTALLATION / NOTIFICATION</t>
  </si>
  <si>
    <t>PREDICTABLE FAILURE PREVENTION | FAILOVER CAPABILITY</t>
  </si>
  <si>
    <t>DISTRIBUTED PROCESSING AND STORAGE</t>
  </si>
  <si>
    <t>DISTRIBUTED PROCESSING AND STORAGE | POLLING TECHNIQUES</t>
  </si>
  <si>
    <t>SAFE MODE</t>
  </si>
  <si>
    <t>ALTERNATIVE SECURITY MECHANISMS</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</si>
  <si>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</si>
  <si>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</si>
  <si>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</si>
  <si>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</si>
  <si>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</si>
  <si>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INABILITY TO RETURN TO PRIMARY SITE</t>
  </si>
  <si>
    <t>NIST CSF 1.1</t>
  </si>
  <si>
    <t>ID.AM-0</t>
  </si>
  <si>
    <t>Asset Management (ID.AM)</t>
  </si>
  <si>
    <t>The data, personnel, devices, systems, and facilities that enable the organization to achieve business purposes are identified and managed consistent with their relative importance to business objectives and the organization’s risk strategy.</t>
  </si>
  <si>
    <t>ID.AM-1</t>
  </si>
  <si>
    <t>Physical devices and systems within the organization are inventoried</t>
  </si>
  <si>
    <t>ID.AM-2</t>
  </si>
  <si>
    <t>Software platforms and applications within the organization are inventoried</t>
  </si>
  <si>
    <t>ID.AM-3</t>
  </si>
  <si>
    <t>Organizational communication and data flows are mapped</t>
  </si>
  <si>
    <t>ID.AM-4</t>
  </si>
  <si>
    <t>External information systems are catalogued</t>
  </si>
  <si>
    <t>ID.AM-5</t>
  </si>
  <si>
    <t xml:space="preserve">Resources (e.g., hardware, devices, data, time, and software) are prioritized based on their classification, criticality, and business value </t>
  </si>
  <si>
    <t>ID.AM-6</t>
  </si>
  <si>
    <t>Cybersecurity roles and responsibilities for the entire workforce and third party stakeholders (e.g., suppliers, customers, partners) are established</t>
  </si>
  <si>
    <t>ID.BE-0</t>
  </si>
  <si>
    <t>Business Environment (ID.BE)</t>
  </si>
  <si>
    <t>The organization’s mission, objectives, stakeholders, and activities are understood and prioritized; this information is used to inform cybersecurity roles, responsibilities, and risk management decisions.</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</si>
  <si>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</si>
  <si>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</si>
  <si>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</si>
  <si>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</si>
  <si>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</si>
  <si>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</si>
  <si>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</si>
  <si>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</si>
  <si>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</si>
  <si>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</si>
  <si>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ID.GV-0</t>
  </si>
  <si>
    <t>Governance (ID.GV)</t>
  </si>
  <si>
    <t>The policies, procedures, and processes to manage and monitor the organization’s regulatory, legal, risk, environmental, and operational requirements are understood and inform the management of cybersecurity risk.</t>
  </si>
  <si>
    <t>ID.GV-1</t>
  </si>
  <si>
    <t>Organizational information security policy is established</t>
  </si>
  <si>
    <t>ID.GV-2</t>
  </si>
  <si>
    <t>Information security roles &amp;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</si>
  <si>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</si>
  <si>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</si>
  <si>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</si>
  <si>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</si>
  <si>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ID.RA-0</t>
  </si>
  <si>
    <t>Risk Assessment (ID.RA)</t>
  </si>
  <si>
    <t>The organization understands the cybersecurity risk to organizational operations (including mission, functions, image, or reputation), organizational assets, and individuals.</t>
  </si>
  <si>
    <t>ID.RA-1</t>
  </si>
  <si>
    <t>Asset vulnerabilities are identified and documented</t>
  </si>
  <si>
    <t>ID.RA-2</t>
  </si>
  <si>
    <t>Cyber threat intelligence and vulnerability information is received from information sharing forums and sources</t>
  </si>
  <si>
    <t>ID.RA-3</t>
  </si>
  <si>
    <t>Threats, both internal and external, are identified and documented</t>
  </si>
  <si>
    <t>ID.RA-4</t>
  </si>
  <si>
    <t>Potential business impacts and likelihoods are identified</t>
  </si>
  <si>
    <t>ID.RA-5</t>
  </si>
  <si>
    <t>Threats, vulnerabilities, likelihoods, and impacts are used to determine risk</t>
  </si>
  <si>
    <t>ID.RA-6</t>
  </si>
  <si>
    <t>Risk responses are identified and prioritized</t>
  </si>
  <si>
    <t>ID.RM-0</t>
  </si>
  <si>
    <t>Risk Management Strategy (ID.RM)</t>
  </si>
  <si>
    <t>The organization’s priorities, constraints, risk tolerances, and assumptions are established and used to support operational risk decisions.</t>
  </si>
  <si>
    <t>ID.RM-1</t>
  </si>
  <si>
    <t>Risk management processes are established, managed, and agreed to by organizational stakeholders</t>
  </si>
  <si>
    <t>ID.RM-2</t>
  </si>
  <si>
    <t>Organizational risk tolerance is determined and clearly expressed</t>
  </si>
  <si>
    <t>ID.RM-3</t>
  </si>
  <si>
    <t>The organization’s determination of risk tolerance is informed by its role in critical infrastructure and sector specific risk analysis</t>
  </si>
  <si>
    <t>ID.SC-0</t>
  </si>
  <si>
    <t>Supply Chain Risk Management (ID.SC)</t>
  </si>
  <si>
    <t>The organization’s priorities, constraints, risk tolerances, and assumptions are established and used to support risk decisions associated with managing supply chain risk. The organization has in place the processes to identify, assess and manage supply chain risks.</t>
  </si>
  <si>
    <t>ID.SC-1</t>
  </si>
  <si>
    <t>Cyber supply chain risk management processes are identified, established, assessed, managed, and agreed to by organizational stakeholders</t>
  </si>
  <si>
    <t>ID.SC-2</t>
  </si>
  <si>
    <t>Identify, prioritize and assess suppliers and partners of critical information systems, components and services using a cyber supply chain risk assessment process</t>
  </si>
  <si>
    <t>ID.SC-3</t>
  </si>
  <si>
    <t>Suppliers and partners are required by contract to implement appropriate measures designed to meet the objectives of the Information Security program or Cyber Supply Chain Risk Management Plan.</t>
  </si>
  <si>
    <t>ID.SC-4</t>
  </si>
  <si>
    <t>Suppliers and partners are monitored to confirm that they have satisfied their obligations as required. Reviews of audits, summaries of test results, or other equivalent evaluations of suppliers/providers are conducted</t>
  </si>
  <si>
    <t>ID.SC-5</t>
  </si>
  <si>
    <t>Response and recovery planning and testing are conducted with critical suppliers/providers</t>
  </si>
  <si>
    <t>PR.AC-0</t>
  </si>
  <si>
    <t>Identity Management and Access Control (PR.AC)</t>
  </si>
  <si>
    <t>Access to physical and logical assets and associated facilities is limited to authorized users, processes, and devices, and is managed consistent with the assessed risk of unauthorized access.</t>
  </si>
  <si>
    <t>PR.AC-1</t>
  </si>
  <si>
    <t xml:space="preserve">Identities and credentials are issued, managed, revoked, and audited for authorized devices, users, and processes </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</si>
  <si>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</si>
  <si>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</si>
  <si>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</si>
  <si>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</si>
  <si>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</si>
  <si>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</si>
  <si>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</si>
  <si>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incorporating network segregation where appropriate</t>
  </si>
  <si>
    <t>PR.AC-6</t>
  </si>
  <si>
    <t>Identities are proofed and bound to credentials, and asserted in interactions when appropriate</t>
  </si>
  <si>
    <t>PR.AT-0</t>
  </si>
  <si>
    <t>Awareness and Training (PR.AT)</t>
  </si>
  <si>
    <t>The organization’s personnel and partners are provided cybersecurity awareness education and are adequately trained to perform their information security-related duties and responsibilities consistent with related policies, procedures, and agreements.</t>
  </si>
  <si>
    <t>PR.AT-1</t>
  </si>
  <si>
    <t xml:space="preserve">All users are informed and trained </t>
  </si>
  <si>
    <t>PR.AT-2</t>
  </si>
  <si>
    <t xml:space="preserve">Privileged users understand roles &amp; responsibilities </t>
  </si>
  <si>
    <t>PR.AT-3</t>
  </si>
  <si>
    <t xml:space="preserve">Third party stakeholders (e.g., suppliers, customers, partners) understand roles &amp; responsibilities </t>
  </si>
  <si>
    <t>PR.AT-4</t>
  </si>
  <si>
    <t xml:space="preserve">Senior executives understand roles &amp; responsibilities </t>
  </si>
  <si>
    <t>PR.AT-5</t>
  </si>
  <si>
    <t xml:space="preserve">Physical and information security personnel understand roles &amp; responsibilities </t>
  </si>
  <si>
    <t>PR.DS-0</t>
  </si>
  <si>
    <t>Data Security (PR.DS)</t>
  </si>
  <si>
    <t>Information and records (data) are managed consistent with the organization’s risk strategy to protect the confidentiality, integrity, and availability of information.</t>
  </si>
  <si>
    <t>PR.DS-1</t>
  </si>
  <si>
    <t>Data at rest is protected</t>
  </si>
  <si>
    <t>PR.DS-2</t>
  </si>
  <si>
    <t>Data in 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</si>
  <si>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</si>
  <si>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</si>
  <si>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</si>
  <si>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</si>
  <si>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</si>
  <si>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</si>
  <si>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</si>
  <si>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</si>
  <si>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</si>
  <si>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</si>
  <si>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</si>
  <si>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 xml:space="preserve">Integrity checking mechanisms are used to verify hardware integrity </t>
  </si>
  <si>
    <t>PR.IP-0</t>
  </si>
  <si>
    <t>Information Protection Processes and Procedures (PR.IP)</t>
  </si>
  <si>
    <t>Security policies (that address purpose, scope, roles, responsibilities, management commitment, and coordination among organizational entities), processes, and procedures are maintained and used to manage protection of information systems and assets.</t>
  </si>
  <si>
    <t>PR.IP-1</t>
  </si>
  <si>
    <t>A baseline configuration of information technology/industrial control systems is created and maintained incorporating appropriate security principles (e.g. concept of least functionality)</t>
  </si>
  <si>
    <t>PR.IP-10</t>
  </si>
  <si>
    <t>Response and recovery plans are tested</t>
  </si>
  <si>
    <t>PR.IP-11</t>
  </si>
  <si>
    <t>Cybersecurity is included in human resources practices (e.g., deprovisioning, personnel screening)</t>
  </si>
  <si>
    <t>PR.IP-12</t>
  </si>
  <si>
    <t>A vulnerability management plan is developed and implemented</t>
  </si>
  <si>
    <t>PR.IP-2</t>
  </si>
  <si>
    <t>A System Development Life Cycle to manage systems is implemented</t>
  </si>
  <si>
    <t>PR.IP-3</t>
  </si>
  <si>
    <t>Configuration change control processes are in place</t>
  </si>
  <si>
    <t>PR.IP-4</t>
  </si>
  <si>
    <t>Backups of information are conducted, maintained, and tested periodically</t>
  </si>
  <si>
    <t>PR.IP-5</t>
  </si>
  <si>
    <t>Policy and regulations regarding the physical operating environment for organizational assets are met</t>
  </si>
  <si>
    <t>PR.IP-6</t>
  </si>
  <si>
    <t>Data is destroyed according to policy</t>
  </si>
  <si>
    <t>PR.IP-7</t>
  </si>
  <si>
    <t>Protection processes are continuously improved</t>
  </si>
  <si>
    <t>PR.IP-8</t>
  </si>
  <si>
    <t>Effectiveness of protection technologies is shared with appropriate parties</t>
  </si>
  <si>
    <t>PR.IP-9</t>
  </si>
  <si>
    <t>Response plans (Incident Response and Business Continuity) and recovery plans (Incident Recovery and Disaster Recovery) are in place and managed</t>
  </si>
  <si>
    <t>PR.MA-0</t>
  </si>
  <si>
    <t>Maintenance (PR.MA)</t>
  </si>
  <si>
    <t>Maintenance and repairs of industrial control and information system components is performed consistent with policies and procedures.</t>
  </si>
  <si>
    <t>PR.MA-1</t>
  </si>
  <si>
    <t>Maintenance and repair of organizational assets is performed and logged in a timely manner, with approved and controlled tools</t>
  </si>
  <si>
    <t>PR.MA-2</t>
  </si>
  <si>
    <t>Remote maintenance of organizational assets is approved, logged, and performed in a manner that prevents unauthorized access</t>
  </si>
  <si>
    <t>PR.PT-0</t>
  </si>
  <si>
    <t>Protective Technology (PR.PT)</t>
  </si>
  <si>
    <t>Technical security solutions are managed to ensure the security and resilience of systems and assets, consistent with related policies, procedures, and agreements.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</si>
  <si>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</si>
  <si>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</si>
  <si>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</si>
  <si>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</si>
  <si>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</si>
  <si>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</si>
  <si>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</si>
  <si>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</si>
  <si>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</si>
  <si>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Systems operate in pre-defined functional states to achieve availability (e.g. under duress, under attack, during recovery, normal operations).</t>
  </si>
  <si>
    <t>DE.AE-0</t>
  </si>
  <si>
    <t>Anomalies and Events (DE.AE)</t>
  </si>
  <si>
    <t>Anomalous activity is detected in a timely manner and the potential impact of events is understood.</t>
  </si>
  <si>
    <t>DE.AE-1</t>
  </si>
  <si>
    <t>A baseline of network operations and expected data flows for users and systems is established and managed</t>
  </si>
  <si>
    <t>DE.AE-2</t>
  </si>
  <si>
    <t>Detected events are analyzed to understand attack targets and methods</t>
  </si>
  <si>
    <t>DE.AE-3</t>
  </si>
  <si>
    <t>Event data are aggregated and correlated from multiple sources and sensors</t>
  </si>
  <si>
    <t>DE.AE-4</t>
  </si>
  <si>
    <t>Impact of events is determined</t>
  </si>
  <si>
    <t>DE.AE-5</t>
  </si>
  <si>
    <t>Incident alert thresholds are established</t>
  </si>
  <si>
    <t>DE.CM-0</t>
  </si>
  <si>
    <t>Security Continuous Monitoring (DE.CM)</t>
  </si>
  <si>
    <t>The information system and assets are monitored at discrete intervals to identify cybersecurity events and verify the effectiveness of protective measures.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</si>
  <si>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</si>
  <si>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</si>
  <si>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</si>
  <si>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</si>
  <si>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</si>
  <si>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</si>
  <si>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</si>
  <si>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</si>
  <si>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</si>
  <si>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</si>
  <si>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</si>
  <si>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</si>
  <si>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</si>
  <si>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</si>
  <si>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</si>
  <si>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</si>
  <si>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DE.DP-0</t>
  </si>
  <si>
    <t>Detection Processes (DE.DP)</t>
  </si>
  <si>
    <t>Detection processes and procedures are maintained and tested to ensure timely and adequate awareness of anomalous events.</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</si>
  <si>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</si>
  <si>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</si>
  <si>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</si>
  <si>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</si>
  <si>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</si>
  <si>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</si>
  <si>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</si>
  <si>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 to appropriate parties</t>
  </si>
  <si>
    <t>DE.DP-5</t>
  </si>
  <si>
    <t>Detection processes are continuously improved</t>
  </si>
  <si>
    <t>RS.AN-0</t>
  </si>
  <si>
    <t>Analysis (RS.AN)</t>
  </si>
  <si>
    <t>Analysis is conducted to ensure adequate response and support recovery activities.</t>
  </si>
  <si>
    <t>RS.AN-1</t>
  </si>
  <si>
    <t>Notifications from detection systems are investigated </t>
  </si>
  <si>
    <t>RS.AN-2</t>
  </si>
  <si>
    <t>The impact of the incident is understood</t>
  </si>
  <si>
    <t>RS.AN-3</t>
  </si>
  <si>
    <t>Forensics are performed</t>
  </si>
  <si>
    <t>RS.AN-4</t>
  </si>
  <si>
    <t>Incidents are categorized consistent with response plans</t>
  </si>
  <si>
    <t>RS.CO-0</t>
  </si>
  <si>
    <t>Communications (RS.CO)</t>
  </si>
  <si>
    <t>Response activities are coordinated with internal and external stakeholders, as appropriate, to include external support from law enforcement agencies.</t>
  </si>
  <si>
    <t>RS.CO-1</t>
  </si>
  <si>
    <t>Personnel know their roles and order of operations when a response is needed</t>
  </si>
  <si>
    <t>RS.CO-2</t>
  </si>
  <si>
    <t>Events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</si>
  <si>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</si>
  <si>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</si>
  <si>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</si>
  <si>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</si>
  <si>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</si>
  <si>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</si>
  <si>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RS.IM-0</t>
  </si>
  <si>
    <t>Improvements (RS.IM)</t>
  </si>
  <si>
    <t>Organizational response activities are improved by incorporating lessons learned from current and previous detection/response activities.</t>
  </si>
  <si>
    <t>RS.IM-1</t>
  </si>
  <si>
    <t>Response plans incorporate lessons learned</t>
  </si>
  <si>
    <t>RS.IM-2</t>
  </si>
  <si>
    <t>Response strategies are updated</t>
  </si>
  <si>
    <t>RS.MI-0</t>
  </si>
  <si>
    <t>Mitigation (RS.MI)</t>
  </si>
  <si>
    <t>Activities are performed to prevent expansion of an event, mitigate its effects, and eradicate the incident.</t>
  </si>
  <si>
    <t>RS.MI-1</t>
  </si>
  <si>
    <t>Incidents are contained</t>
  </si>
  <si>
    <t>RS.MI-2</t>
  </si>
  <si>
    <t>Incidents are mitigated</t>
  </si>
  <si>
    <t>RS.MI-3</t>
  </si>
  <si>
    <t>Newly identified vulnerabilities are mitigated or documented as accepted risks</t>
  </si>
  <si>
    <t>RS.RP-0</t>
  </si>
  <si>
    <t>Response Planning (RS.RP)</t>
  </si>
  <si>
    <t>Response processes and procedures are executed and maintained, to ensure timely response to detected cybersecurity events.</t>
  </si>
  <si>
    <t>RS.RP-1</t>
  </si>
  <si>
    <t>Response plan is executed during or after an event</t>
  </si>
  <si>
    <t>RC.CO-0</t>
  </si>
  <si>
    <t>Communications (RC.CO)</t>
  </si>
  <si>
    <t>Restoration activities are coordinated with internal and external parties, such as coordinating centers, Internet Service Providers, owners of attacking systems, victims, other CSIRTs, and vendors.</t>
  </si>
  <si>
    <t>RC.CO-1</t>
  </si>
  <si>
    <t>Public relations are managed</t>
  </si>
  <si>
    <t>RC.CO-2</t>
  </si>
  <si>
    <t>Reputation after an event is repaired</t>
  </si>
  <si>
    <t>RC.CO-3</t>
  </si>
  <si>
    <t>Recovery activities are communicated to internal stakeholders and executive and management teams</t>
  </si>
  <si>
    <t>RC.IM-0</t>
  </si>
  <si>
    <t>Improvements (RC.IM)</t>
  </si>
  <si>
    <t>Recovery planning and processes are improved by incorporating lessons learned into future activities.</t>
  </si>
  <si>
    <t>RC.IM-1</t>
  </si>
  <si>
    <t>Recovery plans incorporate lessons learned</t>
  </si>
  <si>
    <t>RC.IM-2</t>
  </si>
  <si>
    <t>Recovery strategies are updated</t>
  </si>
  <si>
    <t>RC.RP-0</t>
  </si>
  <si>
    <t>Recovery Planning (RC.RP)</t>
  </si>
  <si>
    <t>Recovery processes and procedures are executed and maintained to ensure timely restoration of systems or assets affected by cybersecurity events.</t>
  </si>
  <si>
    <t>RC.RP-1</t>
  </si>
  <si>
    <t>Recovery plan is executed during or after an event</t>
  </si>
  <si>
    <t>10</t>
  </si>
  <si>
    <t>A.8</t>
  </si>
  <si>
    <t>A.8.1.1</t>
  </si>
  <si>
    <t>A.12.5</t>
  </si>
  <si>
    <t>A.14.2.7</t>
  </si>
  <si>
    <t>A.8.2</t>
  </si>
  <si>
    <t>A.13.2.1</t>
  </si>
  <si>
    <t>A.11.2.6</t>
  </si>
  <si>
    <t>A.14.1.1</t>
  </si>
  <si>
    <t>A.8.2.1</t>
  </si>
  <si>
    <t>A.8.2.3</t>
  </si>
  <si>
    <t>A.6.1.1</t>
  </si>
  <si>
    <t>A.8.1.2</t>
  </si>
  <si>
    <t>A.8.1.3</t>
  </si>
  <si>
    <t>A.12.1</t>
  </si>
  <si>
    <t>A.5.1.1</t>
  </si>
  <si>
    <t>A.5.1.2</t>
  </si>
  <si>
    <t>A.5</t>
  </si>
  <si>
    <t>A.6.1</t>
  </si>
  <si>
    <t>A.18</t>
  </si>
  <si>
    <t>A.10.1.1</t>
  </si>
  <si>
    <t>A.10.1.2</t>
  </si>
  <si>
    <t>A.13.1.2</t>
  </si>
  <si>
    <t>A.14.2.1</t>
  </si>
  <si>
    <t>A.15.2.2 </t>
  </si>
  <si>
    <t>A.6</t>
  </si>
  <si>
    <t>A.6.2.2</t>
  </si>
  <si>
    <t>A.18.1</t>
  </si>
  <si>
    <t>A.18.1.1</t>
  </si>
  <si>
    <t>A.18.1.2</t>
  </si>
  <si>
    <t>A.18.1.3</t>
  </si>
  <si>
    <t>A.18.1.4</t>
  </si>
  <si>
    <t>A.18.1.5</t>
  </si>
  <si>
    <t>A.5.1</t>
  </si>
  <si>
    <t>A.13.2.4</t>
  </si>
  <si>
    <t>A.18.2.3</t>
  </si>
  <si>
    <t>A.18.2</t>
  </si>
  <si>
    <t>A.18.2.1</t>
  </si>
  <si>
    <t>A.12.6.1</t>
  </si>
  <si>
    <t>A.6.1.4</t>
  </si>
  <si>
    <t>A.16.1.4</t>
  </si>
  <si>
    <t>A.18.2.2</t>
  </si>
  <si>
    <t>A.15</t>
  </si>
  <si>
    <t>A.15.1.2</t>
  </si>
  <si>
    <t>A.15.1</t>
  </si>
  <si>
    <t>A.15.1.3</t>
  </si>
  <si>
    <t>A.13.2.2</t>
  </si>
  <si>
    <t>A.15.2</t>
  </si>
  <si>
    <t>A.15.2.1</t>
  </si>
  <si>
    <t>A.9.2.1</t>
  </si>
  <si>
    <t>A.9.2.5</t>
  </si>
  <si>
    <t>A.9.2.6</t>
  </si>
  <si>
    <t>A.9</t>
  </si>
  <si>
    <t>A.9.4.3</t>
  </si>
  <si>
    <t>A.11</t>
  </si>
  <si>
    <t>A.11.1</t>
  </si>
  <si>
    <t>A.11.1.1</t>
  </si>
  <si>
    <t>A.11.1.2</t>
  </si>
  <si>
    <t>A.11.1.3</t>
  </si>
  <si>
    <t>A.11.1.4</t>
  </si>
  <si>
    <t>A.11.1.6</t>
  </si>
  <si>
    <t>A.11.2.3</t>
  </si>
  <si>
    <t>A.6.2.1</t>
  </si>
  <si>
    <t>A.9.1</t>
  </si>
  <si>
    <t>A.9.1.1</t>
  </si>
  <si>
    <t>A.9.1.2</t>
  </si>
  <si>
    <t>A.9.2</t>
  </si>
  <si>
    <t>A.9.2.2</t>
  </si>
  <si>
    <t>A.9.2.3</t>
  </si>
  <si>
    <t>A.6.1.2</t>
  </si>
  <si>
    <t>A.7.1.2</t>
  </si>
  <si>
    <t>A.9.2.4</t>
  </si>
  <si>
    <t>A.9.4</t>
  </si>
  <si>
    <t>A.9.4.1</t>
  </si>
  <si>
    <t>A.13.1.1</t>
  </si>
  <si>
    <t>A.14.1.2</t>
  </si>
  <si>
    <t>A.14.1.3</t>
  </si>
  <si>
    <t>A.13.1.3</t>
  </si>
  <si>
    <t>A.9.4.2</t>
  </si>
  <si>
    <t>A.12.2.1</t>
  </si>
  <si>
    <t>A.7.2.2</t>
  </si>
  <si>
    <t>A.9.3</t>
  </si>
  <si>
    <t>A.12.1.1</t>
  </si>
  <si>
    <t>A.7.2.1</t>
  </si>
  <si>
    <t>A.9.3.1</t>
  </si>
  <si>
    <t>A.11.1.5</t>
  </si>
  <si>
    <t>A.7.2</t>
  </si>
  <si>
    <t>A.8.1</t>
  </si>
  <si>
    <t>A.10</t>
  </si>
  <si>
    <t>A.10.1</t>
  </si>
  <si>
    <t>A.14.3</t>
  </si>
  <si>
    <t>A.14.3.1</t>
  </si>
  <si>
    <t>A.13.2.3</t>
  </si>
  <si>
    <t>A.11.2.5</t>
  </si>
  <si>
    <t>A.11.2.7</t>
  </si>
  <si>
    <t>A.14</t>
  </si>
  <si>
    <t>A.8.3.1</t>
  </si>
  <si>
    <t>A.8.3.2</t>
  </si>
  <si>
    <t>A.8.3.3</t>
  </si>
  <si>
    <t>A.11.2</t>
  </si>
  <si>
    <t>A.12.1.3</t>
  </si>
  <si>
    <t>A.12.3.1</t>
  </si>
  <si>
    <t>A.17.2</t>
  </si>
  <si>
    <t>A.17.2.1</t>
  </si>
  <si>
    <t>A.12.3</t>
  </si>
  <si>
    <t>A.11.2.9</t>
  </si>
  <si>
    <t>A.7.1.1</t>
  </si>
  <si>
    <t>A.7.3.1</t>
  </si>
  <si>
    <t>A.8.2.2</t>
  </si>
  <si>
    <t>A.9.4.5</t>
  </si>
  <si>
    <t>A.13.2</t>
  </si>
  <si>
    <t>A.12.5.1</t>
  </si>
  <si>
    <t>A.14.2.4</t>
  </si>
  <si>
    <t>A.12.1.4</t>
  </si>
  <si>
    <t>A.14.2.6</t>
  </si>
  <si>
    <t>A.12.6.2</t>
  </si>
  <si>
    <t>A.14.2.3</t>
  </si>
  <si>
    <t>A.17.1.3</t>
  </si>
  <si>
    <t>A.7</t>
  </si>
  <si>
    <t>A.7.1</t>
  </si>
  <si>
    <t>A.7.3</t>
  </si>
  <si>
    <t>A.8.1.4</t>
  </si>
  <si>
    <t>A.14.2</t>
  </si>
  <si>
    <t>A.14.2.5</t>
  </si>
  <si>
    <t>A.14.2.8</t>
  </si>
  <si>
    <t>A.6.1.5</t>
  </si>
  <si>
    <t>A.14.1</t>
  </si>
  <si>
    <t>A.14.2.9</t>
  </si>
  <si>
    <t>A.12.1.2</t>
  </si>
  <si>
    <t>A.14.2.2</t>
  </si>
  <si>
    <t>A.17.1.2</t>
  </si>
  <si>
    <t>A.11.2.1</t>
  </si>
  <si>
    <t>A.11.2.2</t>
  </si>
  <si>
    <t>A.12</t>
  </si>
  <si>
    <t>A.16.1.6</t>
  </si>
  <si>
    <t>A.16.1</t>
  </si>
  <si>
    <t>A.17.1</t>
  </si>
  <si>
    <t>A.17.1.1</t>
  </si>
  <si>
    <t>A.11.2.4</t>
  </si>
  <si>
    <t>A.15.1.1</t>
  </si>
  <si>
    <t>A.12.4</t>
  </si>
  <si>
    <t>A.12.4.1</t>
  </si>
  <si>
    <t>A.12.4.2</t>
  </si>
  <si>
    <t>A.12.4.3</t>
  </si>
  <si>
    <t>A.12.4.4</t>
  </si>
  <si>
    <t>A.11.2.8</t>
  </si>
  <si>
    <t>A.8.3</t>
  </si>
  <si>
    <t>A.12.7.1</t>
  </si>
  <si>
    <t>A.9.4.4</t>
  </si>
  <si>
    <t>A.13</t>
  </si>
  <si>
    <t>A.13.1</t>
  </si>
  <si>
    <t>A.16.1.3</t>
  </si>
  <si>
    <t>A.16.1.2</t>
  </si>
  <si>
    <t>A.12.2</t>
  </si>
  <si>
    <t>A.6.2</t>
  </si>
  <si>
    <t>A.12.6</t>
  </si>
  <si>
    <t>A.16.1.1</t>
  </si>
  <si>
    <t>A.12.7</t>
  </si>
  <si>
    <t>A.16</t>
  </si>
  <si>
    <t>A.16.1.5</t>
  </si>
  <si>
    <t>A.16.1.7</t>
  </si>
  <si>
    <t>A.7.2.3</t>
  </si>
  <si>
    <t>A.6.1.3</t>
  </si>
  <si>
    <t>A.17</t>
  </si>
  <si>
    <t>2.9</t>
  </si>
  <si>
    <t>164.308(a)(7)(ii)(E)</t>
  </si>
  <si>
    <t>Applications and data criticality analysis (Addressable). Assess the relative criticality of specific applications and data in support of other contingency plan components.</t>
  </si>
  <si>
    <t>164.308(a)(2)</t>
  </si>
  <si>
    <t>Standard: Assigned security responsibility. Identify the security official who is responsible for the development and implementation of the policies and procedures required by this subpart for the covered entity or business associate.</t>
  </si>
  <si>
    <t>164.308(b)(1)</t>
  </si>
  <si>
    <t>Business associate contracts and other arrangements. 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t>
  </si>
  <si>
    <t>164.308(a)(4)(ii)(A)</t>
  </si>
  <si>
    <t>Isolating health care clearinghouse functions (Required). If a health care clearinghouse is part of a larger organization, the clearinghouse must implement policies and procedures that protect the electronic protected health information of the clearinghouse from unauthorized access by the larger organization.</t>
  </si>
  <si>
    <t>164.308(a)(7)(ii)(C)</t>
  </si>
  <si>
    <t>Emergency mode operation plan (Required). Establish (and implement as needed) procedures to enable continuation of critical business processes for protection of the security of electronic protected health information while operating in emergency mode.</t>
  </si>
  <si>
    <t>164.308(a)(8)</t>
  </si>
  <si>
    <t>Standard: Evaluation. 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 covered entity's or business associate's security policies and procedures meet the requirements of this subpart.</t>
  </si>
  <si>
    <t>Organizational requirements.</t>
  </si>
  <si>
    <t>164.316(b)(1)</t>
  </si>
  <si>
    <t>Standard: Documentation.</t>
  </si>
  <si>
    <t>164.316(b)(1)(i)</t>
  </si>
  <si>
    <t>Maintain the policies and procedures implemented to comply with this subpart in written (which may be electronic) form; and</t>
  </si>
  <si>
    <t>164.308(a)(7)(ii)(B)</t>
  </si>
  <si>
    <t>Disaster recovery plan (Required). Establish (and implement as needed) procedures to restore any loss of data.</t>
  </si>
  <si>
    <t>164.308(a)(7)(i)</t>
  </si>
  <si>
    <t>Standard: Contingency plan. Establish (and implement as needed) policies and procedures for responding to an emergency or other occurrence (for example, fire, vandalism, system failure, and natural disaster) that damages systems that contain electronic protected health information.</t>
  </si>
  <si>
    <t>164.312(a)(2)(ii)</t>
  </si>
  <si>
    <t>Emergency access procedure (Required). Establish (and implement as needed) procedures for obtaining necessary electronic protected health information during an emergency.</t>
  </si>
  <si>
    <t>164.308(a)(6)(ii)</t>
  </si>
  <si>
    <t>Implementation specification: Response and reporting (Required). Identify and respond to suspected or known security incidents; mitigate, to the extent practicable, harmful effects of security incidents that are known to the covered entity or business associate; and document security incidents and their outcomes.</t>
  </si>
  <si>
    <t>164.310(a)(2)(i)</t>
  </si>
  <si>
    <t>Contingency operations (Addressable). Establish (and implement as needed) procedures that allow facility access in support of restoration of lost data under the disaster recovery plan and emergency mode operations plan in the event of an emergency</t>
  </si>
  <si>
    <t>Administrative safeguards.</t>
  </si>
  <si>
    <t>Policies and procedures and documentation requirements.</t>
  </si>
  <si>
    <t>164.308(a)(4)(ii)(B)</t>
  </si>
  <si>
    <t>Access authorization (Addressable). Implement policies and procedures for granting access to electronic protected health information, for example, through access to a workstation, transaction, program, process, or other mechanism.</t>
  </si>
  <si>
    <t>164.312(a)(1)</t>
  </si>
  <si>
    <t>Standard: Access control. Implement technical policies and procedures for electronic information systems that maintain electronic protected health information to allow access only to those persons or software programs that have been granted access rights as specified in § 164.308(a)(4).</t>
  </si>
  <si>
    <t>164.316(a)</t>
  </si>
  <si>
    <t>Standard: Policies and procedures. Implement reasonable and appropriate policies and procedures to comply with the standards, implementation specifications, or other requirements of this subpart, taking into account those factors specified in § 164.306(b)(2)(i), (ii), (iii), and (iv). This standard is not to be construed to permit or excuse an action that violates any other standard, implementation specification, or other requirements of this subpart. A covered entity or business associate may change its policies and procedures at any time, provided that the changes are documented and are implemented in accordance with this subpart.</t>
  </si>
  <si>
    <t>164.316(b)(2)</t>
  </si>
  <si>
    <t>Implementation specifications:</t>
  </si>
  <si>
    <t>164.314(a)(1)</t>
  </si>
  <si>
    <t>Standard: Business associate contracts or other arrangements. The contract or other arrangement required by § 164.308(b)(3) must meet the requirements of paragraph (a)(2)(i), (a)(2)(ii), or (a)(2)(iii) of this section, as applicable.</t>
  </si>
  <si>
    <t>164.316(b)(2)(i)</t>
  </si>
  <si>
    <t>Time limit (Required). Retain the documentation required by paragraph (b)(1) of this section for 6 years from the date of its creation or the date when it last was in effect, whichever is later.</t>
  </si>
  <si>
    <t>164.316(b)(1)(ii)</t>
  </si>
  <si>
    <t>If an action, activity or assessment is required by this subpart to be documented, maintain a written (which may be electronic) record of the action, activity, or assessment.</t>
  </si>
  <si>
    <t>164.308(a)(1)(ii)(A)</t>
  </si>
  <si>
    <t>Risk analysis (Required). Conduct an accurate and thorough assessment of the potential risks and vulnerabilities to the confidentiality, integrity, and availability of electronic protected health information held by the covered entity or business associate.</t>
  </si>
  <si>
    <t>Addition</t>
  </si>
  <si>
    <t>No direct analog to HIPAA Security Rule - Even though there is no direct analog, while performing their HIPAA Security Rule required risk analysis, organizations should consider whether participating in cyber-threat sharing programs is reasonable and appropriate to reduce their security risk.</t>
  </si>
  <si>
    <t>164.308(a)(7)(ii)(D)</t>
  </si>
  <si>
    <t>Testing and revision procedures (Addressable). Implement procedures for periodic testing and revision of contingency plans.</t>
  </si>
  <si>
    <t>164.314(a)(2)(i)(C)</t>
  </si>
  <si>
    <t>Report to the covered entity any security incident of which it becomes aware, including breaches of unsecured protected health information as required by § 164.410.</t>
  </si>
  <si>
    <t>164.308(a)(1)(ii)(B)</t>
  </si>
  <si>
    <t>Risk management (Required). Implement security measures sufficient to reduce risks and vulnerabilities to a reasonable and appropriate level to comply with § 164.306(a).</t>
  </si>
  <si>
    <t>164.308(b)(3)</t>
  </si>
  <si>
    <t>Implementation specifications: Written contract or other arrangement (Required). Document the satisfactory assurances required by paragraph (b)(1) or (b)(2) of this section through a written contract or other arrangement with the business associate that meets the applicable requirements of § 164.314(a).</t>
  </si>
  <si>
    <t>164.314(a)(2)</t>
  </si>
  <si>
    <t>Implementation specifications (Required).</t>
  </si>
  <si>
    <t>164.314(a)(2)(i)</t>
  </si>
  <si>
    <t>Business associate contracts. The contract must provide that the business associate will -</t>
  </si>
  <si>
    <t>164.314(a)(2)(i)(A)</t>
  </si>
  <si>
    <t>Comply with the applicable requirements of this subpart;</t>
  </si>
  <si>
    <t>164.314(a)(2)(i)(B)</t>
  </si>
  <si>
    <t>In accordance with § 164.308(b)(2), ensure that any subcontractors that create, receive, maintain, or transmit electronic protected health information on behalf of the business associate agree to comply with the applicable requirements of this subpart by entering into a contract or other arrangement that complies with this section; and</t>
  </si>
  <si>
    <t>164.314(b)(1)</t>
  </si>
  <si>
    <t>Standard: Requirements for group health plans. 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</si>
  <si>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164.314(b)(2)</t>
  </si>
  <si>
    <t>Implementation specifications (Required). The plan documents of the group health plan must be amended to incorporate provisions to require the plan sponsor to -</t>
  </si>
  <si>
    <t>164.314(b)(2)(i)</t>
  </si>
  <si>
    <t>Implement administrative, physical, and technical safeguards that reasonably and appropriately protect the confidentiality, integrity, and availability of the electronic protected health information that it creates, receives, maintains, or transmits on behalf of the group health plan;</t>
  </si>
  <si>
    <t>164.314(b)(2)(iii)</t>
  </si>
  <si>
    <t>Ensure that any agent to whom it provides this information agrees to implement reasonable and appropriate security measures to protect the information; and</t>
  </si>
  <si>
    <t>164.308(b)(2)</t>
  </si>
  <si>
    <t>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</si>
  <si>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164.314(a)(2)(ii)</t>
  </si>
  <si>
    <t>Other arrangements. The covered entity is in compliance with paragraph (a)(1) of this section if it has another arrangement in place that meets the requirements of § 164.504(e)(3).</t>
  </si>
  <si>
    <t>164.314(a)(2)(iii)</t>
  </si>
  <si>
    <t>Business associate contracts with subcontractors. The requirements of paragraphs (a)(2)(i) and (a)(2)(ii) of this section apply to the contract or other arrangement between a business associate and a subcontractor required by § 164.308(b)(4) in the same manner as such requirements apply to contracts or other arrangements between a covered entity and business associate.</t>
  </si>
  <si>
    <t>164.308(a)(3)(ii)(C)</t>
  </si>
  <si>
    <t>Termination procedures (Addressable). Implement procedures for terminating access to electronic protected health information when the employment of, or other arrangement with, a workforce member ends or as required by determinations made as specified in paragraph (a)(3)(ii)(B) of this section.</t>
  </si>
  <si>
    <t>164.308(a)(4)(i)</t>
  </si>
  <si>
    <t>Standard: Information access management. Implement policies and procedures for authorizing access to electronic protected health information that are consistent with the applicable requirements of subpart E of this part.</t>
  </si>
  <si>
    <t>164.312(a)(2)(i)</t>
  </si>
  <si>
    <t>Unique user identification (Required). Assign a unique name and/or number for identifying and tracking user identity.</t>
  </si>
  <si>
    <t>164.308(a)(5)(ii)(D)</t>
  </si>
  <si>
    <t>Password management (Addressable). Procedures for creating, changing, and safeguarding passwords.</t>
  </si>
  <si>
    <t>164.308(a)(7)(ii)(A)</t>
  </si>
  <si>
    <t>Data backup plan (Required). Establish and implement procedures to create and maintain retrievable exact copies of electronic protected health information.</t>
  </si>
  <si>
    <t>164.310(a)(1)</t>
  </si>
  <si>
    <t>Standard: Facility access controls. Implement policies and procedures to limit physical access to its electronic information systems and the facility or facilities in which they are housed, while ensuring that properly authorized access is allowed.</t>
  </si>
  <si>
    <t>164.310(a)(2)(ii)</t>
  </si>
  <si>
    <t>Facility security plan (Addressable). Implement policies and procedures to safeguard the facility and the equipment therein from unauthorized physical access, tampering, and theft.</t>
  </si>
  <si>
    <t>164.310(a)(2)(iii)</t>
  </si>
  <si>
    <t>Access control and validation procedures (Addressable). Implement procedures to control and validate a person's access to facilities based on their role or function, including visitor control, and control of access to software programs for testing and revision.</t>
  </si>
  <si>
    <t>164.310(b)</t>
  </si>
  <si>
    <t>Standard: Workstation use. 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</si>
  <si>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164.310(c)</t>
  </si>
  <si>
    <t>Standard: Workstation security. Implement physical safeguards for all workstations that access electronic protected health information, to restrict access to authorized users.</t>
  </si>
  <si>
    <t>164.310(d)(1)</t>
  </si>
  <si>
    <t>Standard: Device and media controls. Implement policies and procedures that govern the receipt and removal of hardware and electronic media that contain electronic protected health information into and out of a facility, and the movement of these items within the facility.</t>
  </si>
  <si>
    <t>164.310(d)(2)(iii)</t>
  </si>
  <si>
    <t>Accountability (Addressable). Maintain a record of the movements of hardware and electronic media and any person responsible therefore.</t>
  </si>
  <si>
    <t>164.308(a)(3)(ii)(A)</t>
  </si>
  <si>
    <t>Authorization and/or supervision (Addressable). Implement procedures for the authorization and/or supervision of workforce members who work with electronic protected health information or in locations where it might be accessed.</t>
  </si>
  <si>
    <t>164.308(a)(3)(i)</t>
  </si>
  <si>
    <t>Standard: Workforce security. 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</si>
  <si>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164.308(a)(3)(ii)(B)</t>
  </si>
  <si>
    <t>Workforce clearance procedure (Addressable). Implement procedures to determine that the access of a workforce member to electronic protected health information is appropriate.</t>
  </si>
  <si>
    <t>164.308(a)(4)(ii)(C)</t>
  </si>
  <si>
    <t>Access establishment and modification (Addressable). Implement policies and procedures that, based upon the covered entity's or the business associate's access authorization policies, establish, document, review, and modify a user's right of access to a workstation, transaction, program, or process.</t>
  </si>
  <si>
    <t>164.312(a)(2)(iii)</t>
  </si>
  <si>
    <t>Automatic logoff (Addressable). Implement electronic procedures that terminate an electronic session after a predetermined time of inactivity.</t>
  </si>
  <si>
    <t>164.314(b)(2)(ii)</t>
  </si>
  <si>
    <t>Ensure that the adequate separation required by § 164.504(f)(2)(iii) is supported by reasonable and appropriate security measures;</t>
  </si>
  <si>
    <t>Additionally, organizations should consider the HIPAA Privacy Rule “minimum necessary” standard, 45 C.F.R. § 164.502(b), when determining the level of access that is appropriate for development and testing staff.</t>
  </si>
  <si>
    <t>164.312(d)</t>
  </si>
  <si>
    <t>Standard: Person or entity authentication. Implement procedures to verify that a person or entity seeking access to electronic protected health information is the one claimed.</t>
  </si>
  <si>
    <t>164.308(a)(5)(i)</t>
  </si>
  <si>
    <t>Standard: Security awareness and training. Implement a security awareness and training program for all members of its workforce (including management).</t>
  </si>
  <si>
    <t>164.308(a)(5)(ii)(A)</t>
  </si>
  <si>
    <t>Security reminders (Addressable). Periodic security updates.</t>
  </si>
  <si>
    <t>164.530(b)(1)</t>
  </si>
  <si>
    <t>Standard: Training. 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t>
  </si>
  <si>
    <t>164.316(b)(2)(ii)</t>
  </si>
  <si>
    <t>Availability (Required). Make documentation available to those persons responsible for implementing the procedures to which the documentation pertains.</t>
  </si>
  <si>
    <t>164.308(a)(5)(ii)(B)</t>
  </si>
  <si>
    <t>Protection from malicious software (Addressable). Procedures for guarding against, detecting, and reporting malicious software.</t>
  </si>
  <si>
    <t>164.312(a)(2)(iv)</t>
  </si>
  <si>
    <t>Encryption and decryption (Addressable). Implement a mechanism to encrypt and decrypt electronic protected health information.</t>
  </si>
  <si>
    <t>164.312(e)(2)(ii)</t>
  </si>
  <si>
    <t>Encryption (Addressable). Implement a mechanism to encrypt electronic protected health information whenever deemed appropriate.</t>
  </si>
  <si>
    <t>164.312(e)(1)</t>
  </si>
  <si>
    <t>Standard: Transmission security. Implement technical security measures to guard against unauthorized access to electronic protected health information that is being transmitted over an electronic communications network.</t>
  </si>
  <si>
    <t>164.312(e)(2)(i)</t>
  </si>
  <si>
    <t>Integrity controls (Addressable). Implement security measures to ensure that electronically transmitted electronic protected health information is not improperly modified without detection until disposed of.</t>
  </si>
  <si>
    <t>164.310(d)(2)(iv)</t>
  </si>
  <si>
    <t>Data backup and storage (Addressable). Create a retrievable, exact copy of electronic protected health information, when needed, before movement of equipment.</t>
  </si>
  <si>
    <t>164.312(c)(1)</t>
  </si>
  <si>
    <t>Standard: Integrity. Implement policies and procedures to protect electronic protected health information from improper alteration or destruction.</t>
  </si>
  <si>
    <t>164.312(c)(2)</t>
  </si>
  <si>
    <t>Implementation specification: Mechanism to authenticate electronic protected health information (Addressable). Implement electronic mechanisms to corroborate that electronic protected health information has not been altered or destroyed in an unauthorized manner.</t>
  </si>
  <si>
    <t>164.308(a)(1)(ii)(C)</t>
  </si>
  <si>
    <t>Sanction policy (Required). Apply appropriate sanctions against workforce members who fail to comply with the security policies and procedures of the covered entity or business associate.</t>
  </si>
  <si>
    <t>Security standards: General rules.</t>
  </si>
  <si>
    <t>164.310.</t>
  </si>
  <si>
    <t>Physical safeguards.</t>
  </si>
  <si>
    <t>164.310(d)(2)(i)</t>
  </si>
  <si>
    <t>Disposal (Required). Implement policies and procedures to address the final disposition of electronic protected health information, and/or the hardware or electronic media on which it is stored.</t>
  </si>
  <si>
    <t>164.310(d)(2)(ii)</t>
  </si>
  <si>
    <t>Media re-use (Required). Implement procedures for removal of electronic protected health information from electronic media before the media are made available for re-use.</t>
  </si>
  <si>
    <t>164.306(e)</t>
  </si>
  <si>
    <t>Maintenance. A covered entity or business associate must review and modify the security measures implemented under this subpart as needed to continue provision of reasonable and appropriate protection of electronic protected health information, and update documentation of such security measures in accordance with § 164.316(b)(2)(iii).</t>
  </si>
  <si>
    <t>164.308(a)(1)(i)</t>
  </si>
  <si>
    <t>Standard: Security management process. Implement policies and procedures to prevent, detect, contain, and correct security violations.</t>
  </si>
  <si>
    <t>164.316(b)(2)(iii)</t>
  </si>
  <si>
    <t>Updates (Required). Review documentation periodically, and update as needed, in response to environmental or operational changes affecting the security of the electronic protected health information.</t>
  </si>
  <si>
    <t>164.308(a)(6)(i)</t>
  </si>
  <si>
    <t>Standard: Security incident procedures. Implement policies and procedures to address security incidents.</t>
  </si>
  <si>
    <t>164.310(a)(2)(iv)</t>
  </si>
  <si>
    <t>Maintenance records (Addressable). Implement policies and procedures to document repairs and modifications to the physical components of a facility which are related to security (for example, hardware, walls, doors, and locks).</t>
  </si>
  <si>
    <t>164.312(b)</t>
  </si>
  <si>
    <t>Standard: Audit controls. Implement hardware, software, and/or procedural mechanisms that record and examine activity in information systems that contain or use electronic protected health information.</t>
  </si>
  <si>
    <t>164.308(a)(5)(ii)(C)</t>
  </si>
  <si>
    <t>Log-in monitoring (Addressable). Procedures for monitoring log-in attempts and reporting discrepancies.</t>
  </si>
  <si>
    <t>Technical safeguards.</t>
  </si>
  <si>
    <t>164.308(a)(1)(ii)(D)</t>
  </si>
  <si>
    <t>Information system activity review (Required). Implement procedures to regularly review records of information system activity, such as audit logs, access reports, and security incident tracking reports.</t>
  </si>
  <si>
    <t>164.314(b)(2)(iv)</t>
  </si>
  <si>
    <t>Report to the group health plan any security incident of which it becomes aware.</t>
  </si>
  <si>
    <t>Although public relations management and reputation repair are not specifically required by the HIPAA Security Rule’s Security Incident Procedures standard (45 C.F.R. § 164.308(a)(6)(i)), HIPAA covered entities and business associates may implement such procedures as components of their compliance activities.</t>
  </si>
  <si>
    <t>Inventory and Control of Hardware Assets</t>
  </si>
  <si>
    <t>Utilize an Active Discovery Tool</t>
  </si>
  <si>
    <t>Use a Passive Asset Discovery Tool</t>
  </si>
  <si>
    <t>Use DHCP Logging to Update Asset Inventory</t>
  </si>
  <si>
    <t>Maintain Detailed Asset Inventory</t>
  </si>
  <si>
    <t>Maintain Asset Inventory Information</t>
  </si>
  <si>
    <t>Address Unauthorized Assets</t>
  </si>
  <si>
    <t>Deploy Port Level Access Control</t>
  </si>
  <si>
    <t>Utilize Client Certificates to Authenticate Hardware Assets</t>
  </si>
  <si>
    <t>Inventory and Control of Software Assets</t>
  </si>
  <si>
    <t>Maintain Inventory of Authorized Software</t>
  </si>
  <si>
    <t>Ensure Software is Supported by Vendor</t>
  </si>
  <si>
    <t>Utilize Software Inventory Tools</t>
  </si>
  <si>
    <t>Track Software Inventory Information</t>
  </si>
  <si>
    <t>Integrate Software and Hardware Asset Inventories</t>
  </si>
  <si>
    <t>Address unapproved software</t>
  </si>
  <si>
    <t>Utilize Application Whitelisting</t>
  </si>
  <si>
    <t>Implement Application Whitelisting of Libraries</t>
  </si>
  <si>
    <t>Continuous Vulnerability Management</t>
  </si>
  <si>
    <t>Run Automated Vulnerability Scanning Tools</t>
  </si>
  <si>
    <t>Perform Authenticated Vulnerability Scanning</t>
  </si>
  <si>
    <t>Protect Dedicated Assessment Accounts</t>
  </si>
  <si>
    <t>Deploy Automated Operating System Patch Management Tools</t>
  </si>
  <si>
    <t>Deploy Automated Software Patch Management Tools</t>
  </si>
  <si>
    <t>Compare Back-to-back Vulnerability Scans</t>
  </si>
  <si>
    <t>Utilize a Risk-rating Process</t>
  </si>
  <si>
    <t>Maintain Inventory of Administrative Accounts</t>
  </si>
  <si>
    <t>Change Default Passwords</t>
  </si>
  <si>
    <t>Ensure the Use of Dedicated Administrative Accounts</t>
  </si>
  <si>
    <t>Use Unique Passwords</t>
  </si>
  <si>
    <t>Use Multifactor Authentication For All Administrative Access</t>
  </si>
  <si>
    <t>Use of Dedicated Machines For All Administrative Tasks</t>
  </si>
  <si>
    <t>Limit Access to Script Tools</t>
  </si>
  <si>
    <t>Log and Alert on Changes to Administrative Group Membership</t>
  </si>
  <si>
    <t>Log and Alert on Unsuccessful Administrative Account Login</t>
  </si>
  <si>
    <t>Secure Configuration for Hardware and Software on Mobile Devices, Laptops, Workstations and Servers</t>
  </si>
  <si>
    <t>Establish Secure Configurations</t>
  </si>
  <si>
    <t>Maintain Secure Images</t>
  </si>
  <si>
    <t>Securely Store Master Images</t>
  </si>
  <si>
    <t>Deploy System Configuration Management Tools</t>
  </si>
  <si>
    <t>Implement Automated Configuration Monitoring Systems</t>
  </si>
  <si>
    <t>Maintenance, Monitoring and Analysis of Audit Logs</t>
  </si>
  <si>
    <t>Utilize Three Synchronized Time Sources</t>
  </si>
  <si>
    <t>Activate audit logging</t>
  </si>
  <si>
    <t>Enable Detailed Logging</t>
  </si>
  <si>
    <t>Ensure adequate storage for logs</t>
  </si>
  <si>
    <t>Central Log Management</t>
  </si>
  <si>
    <t>Deploy SIEM or Log Analytic tool</t>
  </si>
  <si>
    <t>Regularly Review Logs</t>
  </si>
  <si>
    <t>Regularly Tune SIEM</t>
  </si>
  <si>
    <t>Email and Web Browser Protections</t>
  </si>
  <si>
    <t>Ensure Use of Only Fully Supported Browsers and Email Clients</t>
  </si>
  <si>
    <t>Disable Unnecessary or Unauthorized Browser or Email Client Plugins</t>
  </si>
  <si>
    <t>Limit Use of Scripting Languages in Web Browsers and Email Clients</t>
  </si>
  <si>
    <t>Maintain and Enforce Network-Based URL Filters</t>
  </si>
  <si>
    <t>Subscribe to URL-Categorization Service</t>
  </si>
  <si>
    <t>Log all URL requester</t>
  </si>
  <si>
    <t>Use of DNS Filtering Services</t>
  </si>
  <si>
    <t>Implement DMARC and Enable Receiver-Side Verification</t>
  </si>
  <si>
    <t>Block Unnecessary File Types</t>
  </si>
  <si>
    <t>Malware Defenses</t>
  </si>
  <si>
    <t>Utilize Centrally Managed Anti-malware Software</t>
  </si>
  <si>
    <t>Ensure Anti-Malware Software and Signatures are Updated</t>
  </si>
  <si>
    <t>Enable Operating System Anti-Exploitation Features/ Deploy Anti-Exploit Technologies</t>
  </si>
  <si>
    <t>Configure Anti-Malware Scanning of Removable Devices</t>
  </si>
  <si>
    <t>Configure Devices Not To Auto-Run Content</t>
  </si>
  <si>
    <t>Centralize Anti-Malware Logging</t>
  </si>
  <si>
    <t>Enable DNS Query Logging</t>
  </si>
  <si>
    <t>Enable Command-Line Audit Logging</t>
  </si>
  <si>
    <t>Limitation and Control of Network Ports, Protocols, and Services</t>
  </si>
  <si>
    <t>Associate Active Ports, Services and Protocols to Asset Inventory</t>
  </si>
  <si>
    <t>Ensure Only Approved Ports, Protocols and Services Are Running</t>
  </si>
  <si>
    <t>Perform Regular Automated Port Scans</t>
  </si>
  <si>
    <t>Apply Host-Based Firewalls or Port Filtering</t>
  </si>
  <si>
    <t>Implement Application Firewalls</t>
  </si>
  <si>
    <t>Data Recovery Capabilities</t>
  </si>
  <si>
    <t>Ensure Regular Automated BackUps</t>
  </si>
  <si>
    <t>Perform Complete System Backups</t>
  </si>
  <si>
    <t>Test Data on Backup Media</t>
  </si>
  <si>
    <t>Ensure Protection of Backups</t>
  </si>
  <si>
    <t>Ensure Backups Have At least One Non-Continuously Addressable Destination</t>
  </si>
  <si>
    <t>Secure Configuration for Network Devices, such as Firewalls, Routers and Switches</t>
  </si>
  <si>
    <t>Maintain Standard Security Configurations for Network Devices</t>
  </si>
  <si>
    <t>Document Traffic Configuration Rules</t>
  </si>
  <si>
    <t>Use Automated Tools to Verify Standard Device Configurations and Detect Changes</t>
  </si>
  <si>
    <t>Install the Latest Stable Version of Any Security-Related Updates on All Network Devices</t>
  </si>
  <si>
    <t>Manage Network Devices Using Multi-Factor Authentication and Encrypted Sessions</t>
  </si>
  <si>
    <t>Use Dedicated Machines For All Network Administrative Tasks</t>
  </si>
  <si>
    <t>Manage Network Infrastructure Through a Dedicated Network</t>
  </si>
  <si>
    <t>Boundary Defense</t>
  </si>
  <si>
    <t>Maintain an Inventory of Network Boundaries</t>
  </si>
  <si>
    <t>Require All Remote Login to Use Multi-Factor Authentication</t>
  </si>
  <si>
    <t>Manage All Devices Remotely Logging into Internal Network</t>
  </si>
  <si>
    <t>Scan for Unauthorized Connections across Trusted Network Boundaries</t>
  </si>
  <si>
    <t>Deny Communications with Known Malicious IP Addresses</t>
  </si>
  <si>
    <t>Deny Communication over Unauthorized Ports</t>
  </si>
  <si>
    <t>Configure Monitoring Systems to Record Network Packets</t>
  </si>
  <si>
    <t>Deploy Network-Based IDS Sensors</t>
  </si>
  <si>
    <t>Deploy Network-Based Intrusion Prevention Systems</t>
  </si>
  <si>
    <t>Deploy NetFlow Collection on Networking Boundary Devices</t>
  </si>
  <si>
    <t>Deploy Application Layer Filtering Proxy Server</t>
  </si>
  <si>
    <t>Data Protection</t>
  </si>
  <si>
    <t>Maintain an Inventory of Sensitive Information</t>
  </si>
  <si>
    <t>Remove Sensitive Data or Systems Not Regularly Accessed by Organization</t>
  </si>
  <si>
    <t>Monitor and Block Unauthorized Network Traffic</t>
  </si>
  <si>
    <t>Only Allow Access to Authorized Cloud Storage or Email Providers</t>
  </si>
  <si>
    <t>Monitor and Detect Any Unauthorized Use of Encryption</t>
  </si>
  <si>
    <t>Encrypt the Hard Drive of All Mobile Devices.</t>
  </si>
  <si>
    <t>Manage USB Devices</t>
  </si>
  <si>
    <t>Manage System's External Removable Media's Read/Write Configurations</t>
  </si>
  <si>
    <t>Encrypt Data on USB Storage Devices</t>
  </si>
  <si>
    <t>Controlled Access Based on the Need to Know</t>
  </si>
  <si>
    <t>Segment the Network Based on Sensitivity</t>
  </si>
  <si>
    <t>Enable Firewall Filtering Between VLANs</t>
  </si>
  <si>
    <t>Disable Workstation to Workstation Communication</t>
  </si>
  <si>
    <t>Encrypt All Sensitive Information in Transit</t>
  </si>
  <si>
    <t>Utilize an Active Discovery Tool to Identify Sensitive Data</t>
  </si>
  <si>
    <t>Protect Information through Access Control Lists</t>
  </si>
  <si>
    <t>Enforce Access Control to Data through Automated Tools</t>
  </si>
  <si>
    <t>Encrypt Sensitive Information at Rest</t>
  </si>
  <si>
    <t>Enforce Detail Logging for Access or Changes to Sensitive Data</t>
  </si>
  <si>
    <t>Wireless Access Control</t>
  </si>
  <si>
    <t>Maintain an Inventory of Authorized Wireless Access Points</t>
  </si>
  <si>
    <t>Detect Wireless Access Points Connected to the Wired Network</t>
  </si>
  <si>
    <t>Use a Wireless Intrusion Detection System</t>
  </si>
  <si>
    <t>Disable Wireless Access on Devices if Not Required</t>
  </si>
  <si>
    <t>Limit Wireless Access on Client Devices</t>
  </si>
  <si>
    <t>Disable Peer-to-Peer Wireless Network Capabilities on Wireless Clients</t>
  </si>
  <si>
    <t>Leverage the Advanced Encryption Standard (AES) to Encrypt Wireless Data</t>
  </si>
  <si>
    <t>Use Wireless Authentication Protocols that Require Mutual, Multi-Factor Authentication</t>
  </si>
  <si>
    <t>Disable Wireless Peripheral Access of Devices</t>
  </si>
  <si>
    <t>Account Monitoring and Control</t>
  </si>
  <si>
    <t>Maintain an Inventory of Authentication Systems</t>
  </si>
  <si>
    <t>Lock Workstation Sessions After Inactivity</t>
  </si>
  <si>
    <t>Monitor Attempts to Access Deactivated Accounts</t>
  </si>
  <si>
    <t>Alert on Account Login Behavior Deviation</t>
  </si>
  <si>
    <t>Configure Centralized Point of Authentication</t>
  </si>
  <si>
    <t>Require Multi-Factor Authentication</t>
  </si>
  <si>
    <t>Encrypt or Hash all Authentication Credentials</t>
  </si>
  <si>
    <t>Encrypt Transmittal of Username and Authentication Credentials</t>
  </si>
  <si>
    <t>Maintain an Inventory of Accounts</t>
  </si>
  <si>
    <t>Establish Process for Revoking Access</t>
  </si>
  <si>
    <t>Disable Any Unassociated Accounts</t>
  </si>
  <si>
    <t>Disable Dormant Accounts</t>
  </si>
  <si>
    <t>Implement a Security Awareness and Training Program</t>
  </si>
  <si>
    <t>Application Software Security</t>
  </si>
  <si>
    <t>Deploy Web Application Firewalls (WAFs)</t>
  </si>
  <si>
    <t>Use Standard Hardening Configuration Templates for Databases</t>
  </si>
  <si>
    <t>Incident Response and Management</t>
  </si>
  <si>
    <t>Create Incident Scoring and Prioritization Schema</t>
  </si>
  <si>
    <t>Penetration Tests and Red Team Exercises</t>
  </si>
  <si>
    <t>12.10</t>
  </si>
  <si>
    <t>Decrypt Network Traffic at Proxy</t>
  </si>
  <si>
    <t>15.10</t>
  </si>
  <si>
    <t>Create Separate Wireless Network for Personal and Untrusted Devices</t>
  </si>
  <si>
    <t>16.10</t>
  </si>
  <si>
    <t>Ensure All Accounts Have An Expiration Date</t>
  </si>
  <si>
    <t>17.1</t>
  </si>
  <si>
    <t>Perform a Skills Gap Analysis</t>
  </si>
  <si>
    <t>17.2</t>
  </si>
  <si>
    <t>Deliver Training to Fill the Skills Gap</t>
  </si>
  <si>
    <t>17.3</t>
  </si>
  <si>
    <t>Implement a Security Awareness Program</t>
  </si>
  <si>
    <t>17.4</t>
  </si>
  <si>
    <t>Update Awareness Content Frequently</t>
  </si>
  <si>
    <t>17.5</t>
  </si>
  <si>
    <t>Train Workforce on Secure Authentication</t>
  </si>
  <si>
    <t>17.6</t>
  </si>
  <si>
    <t>Train Workforce on Identifying Social Engineering Attacks</t>
  </si>
  <si>
    <t>17.7</t>
  </si>
  <si>
    <t>Train Workforce on Sensitive Data Handling</t>
  </si>
  <si>
    <t>17.8</t>
  </si>
  <si>
    <t>Train Workforce on Causes of Unintentional Data Exposure</t>
  </si>
  <si>
    <t>17.9</t>
  </si>
  <si>
    <t>Train Workforce Members on Identifying and Reporting Incidents</t>
  </si>
  <si>
    <t>18.1</t>
  </si>
  <si>
    <t>Establish Secure Coding Practices</t>
  </si>
  <si>
    <t>18.2</t>
  </si>
  <si>
    <t>Ensure Explicit Error Checking is Performed for All In-House Developed Software</t>
  </si>
  <si>
    <t>18.3</t>
  </si>
  <si>
    <t>Verify That Acquired Software is Still Supported</t>
  </si>
  <si>
    <t>18.4</t>
  </si>
  <si>
    <t>Only Use Up-to-Date And Trusted Third-Party Components</t>
  </si>
  <si>
    <t>18.5</t>
  </si>
  <si>
    <t>Use Only Standardized and Extensively Reviewed Encryption Algorithms</t>
  </si>
  <si>
    <t>18.6</t>
  </si>
  <si>
    <t>Ensure Software Development Personnel are Trained in Secure Coding</t>
  </si>
  <si>
    <t>18.7</t>
  </si>
  <si>
    <t>Apply Static and Dynamic Code Analysis Tools</t>
  </si>
  <si>
    <t>18.8</t>
  </si>
  <si>
    <t>Establish a Process to Accept and Address Reports of Software Vulnerabilities</t>
  </si>
  <si>
    <t>18.9</t>
  </si>
  <si>
    <t>Separate Production and Non-Production Systems</t>
  </si>
  <si>
    <t>19.1</t>
  </si>
  <si>
    <t>Document Incident Response Procedures</t>
  </si>
  <si>
    <t>19.2</t>
  </si>
  <si>
    <t>Assign Job Titles and Duties for Incident Response</t>
  </si>
  <si>
    <t>19.3</t>
  </si>
  <si>
    <t>Designate Management Personnel to Support Incident Handling</t>
  </si>
  <si>
    <t>19.4</t>
  </si>
  <si>
    <t>Devise Organization-wide Standards for Reporting Incidents</t>
  </si>
  <si>
    <t>19.5</t>
  </si>
  <si>
    <t>Maintain Contact Information For Reporting Security Incidents</t>
  </si>
  <si>
    <t>19.6</t>
  </si>
  <si>
    <t>Publish Information Regarding Reporting Computer Anomalies and Incidents</t>
  </si>
  <si>
    <t>19.7</t>
  </si>
  <si>
    <t>Conduct Periodic Incident Scenario Sessions for Personnel</t>
  </si>
  <si>
    <t>2.10</t>
  </si>
  <si>
    <t>Physically or Logically Segregate High Risk Applications</t>
  </si>
  <si>
    <t>Implement Application Whitelisting of Scripts</t>
  </si>
  <si>
    <t>20.1</t>
  </si>
  <si>
    <t>Establish a Penetration Testing Program</t>
  </si>
  <si>
    <t>20.2</t>
  </si>
  <si>
    <t>Conduct Regular External and Internal Penetration Tests</t>
  </si>
  <si>
    <t>20.3</t>
  </si>
  <si>
    <t>Perform Periodic Red Team Exercises</t>
  </si>
  <si>
    <t>20.4</t>
  </si>
  <si>
    <t>Include Tests for Presence of Unprotected System Information and Artifacts</t>
  </si>
  <si>
    <t>20.5</t>
  </si>
  <si>
    <t>Create Test Bed for Elements Not Typically Tested in Production</t>
  </si>
  <si>
    <t>20.6</t>
  </si>
  <si>
    <t>Use Vulnerability Scanning and Penetration Testing Tools in Concert</t>
  </si>
  <si>
    <t>20.7</t>
  </si>
  <si>
    <t>Ensure Results from Penetration Test are Documented Using Open, Machine-readable Standards</t>
  </si>
  <si>
    <t>20.8</t>
  </si>
  <si>
    <t>Control and Monitor Accounts Associated with Penetration Testing</t>
  </si>
  <si>
    <t>Controlled Use of Administrative Privileges</t>
  </si>
  <si>
    <t>7.10</t>
  </si>
  <si>
    <t>Sandbox All Email Attachments</t>
  </si>
  <si>
    <t>Inventory of Authorized and Unauthorized Devices - Actively manage (inventory, track, and correct) all hardware devices on the network so that only authorized devices are given access, and unauthorized and unmanaged devices are found and prevented from gaining access.</t>
  </si>
  <si>
    <t>Deploy an automated asset inventory discovery tool and use it to build a preliminary inventory of systems connected to an organization's public and private network(s). Both active tools that scan through IPv4 or IPv6 network address ranges and passive tools that identify hosts based on analyzing their traffic should be employed.</t>
  </si>
  <si>
    <t>Ensure that all equipment acquisitions automatically update the inventory system as new, approved devices are connected to the network.</t>
  </si>
  <si>
    <t>If the organization is dynamically assigning addresses using DHCP, then deploy dynamic host configuration protocol (DHCP)server logging, and use this information to improve the asset inventory and help detect unknown systems.</t>
  </si>
  <si>
    <t>Maintain an asset inventory of all systems connected to the network and the network devices themselves, recording at least the network addresses, machine name(s), purpose of each system, an asset owner responsible for each device, and the department associated with each device. The inventory should include every system that has an Internet protocol (IP) address on the network, including but not limited to desktops, laptops, servers, network equipment (routers, switches, firewalls, etc.),printers, storage area networks, Voice Over-IP telephones, multi-homed addresses, virtual addresses, etc. The asset inventory created must also include data on whether the devices a portable and/or personal device. Devices such as mobile phones, tablets, laptops, and other portable electronic devices that store or process data must be identified, regardless of whether they are attached to the organization’s network.</t>
  </si>
  <si>
    <t>Inventory of Authorized and Unauthorized Software - Actively manage (inventory, track, and correct) all software on the network so that only authorized software is installed and can execute, and that unauthorized and unmanaged software is found and prevented from installation or execution.</t>
  </si>
  <si>
    <t>Deploy software inventory tools throughout the organization covering each of the operating system types in use, including servers, workstations, and laptops. The software inventory system should track the version of the underlying operating system as well as the applications installed on it. The software inventories must be tied into the hardware asset inventory so all devices and associated software are tracked from a single location. Hardware and software inventory management are closely coupled, and managed centrally.</t>
  </si>
  <si>
    <t>Deploy automated patch management tools and software update tools for operating system and software/applications on all systems for which such tools are available and safe. Patches should be applied to all systems, even systems that are properly air gapped.</t>
  </si>
  <si>
    <t>Devise a list of authorized software and version that is required in the enterprise for each type of system, including servers, workstations, and laptops of various kinds and uses. This list should be monitored by file integrity checking tools to validate that the authorized software has not been modified. File integrity is verified as part of a continuous monitoring program.</t>
  </si>
  <si>
    <t>Perform an assessment of data to identify sensitive information that requires the application of encryption and integrity controls.</t>
  </si>
  <si>
    <t>Define management personnel who will support the incident handling process by acting in key decision-making roles.</t>
  </si>
  <si>
    <t>Establish a process to risk-rate vulnerabilities based on the exploitability and potential impact of the vulnerability, and segmented by appropriate groups of assets (example, DMZ servers, internal network servers, desktops, laptops). Apply patches for the riskiest vulnerabilities first. A phased rollout can be used to minimize the impact to the organization. Establish expected patching timelines based on the risk rating level.</t>
  </si>
  <si>
    <t>Devise organization-wide standards for the time required for system administrators and other personnel to report anomalous events to the incident handling team, the mechanisms for such reporting, and the kind of information that should be included in the incident notification. This reporting should also include notifying the appropriate Community Emergency Response Team in accordance with all legal or regulatory requirements for involving that organization in computer incidents.</t>
  </si>
  <si>
    <t>Assemble and maintain information on third-party contact information to be used to report a security incident (e.g., maintain an email address of security@organization.comor have a web page (http://organization.com/security).</t>
  </si>
  <si>
    <t>Use automated tools to inventory all administrative accounts and validate that each person with administrative privileges on desktops, laptops, and servers is authorized by a senior executive.</t>
  </si>
  <si>
    <t>Administrators should be required to access a system using a fully logged and non-administrative account. Then, once logged on to the machine without administrative privileges, the administrator should transition to administrative privileges using tools such as Sudor on Linux/UNIX, Run As on Windows, and other similar facilities for other types of systems.</t>
  </si>
  <si>
    <t>Controlled Access Based on the Need to Know - 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</si>
  <si>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t>Account Monitoring and Control - Actively manage the life cycle of system and application accounts – their creation, use, dormancy, deletion – in order to minimize opportunities for attackers to leverage them.</t>
  </si>
  <si>
    <t>Review all system accounts and disable any account that cannot be associated with a business process and owner</t>
  </si>
  <si>
    <t>Verify that all authentication files are encrypted or hashed and that these files cannot be accessed without root or administrator privileges. Audit all access top password files in the system.</t>
  </si>
  <si>
    <t>Ensure that all accounts have an expiration date that is monitored and enforced</t>
  </si>
  <si>
    <t>Establish and follow a process for revoking system access by disabling accounts immediately upon termination of an employee or contractor. Disabling instead of deleting accounts allows preservation of audit trails.</t>
  </si>
  <si>
    <t>Regularly monitor the use of all accounts, automatically logging off users after a standard period of inactivity</t>
  </si>
  <si>
    <t>Use and configure account lockouts such that after a set number of failed login attempts the account is locked fora standard period of time.</t>
  </si>
  <si>
    <t>Before deploying any new devices in a networked environment, change all default passwords for applications, operating systems, routers, firewalls, wireless access points, and other systems to have values consistent with administration-level accounts.</t>
  </si>
  <si>
    <t xml:space="preserve">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 </t>
  </si>
  <si>
    <t>Manage network devices using two-factor authentication and encrypted sessions</t>
  </si>
  <si>
    <t>Require all remote login access (including VPN, dial-up, and other forms of access that allow login to internal systems) to use two-factor authentication.</t>
  </si>
  <si>
    <t>Controlled Use of Administrative Privileges - The processes and tools used to track/control/prevent/correct the use, assignment, and configuration of administrative privileges on computers, networks, and applications.</t>
  </si>
  <si>
    <t>All information stored on systems shall be protected with file system, network share, claims, application, or database specific access control lists. These controls will enforce the principle that only authorized individuals should have access to the information based on their need to access the information as apart of their responsibilities.</t>
  </si>
  <si>
    <t>Enforce detailed audit logging for access to nonpublic data and special authentication for sensitive data</t>
  </si>
  <si>
    <t>Configure screen locks on systems to limit access to unattended workstations</t>
  </si>
  <si>
    <t>Configure access for all accounts through a centralized point of authentication, for example Active Directory or LDAP. Configure network and security devices for centralized authentication as well.</t>
  </si>
  <si>
    <t>Any user or system accounts used to perform penetration testing should be controlled and monitored to make sure they are only being used for legitimate purposes, and are removed or restored to normal function after testing is over.</t>
  </si>
  <si>
    <t>Virtual machines and/or air-gapped systems should be used to isolate and run applications that are required for business operations but based on higher risk should not be installed within a networked environment.</t>
  </si>
  <si>
    <t>Verify any server that is visible from the Internet or an untrusted network, and if it is not required for business purposes, move it to an internal VLAN and give it a private address.</t>
  </si>
  <si>
    <t>Place application firewalls in front of any critical servers to verify and validate the traffic going to the server. Any unauthorized services or traffic should be blocked and an alert generated.</t>
  </si>
  <si>
    <t>Install the latest stable version of any security-related updates on all network devices</t>
  </si>
  <si>
    <t>Segment the network based on the label or classification level of the information stored on the servers. Locate all sensitive information on separated VLANS with firewall filtering to ensure that only authorized individuals are only able to communicate with systems necessary to fulfill their specific responsibilities.</t>
  </si>
  <si>
    <t>All network switches will enable Private Virtual Local Area Networks (VLANs) for segmented workstation networks to limit the ability of devices on a network to directly communicate with other devices on the subnet and limit an attackers ability to laterally move to compromise neighboring systems.</t>
  </si>
  <si>
    <t>Create separate virtual local area networks (VLANs) for BYOD systems or other untrusted devices. Internet access from this VLAN should go through at least the same border as corporate traffic. Enterprise access from this VLAN should be treated as untrusted and filtered and audited accordingly.</t>
  </si>
  <si>
    <t>Deploy network level authentication via 802.1x to limit and control which devices can be connected to the network. The 802.1x must be tied into the inventory data to determine authorized versus unauthorized systems.</t>
  </si>
  <si>
    <t>Use client certificates to validate and authenticate systems prior to connecting to the private network.</t>
  </si>
  <si>
    <t>Use multi-factor authentication for all administrative access, including domain administrative access. Multi-factor authentication can include a variety of techniques, to include the use of smart cards, certificates, One Time Password (OTP)tokens, biometrics, or other similar authentication methods.</t>
  </si>
  <si>
    <t>Where multi-factor authentication is not supported, user accounts shall be required to use long passwords on the system(longer than 14 characters).</t>
  </si>
  <si>
    <t xml:space="preserve">Ensure that each wireless device connected to the network matches an authorized configuration and security profile, with a documented owner of the connection and a defined business need. Organizations should deny access to those wireless devices that do not have such a configuration and profile. </t>
  </si>
  <si>
    <t xml:space="preserve">Ensure that wireless networks use authentication protocols such as Extensible Authentication Protocol-Transport Layer Security (EAP/TLS), which provide credential protection and mutual authentication. </t>
  </si>
  <si>
    <t>Require multi-factor authentication for all user accounts that have access to sensitive data or systems. Multi-factor authentication can be achieved using smart cards, certificates, One Time Password (OTP) tokens, or biometrics.</t>
  </si>
  <si>
    <t>Where multi-factor authentication is not supported, user accounts shall be required to use long passwords on the system (longer than 14 characters).</t>
  </si>
  <si>
    <t>Perform gap analysis to see which skills employees need to implement the other Controls, and which behaviors employees are not adhering to, using this information to build a baseline training and awareness roadmap for all employees.</t>
  </si>
  <si>
    <t>Implement a security awareness program that (1) focuses on the methods commonly used in intrusions that can be blocked through individual action, (2) is delivered in short online modules convenient for employees (3) is updated frequently (at least annually) to represent the latest attack techniques, (4) is mandated for completion by all employees at least annually, (5) is reliably monitored for employee completion, and 6) includes the senior leadership team's personal messaging, involvement in training, and accountability through performance metrics.</t>
  </si>
  <si>
    <t>Validate and improve awareness levels through periodic tests to see whether employees will click on a link from suspicious email or provide sensitive information on the telephone without following appropriate procedures for authenticating a caller; targeted training should be provided to those who fall victim to the exercise.</t>
  </si>
  <si>
    <t>Publish information for all personnel, including employees and contractors, regarding reporting computer anomalies and incidents to the incident handling team. Such information should be included in routine employee awareness activities.</t>
  </si>
  <si>
    <t>Security Skills Assessment and Appropriate Training to Fill Gaps - For all functional roles in the organization (prioritizing those mission-critical to the business and its security), identify the specific knowledge, skills, and abilities needed to support defense of the enterprise; develop and execute an integrated plan to assess, identify gaps, and remediate through policy, organizational planning, training, and awareness programs.</t>
  </si>
  <si>
    <t>Deliver training to fill the skills gap. If possible, use more senior staff to deliver the training. A second option is to have outside teachers provide training onsite so the examples used will be directly relevant. If you have small numbers of people to train, use training conferences or online training to fill the gaps.</t>
  </si>
  <si>
    <t>Use security skills assessments for each of the mission critical roles to identify skills gaps. Use hands-on, real world examples to measure mastery. If you do not have such assessments, use one of the available online competitions that simulate real-world scenarios for each of the identified jobs in order to measure mastery of skills mastery.</t>
  </si>
  <si>
    <t>Ensure that all software development personnel receive training in writing secure code for their specific development environment.</t>
  </si>
  <si>
    <t>Configure systems to issue a log entry and alert on any unsuccessful login to an administrative account</t>
  </si>
  <si>
    <t>Monitor attempts to access deactivated accounts through audit logging</t>
  </si>
  <si>
    <t>Deploy approved hard drive encryption software to mobile devices and systems that hold sensitive data</t>
  </si>
  <si>
    <t>Sensitive information stored on systems shall be encrypted at rest and require a secondary authentication mechanism, not integrated into the operating system, in order to access the information.</t>
  </si>
  <si>
    <t>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</si>
  <si>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All communication of sensitive information over less trusted networks should be encrypted. Whenever information flows over a network with a lower trust level, the information should be encrypted.</t>
  </si>
  <si>
    <t xml:space="preserve">Ensure that all wireless traffic leverages at least Advanced Encryption Standard (AES) encryption used with at least Wi-Fi Protected Access 2 (WPA2) protection. </t>
  </si>
  <si>
    <t>Ensure that all account usernames and authentication credentials are transmitted across networks using encrypted channels.</t>
  </si>
  <si>
    <t>Ensure that all systems that store logs have adequate storage space for the logs generated on a regular basis, so that log files will not fill up between log rotation intervals. The logs must be archived and digitally signed on a periodic basis.</t>
  </si>
  <si>
    <t>Scan and block all email attachments entering the organization's email gateway if they contain malicious code or file types that are unnecessary for the organization's business. This scanning should be done before the email is placed in the user's inbox. This includes email content filtering and web content filtering.</t>
  </si>
  <si>
    <t>Data Protection - The processes and tools used to prevent data exfiltration, mitigate the effects of exfiltrated data, and ensure the privacy and integrity of sensitive information.</t>
  </si>
  <si>
    <t>Deploy an automated tool on network perimeters that monitors for sensitive information (e.g., personally identifiable information), keywords, and other document characteristics to discover unauthorized attempts to exfiltrate data across network boundaries and block such transfers while alerting information security personnel.</t>
  </si>
  <si>
    <t>Use network-based DLP solutions to monitor and control the flow of data within the network. Any anomalies that exceed the normal traffic patterns should be noted and appropriate action taken to address them.</t>
  </si>
  <si>
    <t>Monitor all traffic leaving the organization and detect any unauthorized use of encryption. Attackers often use an encrypted channel to bypass network security devices. Therefore it is essential that organizations be able to detect rogue connections, terminate the connection, and remediate the infected system.</t>
  </si>
  <si>
    <t>Block access to known file transfer and email exfiltration websites</t>
  </si>
  <si>
    <t>Use host-based data loss prevention (DLP) to enforce ACLs even when data is copied off a server. In most organizations, access to the data is controlled by ACLs that are implemented on the server. Once the data have been copied to a desktop system, the ACLs are no longer enforced and the users can send the data to whomever they want.</t>
  </si>
  <si>
    <t>To help identify covert channels exfiltrating data through a firewall, configure the built-in firewall session tracking mechanisms included in many commercial firewalls to identify TCP sessions that last an unusually long time for the given organization and firewall device, alerting personnel about the source and destination addresses associated with these long sessions.</t>
  </si>
  <si>
    <t xml:space="preserve">Store the master images on securely configured servers, validated with integrity checking tools capable of continuous inspection, and change management to ensure that only authorized changes to the images are possible. Alternatively, these master images can be stored in offline machines, air-gapped from the production network, with images copied via secure media to move them between the image storage servers and the production network. File integrity of master images are verified as part of a continuous monitoring program. </t>
  </si>
  <si>
    <t>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so or sudor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 File integrity of critical system files are verified as part of a continuous monitoring program.</t>
  </si>
  <si>
    <t>To lower the chance of spoofed email messages, implement the Sender Policy Framework (SPF) by deploying SPF records in DNS and enabling receiver-side verification in mail servers.</t>
  </si>
  <si>
    <t>All enterprise devices remotely logging into the internal network should be managed by the enterprise, with remote control of their configuration, installed software, and patch levels. For third-party devices (e.g., subcontractors/vendors),publish minimum security standards for access to the enterprise network and perform a security scan before allowing access.</t>
  </si>
  <si>
    <t>Maintain separate environments for production and nonproduction systems. Developers should not typically have unmonitored access to production environments.</t>
  </si>
  <si>
    <t>Establish standard secure configurations of operating systems and software applications. Standardized images should represent hardened versions of the underlying operating system and the applications installed on the system. These images should be validated and refreshed on a regular basis to update their security configuration in light of recent vulnerabilities and attack vectors.</t>
  </si>
  <si>
    <t>Email and Web Browser Protections - Minimize the attack surface and the opportunities for attackers to manipulate human behavior though their interaction with web browsers and email systems.</t>
  </si>
  <si>
    <t>Ensure that only fully supported web browsers and email clients are allowed to execute in the organization, ideally only using the latest version of the browsers provided by the vendor in order to take advantage of the latest security functions and fixes.</t>
  </si>
  <si>
    <t>Ensure that each system is automatically backed up on at least a weekly basis, and more often for systems storing sensitive information. To help ensure the ability to rapidly restore a system from backup, the operating system, application software, and data on a machine should each be included in the overall backup procedure. These three components of a system do not have to be included in the same backup file or use the same backup software. There should be multiple backups over time, so that in the event of malware infection, restoration can be from a version that is believed to predate the original infection. All backup policies should be compliant with any regulatory or official requirements.</t>
  </si>
  <si>
    <t>For applications that rely on a database, use standard hardening configuration templates. All systems that are part of critical business processes should also be tested.</t>
  </si>
  <si>
    <t>Run automated vulnerability scanning tools against all systems on the network on a weekly or more frequent basis and deliver prioritized lists of the most critical vulnerabilities to each responsible system administrator along with risk scores that compare the effectiveness of system administrators and departments in reducing risk. Use a SCAP-validated vulnerability scanner that looks for both code-based vulnerabilities (such as those described by Common Vulnerabilities and Exposures entries) and configuration-based vulnerabilities (as enumerated by the Common Configuration Enumeration Project).Vulnerability risk scoring is centrally measured and managed, and integrated into action planning. System</t>
  </si>
  <si>
    <t>Perform automated port scans on a regular basis against all key servers and compare to a known effective baseline. If a change that is not listed on the organization’s approved baseline is discovered, an alert should be generated and reviewed.</t>
  </si>
  <si>
    <t>Limit the use of unnecessary scripting languages in all web browsers and email clients. This includes the use of languages such as ActiveX and JavaScript on systems where it is unnecessary to support such capabilities.</t>
  </si>
  <si>
    <t>All new configuration rules beyond a baseline-hardened configuration that allow traffic to flow through network security devices, such as firewalls and network-based IPS, should be documented and recorded in a configuration management system, with a specific business reason for each change, a specific individual’s name responsible for that business need, and an expected duration of the need.</t>
  </si>
  <si>
    <t>Application Software Security - Manage the security life cycle of all in-house developed and acquired software in order to prevent, detect, and correct security weaknesses.</t>
  </si>
  <si>
    <t>For in-house developed software, ensure that explicit error checking is performed and documented for all input, including for size, data type, and acceptable ranges or formats.</t>
  </si>
  <si>
    <t>Test in-house-developed and third-party-procured web applications for common security weaknesses using automated remote web application scanners prior to deployment, whenever updates are made to the application, and on a regular recurring basis. In particular, input validation and output encoding routines of application software should be reviewed and tested.</t>
  </si>
  <si>
    <t>Do not display system error messages to end-users (output sanitization)</t>
  </si>
  <si>
    <t>For in-house developed applications, ensure that development artifacts (sample data and scripts; unused libraries, components, debug code; or tools) are not included in the deployed software, or accessible in the production environment.</t>
  </si>
  <si>
    <t>Secure Configurations for Hardware and Software on Mobile Devices, Laptops, Workstations, and Servers - Establish, implement, and actively manage (track, report on, correct) the security configuration of laptops, servers, and workstations using a rigorous configuration management and change control process in order to prevent attackers from exploiting vulnerable services and settings.</t>
  </si>
  <si>
    <t>Follow strict configuration management, building a secure image that is used to build all new systems that are deployed in the enterprise. Any existing system that becomes compromised should be re-imaged with the secure build. Regular updates or exceptions to this image should be integrated into the organization's change management processes. Images should be created for workstations, servers, and other system types used by the organization.Y14System</t>
  </si>
  <si>
    <t>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applicable),and new services running on a system. Whenever possible use tools compliant with the Security Content Automation Protocol (SCAP) in order to streamline reporting and integration.</t>
  </si>
  <si>
    <t>Deploy system configuration management tools, such as Active Directory Group Policy Objects for Microsoft Windows systems or Puppet for UNIX systems that will automatically enforce and redeploy configuration settings to systems at regularly scheduled intervals. They should be capable of triggering redeployment of configuration settings on a scheduled, manual, or event-driven basis.</t>
  </si>
  <si>
    <t>Include at least two synchronized time sources from which all servers and network equipment retrieve time information on a regular basis so that timestamps in logs are consistent.</t>
  </si>
  <si>
    <t>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</si>
  <si>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Data Recovery Capability - The processes and tools used to properly back up critical information with a proven methodology for timely recovery of it.</t>
  </si>
  <si>
    <t>Test data on backup media on a regular basis by performing data restoration process to ensure that the backup is properly working.</t>
  </si>
  <si>
    <t>Ensure that backups are properly protected via physical security or encryption when they are stored, as well as when they are moved across the network. This includes remote backups and cloud services.</t>
  </si>
  <si>
    <t>Ensure that key systems have at least one backup destination that is not continuously addressable through operating system calls. This will mitigate the risk of attacks like CryptoLocker which seek to encrypt or damage data on all addressable data shares, including backup destinations.</t>
  </si>
  <si>
    <t>Compare firewall, router, and switch configuration against standard secure configurations defined for each type of network device in use in the organization. The security configuration of such devices should be documented, reviewed, and approved by an organization change control board. Any deviations from the standard configuration or updates to the standard configuration should be documented and approved in a change control system.</t>
  </si>
  <si>
    <t>Manage the network infrastructure across network connections that are separated from the business use of that network, relying on separate VLANs or, preferably, on entirely different physical connectivity for management sessions for network devices.</t>
  </si>
  <si>
    <t>Continuous Vulnerability Assessment and Remediation - Continuously acquire, assess, and take action on new information in order to identify vulnerabilities, remediate, and minimize the window of opportunity for attackers.</t>
  </si>
  <si>
    <t>Subscribe to vulnerability intelligence services in order to stay aware of emerging exposures, and use the information gained from this subscription to update the organization’s vulnerability scanning activities on at least a monthly basis. Alternatively, ensure that the vulnerability scanning tools you use are regularly updated with all relevant important security vulnerabilities.</t>
  </si>
  <si>
    <t>For all acquired application software, check that the version you are using is still supported by the vendor. If not, update to the most current version and install all relevant patches and vendor security recommendations.</t>
  </si>
  <si>
    <t>Incident Response and Management - Protect the organization’s information, as well as its reputation, by developing and implementing an incident response infrastructure (e.g., plans, defined roles, training, communications, management oversight) for quickly discovering an attack and then effectively containing the damage, eradicating the attacker’s presence, and restoring the integrity of the network and systems.</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</si>
  <si>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 Actively monitor the use of external devices(in addition to logging).</t>
  </si>
  <si>
    <t>If there is no business need for supporting such devices, configure systems so that they will not write data to USB tokens or USB hard drives. If such devices are required, enterprise software should be used that can configure systems to allow only specific USB devices (based on serial number or other unique property) to be accessed, and that can automatically encrypt all data placed on such devices. An inventory of all authorized devices must be maintained.</t>
  </si>
  <si>
    <t xml:space="preserve">Deploy application whitelisting that allows systems to run software only if it is included on the whitelist and prevents execution of all other software on the system. The whitelist may be very extensive (as is available from commercial whitelist vendors), so that users are not inconvenienced when using common software. Or, for some special-purpose systems (which require only a small number of programs to achieve their needed business functionality), the whitelist may be quite narrow. </t>
  </si>
  <si>
    <t>Administrators shall use a dedicated machine for all administrative tasks or tasks requiring elevated access. This machine shall be isolated from the organization's primer and not be allowed Internet access. This machine shall not be used for reading email, composing documents, or surfing the Internet.</t>
  </si>
  <si>
    <t>Uninstall or disable any unnecessary or unauthorized browser or email client plugins or add-on applications. Each plugin shall utilize application / URL whitelisting and only allow the use of the application for pre-approved domains.</t>
  </si>
  <si>
    <t>Deploy two separate browser configurations to each system. One configuration should disable the use of all plugins, unnecessary scripting languages, and generally be configured with limited functionality and be used for general web browsing. The other configuration shall allow for more browser functionality but should only be used to access specific websites that require the use of such functionality.</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</si>
  <si>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 Actively monitor the use of external devices(in addition to logging).32System</t>
  </si>
  <si>
    <t>Enable anti-exploitation features such as Data Execution Prevention (DEP), Address Space Layout Randomization (ASLR),virtualization/containerization, etc. For increased protection, deploy capabilities such as Enhanced Mitigation Experience Toolkit (EMET) that can be configured to apply these protections to a broader set of applications and executables.</t>
  </si>
  <si>
    <t>Limitation and Control of Network Ports, Protocols, and Services - Manage (track/control/correct) the ongoing operational use of ports, protocols, and services on networked devices in order to minimize windows of vulnerability available to attackers.</t>
  </si>
  <si>
    <t>Ensure that only ports, protocols, and services with validated business needs are running on each system</t>
  </si>
  <si>
    <t>Apply host-based firewalls or port filtering tools on end systems, with a default-deny rule that drops all traffic except those services and ports that are explicitly allowed.</t>
  </si>
  <si>
    <t>Network engineers shall use a dedicated machine for all administrative tasks or tasks requiring elevated access. This machine shall be isolated from the organization's primary and not be allowed Internet access. This machine shall not be used for reading email, composing documents, or surfing the Internet.</t>
  </si>
  <si>
    <t>Deploy network-based IDS sensors on Internet and extranet DMZ systems and networks that look for unusual attack mechanisms and detect compromise of these systems. These network-based IDS sensors may detect attacks through the use of signatures, network behavior analysis, or other mechanisms to analyze traffic.</t>
  </si>
  <si>
    <t>Network-based IPS devices should be deployed to complement IDS by blocking known bad signatures or the behavior of potential attacks. As attacks become automated, methods such as IDS typically delay the amount of time it takes for someone to react to an attack. A properly configured network-based IPS can provide automation to block bad traffic. When evaluating network-based IPS products, include those using techniques other than signature-based detection(such as virtual machine or sandbox-based approaches) for consideration.</t>
  </si>
  <si>
    <t>Archived data sets or systems not regularly accessed by the organization shall be removed from the organization's network. These systems shall only be used as standalone systems (disconnected from the network) by the business unit needing to occasionally use the system or completely virtualized and powered off until needed.</t>
  </si>
  <si>
    <t>Disable peer-to-peer wireless network capabilities on wireless clients</t>
  </si>
  <si>
    <t>Disable wireless peripheral access of devices (such as Bluetooth), unless such access is required for a documented business need. 15.9 Create separate virtual local area networks (VLANs) for BYOD systems or other untrusted devices. Internet access from thistle should go through at least the same border as corporate traffic. Enterprise access from this VLAN should be treated as untrusted and filtered and audited accordingly.</t>
  </si>
  <si>
    <t>Secure Configurations for Network Devices such as Firewalls, Routers, and Switches - 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</si>
  <si>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Deny communications with (or limit data flow to) known malicious IP addresses (black lists), or limit access only to trusted sites (whitelists). Tests can be periodically carried out by sending packets from logon source IP addresses (non-routable or otherwise unused IP addresses) into the network to verify that they are not transmitted through network perimeters. Lists of logon addresses are publicly available on the Internet from various sources, and indicate a series of IP addresses that should not be used for legitimate traffic traversing the Internet.</t>
  </si>
  <si>
    <t>On DMZ networks, configure monitoring systems (which maybe built in to the IDS sensors or deployed as a separate technology) to record at least packet header information, and preferably full packet header and payloads of the traffic destined for or passing through the network border. This traffic should be sent to a properly configured Security Information Event Management (SIEM) or log analytics system so that events can be correlated from all devices on the network.</t>
  </si>
  <si>
    <t>Design and implement network perimeters so that all outgoing network traffic to the Internet must pass through at least one application layer filtering proxy server. The proxy should support decrypting network traffic, logging individual TCP sessions, blocking specific URLs, domain names, and IP addresses to implement a black list, and applying whitelists of allowed sites that can be accessed through the proxy while blocking all other sites. Organizations should force outbound traffic to the Internet through an authenticated proxy server on the enterprise perimeter.</t>
  </si>
  <si>
    <t>Deploy Net Flow collection and analysis to DMZ network flows to detect anomalous activity</t>
  </si>
  <si>
    <t>Wireless Access Control - The processes and tools used to track/control/prevent/correct the security use of wireless local area networks (LANS), access points, and wireless client systems.</t>
  </si>
  <si>
    <t>Operate critical services on separate physical or logical host machines, such as DNS, file, mail, web, and database servers</t>
  </si>
  <si>
    <t>The organization shall maintain and enforce network based URL filters that limit a system's ability to connect to websites not approved by the organization. The organization shall subscribe to URL categorization services to ensure that they are up-to date with the most recent website category definitions available. Uncategorized sites shall be blocked by default. This filtering shall be enforced for each of the organization's systems, whether they are physically at an organization's facilities or not.</t>
  </si>
  <si>
    <t>Maintenance, Monitoring, and Analysis of Audit Logs - Collect, manage, and analyze audit logs of events that could help detect, understand, or recover from an attack.</t>
  </si>
  <si>
    <t>Correlate event logs with information from vulnerability scans to fulfill two goals. First, personnel should verify that the activity of the regular vulnerability scanning tools is itself logged. Second, personnel should be able to correlate attack detection events with prior vulnerability scanning results to determine whether the given exploit was used against a target known to be vulnerable.</t>
  </si>
  <si>
    <t>Configure network boundary devices, including firewalls, network-based IPS, and inbound and outbound proxies, to verbosely log all traffic (both allowed and blocked) arriving at the device.</t>
  </si>
  <si>
    <t>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t>
  </si>
  <si>
    <t>Employ automated tools to continuously monitor workstations, servers, and mobile devices with anti-virus, anti-spyware, personal firewalls, and host-based IPS functionality. All malware detection events should be sent to enterprise anti-malware administration tools and event log servers.</t>
  </si>
  <si>
    <t>Use automated tools to verify standard device configurations and detect changes. All alterations to such files should be logged and automatically reported to security personnel.</t>
  </si>
  <si>
    <t>Boundary Defense - Detect/prevent/correct the flow of information transferring networks of different trust levels with a focus on security-damaging data.</t>
  </si>
  <si>
    <t xml:space="preserve">Use wireless intrusion detection systems (WIDS) to identify rogue wireless devices and detect attack attempts and successful compromises. In addition to WIDS, all wireless traffic should be monitored by WIDS as traffic passes into the wired network. </t>
  </si>
  <si>
    <t>Protect web applications by deploying web application firewalls (WAFs) that inspect all traffic flowing to the web application for common web application attacks, including but not limited to cross-site scripting, SQL injection, command injection, and directory traversal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 Dealing with encrypted/tunneled traffic requires more planning and resources.</t>
  </si>
  <si>
    <t>Minimize administrative privileges and only use administrative accounts when they are required. Implement focused auditing on the use of administrative privileged functions and monitor for anomalous behavior.</t>
  </si>
  <si>
    <t>Log all URL requests from each of the organization's systems, whether onsite or a mobile device, in order to identify potentially malicious activity and assist incident handlers with identifying potentially compromised systems. Include mobile devices.</t>
  </si>
  <si>
    <t>Enable domain name system (DNS) query logging to detect hostname lookup for known malicious C2 domains</t>
  </si>
  <si>
    <t>Monitor account usage to determine dormant accounts, notifying the user or user’s manager. Disable such accounts if not needed, or document and monitor exceptions (e.g., vendor maintenance accounts needed for system recovery or continuity operations). Require that managers match active employees and contractors with each account belonging to their managed staff. Security or system administrators should then disable accounts that are not assigned to valid workforce members.</t>
  </si>
  <si>
    <t>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t>
  </si>
  <si>
    <t>Malware Defenses - Control the installation, spread, and execution of malicious code at multiple points in the enterprise, while optimizing the use of automation to enable rapid updating of defense, data gathering, and corrective action.</t>
  </si>
  <si>
    <t>Employ anti-malware software that offers a centralized infrastructure that compiles information on file reputations or have administrators manually push updates to all machines. After applying an update, automated systems should verify that each system has received its signature update.</t>
  </si>
  <si>
    <t>Use network-based anti-malware tools to identify executables in all network traffic and use techniques other than signature based detection to identify and filter out malicious content before it arrives at the endpoint.</t>
  </si>
  <si>
    <t>Configure systems to issue a log entry and alert when an account is added to or removed from a domain administrators 'group, or when a new local administrator account is added on a system.</t>
  </si>
  <si>
    <t>Periodically scan for back-channel connections to the Internet that bypass the DMZ, including unauthorized VPN connections and dual-homed hosts connected to the enterprise network and to other networks via wireless, dial-up modems, or other mechanisms.</t>
  </si>
  <si>
    <t>Conduct periodic scans of server machines using automated tools to determine whether sensitive data (e.g., personally identifiable information, health, credit card, or classified information) is present on the system in clear text. These tools, which search for patterns that indicate the presence of sensitive information, can help identify if a business or technical process is leaving behind or otherwise leaking sensitive information.</t>
  </si>
  <si>
    <t xml:space="preserve">Configure network vulnerability scanning tools to detect wireless access points connected to the wired network. Identified devices should be reconciled against a list of authorized wireless access points. Unauthorized (i.e., rogue)access points should be deactivated. </t>
  </si>
  <si>
    <t>Perform vulnerability scanning in authenticated mode either with agents running locally on each end system to analyze the security configuration or with remote scanners that are given administrative rights on the system being tested. Use a dedicated account for authenticated vulnerability scans, which should not be used for any other administrative activities and should be tied to specific machines at specific IP addresses. Ensure that only authorized employees have access to the vulnerability management user interface and that roles are applied to each user.</t>
  </si>
  <si>
    <t>Monitor logs associated with any scanning activity and associated administrator accounts to ensure that this activity is limited to the timeframes of legitimate scans.</t>
  </si>
  <si>
    <t>Penetration Tests and Red Team Exercises - Test the overall strength of an organization’s defenses (the technology, the processes, and the people) by simulating the objectives and actions of an attacker.</t>
  </si>
  <si>
    <t>Conduct regular external and internal penetration tests to identify vulnerabilities and attack vectors that can bemused to exploit enterprise systems successfully. Penetration testing should occur from outside the network perimeter (i.e., the Internet or wireless frequencies around an organization) as well as from within its boundaries (i.e., on the internal network) to simulate both outsider and insider attacks.</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</si>
  <si>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</si>
  <si>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</si>
  <si>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Plan clear goals of the penetration test itself with blended attacks in mind, identifying the goal machine or target asset. Many APT-style attacks deploy multiple vectors—often social engineering combined with web or network exploitation. Red Team manual or automated testing that captures pivoted and multi-vector attacks offers amore realistic assessment of security posture and risk to critical assets.</t>
  </si>
  <si>
    <t>Use vulnerability scanning and penetration testing tools in concert. The results of vulnerability scanning assessments should be used as a starting point to guide and focus penetration testing efforts.</t>
  </si>
  <si>
    <t>Wherever possible, ensure that Red Teams results are documented using open, machine-readable standards (e.g., SCAP). Devise a scoring method for determining the results of Red Team exercises so that results can be compared over time.</t>
  </si>
  <si>
    <t>Create a test bed that mimics a production environment for specific penetration tests and Red Team attacks against elements that are not typically tested in production, such as attacks against supervisory control and data acquisition and other control systems.</t>
  </si>
  <si>
    <t>Compare the results from back-to-back vulnerability scans to verify that vulnerabilities were addressed, either by patching, implementing a compensating control, or documenting and accepting a reasonable business risk. Such acceptance of business risks for existing vulnerabilities should be periodically reviewed to determine if newer compensating controls or subsequent patches can address vulnerabilities that were previously accepted, or if conditions have changed, increasing the risk.</t>
  </si>
  <si>
    <t>Have security personnel and/or system administrators run biweekly reports that identify anomalies in logs. They should then actively review the anomalies, documenting their findings.</t>
  </si>
  <si>
    <t>Conduct periodic incident scenario sessions for personnel associated with the incident handling team to ensure that they understand current threats and risks, as well as their responsibilities in supporting the incident handling team.</t>
  </si>
  <si>
    <t>Ensure that there are written incident response procedures that include a definition of personnel roles for handling incidents. The procedures should define the phases of incident handling.</t>
  </si>
  <si>
    <t>Assign job titles and duties for handling computer and network incidents to specific individuals</t>
  </si>
  <si>
    <t>Environment =</t>
  </si>
  <si>
    <t>Security Control Set options</t>
  </si>
  <si>
    <t>Description</t>
  </si>
  <si>
    <t>Cumulative scores from all assessments</t>
  </si>
  <si>
    <t>NIST Cybersecurity Framework Assessment</t>
  </si>
  <si>
    <t>&lt;No action competed&gt;</t>
  </si>
  <si>
    <t>Financially Significant Applications</t>
  </si>
  <si>
    <t>Vendor Risk Assessment Process</t>
  </si>
  <si>
    <t>I/O - DC Operations</t>
  </si>
  <si>
    <t>Example of CMMC Level 3</t>
  </si>
  <si>
    <t>Example of COBIT 5</t>
  </si>
  <si>
    <t>Example of Critical Security Controls 6</t>
  </si>
  <si>
    <t>Example of Critical Security Controls 7</t>
  </si>
  <si>
    <t>Example of GLBA/SEC</t>
  </si>
  <si>
    <t>Example of HIPAA Privacy Rule</t>
  </si>
  <si>
    <t>Example of HIPAA Security Rule</t>
  </si>
  <si>
    <t>Example of IRS 1075</t>
  </si>
  <si>
    <t>Example of ISO/IEC 27001:2013</t>
  </si>
  <si>
    <t>Example of ITGC-SaaS</t>
  </si>
  <si>
    <t>Example of NIST CSF 1.1</t>
  </si>
  <si>
    <t>Example of NIST SP 800-171 Rev. 2</t>
  </si>
  <si>
    <t>Example of NIST SP 800-53 Rev. 4</t>
  </si>
  <si>
    <t>Example of NIST SP 800-53 Rev. 4, Appendix J</t>
  </si>
  <si>
    <t>Example of NIST SP 800-53 Rev. 5</t>
  </si>
  <si>
    <t>Example of NYDFS (23 NYCRR 500)</t>
  </si>
  <si>
    <t>Example of PCI DSS 3.2</t>
  </si>
  <si>
    <t>Example of SOX/ITGC</t>
  </si>
  <si>
    <t>Enterprise Security Profile Model (ESPM)</t>
  </si>
  <si>
    <t>Kent Pankratz</t>
  </si>
  <si>
    <t>312-870-0685</t>
  </si>
  <si>
    <t>http://creativecommons.org/licenses/by-sa/4.0/</t>
  </si>
  <si>
    <t>Creative Commons License
The Enterprise Security Profile Model (ESPM) by Kent Pankratz, Verity Security LLC, is licensed under a Creative Commons Attribution-ShareAlike 4.0 International License.</t>
  </si>
  <si>
    <t>Objective of the license: 1) Attribute the work. Give proper credit to origin of the work and to others contributing to the work. 2) Don't be selfish. Give back to the community by building upon the work with ESPM improvements.</t>
  </si>
  <si>
    <t>This is a Free Cultural Work</t>
  </si>
  <si>
    <t xml:space="preserve">https://creativecommons.org/share-your-work/public-domain/freeworks </t>
  </si>
  <si>
    <t>This solution is catigorized under the Free Software Definition</t>
  </si>
  <si>
    <t>https://www.gnu.org/philosophy/free-sw.html</t>
  </si>
  <si>
    <t>Based on a work at:</t>
  </si>
  <si>
    <t>http://www.veritysecurity.com/espm/</t>
  </si>
  <si>
    <t>Permissions beyond the scope of this license may be available at:</t>
  </si>
  <si>
    <t>http://www.veritysecurity.com/espm/license/</t>
  </si>
  <si>
    <t xml:space="preserve"> </t>
  </si>
  <si>
    <t>https://www.cisecurity.org/cis-controls-supporters/</t>
  </si>
  <si>
    <t>Contributers</t>
  </si>
  <si>
    <t>Date of record</t>
  </si>
  <si>
    <t>Kent Pankratz, MSISA, CISSP</t>
  </si>
  <si>
    <t>Updated the security control set mapping within the ESPM. HIPAA, CSC v6, PCI DSS v3.2, and NIST CSF v1.1</t>
  </si>
  <si>
    <t>Uploaded the working ESPM v1</t>
  </si>
  <si>
    <t>Created the ESPM (as a working concept)</t>
  </si>
  <si>
    <t>Development of the BRAAT method. Bridging Risk Assessment and Analysis Totals (BRAAT) is the method in the model (ESPM).</t>
  </si>
  <si>
    <t>Description of assessment</t>
  </si>
  <si>
    <t>ALL</t>
  </si>
  <si>
    <t>Select the Control Sets as ALL or SETS 
from the drop down list on the right</t>
  </si>
  <si>
    <t>SETS</t>
  </si>
  <si>
    <t>AT-6</t>
  </si>
  <si>
    <t>Training Feedback</t>
  </si>
  <si>
    <t>Literacy Training and Awareness</t>
  </si>
  <si>
    <t>CA-7(6)</t>
  </si>
  <si>
    <t>CM-7(9)</t>
  </si>
  <si>
    <t>CM-11(3)</t>
  </si>
  <si>
    <t>CM-14</t>
  </si>
  <si>
    <t>Signed Components</t>
  </si>
  <si>
    <t>CP-4(5)</t>
  </si>
  <si>
    <t>IR-2(3)</t>
  </si>
  <si>
    <t>PE-8(3)</t>
  </si>
  <si>
    <t>PM-20(1)</t>
  </si>
  <si>
    <t>PM-30(1)</t>
  </si>
  <si>
    <t>PS-9</t>
  </si>
  <si>
    <t>Position Descriptions</t>
  </si>
  <si>
    <t>PT-4(1)</t>
  </si>
  <si>
    <t>PT-4(2)</t>
  </si>
  <si>
    <t>PT-4(3)</t>
  </si>
  <si>
    <t>Specific Categories of Personally Identifiable Information</t>
  </si>
  <si>
    <t>SA-8(33)</t>
  </si>
  <si>
    <t>SA-10(7)</t>
  </si>
  <si>
    <t>Developer Security and Privacy Architecture and Design</t>
  </si>
  <si>
    <t>SC-16(3)</t>
  </si>
  <si>
    <t>SC-45(1)</t>
  </si>
  <si>
    <t>SC-45(2)</t>
  </si>
  <si>
    <t>Alternate Communications Paths</t>
  </si>
  <si>
    <t>SR-3(3)</t>
  </si>
  <si>
    <t>SR-4(4)</t>
  </si>
  <si>
    <t>Supplier Assessments and Reviews</t>
  </si>
  <si>
    <t>SR-12</t>
  </si>
  <si>
    <t>Component Disposal</t>
  </si>
  <si>
    <t>Control Grouping</t>
  </si>
  <si>
    <t>AC.1.001</t>
  </si>
  <si>
    <t>AC.1.002</t>
  </si>
  <si>
    <t>AC.1.003</t>
  </si>
  <si>
    <t>AC.1.004</t>
  </si>
  <si>
    <t>AC.2.005</t>
  </si>
  <si>
    <t>AC.2.006</t>
  </si>
  <si>
    <t>AC.2.007</t>
  </si>
  <si>
    <t>AC.2.008</t>
  </si>
  <si>
    <t>AC.2.009</t>
  </si>
  <si>
    <t>AC.2.010</t>
  </si>
  <si>
    <t>AC.2.011</t>
  </si>
  <si>
    <t>AC.2.013</t>
  </si>
  <si>
    <t>AC.2.015</t>
  </si>
  <si>
    <t>AC.2.016</t>
  </si>
  <si>
    <t>AC.3.017</t>
  </si>
  <si>
    <t>AC.3.018</t>
  </si>
  <si>
    <t>AC.3.019</t>
  </si>
  <si>
    <t>AC.3.012</t>
  </si>
  <si>
    <t>AC.3.020</t>
  </si>
  <si>
    <t>AC.3.014</t>
  </si>
  <si>
    <t>AC.3.021</t>
  </si>
  <si>
    <t>AC.3.022</t>
  </si>
  <si>
    <t>AC.4.023</t>
  </si>
  <si>
    <t>AC.4.025</t>
  </si>
  <si>
    <t>AC.4.032</t>
  </si>
  <si>
    <t>AC.5.024</t>
  </si>
  <si>
    <t>AM.3.036</t>
  </si>
  <si>
    <t>AM.4.226</t>
  </si>
  <si>
    <t>AU.2.041</t>
  </si>
  <si>
    <t>AU.2.042</t>
  </si>
  <si>
    <t>AU.2.043</t>
  </si>
  <si>
    <t>AU.2.044</t>
  </si>
  <si>
    <t>AU.3.045</t>
  </si>
  <si>
    <t>AU.3.046</t>
  </si>
  <si>
    <t>AU.3.048</t>
  </si>
  <si>
    <t>AU.3.049</t>
  </si>
  <si>
    <t>AU.3.050</t>
  </si>
  <si>
    <t>AU.3.051</t>
  </si>
  <si>
    <t>AU.3.052</t>
  </si>
  <si>
    <t>AU.4.053</t>
  </si>
  <si>
    <t>AU.4.054</t>
  </si>
  <si>
    <t>AU.5.055</t>
  </si>
  <si>
    <t>AT.2.056</t>
  </si>
  <si>
    <t>AT.2.057</t>
  </si>
  <si>
    <t>AT.3.058</t>
  </si>
  <si>
    <t>AT.4.059</t>
  </si>
  <si>
    <t>AT.4.060</t>
  </si>
  <si>
    <t>CM.2.061</t>
  </si>
  <si>
    <t>CM.2.062</t>
  </si>
  <si>
    <t>CM.2.063</t>
  </si>
  <si>
    <t>CM.2.064</t>
  </si>
  <si>
    <t>CM.2.065</t>
  </si>
  <si>
    <t>CM.2.066</t>
  </si>
  <si>
    <t>CM.3.067</t>
  </si>
  <si>
    <t>CM.3.068</t>
  </si>
  <si>
    <t>CM.3.069</t>
  </si>
  <si>
    <t>CM.4.073</t>
  </si>
  <si>
    <t>CM.5.074</t>
  </si>
  <si>
    <t>IA.1.076</t>
  </si>
  <si>
    <t>IA.1.077</t>
  </si>
  <si>
    <t>IA.2.078</t>
  </si>
  <si>
    <t>IA.2.079</t>
  </si>
  <si>
    <t>IA.2.080</t>
  </si>
  <si>
    <t>IA.2.081</t>
  </si>
  <si>
    <t>IA.2.082</t>
  </si>
  <si>
    <t>IA.3.083</t>
  </si>
  <si>
    <t>IA.3.084</t>
  </si>
  <si>
    <t>IA.3.085</t>
  </si>
  <si>
    <t>IA.3.086</t>
  </si>
  <si>
    <t>IR.2.092</t>
  </si>
  <si>
    <t>IR.2.093</t>
  </si>
  <si>
    <t>IR.2.094</t>
  </si>
  <si>
    <t>IR.2.096</t>
  </si>
  <si>
    <t>IR.2.097</t>
  </si>
  <si>
    <t>IR.3.098</t>
  </si>
  <si>
    <t>IR.3.099</t>
  </si>
  <si>
    <t>IR.4.100</t>
  </si>
  <si>
    <t>IR.4.101</t>
  </si>
  <si>
    <t>IR.5.106</t>
  </si>
  <si>
    <t>IR.5.102</t>
  </si>
  <si>
    <t>IR.5.108</t>
  </si>
  <si>
    <t>IR.5.110</t>
  </si>
  <si>
    <t>MA.2.111</t>
  </si>
  <si>
    <t>MA.2.112</t>
  </si>
  <si>
    <t>MA.2.113</t>
  </si>
  <si>
    <t>MA.2.114</t>
  </si>
  <si>
    <t>MA.3.115</t>
  </si>
  <si>
    <t>MA.3.116</t>
  </si>
  <si>
    <t>MP.1.118</t>
  </si>
  <si>
    <t>MP.2.119</t>
  </si>
  <si>
    <t>MP.2.120</t>
  </si>
  <si>
    <t>MP.2.121</t>
  </si>
  <si>
    <t>MP.3.122</t>
  </si>
  <si>
    <t>MP.3.123</t>
  </si>
  <si>
    <t>MP.3.124</t>
  </si>
  <si>
    <t>MP.3.125</t>
  </si>
  <si>
    <t>PS.2.127</t>
  </si>
  <si>
    <t>PS.2.128</t>
  </si>
  <si>
    <t>PE.1.131</t>
  </si>
  <si>
    <t>PE.1.132</t>
  </si>
  <si>
    <t>PE.1.133</t>
  </si>
  <si>
    <t>PE.1.134</t>
  </si>
  <si>
    <t>PE.2.135</t>
  </si>
  <si>
    <t>PE.3.136</t>
  </si>
  <si>
    <t>RE.2.137</t>
  </si>
  <si>
    <t>RE.2.138</t>
  </si>
  <si>
    <t>RE.3.139</t>
  </si>
  <si>
    <t>RE.5.140</t>
  </si>
  <si>
    <t>RM.2.141</t>
  </si>
  <si>
    <t>RM.2.142</t>
  </si>
  <si>
    <t>RM.2.143</t>
  </si>
  <si>
    <t>RM.3.144</t>
  </si>
  <si>
    <t>RM.3.146</t>
  </si>
  <si>
    <t>RM.3.147</t>
  </si>
  <si>
    <t>RM.4.149</t>
  </si>
  <si>
    <t>RM.4.150</t>
  </si>
  <si>
    <t>RM.4.151</t>
  </si>
  <si>
    <t>RM.4.148</t>
  </si>
  <si>
    <t>RM.5.152</t>
  </si>
  <si>
    <t>RM.5.155</t>
  </si>
  <si>
    <t>CA.2.157</t>
  </si>
  <si>
    <t>CA.2.158</t>
  </si>
  <si>
    <t>CA.2.159</t>
  </si>
  <si>
    <t>CA.3.161</t>
  </si>
  <si>
    <t>CA.3.162</t>
  </si>
  <si>
    <t>CA.4.163</t>
  </si>
  <si>
    <t>CA.4.164</t>
  </si>
  <si>
    <t>CA.4.227</t>
  </si>
  <si>
    <t>SA.3.169</t>
  </si>
  <si>
    <t>SA.4.171</t>
  </si>
  <si>
    <t>SA.4.173</t>
  </si>
  <si>
    <t>SC.1.175</t>
  </si>
  <si>
    <t>SC.1.176</t>
  </si>
  <si>
    <t>SC.2.178</t>
  </si>
  <si>
    <t>SC.2.179</t>
  </si>
  <si>
    <t>SC.3.177</t>
  </si>
  <si>
    <t>SC.3.180</t>
  </si>
  <si>
    <t>SC.3.181</t>
  </si>
  <si>
    <t>SC.3.182</t>
  </si>
  <si>
    <t>SC.3.183</t>
  </si>
  <si>
    <t>SC.3.184</t>
  </si>
  <si>
    <t>SC.3.185</t>
  </si>
  <si>
    <t>SC.3.186</t>
  </si>
  <si>
    <t>SC.3.187</t>
  </si>
  <si>
    <t>SC.3.188</t>
  </si>
  <si>
    <t>SC.3.189</t>
  </si>
  <si>
    <t>SC.3.190</t>
  </si>
  <si>
    <t>SC.3.191</t>
  </si>
  <si>
    <t>SC.3.192</t>
  </si>
  <si>
    <t>SC.3.193</t>
  </si>
  <si>
    <t>SC.4.197</t>
  </si>
  <si>
    <t>SC.4.228</t>
  </si>
  <si>
    <t>SC.4.199</t>
  </si>
  <si>
    <t>SC.4.202</t>
  </si>
  <si>
    <t>SC.4.229</t>
  </si>
  <si>
    <t>SC.5.198</t>
  </si>
  <si>
    <t>SC.5.230</t>
  </si>
  <si>
    <t>SC.5.208</t>
  </si>
  <si>
    <t>SI.1.210</t>
  </si>
  <si>
    <t>SI.1.211</t>
  </si>
  <si>
    <t>SI.1.212</t>
  </si>
  <si>
    <t>SI.1.213</t>
  </si>
  <si>
    <t>SI.2.214</t>
  </si>
  <si>
    <t>SI.2.216</t>
  </si>
  <si>
    <t>SI.2.217</t>
  </si>
  <si>
    <t>SI.3.218</t>
  </si>
  <si>
    <t>SI.3.219</t>
  </si>
  <si>
    <t>SI.3.220</t>
  </si>
  <si>
    <t>SI.4.221</t>
  </si>
  <si>
    <t>SI.5.222</t>
  </si>
  <si>
    <t>SI.5.223</t>
  </si>
  <si>
    <t>CMMC 1.0</t>
  </si>
  <si>
    <t>Security Awareness - 2020</t>
  </si>
  <si>
    <t>Security Awareness - 2021</t>
  </si>
  <si>
    <t>https://www.securitycheckbox.com/</t>
  </si>
  <si>
    <t>3.1.1</t>
  </si>
  <si>
    <t>3.1.2</t>
  </si>
  <si>
    <t>Limit information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</si>
  <si>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</si>
  <si>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</si>
  <si>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</si>
  <si>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</si>
  <si>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</si>
  <si>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3.1.6</t>
  </si>
  <si>
    <t>3.1.7</t>
  </si>
  <si>
    <t>3.1.8</t>
  </si>
  <si>
    <t>Limit unsuccessful logon attempts.</t>
  </si>
  <si>
    <t>3.1.9</t>
  </si>
  <si>
    <t>Provide privacy and security notices consistent with applicable CUI rules.</t>
  </si>
  <si>
    <t>3.1.10</t>
  </si>
  <si>
    <t>3.1.11</t>
  </si>
  <si>
    <t>3.1.12</t>
  </si>
  <si>
    <t>Monitor and control remote access sessions.</t>
  </si>
  <si>
    <t>3.1.13</t>
  </si>
  <si>
    <t>Employ cryptographic mechanisms to protect the confidentiality of remote access sessions.</t>
  </si>
  <si>
    <t>3.1.14</t>
  </si>
  <si>
    <t>Route remote access via managed access control points.</t>
  </si>
  <si>
    <t>3.1.15</t>
  </si>
  <si>
    <t>3.1.16</t>
  </si>
  <si>
    <t>Authorize wireless access prior to allowing such connections.</t>
  </si>
  <si>
    <t>3.1.17</t>
  </si>
  <si>
    <t>Protect wireless access using authentication and encryption.</t>
  </si>
  <si>
    <t>3.1.18</t>
  </si>
  <si>
    <t>Control connection of mobile devices.</t>
  </si>
  <si>
    <t>3.1.19</t>
  </si>
  <si>
    <t>3.1.20</t>
  </si>
  <si>
    <t>Verify and control/limit connections to and use of external information systems.</t>
  </si>
  <si>
    <t>3.1.21</t>
  </si>
  <si>
    <t>3.1.22</t>
  </si>
  <si>
    <t>Control information posted or processed on publicly accessible information systems.</t>
  </si>
  <si>
    <t>Provide security awareness training on recognizing and reporting potential indicators of insider threat.</t>
  </si>
  <si>
    <t>3.3.1</t>
  </si>
  <si>
    <t>3.3.2</t>
  </si>
  <si>
    <t>3.3.3</t>
  </si>
  <si>
    <t>3.3.4</t>
  </si>
  <si>
    <t>3.3.5</t>
  </si>
  <si>
    <t>3.3.6</t>
  </si>
  <si>
    <t>3.3.7</t>
  </si>
  <si>
    <t>3.3.8</t>
  </si>
  <si>
    <t>3.3.9</t>
  </si>
  <si>
    <t>3.4.2</t>
  </si>
  <si>
    <t>3.4.3</t>
  </si>
  <si>
    <t>3.4.4</t>
  </si>
  <si>
    <t>Analyze the security impact of changes prior to implementation.</t>
  </si>
  <si>
    <t>3.4.5</t>
  </si>
  <si>
    <t>3.4.6</t>
  </si>
  <si>
    <t>3.4.7</t>
  </si>
  <si>
    <t>3.4.8</t>
  </si>
  <si>
    <t>3.4.9</t>
  </si>
  <si>
    <t>3.5.5</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</si>
  <si>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</si>
  <si>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</si>
  <si>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</si>
  <si>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</si>
  <si>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</si>
  <si>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</si>
  <si>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</si>
  <si>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</si>
  <si>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</si>
  <si>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3.5.11</t>
  </si>
  <si>
    <t>Obscure feedback of authentication information.</t>
  </si>
  <si>
    <t>Test the organizational incident response capability.</t>
  </si>
  <si>
    <t>3.7.1</t>
  </si>
  <si>
    <t>3.7.2</t>
  </si>
  <si>
    <t>3.7.3</t>
  </si>
  <si>
    <t>3.7.4</t>
  </si>
  <si>
    <t>3.7.5</t>
  </si>
  <si>
    <t>Require multifactor authentication to establish nonlocal maintenance sessions via external network connections and terminate such connections when nonlocal maintenance is complete.</t>
  </si>
  <si>
    <t>3.7.6</t>
  </si>
  <si>
    <t>3.8.1</t>
  </si>
  <si>
    <t>3.8.2</t>
  </si>
  <si>
    <t>3.8.3</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</si>
  <si>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</si>
  <si>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</si>
  <si>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</si>
  <si>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</si>
  <si>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</si>
  <si>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</si>
  <si>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</si>
  <si>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3.8.8</t>
  </si>
  <si>
    <t>Prohibit the use of portable storage devices when such devices have no identifiable owner.</t>
  </si>
  <si>
    <t>3.8.9</t>
  </si>
  <si>
    <t>Protect the confidentiality of backup CUI at storage locations.</t>
  </si>
  <si>
    <t>3.9.1</t>
  </si>
  <si>
    <t>3.9.2</t>
  </si>
  <si>
    <t>3.10.1</t>
  </si>
  <si>
    <t>3.10.2</t>
  </si>
  <si>
    <t>3.10.3</t>
  </si>
  <si>
    <t>Escort visitors and monitor visitor activity.</t>
  </si>
  <si>
    <t>3.10.4</t>
  </si>
  <si>
    <t>Maintain audit logs of physical access.</t>
  </si>
  <si>
    <t>3.10.5</t>
  </si>
  <si>
    <t>Control and manage physical access devices.</t>
  </si>
  <si>
    <t>3.10.6</t>
  </si>
  <si>
    <t>3.11.1</t>
  </si>
  <si>
    <t>3.11.2</t>
  </si>
  <si>
    <t>3.11.3</t>
  </si>
  <si>
    <t>3.12.1</t>
  </si>
  <si>
    <t>3.12.2</t>
  </si>
  <si>
    <t>3.12.3</t>
  </si>
  <si>
    <t>3.13.1</t>
  </si>
  <si>
    <t>3.13.2</t>
  </si>
  <si>
    <t>3.13.3</t>
  </si>
  <si>
    <t>3.13.4</t>
  </si>
  <si>
    <t>Prevent unauthorized and unintended information transfer via shared system resources.</t>
  </si>
  <si>
    <t>3.13.5</t>
  </si>
  <si>
    <t>Implement subnetworks for publicly accessible system components that are physically or logically separated from internal networks.</t>
  </si>
  <si>
    <t>3.13.6</t>
  </si>
  <si>
    <t>3.13.7</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</si>
  <si>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</si>
  <si>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</si>
  <si>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</si>
  <si>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</si>
  <si>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</si>
  <si>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3.13.11</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</si>
  <si>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</si>
  <si>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</si>
  <si>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</si>
  <si>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</si>
  <si>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</si>
  <si>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</si>
  <si>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</si>
  <si>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</si>
  <si>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</si>
  <si>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</si>
  <si>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</si>
  <si>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3.14.2</t>
  </si>
  <si>
    <t>Provide protection from malicious code at appropriate locations within organizational information systems.</t>
  </si>
  <si>
    <t>3.14.3</t>
  </si>
  <si>
    <t>3.14.4</t>
  </si>
  <si>
    <t>Update malicious code protection mechanisms when new releases are available.</t>
  </si>
  <si>
    <t>3.14.5</t>
  </si>
  <si>
    <t>3.14.6</t>
  </si>
  <si>
    <t>3.14.7</t>
  </si>
  <si>
    <t>Limit information system access to authorized users, processes acting on behalf of authorized users, or devices (including other information systems). Access Control.</t>
  </si>
  <si>
    <t>Limit information system access to the types of transactions and functions that authorized users are permitted to execute. Access Control.</t>
  </si>
  <si>
    <t>Control the flow of CUI in accordance with approved authorizations. Access Control.</t>
  </si>
  <si>
    <t>Separate the duties of individuals to reduce the risk of malevolent activity without collusion. Access Control.</t>
  </si>
  <si>
    <t>Employ the principle of least privilege, including for specific security functions and privileged accounts. Access Control.</t>
  </si>
  <si>
    <t>Use non-privileged accounts or roles when accessing nonsecurity functions. Access Control.</t>
  </si>
  <si>
    <t>Prevent non-privileged users from executing privileged functions and audit the execution of such functions. Access Control.</t>
  </si>
  <si>
    <t>Limit unsuccessful logon attempts. Access Control.</t>
  </si>
  <si>
    <t>Use session lock with pattern-hiding displays to prevent access/viewing of data after period of inactivity. Access Control.</t>
  </si>
  <si>
    <t>Terminate (automatically) a user session after a defined condition. Access Control.</t>
  </si>
  <si>
    <t>Monitor and control remote access sessions. Access Control.</t>
  </si>
  <si>
    <t>Employ cryptographic mechanisms to protect the confidentiality of remote access sessions. Access Control.</t>
  </si>
  <si>
    <t>Route remote access via managed access control points. Access Control.</t>
  </si>
  <si>
    <t>Authorize remote execution of privileged commands and remote access to security-relevant information. Access Control.</t>
  </si>
  <si>
    <t>Authorize wireless access prior to allowing such connections. Access Control.</t>
  </si>
  <si>
    <t>Protect wireless access using authentication and encryption. Access Control.</t>
  </si>
  <si>
    <t>Control connection of mobile devices. Access Control.</t>
  </si>
  <si>
    <t>Encrypt CUI on mobile devices. Access Control.</t>
  </si>
  <si>
    <t>Verify and control/limit connections to and use of external information systems. Access Control.</t>
  </si>
  <si>
    <t>Control information posted or processed on publicly accessible information systems. Access Control.</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</si>
  <si>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 Awareness and Training.</t>
  </si>
  <si>
    <t>Ensure that organizational personnel are adequately trained to carry out their assigned information security-related duties and responsibilities. Awareness and Training.</t>
  </si>
  <si>
    <t>Provide security awareness training on recognizing and reporting potential indicators of insider threat. Awareness and Training.</t>
  </si>
  <si>
    <t>Create, protect, and retain information system audit records to the extent needed to enable the monitoring, analysis, investigation, and reporting of unlawful, unauthorized, or inappropriate information system activity. Audit and Accountability.</t>
  </si>
  <si>
    <t>Ensure that the actions of individual information system users can be uniquely traced to those users so they can be held accountable for their actions. Audit and Accountability.</t>
  </si>
  <si>
    <t>Review and update audited events. Audit and Accountability.</t>
  </si>
  <si>
    <t>Alert in the event of an audit process failure. Audit and Accountability.</t>
  </si>
  <si>
    <t>Use automated mechanisms to integrate and correlate audit review, analysis, and reporting processes for investigation and response to indications of inappropriate, suspicious, or unusual activity. Audit and Accountability.</t>
  </si>
  <si>
    <t>Provide audit reduction and report generation to support on-demand analysis and reporting. Audit and Accountability.</t>
  </si>
  <si>
    <t>Provide an information system capability that compares and synchronizes internal system clocks with an authoritative source to generate time stamps for audit records. Audit and Accountability.</t>
  </si>
  <si>
    <t>Protect audit information and audit tools from unauthorized access, modification, and deletion. Audit and Accountability.</t>
  </si>
  <si>
    <t>Limit management of audit functionality to a subset of privileged users. Audit and Accountability.</t>
  </si>
  <si>
    <t>Establish and maintain baseline configurations and inventories of organizational information systems (including hardware, software, firmware, and documentation) throughout the respective system development life cycles. Configuration Management.</t>
  </si>
  <si>
    <t>Establish and enforce security configuration settings for information technology products employed in organizational information systems. Configuration Management.</t>
  </si>
  <si>
    <t>Track, review, approve/disapprove, and audit changes to information systems. Configuration Management.</t>
  </si>
  <si>
    <t>Analyze the security impact of changes prior to implementation. Configuration Management.</t>
  </si>
  <si>
    <t>Define, document, approve, and enforce physical and logical access restrictions associated with changes to the information system. Configuration Management.</t>
  </si>
  <si>
    <t>Employ the principle of least functionality by configuring the information system to provide only essential capabilities. Configuration Management.</t>
  </si>
  <si>
    <t>Restrict, disable, and prevent the use of nonessential programs, functions, ports, protocols, and services. Configuration Management.</t>
  </si>
  <si>
    <t>Apply deny-by-exception (blacklist) policy to prevent the use of unauthorized software or deny-all, permit-by-exception (whitelisting) policy to allow the execution of authorized software. Configuration Management.</t>
  </si>
  <si>
    <t>Control and monitor user-installed software. Configuration Management.</t>
  </si>
  <si>
    <t>Identify information system users, processes acting on behalf of users, or devices. Identification and Authentication.</t>
  </si>
  <si>
    <t>Authenticate (or verify) the identities of those users, processes, or devices, as a prerequisite to allowing access to organizational information systems. Identification and Authentication.</t>
  </si>
  <si>
    <t>Use multifactor authentication for local and network access to privileged accounts and for network access to non-privileged accounts. Identification and Authentication.</t>
  </si>
  <si>
    <t>Employ replay-resistant authentication mechanisms for network access to privileged and non-privileged accounts. Identification and Authentication.</t>
  </si>
  <si>
    <t>Prevent reuse of identifiers for a defined period. Identification and Authentication.</t>
  </si>
  <si>
    <t>Disable identifiers after a defined period of inactivity. Identification and Authentication.</t>
  </si>
  <si>
    <t>Enforce a minimum password complexity and change of characters when new passwords are created. Identification and Authentication.</t>
  </si>
  <si>
    <t>Prohibit password reuse for a specified number of generations. Identification and Authentication.</t>
  </si>
  <si>
    <t>Allow temporary password use for system logons with an immediate change to a permanent password. Identification and Authentication.</t>
  </si>
  <si>
    <t>Store and transmit only encrypted representation of passwords. Identification and Authentication.</t>
  </si>
  <si>
    <t>Obscure feedback of authentication information. Identification and Authentication.</t>
  </si>
  <si>
    <t>Establish an operational incident-handling capability for organizational information systems that includes adequate preparation, detection, analysis, containment, recovery, and user response activities. Incident Response.</t>
  </si>
  <si>
    <t>Track, document, and report incidents to appropriate officials and/or authorities both internal and external to the organization. Incident Response.</t>
  </si>
  <si>
    <t>Test the organizational incident response capability. Incident Response.</t>
  </si>
  <si>
    <t>Perform maintenance on organizational information systems. Maintenance.</t>
  </si>
  <si>
    <t>Provide effective controls on the tools, techniques, mechanisms, and personnel used to conduct information system maintenance. Maintenance.</t>
  </si>
  <si>
    <t>Ensure equipment removed for off-site maintenance is sanitized of any CUI. Maintenance.</t>
  </si>
  <si>
    <t>Check media containing diagnostic and test programs for malicious code before the media are used in the information system. Maintenance.</t>
  </si>
  <si>
    <t>Require multifactor authentication to establish nonlocal maintenance sessions via external network connections and terminate such connections when nonlocal maintenance is complete. Maintenance.</t>
  </si>
  <si>
    <t>Supervise the maintenance activities of maintenance personnel without required access authorization. Maintenance.</t>
  </si>
  <si>
    <t>Protect (i.e., physically control and securely store) information system media containing CUI, both paper and digital. Media Protection.</t>
  </si>
  <si>
    <t>Limit access to CUI on information system media to authorized users. Media Protection.</t>
  </si>
  <si>
    <t>Sanitize or destroy information system media containing CUI before disposal or release for reuse. Media Protection.</t>
  </si>
  <si>
    <t>Mark media with necessary CUI markings and distribution limitations. Media Protection.</t>
  </si>
  <si>
    <t>Control access to media containing CUI and maintain accountability for media during transport outside of controlled areas. Media Protection.</t>
  </si>
  <si>
    <t>Implement cryptographic mechanisms to protect the confidentiality of CUI stored on digital media during transport unless otherwise protected by alternative physical safeguards. Media Protection.</t>
  </si>
  <si>
    <t>Control the use of removable media on information system components. Media Protection.</t>
  </si>
  <si>
    <t>Prohibit the use of portable storage devices when such devices have no identifiable owner. Media Protection.</t>
  </si>
  <si>
    <t>Protect the confidentiality of backup CUI at storage locations. Media Protection.</t>
  </si>
  <si>
    <t>Screen individuals prior to authorizing access to information systems containing CUI. Personnel Security.</t>
  </si>
  <si>
    <t>Ensure that CUI and information systems containing CUI are protected during and after personnel actions such as terminations and transfers. Personnel Security.</t>
  </si>
  <si>
    <t>Limit physical access to organizational information systems, equipment, and the respective operating environments to authorized individuals. Physical Protection.</t>
  </si>
  <si>
    <t>Protect and monitor the physical facility and support infrastructure for those information systems. Physical Protection.</t>
  </si>
  <si>
    <t>Escort visitors and monitor visitor activity. Physical Protection.</t>
  </si>
  <si>
    <t>Maintain audit logs of physical access. Physical Protection.</t>
  </si>
  <si>
    <t>Control and manage physical access devices. Physical Protection.</t>
  </si>
  <si>
    <t>Enforce safeguarding measures for CUI at alternate work sites (e.g., telework sites). Physical Protection.</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</si>
  <si>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 Risk Assessment.</t>
  </si>
  <si>
    <t>Remediate vulnerabilities in accordance with assessments of risk. Risk Assessment.</t>
  </si>
  <si>
    <t>Periodically assess the security controls in organizational information systems to determine if the controls are effective in their application. Security Assessment.</t>
  </si>
  <si>
    <t>Develop and implement plans of action designed to correct deficiencies and reduce or eliminate vulnerabilities in organizational information systems. Security Assessment.</t>
  </si>
  <si>
    <t>Monitor, control, and protect organizational communications (i.e., information transmitted or received by organizational information systems) at the external boundaries and key internal boundaries of the information systems. System and Communications Protection.</t>
  </si>
  <si>
    <t>Employ architectural designs, software development techniques, and systems engineering principles that promote effective information security within organizational information systems. System and Communications Protection.</t>
  </si>
  <si>
    <t>Separate user functionality from information system management functionality. System and Communications Protection.</t>
  </si>
  <si>
    <t>Prevent unauthorized and unintended information transfer via shared system resources. System and Communications Protection.</t>
  </si>
  <si>
    <t>Implement subnetworks for publicly accessible system components that are physically or logically separated from internal networks. System and Communications Protection.</t>
  </si>
  <si>
    <t>Deny network communications traffic by default and allow network communications traffic by exception (i.e., deny all, permit by exception). System and Communications Protection.</t>
  </si>
  <si>
    <t>Prevent remote devices from simultaneously establishing non-remote connections with the information system and communicating via some other connection to resources in external networks. System and Communications Protection.</t>
  </si>
  <si>
    <t>Implement cryptographic mechanisms to prevent unauthorized disclosure of CUI during transmission unless otherwise protected by alternative physical safeguards. System and Communications Protection.</t>
  </si>
  <si>
    <t>Terminate network connections associated with communications sessions at the end of the sessions or after a defined period of inactivity. System and Communications Protection.</t>
  </si>
  <si>
    <t>Establish and manage cryptographic keys for cryptography employed in the information system; System and Communications Protection.</t>
  </si>
  <si>
    <t>Employ FIPS-validated cryptography when used to protect the confidentiality of CUI. System and Communications Protection.</t>
  </si>
  <si>
    <t>Prohibit remote activation of collaborative computing devices and provide indication of devices in use to users present at the device. System and Communications Protection.</t>
  </si>
  <si>
    <t>Control and monitor the use of mobile code. System and Communications Protection.</t>
  </si>
  <si>
    <t>Control and monitor the use of Voice over Internet Protocol (VoIP) technologies. System and Communications Protection.</t>
  </si>
  <si>
    <t>Protect the authenticity of communications sessions. System and Communications Protection.</t>
  </si>
  <si>
    <t>Protect the confidentiality of CUI at rest. System and Communications Protection.</t>
  </si>
  <si>
    <t>Identify, report, and correct information and information system flaws in a timely manner. System and Information Integrity.</t>
  </si>
  <si>
    <t>Provide protection from malicious code at appropriate locations within organizational information systems. System and Information Integrity.</t>
  </si>
  <si>
    <t>Update malicious code protection mechanisms when new releases are available. System and Information Integrity.</t>
  </si>
  <si>
    <t>Perform periodic scans of the information system and real-time scans of files from external sources as files are downloaded, opened, or executed. System and Information Integrity.</t>
  </si>
  <si>
    <t>Monitor the information system including inbound and outbound communications traffic, to detect attacks and indicators of potential attacks. System and Information Integrity.</t>
  </si>
  <si>
    <t>3.12.4</t>
  </si>
  <si>
    <t>Review audit logs.</t>
  </si>
  <si>
    <t>Limit use of portable storage devices on external systems.</t>
  </si>
  <si>
    <t>Use session lock with patternhiding displays to prevent access and viewing of data after a period of inactivity.</t>
  </si>
  <si>
    <t>Terminate (automatically) user sessions after a defined condition.</t>
  </si>
  <si>
    <t>Authorize remote execution of privileged commands and remote access to securityrelevant information.</t>
  </si>
  <si>
    <t>Encrypt CUI on mobile devices and mobile computing platforms.</t>
  </si>
  <si>
    <t>Control information flows between security domains on connected systems.</t>
  </si>
  <si>
    <t>Periodically review and update CUI program access permissions.</t>
  </si>
  <si>
    <t>Identify and mitigate risk associated with unidentified wireless access points connected to the network.</t>
  </si>
  <si>
    <t>Define procedures for the handling of CUI data.</t>
  </si>
  <si>
    <t>Ensure that the actions of individual system users can be uniquely traced to those users so they can be held accountable for their actions.</t>
  </si>
  <si>
    <t>Provide a system capability that compares and synchronizes internal system clocks with an authoritative source to generate time stamps for audit records.</t>
  </si>
  <si>
    <t>Review and update logged events.</t>
  </si>
  <si>
    <t>Alert in the event of an audit logging process failure.</t>
  </si>
  <si>
    <t>Limit management of audit logging functionality to a subset of privileged users.</t>
  </si>
  <si>
    <t>Identify assets not reporting audit logs and assure appropriate organizationally defined systems are logging.</t>
  </si>
  <si>
    <t>Ensure that personnel are trained to carry out their assigned information securityrelated duties and responsibilities.</t>
  </si>
  <si>
    <t>Include practical exercises in awareness training that are aligned with current threat scenarios and provide feedback to individuals involved in the training.</t>
  </si>
  <si>
    <t>Employ the principle of least functionality by configuring organizational systems to provide only essential capabilities.</t>
  </si>
  <si>
    <t>Control and monitor userinstalled software.</t>
  </si>
  <si>
    <t>Establish and enforce security configuration settings for information technology products employed in organizational systems.</t>
  </si>
  <si>
    <t>Employ application whitelisting and an application vetting process for systems identified by the organization.</t>
  </si>
  <si>
    <t>Use multifactor authentication for local and network access to privileged accounts and for network access to nonprivileged accounts.</t>
  </si>
  <si>
    <t>Prevent the reuse of identifiers for a defined period.</t>
  </si>
  <si>
    <t>Detect and report events.</t>
  </si>
  <si>
    <t>Analyze and triage events to support event resolution and incident declaration.</t>
  </si>
  <si>
    <t>Develop and implement responses to declared incidents according to predefined procedures.</t>
  </si>
  <si>
    <t>Perform root cause analysis on incidents to determine underlying causes.</t>
  </si>
  <si>
    <t>Establish and maintain a cyber incident response team that can investigate an issue physically or virtually at any location within 24 hours.</t>
  </si>
  <si>
    <t>Perform unannounced operational exercises to demonstrate technical and procedural responses.</t>
  </si>
  <si>
    <t>Perform maintenance on organizational systems.</t>
  </si>
  <si>
    <t>Supervise the maintenance activities of personnel without required access authorization.</t>
  </si>
  <si>
    <t>Check media containing diagnostic and test programs for malicious code before the media are used in organizational systems.</t>
  </si>
  <si>
    <t>Sanitize or destroy information system media containing Federal Contract Information before disposal or release for reuse.</t>
  </si>
  <si>
    <t>Limit access to CUI on system media to authorized users.</t>
  </si>
  <si>
    <t>Control the use of removable media on system components.</t>
  </si>
  <si>
    <t>Screen individuals prior to authorizing access to organizational systems containing CUI.</t>
  </si>
  <si>
    <t>Ensure that organizational systems containing CUI are protected during and after personnel actions such as terminations and transfers.</t>
  </si>
  <si>
    <t>Protect and monitor the physical facility and support infrastructure for organizational systems.</t>
  </si>
  <si>
    <t>Enforce safeguarding measures for CUI at alternate work sites.</t>
  </si>
  <si>
    <t>Regularly perform and test data backups.</t>
  </si>
  <si>
    <t>Scan for vulnerabilities in organizational systems and applications periodically and when new vulnerabilities affecting those systems and applications are identified.</t>
  </si>
  <si>
    <t>Remediate vulnerabilities in accordance with risk assessments.</t>
  </si>
  <si>
    <t>Develop and implement risk mitigation plans.</t>
  </si>
  <si>
    <t>Perform scans for unauthorized ports available across perimeter network boundaries over the organization's Internet network boundaries and other organizationally defined boundaries.</t>
  </si>
  <si>
    <t>Analyze the effectiveness of security solutions at least annually to address anticipated risk to the system and the organization based on current and accumulated threat intelligence.</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</si>
  <si>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</si>
  <si>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</si>
  <si>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</si>
  <si>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Periodically perform red teaming against organizational assets in order to validate defensive capabilities.</t>
  </si>
  <si>
    <t>Receive and respond to cyber threat intelligence from information sharing forums and sources and communicate to stakeholders.</t>
  </si>
  <si>
    <t>Use encrypted sessions for the management of network devices.</t>
  </si>
  <si>
    <t>Separate user functionality from system management functionality.</t>
  </si>
  <si>
    <t>Establish and manage cryptographic keys for cryptography employed in organizational systems.</t>
  </si>
  <si>
    <t>Implement Domain Name System (DNS) filtering services.</t>
  </si>
  <si>
    <t>Isolate administration of organizationally defined highvalue critical network infrastructure components and servers.</t>
  </si>
  <si>
    <t>Utilize threat intelligence to proactively block DNS requests from reaching malicious domains.</t>
  </si>
  <si>
    <t>Utilize a URL categorization service and implement techniques to enforce URL filtering of websites that are not approved by the organization.</t>
  </si>
  <si>
    <t>Configure monitoring systems to record packets passing through the organization's Internet network boundaries and other organizationally defined boundaries.</t>
  </si>
  <si>
    <t>Enforce port and protocol compliance.</t>
  </si>
  <si>
    <t>Employ organizationally defined and tailored boundary protections in addition to commercially available solutions.</t>
  </si>
  <si>
    <t>Monitor system security alerts and advisories and take action in response.</t>
  </si>
  <si>
    <t>Identify unauthorized use of organizational systems.</t>
  </si>
  <si>
    <t>Employ spam protection mechanisms at information system access entry and exit points.</t>
  </si>
  <si>
    <t>Implement email forgery protections.</t>
  </si>
  <si>
    <t>Utilize sandboxing to detect or block potentially malicious email.</t>
  </si>
  <si>
    <t>Use threat indicator information relevant to the information and systems being protected and effective mitigations obtained from external organizations to inform intrusion detection and threat hunting.</t>
  </si>
  <si>
    <t>Analyze system behavior to detect and mitigate execution of normal system commands and scripts that indicate malicious actions.</t>
  </si>
  <si>
    <t>Monitor individuals and system components on an ongoing basis for anomalous or suspicious behavior.</t>
  </si>
  <si>
    <t>Limit information system access to authorized users,processes acting on behalf of authorized users,or devices (including other information systems).</t>
  </si>
  <si>
    <t>Employ the principle of least privilege,including for specific security functions and privileged accounts.</t>
  </si>
  <si>
    <t>Use non,privileged accounts or roles when accessing nonsecurity functions.</t>
  </si>
  <si>
    <t>Prevent non,privileged users from executing privileged functions and capture the execution of such functions in audit logs.</t>
  </si>
  <si>
    <t>Restrict remote network access based on organizationally defined risk factors such as time of day,location of access,physical location,network connection state,and measured properties of the current user and role.</t>
  </si>
  <si>
    <t>Employ a capability to discover and identify systems with specific component attributes (e.g.,firmware level,OS type) within your inventory.</t>
  </si>
  <si>
    <t>Create and retain system audit logs and records to the extent needed to enable the monitoring,analysis,investigation,and reporting of unlawful or unauthorized system activity.</t>
  </si>
  <si>
    <t>Collect audit information (e.g.,logs) into one or more central repositories.</t>
  </si>
  <si>
    <t>Protect audit information and audit logging tools from unauthorized access,modification,and deletion.</t>
  </si>
  <si>
    <t>Correlate audit record review,analysis,and reporting processes for investigation and response to indications of unlawful,unauthorized,suspicious,or unusual activity.</t>
  </si>
  <si>
    <t>Provide audit record reduction and report generation to support on,demand analysis and reporting.</t>
  </si>
  <si>
    <t>Automate analysis of audit logs to identify and act on critical indicators (TTPs) and/or organizationally defined suspicious activity.</t>
  </si>
  <si>
    <t>Review audit information for broad activity in addition to per,machine activity.</t>
  </si>
  <si>
    <t>Ensure that managers,system administrators,and users of organizational systems are made aware of the security risks associated with their activities and of the applicable policies,standards,and procedures related to the security of those systems.</t>
  </si>
  <si>
    <t>Provide awareness training focused on recognizing and responding to threats from social engineering,advanced persistent threat actors,breaches,and suspicious behaviors; update the training at least annually or when there are significant changes to the threat.</t>
  </si>
  <si>
    <t>Establish and maintain baseline configurations and inventories of organizational systems (including hardware,software,firmware,and documentation) throughout the respective system development life cycles.</t>
  </si>
  <si>
    <t>Track,review,approve,or disapprove,and log changes to organizational systems.</t>
  </si>
  <si>
    <t>Define,document,approve,and enforce physical and logical access restrictions associated with changes to organizational systems.</t>
  </si>
  <si>
    <t>Restrict,disable,or prevent the use of nonessential programs,functions,ports,protocols,and services.</t>
  </si>
  <si>
    <t>Apply deny,by,exception (blacklisting) policy to prevent the use of unauthorized software or deny,all,permitby,exception (whitelisting) policy to allow the execution of authorized software.</t>
  </si>
  <si>
    <t>Verify the integrity and correctness of security critical or essential software as defined by the organization (e.g.,roots of trust,formal verification,or cryptographic signatures).</t>
  </si>
  <si>
    <t>Identify information system users,processes acting on behalf of users,or devices.</t>
  </si>
  <si>
    <t>Authenticate (or verify) the identities of those users,processes,or devices,as a prerequisite to allowing access to organizational information systems.</t>
  </si>
  <si>
    <t>Store and transmit only cryptographically,protected passwords.</t>
  </si>
  <si>
    <t>Employ replay,resistant authentication mechanisms for network access to privileged and non,privileged accounts.</t>
  </si>
  <si>
    <t>Establish an operational incident,handling capability for organizational systems that includes preparation,detection,analysis,containment,recovery,and user response activities.</t>
  </si>
  <si>
    <t>Track,document,and report incidents to designated officials and/or authorities both internal and external to the organization.</t>
  </si>
  <si>
    <t>Use knowledge of attacker tactics,techniques,and procedures in incident response planning and execution.</t>
  </si>
  <si>
    <t>Establish and maintain a security operations center capability that facilitates a 24/7 response capability.</t>
  </si>
  <si>
    <t>In response to cyber incidents,utilize forensic data gathering across impacted systems,ensuring the secure transfer and protection of forensic data.</t>
  </si>
  <si>
    <t>Use a combination of manual and automated,real,time responses to anomalous activities that match incident patterns.</t>
  </si>
  <si>
    <t>Provide controls on the tools,techniques,mechanisms,and personnel used to conduct system maintenance.</t>
  </si>
  <si>
    <t>Ensure equipment removed for off,site maintenance is sanitized of any CUI.</t>
  </si>
  <si>
    <t>Protect (i.e.,physically control and securely store) system media containing CUI,both paper and digital.</t>
  </si>
  <si>
    <t>Limit physical access to organizational information systems,equipment,and the respective operating environments to authorized individuals.</t>
  </si>
  <si>
    <t>Regularly perform complete,comprehensive,and resilient data backups as organizationally defined.</t>
  </si>
  <si>
    <t>Ensure information processing facilities meet organizationally defined information security continuity,redundancy,and availability requirements.</t>
  </si>
  <si>
    <t>Periodically assess the risk to organizational operations (including mission,functions,image,or reputation),organizational assets,and individuals,resulting from the operation of organizational systems and the associated processing,storage,or transmission of CUI.</t>
  </si>
  <si>
    <t>Periodically perform risk assessments to identify and prioritize risks according to the defined risk categories,risk sources,and risk measurement criteria.</t>
  </si>
  <si>
    <t>Manage non,vendorsupported products (e.g.,end of life) separately and restrict as necessary to reduce risk.</t>
  </si>
  <si>
    <t>Develop and update as required,a plan for managing supply chain risks associated with the IT supply chain.</t>
  </si>
  <si>
    <t>Utilize an exception process for non,whitelisted software that includes mitigation techniques.</t>
  </si>
  <si>
    <t>Develop,document,and periodically update system security plans that describe system boundaries,system environments of operation,how security requirements are implemented,and the relationships with or connections to other systems.</t>
  </si>
  <si>
    <t>Employ a security assessment of enterprise software that has been developed internally,for internal use,and that has been organizationally defined as an area of risk.</t>
  </si>
  <si>
    <t>Create,maintain,and leverage a security strategy and roadmap for organizational cybersecurity improvement.</t>
  </si>
  <si>
    <t>Conduct penetration testing periodically,leveraging automated scanning tools and ad hoc tests using human experts.</t>
  </si>
  <si>
    <t>Establish and maintain a cyber threat hunting capability to search for indicators of compromise in organizational systems and detect,track,and disrupt threats that evade existing controls.</t>
  </si>
  <si>
    <t>Design network and system security capabilities to leverage,integrate,and share indicators of compromise.</t>
  </si>
  <si>
    <t>Monitor,control,and protect organizational communications (i.e.,information transmitted or received by organizational information systems) at the external boundaries and key internal boundaries of the information systems.</t>
  </si>
  <si>
    <t>Employ FIPS,validated cryptography when used to protect the confidentiality of CUI.</t>
  </si>
  <si>
    <t>Employ architectural designs,software development techniques,and systems engineering principles that promote effective information security within organizational systems.</t>
  </si>
  <si>
    <t>Deny network communications traffic by default and allow network communications traffic by exception (i.e.,deny all,permit by exception).</t>
  </si>
  <si>
    <t>Prevent remote devices from simultaneously establishing non,remote connections with organizational systems and communicating via some other connection to resources in external networks (i.e.,split tunneling).</t>
  </si>
  <si>
    <t>Implement a policy restricting the publication of CUI on externally owned,publicly accessible websites (e.g.,forums,LinkedIn,Facebook,Twitter).</t>
  </si>
  <si>
    <t>Employ physical and logical isolation techniques in the system and security architecture and/or where deemed appropriate by the organization.</t>
  </si>
  <si>
    <t>Employ mechanisms to analyze executable code and scripts (e.g.,sandbox) traversing Internet network boundaries or other organizationally defined boundaries.</t>
  </si>
  <si>
    <t>Identify,report,and correct information and information system flaws in a timely manner.</t>
  </si>
  <si>
    <t>Perform periodic scans of the information system and realtime scans of files from external sources as files are downloaded,opened,or executed.</t>
  </si>
  <si>
    <t>Monitor organizational systems,including inbound and outbound communications traffic,to detect attacks and indicators of potential attacks.</t>
  </si>
  <si>
    <t>Catalog and periodically update threat profiles and adversary TTPs.</t>
  </si>
  <si>
    <t>Employ threat intelligence to inform the development of the system and security architectures,selection of security solutions,monitoring,threat hunting,and response and recovery activities.</t>
  </si>
  <si>
    <t>CSV control lists downloaded for various control set definitions</t>
  </si>
  <si>
    <r>
      <t xml:space="preserve">Enter the environment number that matches the label in the Key worksheet list. </t>
    </r>
    <r>
      <rPr>
        <b/>
        <sz val="10"/>
        <color rgb="FFFF0000"/>
        <rFont val="Calibri"/>
        <family val="2"/>
        <scheme val="minor"/>
      </rPr>
      <t>(Enter 0 fo for all environments)</t>
    </r>
  </si>
  <si>
    <t>Risk Rating Scale</t>
  </si>
  <si>
    <t>Lowest Risk Rating</t>
  </si>
  <si>
    <t>AUTOMATED SYSTEM ACCOUNT MANAGEMENT</t>
  </si>
  <si>
    <t>AUTOMATED TEMPORARY AND EMERGENCY ACCOUNT MANAGEMENT</t>
  </si>
  <si>
    <t>DISABLE ACCOUNTS</t>
  </si>
  <si>
    <t>AUTOMATED AUDIT ACTIONS</t>
  </si>
  <si>
    <t>INACTIVITY LOGOUT</t>
  </si>
  <si>
    <t>DYNAMIC PRIVILEGE MANAGEMENT</t>
  </si>
  <si>
    <t>PRIVILEGED USER ACCOUNTS</t>
  </si>
  <si>
    <t>DYNAMIC ACCOUNT MANAGEMENT</t>
  </si>
  <si>
    <t>RESTRICTIONS ON USE OF SHARED AND GROUP ACCOUNTS</t>
  </si>
  <si>
    <t>USAGE CONDITIONS</t>
  </si>
  <si>
    <t>ACCOUNT MONITORING FOR ATYPICAL USAGE</t>
  </si>
  <si>
    <t>DISABLE ACCOUNTS FOR HIGH-RISK INDIVIDUALS</t>
  </si>
  <si>
    <t>DUAL AUTHORIZATION</t>
  </si>
  <si>
    <t>MANDATORY ACCESS CONTROL</t>
  </si>
  <si>
    <t>DISCRETIONARY ACCESS CONTROL</t>
  </si>
  <si>
    <t>SECURITY-RELEVANT INFORMATION</t>
  </si>
  <si>
    <t>ROLE-BASED ACCESS CONTROL</t>
  </si>
  <si>
    <t>REVOCATION OF ACCESS AUTHORIZATIONS</t>
  </si>
  <si>
    <t>CONTROLLED RELEASE</t>
  </si>
  <si>
    <t>AUDITED OVERRIDE OF ACCESS CONTROL MECHANISMS</t>
  </si>
  <si>
    <t>RESTRICT ACCESS TO SPECIFIC INFORMATION TYPES</t>
  </si>
  <si>
    <t>ASSERT AND ENFORCE APPLICATION ACCESS</t>
  </si>
  <si>
    <t>ATTRIBUTE-BASED ACCESS CONTROL</t>
  </si>
  <si>
    <t>DISCRETIONARY AND MANDATORY ACCESS CONTROL</t>
  </si>
  <si>
    <t>OBJECT SECURITY AND PRIVACY ATTRIBUTES</t>
  </si>
  <si>
    <t>PROCESSING DOMAINS</t>
  </si>
  <si>
    <t>DYNAMIC INFORMATION FLOW CONTROL</t>
  </si>
  <si>
    <t>FLOW CONTROL OF ENCRYPTED INFORMATION</t>
  </si>
  <si>
    <t>EMBEDDED DATA TYPES</t>
  </si>
  <si>
    <t>METADATA</t>
  </si>
  <si>
    <t>ONE-WAY FLOW MECHANISMS</t>
  </si>
  <si>
    <t>SECURITY AND PRIVACY POLICY FILTERS</t>
  </si>
  <si>
    <t>HUMAN REVIEWS</t>
  </si>
  <si>
    <t>ENABLE AND DISABLE SECURITY OR PRIVACY POLICY FILTERS</t>
  </si>
  <si>
    <t>CONFIGURATION OF SECURITY OR PRIVACY POLICY FILTERS</t>
  </si>
  <si>
    <t>DATA TYPE IDENTIFIERS</t>
  </si>
  <si>
    <t>DECOMPOSITION INTO POLICY-RELEVANT SUBCOMPONENTS</t>
  </si>
  <si>
    <t>SECURITY OR PRIVACY POLICY FILTER CONSTRAINTS</t>
  </si>
  <si>
    <t>DETECTION OF UNSANCTIONED INFORMATION</t>
  </si>
  <si>
    <t>DOMAIN AUTHENTICATION</t>
  </si>
  <si>
    <t>VALIDATION OF METADATA</t>
  </si>
  <si>
    <t>APPROVED SOLUTIONS</t>
  </si>
  <si>
    <t>PHYSICAL OR LOGICAL SEPARATION OF INFORMATION FLOWS</t>
  </si>
  <si>
    <t>ACCESS ONLY</t>
  </si>
  <si>
    <t>MODIFY NON-RELEASABLE INFORMATION</t>
  </si>
  <si>
    <t>INTERNAL NORMALIZED FORMAT</t>
  </si>
  <si>
    <t>DATA SANITIZATION</t>
  </si>
  <si>
    <t>AUDIT FILTERING ACTIONS</t>
  </si>
  <si>
    <t>REDUNDANT/INDEPENDENT FILTERING MECHANISMS</t>
  </si>
  <si>
    <t>LINEAR FILTER PIPELINES</t>
  </si>
  <si>
    <t>FILTER ORCHESTRATION ENGINES</t>
  </si>
  <si>
    <t>FILTER MECHANISMS USING MULTIPLE PROCESSES</t>
  </si>
  <si>
    <t>FAILED CONTENT TRANSFER PREVENTION</t>
  </si>
  <si>
    <t>PROCESS REQUIREMENTS FOR INFORMATION TRANSFER</t>
  </si>
  <si>
    <t>AUTHORIZE ACCESS TO SECURITY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</si>
  <si>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</si>
  <si>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</si>
  <si>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</si>
  <si>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</si>
  <si>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</si>
  <si>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</si>
  <si>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</si>
  <si>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LOG USE OF PRIVILEGED FUNCTIONS</t>
  </si>
  <si>
    <t>PROHIBIT NON-PRIVILEGED USERS FROM EXECUTING PRIVILEGED FUNCTIONS</t>
  </si>
  <si>
    <t>PURGE OR WIPE MOBILE DEVICE</t>
  </si>
  <si>
    <t>BIOMETRIC ATTEMPT LIMITING</t>
  </si>
  <si>
    <t>USE OF ALTERNATE AUTHENTICATION FACTOR</t>
  </si>
  <si>
    <t>UNSUCCESSFUL LOGONS</t>
  </si>
  <si>
    <t>SUCCESSFUL AND UNSUCCESSFUL LOGONS</t>
  </si>
  <si>
    <t>NOTIFICATION OF ACCOUNT CHANGES</t>
  </si>
  <si>
    <t>ADDITIONAL LOGON INFORMATION</t>
  </si>
  <si>
    <t>PATTERN-HIDING DISPLAYS</t>
  </si>
  <si>
    <t>USER-INITIATED LOGOUTS</t>
  </si>
  <si>
    <t>TERMINATION MESSAGE</t>
  </si>
  <si>
    <t>TIMEOUT WARNING MESSAGE</t>
  </si>
  <si>
    <t>Permitted Actions without Identification or Authentication</t>
  </si>
  <si>
    <t>DYNAMIC ATTRIBUTE ASSOCIATION</t>
  </si>
  <si>
    <t>ATTRIBUTE VALUE CHANGES BY AUTHORIZED INDIVIDUALS</t>
  </si>
  <si>
    <t>MAINTENANCE OF ATTRIBUTE ASSOCIATIONS BY SYSTEM</t>
  </si>
  <si>
    <t>ASSOCIATION OF ATTRIBUTES BY AUTHORIZED INDIVIDUALS</t>
  </si>
  <si>
    <t>ATTRIBUTE DISPLAYS ON OBJECTS TO BE OUTPUT</t>
  </si>
  <si>
    <t>MAINTENANCE OF ATTRIBUTE ASSOCIATION</t>
  </si>
  <si>
    <t>CONSISTENT ATTRIBUTE INTERPRETATION</t>
  </si>
  <si>
    <t>ASSOCIATION TECHNIQUES AND TECHNOLOGIES</t>
  </si>
  <si>
    <t>ATTRIBUTE REASSIGNMENT – REGRADING MECHANISMS</t>
  </si>
  <si>
    <t>ATTRIBUTE CONFIGURATION BY AUTHORIZED INDIVIDUALS</t>
  </si>
  <si>
    <t>MONITORING AND CONTROL</t>
  </si>
  <si>
    <t>PROTECTION OF CONFIDENTIALITY AND INTEGRITY USING ENCRYPTION</t>
  </si>
  <si>
    <t>MANAGED ACCESS CONTROL POINTS</t>
  </si>
  <si>
    <t>PRIVILEGED COMMANDS AND ACCESS</t>
  </si>
  <si>
    <t>PROTECTION OF MECHANISM INFORMATION</t>
  </si>
  <si>
    <t>DISCONNECT OR DISABLE ACCESS</t>
  </si>
  <si>
    <t>AUTHENTICATE REMOTE COMMANDS</t>
  </si>
  <si>
    <t>AUTHENTICATION AND ENCRYPTION</t>
  </si>
  <si>
    <t>DISABLE WIRELESS NETWORKING</t>
  </si>
  <si>
    <t>RESTRICT CONFIGURATIONS BY USERS</t>
  </si>
  <si>
    <t>ANTENNAS AND TRANSMISSION POWER LEVELS</t>
  </si>
  <si>
    <t>RESTRICTIONS FOR CLASSIFIED INFORMATION</t>
  </si>
  <si>
    <t>FULL DEVICE OR CONTAINER-BASED ENCRYPTION</t>
  </si>
  <si>
    <t>LIMITS ON AUTHORIZED USE</t>
  </si>
  <si>
    <t>PORTABLE STORAGE DEVICES — RESTRICTED USE</t>
  </si>
  <si>
    <t>NON-ORGANIZATIONALLY OWNED SYSTEMS — RESTRICTED USE</t>
  </si>
  <si>
    <t>NETWORK ACCESSIBLE STORAGE DEVICES — PROHIBITED USE</t>
  </si>
  <si>
    <t>PORTABLE STORAGE DEVICES — PROHIBITED USE</t>
  </si>
  <si>
    <t>AUTOMATED DECISION SUPPORT</t>
  </si>
  <si>
    <t>INFORMATION SEARCH AND RETRIEVAL</t>
  </si>
  <si>
    <t>TRANSMIT ACCESS AUTHORIZATION INFORMATION</t>
  </si>
  <si>
    <t>NO USER OR PROCESS IDENTITY</t>
  </si>
  <si>
    <t>PRACTICAL EXERCISES</t>
  </si>
  <si>
    <t>INSIDER THREAT</t>
  </si>
  <si>
    <t>SOCIAL ENGINEERING AND MINING</t>
  </si>
  <si>
    <t>SUSPICIOUS COMMUNICATIONS AND ANOMALOUS SYSTEM BEHAVIOR</t>
  </si>
  <si>
    <t>ADVANCED PERSISTENT THREAT</t>
  </si>
  <si>
    <t>CYBER THREAT ENVIRONMENT</t>
  </si>
  <si>
    <t>Role-Based Training</t>
  </si>
  <si>
    <t>ENVIRONMENTAL CONTROLS</t>
  </si>
  <si>
    <t>PHYSICAL SECURITY CONTROLS</t>
  </si>
  <si>
    <t>PROCESSING PERSONALLY IDENTIFIABLE INFORMATION</t>
  </si>
  <si>
    <t>ADDITIONAL AUDIT INFORMATION</t>
  </si>
  <si>
    <t>LIMIT PERSONALLY IDENTIFIABLE INFORMATION ELEMENTS</t>
  </si>
  <si>
    <t>TRANSFER TO ALTERNATE STORAGE</t>
  </si>
  <si>
    <t>STORAGE CAPACITY WARNING</t>
  </si>
  <si>
    <t>REAL-TIME ALERTS</t>
  </si>
  <si>
    <t>CONFIGURABLE TRAFFIC VOLUME THRESHOLDS</t>
  </si>
  <si>
    <t>SHUTDOWN ON FAILURE</t>
  </si>
  <si>
    <t>ALTERNATE AUDIT LOGGING CAPABILITY</t>
  </si>
  <si>
    <t>AUTOMATED PROCESS INTEGRATION</t>
  </si>
  <si>
    <t>CORRELATE AUDIT RECORD REPOSITORIES</t>
  </si>
  <si>
    <t>CENTRAL REVIEW AND ANALYSIS</t>
  </si>
  <si>
    <t>INTEGRATED ANALYSIS OF AUDIT RECORDS</t>
  </si>
  <si>
    <t>CORRELATION WITH PHYSICAL MONITORING</t>
  </si>
  <si>
    <t>PERMITTED ACTIONS</t>
  </si>
  <si>
    <t>FULL TEXT ANALYSIS OF PRIVILEGED COMMANDS</t>
  </si>
  <si>
    <t>CORRELATION WITH INFORMATION FROM NONTECHNICAL SOURCES</t>
  </si>
  <si>
    <t>AUTOMATIC PROCESSING</t>
  </si>
  <si>
    <t>SYNCHRONIZATION WITH AUTHORITATIVE TIME SOURCE</t>
  </si>
  <si>
    <t>SECONDARY AUTHORITATIVE TIME SOURCE</t>
  </si>
  <si>
    <t>HARDWARE WRITE-ONCE MEDIA</t>
  </si>
  <si>
    <t>STORE ON SEPARATE PHYSICAL SYSTEMS OR COMPONENTS</t>
  </si>
  <si>
    <t>ACCESS BY SUBSET OF PRIVILEGED USERS</t>
  </si>
  <si>
    <t>READ-ONLY ACCESS</t>
  </si>
  <si>
    <t>STORE ON COMPONENT WITH DIFFERENT OPERATING SYSTEM</t>
  </si>
  <si>
    <t>ASSOCIATION OF IDENTITIES</t>
  </si>
  <si>
    <t>VALIDATE BINDING OF INFORMATION PRODUCER IDENTITY</t>
  </si>
  <si>
    <t>CHAIN OF CUSTODY</t>
  </si>
  <si>
    <t>VALIDATE BINDING OF INFORMATION REVIEWER IDENTITY</t>
  </si>
  <si>
    <t>LONG-TERM RETRIEVAL CAPABILITY</t>
  </si>
  <si>
    <t>SYSTEM-WIDE AND TIME-CORRELATED AUDIT TRAIL</t>
  </si>
  <si>
    <t>STANDARDIZED FORMATS</t>
  </si>
  <si>
    <t>CHANGES BY AUTHORIZED INDIVIDUALS</t>
  </si>
  <si>
    <t>QUERY PARAMETER AUDITS OF PERSONALLY IDENTIFIABLE INFORMATION</t>
  </si>
  <si>
    <t>USE OF AUTOMATED TOOLS</t>
  </si>
  <si>
    <t>REVIEW OF MONITORED SITES</t>
  </si>
  <si>
    <t>UNAUTHORIZED REPLICATION OF INFORMATION</t>
  </si>
  <si>
    <t>SYSTEM START-UP</t>
  </si>
  <si>
    <t>REMOTE VIEWING AND LISTENING</t>
  </si>
  <si>
    <t>Cross-Organizational Audit Logging</t>
  </si>
  <si>
    <t>IDENTITY PRESERVATION</t>
  </si>
  <si>
    <t>SHARING OF AUDIT INFORMATION</t>
  </si>
  <si>
    <t>DISASSOCIABILITY</t>
  </si>
  <si>
    <t>INDEPENDENT ASSESSORS</t>
  </si>
  <si>
    <t>SPECIALIZED ASSESSMENTS</t>
  </si>
  <si>
    <t>LEVERAGING RESULTS FROM EXTERNAL ORGANIZATIONS</t>
  </si>
  <si>
    <t>UNCLASSIFIED NATIONAL SECURITY CONNECTIONS</t>
  </si>
  <si>
    <t>CLASSIFIED NATIONAL SECURITY SYSTEM CONNECTIONS</t>
  </si>
  <si>
    <t>UNCLASSIFIED NON-NATIONAL SECURITY SYSTEM CONNECTIONS</t>
  </si>
  <si>
    <t>CONNECTIONS TO PUBLIC NETWORKS</t>
  </si>
  <si>
    <t>TRANSFER AUTHORIZATIONS</t>
  </si>
  <si>
    <t>TRANSITIVE INFORMATION EXCHANGES</t>
  </si>
  <si>
    <t>AUTOMATION SUPPORT FOR ACCURACY AND CURRENCY</t>
  </si>
  <si>
    <t>JOINT AUTHORIZATION — INTRA-ORGANIZATION</t>
  </si>
  <si>
    <t>INDEPENDENT ASSESSMENT</t>
  </si>
  <si>
    <t>TREND ANALYSES</t>
  </si>
  <si>
    <t>RISK MONITORING</t>
  </si>
  <si>
    <t>CONSISTENCY ANALYSIS</t>
  </si>
  <si>
    <t>AUTOMATION SUPPORT FOR MONITORING</t>
  </si>
  <si>
    <t>INDEPENDENT PENETRATION TESTING AGENT OR TEAM</t>
  </si>
  <si>
    <t>RED TEAM EXERCISES</t>
  </si>
  <si>
    <t>FACILITY PENETRATION TESTING</t>
  </si>
  <si>
    <t>COMPLIANCE CHECKS</t>
  </si>
  <si>
    <t>RETENTION OF PREVIOUS CONFIGURATIONS</t>
  </si>
  <si>
    <t>UNAUTHORIZED SOFTWARE</t>
  </si>
  <si>
    <t>AUTHORIZED SOFTWARE</t>
  </si>
  <si>
    <t>DEVELOPMENT AND TEST ENVIRONMENTS</t>
  </si>
  <si>
    <t>CONFIGURE SYSTEMS AND COMPONENTS FOR HIGH-RISK AREAS</t>
  </si>
  <si>
    <t>AUTOMATED DOCUMENTATION, NOTIFICATION, AND PROHIBITION OF CHANGES</t>
  </si>
  <si>
    <t>TESTING, VALIDATION, AND DOCUMENTATION OF CHANGES</t>
  </si>
  <si>
    <t>AUTOMATED CHANGE IMPLEMENTATION</t>
  </si>
  <si>
    <t>SECURITY AND PRIVACY REPRESENTATIVES</t>
  </si>
  <si>
    <t>AUTOMATED SECURITY RESPONSE</t>
  </si>
  <si>
    <t>CRYPTOGRAPHY MANAGEMENT</t>
  </si>
  <si>
    <t>REVIEW SYSTEM CHANGES</t>
  </si>
  <si>
    <t>PREVENT OR RESTRICT CONFIGURATION CHANGES</t>
  </si>
  <si>
    <t>SEPARATE TEST ENVIRONMENTS</t>
  </si>
  <si>
    <t>VERIFICATION OF CONTROLS</t>
  </si>
  <si>
    <t>AUTOMATED ACCESS ENFORCEMENT AND AUDIT RECORDS</t>
  </si>
  <si>
    <t>PRIVILEGE LIMITATION FOR PRODUCTION AND OPERATION</t>
  </si>
  <si>
    <t>LIMIT LIBRARY PRIVILEGES</t>
  </si>
  <si>
    <t>AUTOMATED MANAGEMENT, APPLICATION, AND VERIFICATION</t>
  </si>
  <si>
    <t>RESPOND TO UNAUTHORIZED CHANGES</t>
  </si>
  <si>
    <t>PERIODIC REVIEW</t>
  </si>
  <si>
    <t>PREVENT PROGRAM EXECUTION</t>
  </si>
  <si>
    <t>REGISTRATION COMPLIANCE</t>
  </si>
  <si>
    <t>CONFINED ENVIRONMENTS WITH LIMITED PRIVILEGES</t>
  </si>
  <si>
    <t>CODE EXECUTION IN PROTECTED ENVIRONMENTS</t>
  </si>
  <si>
    <t>BINARY OR MACHINE EXECUTABLE CODE</t>
  </si>
  <si>
    <t>PROHIBITING THE USE OF UNAUTHORIZED HARDWARE</t>
  </si>
  <si>
    <t>UPDATES DURING INSTALLATION AND REMOVAL</t>
  </si>
  <si>
    <t>AUTOMATED MAINTENANCE</t>
  </si>
  <si>
    <t>AUTOMATED UNAUTHORIZED COMPONENT DETECTION</t>
  </si>
  <si>
    <t>ACCOUNTABILITY INFORMATION</t>
  </si>
  <si>
    <t>ASSESSED CONFIGURATIONS AND APPROVED DEVIATIONS</t>
  </si>
  <si>
    <t>CENTRALIZED REPOSITORY</t>
  </si>
  <si>
    <t>AUTOMATED LOCATION TRACKING</t>
  </si>
  <si>
    <t>ASSIGNMENT OF COMPONENTS TO SYSTEMS</t>
  </si>
  <si>
    <t>ASSIGNMENT OF RESPONSIBILITY</t>
  </si>
  <si>
    <t>OPEN-SOURCE SOFTWARE</t>
  </si>
  <si>
    <t>User-Installed Software</t>
  </si>
  <si>
    <t>SOFTWARE INSTALLATION WITH PRIVILEGED STATUS</t>
  </si>
  <si>
    <t>AUTOMATED ENFORCEMENT AND MONITORING</t>
  </si>
  <si>
    <t>AUTOMATED TOOLS TO SUPPORT INFORMATION LOCATION</t>
  </si>
  <si>
    <t>COORDINATE WITH RELATED PLANS</t>
  </si>
  <si>
    <t>CAPACITY PLANNING</t>
  </si>
  <si>
    <t>RESUME MISSION AND BUSINESS FUNCTIONS</t>
  </si>
  <si>
    <t>CONTINUE MISSION AND BUSINESS FUNCTIONS</t>
  </si>
  <si>
    <t>ALTERNATE PROCESSING AND STORAGE SITES</t>
  </si>
  <si>
    <t>COORDINATE WITH EXTERNAL SERVICE PROVIDERS</t>
  </si>
  <si>
    <t>IDENTIFY CRITICAL ASSETS</t>
  </si>
  <si>
    <t>SIMULATED EVENTS</t>
  </si>
  <si>
    <t>MECHANISMS USED IN TRAINING ENVIRONMENTS</t>
  </si>
  <si>
    <t>AUTOMATED TESTING</t>
  </si>
  <si>
    <t>FULL RECOVERY AND RECONSTITUTION</t>
  </si>
  <si>
    <t>SELF-CHALLENGE</t>
  </si>
  <si>
    <t>SEPARATION FROM PRIMARY SITE</t>
  </si>
  <si>
    <t>RECOVERY TIME AND RECOVERY POINT OBJECTIVES</t>
  </si>
  <si>
    <t>ACCESSIBILITY</t>
  </si>
  <si>
    <t>PRIORITY OF SERVICE</t>
  </si>
  <si>
    <t>PREPARATION FOR USE</t>
  </si>
  <si>
    <t>INABILITY TO RETURN TO PRIMARY SITE</t>
  </si>
  <si>
    <t>PRIORITY OF SERVICE PROVISIONS</t>
  </si>
  <si>
    <t>SINGLE POINTS OF FAILURE</t>
  </si>
  <si>
    <t>SEPARATION OF PRIMARY AND ALTERNATE PROVIDERS</t>
  </si>
  <si>
    <t>PROVIDER CONTINGENCY PLAN</t>
  </si>
  <si>
    <t>ALTERNATE TELECOMMUNICATION SERVICE TESTING</t>
  </si>
  <si>
    <t>TESTING FOR RELIABILITY AND INTEGRITY</t>
  </si>
  <si>
    <t>TEST RESTORATION USING SAMPLING</t>
  </si>
  <si>
    <t>SEPARATE STORAGE FOR CRITICAL INFORMATION</t>
  </si>
  <si>
    <t>TRANSFER TO ALTERNATE STORAGE SITE</t>
  </si>
  <si>
    <t>REDUNDANT SECONDARY SYSTEM</t>
  </si>
  <si>
    <t>TRANSACTION RECOVERY</t>
  </si>
  <si>
    <t>RESTORE WITHIN TIME PERIOD</t>
  </si>
  <si>
    <t>FAILOVER CAPABILITY</t>
  </si>
  <si>
    <t>COMPONENT PROTECTION</t>
  </si>
  <si>
    <t>Identification and Authentication (Organizational Users)</t>
  </si>
  <si>
    <t>MULTI-FACTOR AUTHENTICATION TO PRIVILEGED ACCOUNTS</t>
  </si>
  <si>
    <t>MULTI-FACTOR AUTHENTICATION TO NON-PRIVILEGED ACCOUNTS</t>
  </si>
  <si>
    <t>INDIVIDUAL AUTHENTICATION WITH GROUP AUTHENTICATION</t>
  </si>
  <si>
    <t>ACCESS TO ACCOUNTS — SEPARATE DEVICE</t>
  </si>
  <si>
    <t>ACCESS TO ACCOUNTS — REPLAY RESISTANT</t>
  </si>
  <si>
    <t>SINGLE SIGN-ON</t>
  </si>
  <si>
    <t>ACCEPTANCE OF PIV CREDENTIALS</t>
  </si>
  <si>
    <t>OUT-OF-BAND AUTHENTICATION</t>
  </si>
  <si>
    <t>CRYPTOGRAPHIC BIDIRECTIONAL AUTHENTICATION</t>
  </si>
  <si>
    <t>DYNAMIC ADDRESS ALLOCATION</t>
  </si>
  <si>
    <t>DEVICE ATTESTATION</t>
  </si>
  <si>
    <t>PROHIBIT ACCOUNT IDENTIFIERS AS PUBLIC IDENTIFIERS</t>
  </si>
  <si>
    <t>SUPERVISOR AUTHORIZATION</t>
  </si>
  <si>
    <t>IDENTIFY USER STATUS</t>
  </si>
  <si>
    <t>DYNAMIC MANAGEMENT</t>
  </si>
  <si>
    <t>CROSS-ORGANIZATION MANAGEMENT</t>
  </si>
  <si>
    <t>PAIRWISE PSEUDONYMOUS IDENTIFIERS</t>
  </si>
  <si>
    <t>ATTRIBUTE MAINTENANCE AND PROTECTION</t>
  </si>
  <si>
    <t>PASSWORD-BASED AUTHENTICATION</t>
  </si>
  <si>
    <t>PUBLIC KEY-BASED AUTHENTICATION</t>
  </si>
  <si>
    <t>CHANGE AUTHENTICATORS PRIOR TO DELIVERY</t>
  </si>
  <si>
    <t>PROTECTION OF AUTHENTICATORS</t>
  </si>
  <si>
    <t>NO EMBEDDED UNENCRYPTED STATIC AUTHENTICATORS</t>
  </si>
  <si>
    <t>MULTIPLE SYSTEM ACCOUNTS</t>
  </si>
  <si>
    <t>FEDERATED CREDENTIAL MANAGEMENT</t>
  </si>
  <si>
    <t>DYNAMIC CREDENTIAL BINDING</t>
  </si>
  <si>
    <t>BIOMETRIC AUTHENTICATION PERFORMANCE</t>
  </si>
  <si>
    <t>EXPIRATION OF CACHED AUTHENTICATORS</t>
  </si>
  <si>
    <t>MANAGING CONTENT OF PKI TRUST STORES</t>
  </si>
  <si>
    <t>GSA-APPROVED PRODUCTS AND SERVICES</t>
  </si>
  <si>
    <t>IN-PERSON OR TRUSTED EXTERNAL PARTY AUTHENTICATOR ISSUANCE</t>
  </si>
  <si>
    <t>PRESENTATION ATTACK DETECTION FOR BIOMETRIC AUTHENTICATORS</t>
  </si>
  <si>
    <t>PASSWORD MANAGERS</t>
  </si>
  <si>
    <t>Authentication Feedback</t>
  </si>
  <si>
    <t>Identification and Authentication (Non-Organizational Users)</t>
  </si>
  <si>
    <t>ACCEPTANCE OF PIV CREDENTIALS FROM OTHER AGENCIES</t>
  </si>
  <si>
    <t>ACCEPTANCE OF EXTERNAL AUTHENTICATORS</t>
  </si>
  <si>
    <t>USE OF DEFINED PROFILES</t>
  </si>
  <si>
    <t>ACCEPTANCE OF PIV-I CREDENTIALS</t>
  </si>
  <si>
    <t>IDENTITY EVIDENCE</t>
  </si>
  <si>
    <t>IDENTITY EVIDENCE VALIDATION AND VERIFICATION</t>
  </si>
  <si>
    <t>IN-PERSON VALIDATION AND VERIFICATION</t>
  </si>
  <si>
    <t>ADDRESS CONFIRMATION</t>
  </si>
  <si>
    <t>ACCEPT EXTERNALLY-PROOFED IDENTITIES</t>
  </si>
  <si>
    <t>AUTOMATED TRAINING ENVIRONMENTS</t>
  </si>
  <si>
    <t>BREACH</t>
  </si>
  <si>
    <t>COORDINATION WITH RELATED PLANS</t>
  </si>
  <si>
    <t>CONTINUOUS IMPROVEMENT</t>
  </si>
  <si>
    <t>AUTOMATED INCIDENT HANDLING PROCESSES</t>
  </si>
  <si>
    <t>DYNAMIC RECONFIGURATION</t>
  </si>
  <si>
    <t>CONTINUITY OF OPERATIONS</t>
  </si>
  <si>
    <t>INFORMATION CORRELATION</t>
  </si>
  <si>
    <t>AUTOMATIC DISABLING OF SYSTEM</t>
  </si>
  <si>
    <t>INSIDER THREATS</t>
  </si>
  <si>
    <t>INSIDER THREATS — INTRA-ORGANIZATION COORDINATION</t>
  </si>
  <si>
    <t>CORRELATION WITH EXTERNAL ORGANIZATIONS</t>
  </si>
  <si>
    <t>DYNAMIC RESPONSE CAPABILITY</t>
  </si>
  <si>
    <t>SUPPLY CHAIN COORDINATION</t>
  </si>
  <si>
    <t>INTEGRATED INCIDENT RESPONSE TEAM</t>
  </si>
  <si>
    <t>MALICIOUS CODE AND FORENSIC ANALYSIS</t>
  </si>
  <si>
    <t>BEHAVIOR ANALYSIS</t>
  </si>
  <si>
    <t>SECURITY OPERATIONS CENTER</t>
  </si>
  <si>
    <t>PUBLIC RELATIONS AND REPUTATION REPAIR</t>
  </si>
  <si>
    <t>AUTOMATED TRACKING, DATA COLLECTION, AND ANALYSIS</t>
  </si>
  <si>
    <t>AUTOMATED REPORTING</t>
  </si>
  <si>
    <t>VULNERABILITIES RELATED TO INCIDENTS</t>
  </si>
  <si>
    <t>AUTOMATION SUPPORT FOR AVAILABILITY OF INFORMATION AND SUPPORT</t>
  </si>
  <si>
    <t>COORDINATION WITH EXTERNAL PROVIDERS</t>
  </si>
  <si>
    <t>BREACHES</t>
  </si>
  <si>
    <t>TRAINING</t>
  </si>
  <si>
    <t>POST-SPILL OPERATIONS</t>
  </si>
  <si>
    <t>EXPOSURE TO UNAUTHORIZED PERSONNEL</t>
  </si>
  <si>
    <t>AUTOMATED MAINTENANCE ACTIVITIES</t>
  </si>
  <si>
    <t>INSPECT TOOLS</t>
  </si>
  <si>
    <t>INSPECT MEDIA</t>
  </si>
  <si>
    <t>PREVENT UNAUTHORIZED REMOVAL</t>
  </si>
  <si>
    <t>RESTRICTED TOOL USE</t>
  </si>
  <si>
    <t>EXECUTION WITH PRIVILEGE</t>
  </si>
  <si>
    <t>SOFTWARE UPDATES AND PATCHES</t>
  </si>
  <si>
    <t>LOGGING AND REVIEW</t>
  </si>
  <si>
    <t>COMPARABLE SECURITY AND SANITIZATION</t>
  </si>
  <si>
    <t>AUTHENTICATION AND SEPARATION OF MAINTENANCE SESSIONS</t>
  </si>
  <si>
    <t>APPROVALS AND NOTIFICATIONS</t>
  </si>
  <si>
    <t>DISCONNECT VERIFICATION</t>
  </si>
  <si>
    <t>INDIVIDUALS WITHOUT APPROPRIATE ACCESS</t>
  </si>
  <si>
    <t>SECURITY CLEARANCES FOR CLASSIFIED SYSTEMS</t>
  </si>
  <si>
    <t>CITIZENSHIP REQUIREMENTS FOR CLASSIFIED SYSTEMS</t>
  </si>
  <si>
    <t>FOREIGN NATIONALS</t>
  </si>
  <si>
    <t>NON-SYSTEM MAINTENANCE</t>
  </si>
  <si>
    <t>PREVENTIVE MAINTENANCE</t>
  </si>
  <si>
    <t>PREDICTIVE MAINTENANCE</t>
  </si>
  <si>
    <t>AUTOMATED SUPPORT FOR PREDICTIVE MAINTENANCE</t>
  </si>
  <si>
    <t>AUTOMATED RESTRICTED ACCESS</t>
  </si>
  <si>
    <t>CUSTODIANS</t>
  </si>
  <si>
    <t>REVIEW, APPROVE, TRACK, DOCUMENT, AND VERIFY</t>
  </si>
  <si>
    <t>EQUIPMENT TESTING</t>
  </si>
  <si>
    <t>NONDESTRUCTIVE TECHNIQUES</t>
  </si>
  <si>
    <t>CONTROLLED UNCLASSIFIED INFORMATION</t>
  </si>
  <si>
    <t>CLASSIFIED INFORMATION</t>
  </si>
  <si>
    <t>REMOTE PURGING OR WIPING OF INFORMATION</t>
  </si>
  <si>
    <t>PROHIBIT USE OF SANITIZATION-RESISTANT MEDIA</t>
  </si>
  <si>
    <t>DOCUMENTATION OF PROCESS</t>
  </si>
  <si>
    <t>ACCESS BY POSITION AND ROLE</t>
  </si>
  <si>
    <t>TWO FORMS OF IDENTIFICATION</t>
  </si>
  <si>
    <t>RESTRICT UNESCORTED ACCESS</t>
  </si>
  <si>
    <t>SYSTEM ACCESS</t>
  </si>
  <si>
    <t>FACILITY AND SYSTEMS</t>
  </si>
  <si>
    <t>CONTINUOUS GUARDS</t>
  </si>
  <si>
    <t>LOCKABLE CASINGS</t>
  </si>
  <si>
    <t>TAMPER PROTECTION</t>
  </si>
  <si>
    <t>PHYSICAL BARRIERS</t>
  </si>
  <si>
    <t>ACCESS CONTROL VESTIBULES</t>
  </si>
  <si>
    <t>LINK TO INDIVIDUAL IDENTITY</t>
  </si>
  <si>
    <t>INTRUSION ALARMS AND SURVEILLANCE EQUIPMENT</t>
  </si>
  <si>
    <t>AUTOMATED INTRUSION RECOGNITION AND RESPONSES</t>
  </si>
  <si>
    <t>VIDEO SURVEILLANCE</t>
  </si>
  <si>
    <t>MONITORING PHYSICAL ACCESS TO SYSTEMS</t>
  </si>
  <si>
    <t>AUTOMATED RECORDS MAINTENANCE AND REVIEW</t>
  </si>
  <si>
    <t>REDUNDANT CABLING</t>
  </si>
  <si>
    <t>AUTOMATIC VOLTAGE CONTROLS</t>
  </si>
  <si>
    <t>ALTERNATE POWER SUPPLY — MINIMAL OPERATIONAL CAPABILITY</t>
  </si>
  <si>
    <t>ALTERNATE POWER SUPPLY — SELF-CONTAINED</t>
  </si>
  <si>
    <t>ESSENTIAL MISSION AND BUSINESS FUNCTIONS</t>
  </si>
  <si>
    <t>DETECTION SYSTEMS — AUTOMATIC ACTIVATION AND NOTIFICATION</t>
  </si>
  <si>
    <t>SUPPRESSION SYSTEMS — AUTOMATIC ACTIVATION AND NOTIFICATION</t>
  </si>
  <si>
    <t>INSPECTIONS</t>
  </si>
  <si>
    <t>AUTOMATIC CONTROLS</t>
  </si>
  <si>
    <t>MONITORING WITH ALARMS AND NOTIFICATIONS</t>
  </si>
  <si>
    <t>AUTOMATION SUPPORT</t>
  </si>
  <si>
    <t>NATIONAL EMISSIONS AND TEMPEST POLICIES AND PROCEDURES</t>
  </si>
  <si>
    <t>SOCIAL MEDIA AND EXTERNAL SITE/APPLICATION USAGE RESTRICTIONS</t>
  </si>
  <si>
    <t>DEFENSE IN DEPTH</t>
  </si>
  <si>
    <t>SUPPLIER DIVERSITY</t>
  </si>
  <si>
    <t>OFFLOADING</t>
  </si>
  <si>
    <t>AUTOMATED MEANS FOR SHARING THREAT INTELLIGENCE</t>
  </si>
  <si>
    <t>PRIVACY POLICIES ON WEBSITES, APPLICATIONS, AND DIGITAL SERVICES</t>
  </si>
  <si>
    <t>Minimization of Personally Identifiable Information Used in Testing, Training, and Research</t>
  </si>
  <si>
    <t>SUPPLIERS OF CRITICAL OR MISSION-ESSENTIAL ITEMS</t>
  </si>
  <si>
    <t>FORMAL INDOCTRINATION</t>
  </si>
  <si>
    <t>INFORMATION WITH SPECIAL PROTECTION MEASURES</t>
  </si>
  <si>
    <t>CITIZENSHIP REQUIREMENTS</t>
  </si>
  <si>
    <t>POST-EMPLOYMENT REQUIREMENTS</t>
  </si>
  <si>
    <t>AUTOMATED ACTIONS</t>
  </si>
  <si>
    <t>CLASSIFIED INFORMATION REQUIRING SPECIAL PROTECTION</t>
  </si>
  <si>
    <t>DATA TAGGING</t>
  </si>
  <si>
    <t>AUTOMATION</t>
  </si>
  <si>
    <t>TAILORED CONSENT</t>
  </si>
  <si>
    <t>JUST-IN-TIME CONSENT</t>
  </si>
  <si>
    <t>REVOCATION</t>
  </si>
  <si>
    <t>JUST-IN-TIME NOTICE</t>
  </si>
  <si>
    <t>PRIVACY ACT STATEMENTS</t>
  </si>
  <si>
    <t>ROUTINE USES</t>
  </si>
  <si>
    <t>EXEMPTION RULES</t>
  </si>
  <si>
    <t>SOCIAL SECURITY NUMBERS</t>
  </si>
  <si>
    <t>FIRST AMENDMENT INFORMATION</t>
  </si>
  <si>
    <t>IMPACT-LEVEL PRIORITIZATION</t>
  </si>
  <si>
    <t>SUPPLY CHAIN RISK ASSESSMENT</t>
  </si>
  <si>
    <t>USE OF ALL-SOURCE INTELLIGENCE</t>
  </si>
  <si>
    <t>DYNAMIC THREAT AWARENESS</t>
  </si>
  <si>
    <t>PREDICTIVE CYBER ANALYTICS</t>
  </si>
  <si>
    <t>UPDATE VULNERABILITIES TO BE SCANNED</t>
  </si>
  <si>
    <t>BREADTH AND DEPTH OF COVERAGE</t>
  </si>
  <si>
    <t>DISCOVERABLE INFORMATION</t>
  </si>
  <si>
    <t>PRIVILEGED ACCESS</t>
  </si>
  <si>
    <t>AUTOMATED TREND ANALYSES</t>
  </si>
  <si>
    <t>REVIEW HISTORIC AUDIT LOGS</t>
  </si>
  <si>
    <t>CORRELATE SCANNING INFORMATION</t>
  </si>
  <si>
    <t>PUBLIC DISCLOSURE PROGRAM</t>
  </si>
  <si>
    <t>MANAGE PREPRODUCTION ENVIRONMENT</t>
  </si>
  <si>
    <t>USE OF LIVE OR OPERATIONAL DATA</t>
  </si>
  <si>
    <t>TECHNOLOGY REFRESH</t>
  </si>
  <si>
    <t>FUNCTIONAL PROPERTIES OF CONTROLS</t>
  </si>
  <si>
    <t>DESIGN AND IMPLEMENTATION INFORMATION FOR CONTROLS</t>
  </si>
  <si>
    <t>DEVELOPMENT METHODS, TECHNIQUES, AND PRACTICES</t>
  </si>
  <si>
    <t>SYSTEM, COMPONENT, AND SERVICE CONFIGURATIONS</t>
  </si>
  <si>
    <t>USE OF INFORMATION ASSURANCE PRODUCTS</t>
  </si>
  <si>
    <t>NIAP-APPROVED PROTECTION PROFILES</t>
  </si>
  <si>
    <t>CONTINUOUS MONITORING PLAN FOR CONTROLS</t>
  </si>
  <si>
    <t>FUNCTIONS, PORTS, PROTOCOLS, AND SERVICES IN USE</t>
  </si>
  <si>
    <t>USE OF APPROVED PIV PRODUCTS</t>
  </si>
  <si>
    <t>SYSTEM OF RECORDS</t>
  </si>
  <si>
    <t>DATA OWNERSHIP</t>
  </si>
  <si>
    <t>CLEAR ABSTRACTIONS</t>
  </si>
  <si>
    <t>LEAST COMMON MECHANISM</t>
  </si>
  <si>
    <t>MODULARITY AND LAYERING</t>
  </si>
  <si>
    <t>PARTIALLY ORDERED DEPENDENCIES</t>
  </si>
  <si>
    <t>EFFICIENTLY MEDIATED ACCESS</t>
  </si>
  <si>
    <t>MINIMIZED SHARING</t>
  </si>
  <si>
    <t>REDUCED COMPLEXITY</t>
  </si>
  <si>
    <t>SECURE EVOLVABILITY</t>
  </si>
  <si>
    <t>TRUSTED COMPONENTS</t>
  </si>
  <si>
    <t>HIERARCHICAL TRUST</t>
  </si>
  <si>
    <t>INVERSE MODIFICATION THRESHOLD</t>
  </si>
  <si>
    <t>HIERARCHICAL PROTECTION</t>
  </si>
  <si>
    <t>MINIMIZED SECURITY ELEMENTS</t>
  </si>
  <si>
    <t>PREDICATE PERMISSION</t>
  </si>
  <si>
    <t>SELF-RELIANT TRUSTWORTHINESS</t>
  </si>
  <si>
    <t>SECURE DISTRIBUTED COMPOSITION</t>
  </si>
  <si>
    <t>TRUSTED COMMUNICATIONS CHANNELS</t>
  </si>
  <si>
    <t>CONTINUOUS PROTECTION</t>
  </si>
  <si>
    <t>SECURE METADATA MANAGEMENT</t>
  </si>
  <si>
    <t>SELF-ANALYSIS</t>
  </si>
  <si>
    <t>ACCOUNTABILITY AND TRACEABILITY</t>
  </si>
  <si>
    <t>SECURE DEFAULTS</t>
  </si>
  <si>
    <t>SECURE FAILURE AND RECOVERY</t>
  </si>
  <si>
    <t>ECONOMIC SECURITY</t>
  </si>
  <si>
    <t>PERFORMANCE SECURITY</t>
  </si>
  <si>
    <t>HUMAN FACTORED SECURITY</t>
  </si>
  <si>
    <t>ACCEPTABLE SECURITY</t>
  </si>
  <si>
    <t>REPEATABLE AND DOCUMENTED PROCEDURES</t>
  </si>
  <si>
    <t>PROCEDURAL RIGOR</t>
  </si>
  <si>
    <t>SECURE SYSTEM MODIFICATION</t>
  </si>
  <si>
    <t>SUFFICIENT DOCUMENTATION</t>
  </si>
  <si>
    <t>MINIMIZATION</t>
  </si>
  <si>
    <t>RISK ASSESSMENTS AND ORGANIZATIONAL APPROVALS</t>
  </si>
  <si>
    <t>IDENTIFICATION OF FUNCTIONS, PORTS, PROTOCOLS, AND SERVICES</t>
  </si>
  <si>
    <t>ESTABLISH AND MAINTAIN TRUST RELATIONSHIP WITH PROVIDERS</t>
  </si>
  <si>
    <t>CONSISTENT INTERESTS OF CONSUMERS AND PROVIDERS</t>
  </si>
  <si>
    <t>PROCESSING, STORAGE, AND SERVICE LOCATION</t>
  </si>
  <si>
    <t>ORGANIZATION-CONTROLLED CRYPTOGRAPHIC KEYS</t>
  </si>
  <si>
    <t>ORGANIZATION-CONTROLLED INTEGRITY CHECKING</t>
  </si>
  <si>
    <t>PROCESSING AND STORAGE LOCATION — U.S. JURISDICTION</t>
  </si>
  <si>
    <t>SOFTWARE AND FIRMWARE INTEGRITY VERIFICATION</t>
  </si>
  <si>
    <t>ALTERNATIVE CONFIGURATION MANAGEMENT PROCESSES</t>
  </si>
  <si>
    <t>HARDWARE INTEGRITY VERIFICATION</t>
  </si>
  <si>
    <t>TRUSTED GENERATION</t>
  </si>
  <si>
    <t>MAPPING INTEGRITY FOR VERSION CONTROL</t>
  </si>
  <si>
    <t>TRUSTED DISTRIBUTION</t>
  </si>
  <si>
    <t>STATIC CODE ANALYSIS</t>
  </si>
  <si>
    <t>THREAT MODELING AND VULNERABILITY ANALYSES</t>
  </si>
  <si>
    <t>INDEPENDENT VERIFICATION OF ASSESSMENT PLANS AND EVIDENCE</t>
  </si>
  <si>
    <t>MANUAL CODE REVIEWS</t>
  </si>
  <si>
    <t>ATTACK SURFACE REVIEWS</t>
  </si>
  <si>
    <t>VERIFY SCOPE OF TESTING AND EVALUATION</t>
  </si>
  <si>
    <t>DYNAMIC CODE ANALYSIS</t>
  </si>
  <si>
    <t>INTERACTIVE APPLICATION SECURITY TESTING</t>
  </si>
  <si>
    <t>LIMITATION OF HARM</t>
  </si>
  <si>
    <t>VALIDATE AS GENUINE AND NOT ALTERED</t>
  </si>
  <si>
    <t>QUALITY METRICS</t>
  </si>
  <si>
    <t>SECURITY AND PRIVACY TRACKING TOOLS</t>
  </si>
  <si>
    <t>ATTACK SURFACE REDUCTION</t>
  </si>
  <si>
    <t>AUTOMATED VULNERABILITY ANALYSIS</t>
  </si>
  <si>
    <t>REUSE OF THREAT AND VULNERABILITY INFORMATION</t>
  </si>
  <si>
    <t>ARCHIVE SYSTEM OR COMPONENT</t>
  </si>
  <si>
    <t>MINIMIZE PERSONALLY IDENTIFIABLE INFORMATION</t>
  </si>
  <si>
    <t>Developer-Provided Training</t>
  </si>
  <si>
    <t>FORMAL POLICY MODEL</t>
  </si>
  <si>
    <t>SECURITY-RELEVANT COMPONENTS</t>
  </si>
  <si>
    <t>FORMAL CORRESPONDENCE</t>
  </si>
  <si>
    <t>INFORMAL CORRESPONDENCE</t>
  </si>
  <si>
    <t>CONCEPTUALLY SIMPLE DESIGN</t>
  </si>
  <si>
    <t>STRUCTURE FOR TESTING</t>
  </si>
  <si>
    <t>STRUCTURE FOR LEAST PRIVILEGE</t>
  </si>
  <si>
    <t>ORCHESTRATION</t>
  </si>
  <si>
    <t>DESIGN DIVERSITY</t>
  </si>
  <si>
    <t>ANTI-COUNTERFEIT TRAINING</t>
  </si>
  <si>
    <t>CONFIGURATION CONTROL FOR COMPONENT SERVICE AND REPAIR</t>
  </si>
  <si>
    <t>ANTI-COUNTERFEIT SCANNING</t>
  </si>
  <si>
    <t>INTERFACES FOR NON-PRIVILEGED USERS</t>
  </si>
  <si>
    <t>HARDWARE SEPARATION</t>
  </si>
  <si>
    <t>ACCESS AND FLOW CONTROL FUNCTIONS</t>
  </si>
  <si>
    <t>MINIMIZE NONSECURITY FUNCTIONALITY</t>
  </si>
  <si>
    <t>MODULE COUPLING AND COHESIVENESS</t>
  </si>
  <si>
    <t>LAYERED STRUCTURES</t>
  </si>
  <si>
    <t>MULTILEVEL OR PERIODS PROCESSING</t>
  </si>
  <si>
    <t>Denial-of-Service Protection</t>
  </si>
  <si>
    <t>RESTRICT ABILITY TO ATTACK OTHER SYSTEMS</t>
  </si>
  <si>
    <t>CAPACITY, BANDWIDTH, AND REDUNDANCY</t>
  </si>
  <si>
    <t>DETECTION AND MONITORING</t>
  </si>
  <si>
    <t>ACCESS POINTS</t>
  </si>
  <si>
    <t>EXTERNAL TELECOMMUNICATIONS SERVICES</t>
  </si>
  <si>
    <t>DENY BY DEFAULT — ALLOW BY EXCEPTION</t>
  </si>
  <si>
    <t>SPLIT TUNNELING FOR REMOTE DEVICES</t>
  </si>
  <si>
    <t>ROUTE TRAFFIC TO AUTHENTICATED PROXY SERVERS</t>
  </si>
  <si>
    <t>RESTRICT THREATENING OUTGOING COMMUNICATIONS TRAFFIC</t>
  </si>
  <si>
    <t>PREVENT EXFILTRATION</t>
  </si>
  <si>
    <t>RESTRICT INCOMING COMMUNICATIONS TRAFFIC</t>
  </si>
  <si>
    <t>HOST-BASED PROTECTION</t>
  </si>
  <si>
    <t>ISOLATION OF SECURITY TOOLS, MECHANISMS, AND SUPPORT COMPONENTS</t>
  </si>
  <si>
    <t>PROTECT AGAINST UNAUTHORIZED PHYSICAL CONNECTIONS</t>
  </si>
  <si>
    <t>NETWORKED PRIVILEGED ACCESSES</t>
  </si>
  <si>
    <t>PREVENT DISCOVERY OF SYSTEM COMPONENTS</t>
  </si>
  <si>
    <t>AUTOMATED ENFORCEMENT OF PROTOCOL FORMATS</t>
  </si>
  <si>
    <t>FAIL SECURE</t>
  </si>
  <si>
    <t>BLOCK COMMUNICATION FROM NON-ORGANIZATIONALLY CONFIGURED HOSTS</t>
  </si>
  <si>
    <t>DYNAMIC ISOLATION AND SEGREGATION</t>
  </si>
  <si>
    <t>ISOLATION OF SYSTEM COMPONENTS</t>
  </si>
  <si>
    <t>SEPARATE SUBNETS FOR CONNECTING TO DIFFERENT SECURITY DOMAINS</t>
  </si>
  <si>
    <t>DISABLE SENDER FEEDBACK ON PROTOCOL VALIDATION FAILURE</t>
  </si>
  <si>
    <t>PERSONALLY IDENTIFIABLE INFORMATION</t>
  </si>
  <si>
    <t>SEPARATE SUBNETS TO ISOLATE FUNCTIONS</t>
  </si>
  <si>
    <t>PRE- AND POST-TRANSMISSION HANDLING</t>
  </si>
  <si>
    <t>CRYPTOGRAPHIC PROTECTION FOR MESSAGE EXTERNALS</t>
  </si>
  <si>
    <t>CONCEAL OR RANDOMIZE COMMUNICATIONS</t>
  </si>
  <si>
    <t>PROTECTED DISTRIBUTION SYSTEM</t>
  </si>
  <si>
    <t>IRREFUTABLE COMMUNICATIONS PATH</t>
  </si>
  <si>
    <t>AVAILABILITY</t>
  </si>
  <si>
    <t>SYMMETRIC KEYS</t>
  </si>
  <si>
    <t>ASYMMETRIC KEYS</t>
  </si>
  <si>
    <t>PHYSICAL CONTROL OF KEYS</t>
  </si>
  <si>
    <t>PHYSICAL OR LOGICAL DISCONNECT</t>
  </si>
  <si>
    <t>DISABLING AND REMOVAL IN SECURE WORK AREAS</t>
  </si>
  <si>
    <t>EXPLICITLY INDICATE CURRENT PARTICIPANTS</t>
  </si>
  <si>
    <t>INTEGRITY VERIFICATION</t>
  </si>
  <si>
    <t>ANTI-SPOOFING MECHANISMS</t>
  </si>
  <si>
    <t>CRYPTOGRAPHIC BINDING</t>
  </si>
  <si>
    <t>IDENTIFY UNACCEPTABLE CODE AND TAKE CORRECTIVE ACTIONS</t>
  </si>
  <si>
    <t>ACQUISITION, DEVELOPMENT, AND USE</t>
  </si>
  <si>
    <t>PREVENT DOWNLOADING AND EXECUTION</t>
  </si>
  <si>
    <t>PREVENT AUTOMATIC EXECUTION</t>
  </si>
  <si>
    <t>ALLOW EXECUTION ONLY IN CONFINED ENVIRONMENTS</t>
  </si>
  <si>
    <t>DATA ORIGIN AND INTEGRITY</t>
  </si>
  <si>
    <t>INVALIDATE SESSION IDENTIFIERS AT LOGOUT</t>
  </si>
  <si>
    <t>UNIQUE SYSTEM-GENERATED SESSION IDENTIFIERS</t>
  </si>
  <si>
    <t>ALLOWED CERTIFICATE AUTHORITIES</t>
  </si>
  <si>
    <t>Platform-Independent Applications</t>
  </si>
  <si>
    <t>OFFLINE STORAGE</t>
  </si>
  <si>
    <t>CRYPTOGRAPHIC KEYS</t>
  </si>
  <si>
    <t>VIRTUALIZATION TECHNIQUES</t>
  </si>
  <si>
    <t>RANDOMNESS</t>
  </si>
  <si>
    <t>CHANGE PROCESSING AND STORAGE LOCATIONS</t>
  </si>
  <si>
    <t>MISLEADING INFORMATION</t>
  </si>
  <si>
    <t>CONCEALMENT OF SYSTEM COMPONENTS</t>
  </si>
  <si>
    <t>TEST COVERT CHANNELS FOR EXPLOITABILITY</t>
  </si>
  <si>
    <t>MAXIMUM BANDWIDTH</t>
  </si>
  <si>
    <t>MEASURE BANDWIDTH IN OPERATIONAL ENVIRONMENTS</t>
  </si>
  <si>
    <t>SEPARATE PHYSICAL DOMAINS FOR PRIVILEGED FUNCTIONS</t>
  </si>
  <si>
    <t>Non-Modifiable Executable Programs</t>
  </si>
  <si>
    <t>NO WRITABLE STORAGE</t>
  </si>
  <si>
    <t>INTEGRITY PROTECTION AND READ-ONLY MEDIA</t>
  </si>
  <si>
    <t>POLLING TECHNIQUES</t>
  </si>
  <si>
    <t>SYNCHRONIZATION</t>
  </si>
  <si>
    <t>Out-of-Band Channels</t>
  </si>
  <si>
    <t>ENSURE DELIVERY AND TRANSMISSION</t>
  </si>
  <si>
    <t>SEPARATE EXECUTION DOMAIN PER THREAD</t>
  </si>
  <si>
    <t>ELECTROMAGNETIC INTERFERENCE</t>
  </si>
  <si>
    <t>REDUCE DETECTION POTENTIAL</t>
  </si>
  <si>
    <t>IMITATIVE OR MANIPULATIVE COMMUNICATIONS DECEPTION</t>
  </si>
  <si>
    <t>SIGNAL PARAMETER IDENTIFICATION</t>
  </si>
  <si>
    <t>REPORTING TO AUTHORIZED INDIVIDUALS OR ROLES</t>
  </si>
  <si>
    <t>AUTHORIZED USE</t>
  </si>
  <si>
    <t>NOTICE OF COLLECTION</t>
  </si>
  <si>
    <t>COLLECTION MINIMIZATION</t>
  </si>
  <si>
    <t>DYNAMIC RELOCATION OF SENSORS OR MONITORING CAPABILITIES</t>
  </si>
  <si>
    <t>Hardware-Enforced Separation and Policy Enforcement</t>
  </si>
  <si>
    <t>Software-Enforced Separation and Policy Enforcement</t>
  </si>
  <si>
    <t>Hardware-Based Protection</t>
  </si>
  <si>
    <t>AUTOMATED FLAW REMEDIATION STATUS</t>
  </si>
  <si>
    <t>TIME TO REMEDIATE FLAWS AND BENCHMARKS FOR CORRECTIVE ACTIONS</t>
  </si>
  <si>
    <t>AUTOMATED PATCH MANAGEMENT TOOLS</t>
  </si>
  <si>
    <t>AUTOMATIC SOFTWARE AND FIRMWARE UPDATES</t>
  </si>
  <si>
    <t>REMOVAL OF PREVIOUS VERSIONS OF SOFTWARE AND FIRMWARE</t>
  </si>
  <si>
    <t>AUTOMATIC UPDATES</t>
  </si>
  <si>
    <t>UPDATES ONLY BY PRIVILEGED USERS</t>
  </si>
  <si>
    <t>TESTING AND VERIFICATION</t>
  </si>
  <si>
    <t>DETECT UNAUTHORIZED COMMANDS</t>
  </si>
  <si>
    <t>MALICIOUS CODE ANALYSIS</t>
  </si>
  <si>
    <t>SYSTEM-WIDE INTRUSION DETECTION SYSTEM</t>
  </si>
  <si>
    <t>AUTOMATED TOOLS AND MECHANISMS FOR REAL-TIME ANALYSIS</t>
  </si>
  <si>
    <t>AUTOMATED TOOL AND MECHANISM INTEGRATION</t>
  </si>
  <si>
    <t>INBOUND AND OUTBOUND COMMUNICATIONS TRAFFIC</t>
  </si>
  <si>
    <t>SYSTEM-GENERATED ALERTS</t>
  </si>
  <si>
    <t>AUTOMATED RESPONSE TO SUSPICIOUS EVENTS</t>
  </si>
  <si>
    <t>TESTING OF MONITORING TOOLS AND MECHANISMS</t>
  </si>
  <si>
    <t>VISIBILITY OF ENCRYPTED COMMUNICATIONS</t>
  </si>
  <si>
    <t>ANALYZE COMMUNICATIONS TRAFFIC ANOMALIES</t>
  </si>
  <si>
    <t>AUTOMATED ORGANIZATION-GENERATED ALERTS</t>
  </si>
  <si>
    <t>ANALYZE TRAFFIC AND EVENT PATTERNS</t>
  </si>
  <si>
    <t>WIRELESS INTRUSION DETECTION</t>
  </si>
  <si>
    <t>WIRELESS TO WIRELINE COMMUNICATIONS</t>
  </si>
  <si>
    <t>CORRELATE MONITORING INFORMATION</t>
  </si>
  <si>
    <t>INTEGRATED SITUATIONAL AWARENESS</t>
  </si>
  <si>
    <t>ANALYZE TRAFFIC AND COVERT EXFILTRATION</t>
  </si>
  <si>
    <t>RISK FOR INDIVIDUALS</t>
  </si>
  <si>
    <t>PRIVILEGED USERS</t>
  </si>
  <si>
    <t>PROBATIONARY PERIODS</t>
  </si>
  <si>
    <t>UNAUTHORIZED NETWORK SERVICES</t>
  </si>
  <si>
    <t>HOST-BASED DEVICES</t>
  </si>
  <si>
    <t>INDICATORS OF COMPROMISE</t>
  </si>
  <si>
    <t>OPTIMIZE NETWORK TRAFFIC ANALYSIS</t>
  </si>
  <si>
    <t>AUTOMATED ALERTS AND ADVISORIES</t>
  </si>
  <si>
    <t>AUTOMATION SUPPORT FOR DISTRIBUTED TESTING</t>
  </si>
  <si>
    <t>REPORT VERIFICATION RESULTS</t>
  </si>
  <si>
    <t>INTEGRITY CHECKS</t>
  </si>
  <si>
    <t>AUTOMATED NOTIFICATIONS OF INTEGRITY VIOLATIONS</t>
  </si>
  <si>
    <t>CENTRALLY MANAGED INTEGRITY TOOLS</t>
  </si>
  <si>
    <t>AUTOMATED RESPONSE TO INTEGRITY VIOLATIONS</t>
  </si>
  <si>
    <t>INTEGRATION OF DETECTION AND RESPONSE</t>
  </si>
  <si>
    <t>AUDITING CAPABILITY FOR SIGNIFICANT EVENTS</t>
  </si>
  <si>
    <t>VERIFY BOOT PROCESS</t>
  </si>
  <si>
    <t>PROTECTION OF BOOT FIRMWARE</t>
  </si>
  <si>
    <t>CODE AUTHENTICATION</t>
  </si>
  <si>
    <t>TIME LIMIT ON PROCESS EXECUTION WITHOUT SUPERVISION</t>
  </si>
  <si>
    <t>RUNTIME APPLICATION SELF-PROTECTION</t>
  </si>
  <si>
    <t>CONTINUOUS LEARNING CAPABILITY</t>
  </si>
  <si>
    <t>MANUAL OVERRIDE CAPABILITY</t>
  </si>
  <si>
    <t>REVIEW AND RESOLVE ERRORS</t>
  </si>
  <si>
    <t>PREDICTABLE BEHAVIOR</t>
  </si>
  <si>
    <t>TIMING INTERACTIONS</t>
  </si>
  <si>
    <t>RESTRICT INPUTS TO TRUSTED SOURCES AND APPROVED FORMATS</t>
  </si>
  <si>
    <t>INJECTION PREVENTION</t>
  </si>
  <si>
    <t>MINIMIZE PERSONALLY IDENTIFIABLE INFORMATION IN TESTING, TRAINING, AND RESEARCH</t>
  </si>
  <si>
    <t>INFORMATION DISPOSAL</t>
  </si>
  <si>
    <t>TRANSFERRING COMPONENT RESPONSIBILITIES</t>
  </si>
  <si>
    <t>MANUAL TRANSFER BETWEEN COMPONENTS</t>
  </si>
  <si>
    <t>STANDBY COMPONENT INSTALLATION AND NOTIFICATION</t>
  </si>
  <si>
    <t>Non-Persistence</t>
  </si>
  <si>
    <t>REFRESH FROM TRUSTED SOURCES</t>
  </si>
  <si>
    <t>NON-PERSISTENT INFORMATION</t>
  </si>
  <si>
    <t>NON-PERSISTENT CONNECTIVITY</t>
  </si>
  <si>
    <t>Fail-Safe Procedures</t>
  </si>
  <si>
    <t>DATA TAGS</t>
  </si>
  <si>
    <t>COLLECTION</t>
  </si>
  <si>
    <t>INDIVIDUAL REQUESTS</t>
  </si>
  <si>
    <t>NOTICE OF CORRECTION OR DELETION</t>
  </si>
  <si>
    <t>De-Identification</t>
  </si>
  <si>
    <t>ARCHIVING</t>
  </si>
  <si>
    <t>RELEASE</t>
  </si>
  <si>
    <t>REMOVAL, MASKING, ENCRYPTION, HASHING, OR REPLACEMENT OF DIRECT IDENTIFIERS</t>
  </si>
  <si>
    <t>STATISTICAL DISCLOSURE CONTROL</t>
  </si>
  <si>
    <t>DIFFERENTIAL PRIVACY</t>
  </si>
  <si>
    <t>VALIDATED ALGORITHMS SOFTWARE</t>
  </si>
  <si>
    <t>MOTIVATED INTRUDER</t>
  </si>
  <si>
    <t>ESTABLISH SCRM TEAM</t>
  </si>
  <si>
    <t>DIVERSE SUPPLY BASE</t>
  </si>
  <si>
    <t>SUB-TIER FLOW DOWN</t>
  </si>
  <si>
    <t>IDENTITY</t>
  </si>
  <si>
    <t>TRACK AND TRACE</t>
  </si>
  <si>
    <t>SUPPLY CHAIN INTEGRITY — PEDIGREE</t>
  </si>
  <si>
    <t>ADEQUATE SUPPLY</t>
  </si>
  <si>
    <t>ASSESSMENTS PRIOR TO SELECTION, ACCEPTANCE, MODIFICATION, OR UPDATE</t>
  </si>
  <si>
    <t>TESTING AND ANALYSIS</t>
  </si>
  <si>
    <t>MULTIPLE STAGES OF SYSTEM DEVELOPMENT LIFE CYCLE</t>
  </si>
  <si>
    <t>Secure Name/Address Resolution Service (Authoritative Source)</t>
  </si>
  <si>
    <t>Secure Name/Address Resolution Service (Recursive or Caching Resolver)</t>
  </si>
  <si>
    <t>Architecture and Provisioning for Name/Address Resolution Service</t>
  </si>
  <si>
    <t>Establish and maintain baseline configurations and inventories of organizational systems (including hardware, software, firmware, and documentation) throughout the respective system development life cycles.</t>
  </si>
  <si>
    <t>Monitor, control, and protect communications (i.e., information transmitted or received by organizational systems) at the external boundaries and key internal boundaries of organizational systems.</t>
  </si>
  <si>
    <t>Verify and control/limit connections to and use of external systems.</t>
  </si>
  <si>
    <t>Limit use of organizational portable storage devices on external systems.</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</si>
  <si>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</si>
  <si>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the system are identified.</t>
  </si>
  <si>
    <t>Identify, report, and correct information and system flaws in a timely manner.</t>
  </si>
  <si>
    <t>Monitor system security alerts and advisories and take actions in response.</t>
  </si>
  <si>
    <t>Monitor organizational systems, including inbound and outbound communications traffic, to detect attacks and indicators of potential attacks.</t>
  </si>
  <si>
    <t xml:space="preserve">3.1.1 </t>
  </si>
  <si>
    <t>Limit system access to authorized users, processes acting on behalf of authorized users, and devices (including other systems).</t>
  </si>
  <si>
    <t>Limit system access to the types of transactions and functions that authorized users are permitted to execute.</t>
  </si>
  <si>
    <t>Employ architectural designs, software development techniques, and systems engineering principles that promote effective information security within organizational systems.</t>
  </si>
  <si>
    <t>Deny network communications traffic by default and allow network communications traffic by exception (i.e., deny all, permit by exception).</t>
  </si>
  <si>
    <t xml:space="preserve">Prevent remote devices from simultaneously establishing non-remote connections with organizational systems and communicating via some other connection to resources in external networks. (i.e. split tunneling). </t>
  </si>
  <si>
    <t>Ensure that managers, systems administrators, and users of organizational systems are made aware of the security risks associated with their activities and of the applicable policies, standards, and procedures related to the security of those systems.</t>
  </si>
  <si>
    <t>Ensure that organizational personnel are adequately trained to carry out their assigned information security-related duties and responsibilities.</t>
  </si>
  <si>
    <t>Protect (i.e., physically control and securely store) system media containing CUI, both paper and digital.</t>
  </si>
  <si>
    <t>Sanitize or destroy system media containing CUI before disposal or release for reuse.</t>
  </si>
  <si>
    <t>Ensure that CUI and organizational systems containing CUI are protected during and after personnel actions such as terminations and transfers.</t>
  </si>
  <si>
    <t>Restrict, disable, and prevent the use of nonessential, functions, ports, protocols, or services.</t>
  </si>
  <si>
    <t>Apply deny-by-exception (blacklist) policy to prevent the use of unauthorized software or deny- all, permit-by-exception (whitelisting) policy to allow the execution of authorized software.</t>
  </si>
  <si>
    <t>Establish an operational incident-handling capability for organizational systems that includes preparation, detection, analysis, containment, recovery, and user response activities.</t>
  </si>
  <si>
    <t xml:space="preserve">Track, document, and report incidents to appropriate  organizational officials and/or authorities. </t>
  </si>
  <si>
    <t>Remediate vulnerabilities in accordance with assessments of risk.</t>
  </si>
  <si>
    <t>Identify, report, and correct system flaws in a timely manner.</t>
  </si>
  <si>
    <t>Provide protection from malicious code at appropriate locations within organizational systems.</t>
  </si>
  <si>
    <t>Create and retain system audit records to the extent needed to enable the monitoring, analysis, investigation, and reporting of unlawful, unauthorized, or inappropriate system activity.</t>
  </si>
  <si>
    <t>Correlate audit review, analysis, and reporting processes for investigation and response to indications of inappropriate, suspicious, or unusual activity.</t>
  </si>
  <si>
    <t>Establish an operational incident-handling capability for organizational systems that includes adequate preparation, detection, analysis, containment, recovery, and user response activities.</t>
  </si>
  <si>
    <t>Create, protect, and retain system audit records to the extent needed to enable the monitoring, analysis, investigation, and reporting of unlawful, unauthorized, or inappropriate system activity.</t>
  </si>
  <si>
    <t>Develop, document, and  periodically update system security plans that describe system boundaries, system environments of operation, how security requirements are implemented, and the relationships with or connections to other systems.</t>
  </si>
  <si>
    <t>Provide privacy and security notices consistent with applicable CUI rules</t>
  </si>
  <si>
    <t>Control CUI posted or processed on publicly accessible systems</t>
  </si>
  <si>
    <t>Enforce safeguarding measures for CUI at alternate work sites</t>
  </si>
  <si>
    <t>Control and monitor the use of Voice over Internet Protocol (VoIP) technologies</t>
  </si>
  <si>
    <t>Added switch menu on dashboard to view specific environments or controls</t>
  </si>
  <si>
    <t>Use of the CIS CSC version 6.x and 7.x is granted by permission from the CIS CRITICAL SECURITY CONTROLS SUPPORTER LICENSE AGREEMENT with Verity Security, LLC. Any additional use of the CIS CSC version 6 or 7 in connection with the ESPM is prohibited.</t>
  </si>
  <si>
    <t>AUDIT REVIEW, ANALYSIS, AND REPORTING | CENTRAL REVIEW AND ANALYSIS</t>
  </si>
  <si>
    <t>SI-8b</t>
  </si>
  <si>
    <t>SI-8a</t>
  </si>
  <si>
    <t>IT Security 12/12/2020</t>
  </si>
  <si>
    <t>PT-2a</t>
  </si>
  <si>
    <t>PT-2b</t>
  </si>
  <si>
    <t>High-level assessment / Survey with the NIST CSF</t>
  </si>
  <si>
    <t>PR.AC-7</t>
  </si>
  <si>
    <t>Users, devices, and other assets are authenticated (e.g., single-factor, multi-factor) commensurate with the risk of the transaction (e.g., individuals’ security and privacy risks and other organizational risks)</t>
  </si>
  <si>
    <t>NIST CSF Privacy</t>
  </si>
  <si>
    <t>Not licensed for preview. Please visit https://www.pcisecuritystandards.org/document_library</t>
  </si>
  <si>
    <t>The intent of the mappings included in this document show an equivalency of requirements (in whole or in part) between multiple publications.  It is important to consider the different scope between the publications when reviewing and using this mapping.  
Since the security requirements are derived from the NIST publications, organizations should not assume that satisfying those particular requirements will automatically satisfy the security requirements and controls in other control set requirements. Modifications to the mapping for each environment is the responsibility of the reader. Verity Security LLC is not responsible for the unadvised implementation of any security control or control mapping.
The reader should take careful note of the contents of this document and undertake due diligence on whether the contents is accurate, relevant, reliable and so forth. Implementing security controls is the responsibility of each organization independent of this document's contents. 
Contact Verity Security LLC when professional consulting is needed for the implementation of controls within an organization.</t>
  </si>
  <si>
    <t>Updated the security control set mapping within the ESPM v1.2 to include NIST SP 800-53r5, CSC v7.1, NIST SP 800-171r2, and DoD CMMC.</t>
  </si>
  <si>
    <t>Version 1.2.1 / March 8, 2021</t>
  </si>
  <si>
    <t>Column Number</t>
  </si>
  <si>
    <t>Asset management</t>
  </si>
  <si>
    <t>Inventory of assets - Assets associated with information and information processing facilities shall be identified and an inventory of these assets shall be drawn up and maintained.</t>
  </si>
  <si>
    <t>Control of operational software - To ensure the integrity of operational systems.</t>
  </si>
  <si>
    <t>Outsourced development - The organization shall supervise and monitor the activity of outsourced system development.</t>
  </si>
  <si>
    <t>Information classification - To ensure that information receives an appropriate level of protection in accordance with its importance to the organization.</t>
  </si>
  <si>
    <t>Information transfer policies and procedures - Formal transfer policies, procedures and controls shall be in place to protect the transfer of information through the use of all types of communication facilities.</t>
  </si>
  <si>
    <t>Security of equipment and assets off-premises - Security shall be applied to off-site assets taking into account the different risks of working outside the organization’s premises.</t>
  </si>
  <si>
    <t>Information security requirements analysis and specification - The information security related requirements shall be included in the requirements for new information systems or enhancements to existing information systems.</t>
  </si>
  <si>
    <t>Classification of information - Information shall be classified in terms of legal requirements, value, criticality and sensitivity to unauthorised disclosure or modification.</t>
  </si>
  <si>
    <t>Handling of assets - Procedures for handling assets shall be developed and implemented in accordance with the information classification scheme adopted by the organization.</t>
  </si>
  <si>
    <t>Information security roles and responsibilities - All information security responsibilities shall be defined and allocated.</t>
  </si>
  <si>
    <t>Ownership of assets - Assets maintained in the inventory shall be owned.</t>
  </si>
  <si>
    <t>Acceptable use of assets - Rules for the acceptable use of information and of assets associated with information and information processing facilities shall be identified, documented and implemented.</t>
  </si>
  <si>
    <t>Operational procedures and responsibilities - To ensure correct and secure operations of information processing facilities.</t>
  </si>
  <si>
    <t>Policies for information security - A set of policies for information security shall be defined, approved by management, published and communicated to employees and relevant external parties.</t>
  </si>
  <si>
    <t>Review of the policies for information security</t>
  </si>
  <si>
    <t>Information security policies</t>
  </si>
  <si>
    <t>Internal organization - To establish a management framework to initiate and control the implementation and operation of information security within the organization.</t>
  </si>
  <si>
    <t>Compliance</t>
  </si>
  <si>
    <t>Policy on the use of cryptographic controls - A policy on the use of cryptographic controls for protection of information shall be developed and implemented.</t>
  </si>
  <si>
    <t>Key management - A policy on the use, protection and lifetime of cryptographic keys shall be developed and implemented through their whole lifecycle.</t>
  </si>
  <si>
    <t>Security of network services - Security mechanisms, service levels and management requirements of all network services shall be identified and included in network services agreements, whether these services are provided in-house or outsourced.</t>
  </si>
  <si>
    <t>Secure development policy - Rules for the development of software and systems shall be established and applied to developments within the organization.</t>
  </si>
  <si>
    <t>Managing changes to supplier services -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</si>
  <si>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Organization of information security</t>
  </si>
  <si>
    <t>Teleworking - A policy and supporting security measures shall be implemented to protect information accessed, processed or stored at teleworking sites.</t>
  </si>
  <si>
    <t>Compliance with legal and contractual requirements - To avoid breaches of legal, statutory, regulatory or contractual obligations related to information security and of any security requirements.</t>
  </si>
  <si>
    <t>Identification of applicable legislation and contractual requirements - All relevant legislative statutory, regulatory, contractual requirements and the organization’s approach to meet these requirements shall be explicitly identified, documented and kept up to date for each information system and the organization.</t>
  </si>
  <si>
    <t>Intellectual property rights - Appropriate procedures shall be implemented to ensure compliance with legislative, regulatory and contractual requirements related to intellectual property rights and use of proprietary software products.</t>
  </si>
  <si>
    <t>Protection of records - Records shall be protected from loss, destruction, falsification, unauthorized access and unauthorized release, in accordance with legislatory, regulatory, contractual and business requirements.</t>
  </si>
  <si>
    <t>Privacy and protection of personally identifiable information - Privacy and protection of personally identifiable information shall be ensured as required in relevant legislation and regulation where applicable.</t>
  </si>
  <si>
    <t>Regulation of cryptographic controls - Cryptographic controls shall be used in compliance with all relevant agreements, legislation and regulations.</t>
  </si>
  <si>
    <t>Management direction for information security - To provide management direction and support for information security in accordance with business requirements and relevant laws and regulations.</t>
  </si>
  <si>
    <t>Confidentiality or non-disclosure agreements - Requirements for confidentiality or non-disclosure agreements reflecting the organization’s needs for the protection of information shall be identified, regularly reviewed and documented.</t>
  </si>
  <si>
    <t>Technical compliance review - Information systems shall be regularly reviewed for compliance with the organization’s information security policies and standards.</t>
  </si>
  <si>
    <t>Information security reviews - To ensure that information security is implemented and operated in accordance with the organizational policies and procedures.</t>
  </si>
  <si>
    <t>Independent review of information security - The organization’s approach to managing information security and its implementation (i.e. control objectives, controls, policies, processes and procedures for information security) shall be reviewed independently at planned intervals or when significant changes occur.</t>
  </si>
  <si>
    <t>Management of technical vulnerabilities - Information about technical vulnerabilities of information systems being used shall be obtained in a timely fashion, the organization's exposure to such vulnerabilities evaluated and appropriate measures taken to address the associated risk.</t>
  </si>
  <si>
    <t>Contact with special interest groups - Appropriate contacts with special interest groups or other specialist security forums and professional associations shall be maintained.</t>
  </si>
  <si>
    <t>Assessment of and decision on information security events - Information security events shall be assessed and it shall be decided if they are to be classified as information security incidents.</t>
  </si>
  <si>
    <t>Compliance with security policies and standards - Managers shall regularly review the compliance of information processing and procedures within their area of responsibility with the appropriate security policies, standards and any other security requirements.</t>
  </si>
  <si>
    <t>Supplier relationships</t>
  </si>
  <si>
    <t>Addressing security within supplier agreements - All relevant information security requirements shall be established and agreed with each supplier that may access, process, store, communicate, or provide IT infrastructure components for, the organization’s information.</t>
  </si>
  <si>
    <t>Information security in supplier relationships - To ensure protection of the organization’s assets that is accessible by suppliers.</t>
  </si>
  <si>
    <t>Information and communication technology supply chain - Agreements with suppliers shall include requirements to address the information security risks associated with information and communications technology services and product supply chain.</t>
  </si>
  <si>
    <t>Agreements on information transfer - Agreements shall address the secure transfer of business information between the organization and external parties.</t>
  </si>
  <si>
    <t>Supplier service delivery management - To maintain an agreed level of information security and service delivery in line with supplier agreements.</t>
  </si>
  <si>
    <t>Monitoring and review of supplier services - Organizations shall regularly monitor, review and audit supplier service delivery.</t>
  </si>
  <si>
    <t>User registration and de-registration - A formal user registration and de-registration process shall be implemented to enable assignment of access rights.</t>
  </si>
  <si>
    <t>Review of user access rights - Asset owners shall review users’ access rights at regular intervals.</t>
  </si>
  <si>
    <t>Removal or adjustment of access rights - The access rights of all employees and external party users to information and information processing facilities shall be removed upon termination of their employment, contract or agreement, or adjusted upon change.</t>
  </si>
  <si>
    <t>Access control</t>
  </si>
  <si>
    <t>Password management system - Password management systems shall be interactive and shall ensure quality passwords.</t>
  </si>
  <si>
    <t>Physical and environmental security</t>
  </si>
  <si>
    <t>Secure areas - To prevent unauthorized physical access, damage and interference to the organization’s information and information processing facilities.</t>
  </si>
  <si>
    <t>Physical security perimeter - Security perimeters shall be defined and used to protect areas that contain either sensitive or critical information and information processing facilities.</t>
  </si>
  <si>
    <t>Physical entry controls - Secure areas shall be protected by appropriate entry controls to ensure that only authorized personnel are allowed access.</t>
  </si>
  <si>
    <t>Securing offices, rooms and facilities - Physical security for offices, rooms and facilities shall be designed and applied.</t>
  </si>
  <si>
    <t>Protecting against external and environmental threats - Physical protection against natural disasters, malicious attack or accidents shall be designed and applied.</t>
  </si>
  <si>
    <t>Delivery and loading areas - Access points such as delivery and loading areas and other points where unauthorized persons could enter the premises shall be controlled and, if possible, isolated from information processing facilities to avoid unauthorized access.</t>
  </si>
  <si>
    <t>Cabling security - Power and telecommunications cabling carrying data or supporting information services shall be protected from interception, interference or damage.</t>
  </si>
  <si>
    <t>Mobile device policy - A policy and supporting security measures shall be adopted to manage the risks introduced by using mobile devices.</t>
  </si>
  <si>
    <t>Business requirements of access control - To limit access to information and information processing facilities.</t>
  </si>
  <si>
    <t>Access control policy - An access control policy shall be established, documented and reviewed based on business and information security requirements.</t>
  </si>
  <si>
    <t>Access to networks and network services - Users shall only be provided with access to the network and network services that they have been specifically authorized to use.</t>
  </si>
  <si>
    <t>User access management - To ensure authorized user access and to prevent unauthorized access to systems and services.</t>
  </si>
  <si>
    <t>User access provisioning - A formal user access provisioning process shall be implemented to assign or revoke access rights for all user types to all systems and services.</t>
  </si>
  <si>
    <t>Management of privileged access rights - The allocation and use of privileged access rights shall be restricted and controlled.</t>
  </si>
  <si>
    <t>Segregation of duties - Conflicting duties and areas of responsibility shall be segregated to reduce opportunities for unauthorized or unintentional modification or misuse of the organization’s assets.</t>
  </si>
  <si>
    <t>Terms and conditions of employment - The contractual agreements with employees and contractors shall state their and the organization’s responsibilities for information security.</t>
  </si>
  <si>
    <t>Management of secret authentication information of users - The allocation of secret authentication information shall be controlled through a formal management process.</t>
  </si>
  <si>
    <t>System and application access control - To prevent unauthorized access to systems and applications.</t>
  </si>
  <si>
    <t>Information access restriction - Access to information and application system functions shall be restricted in accordance with the access control policy.</t>
  </si>
  <si>
    <t>Network controls - Networks shall be managed and controlled to protect information in systems and applications.</t>
  </si>
  <si>
    <t>Securing application services on public networks - Information involved in application services passing over public networks shall be protected from fraudulent activity, contract dispute and unauthorized disclosure and modification.</t>
  </si>
  <si>
    <t>Protecting application services transactions - Information involved in application service transactions shall be protected to prevent incomplete transmission, mis-routing, unauthorized message alteration, unauthorized disclosure, unauthorized message duplication or replay.</t>
  </si>
  <si>
    <t>Segregation in networks - Groups of information services, users and information systems shall be segregated on networks.</t>
  </si>
  <si>
    <t>Secure log-on procedures - Where required by the access control policy, access to systems and applications shall be controlled by a secure log-on procedure.</t>
  </si>
  <si>
    <t>Controls against malware - Detection, prevention and recovery controls to protect against malware shall be implemented, combined with appropriate user awareness.</t>
  </si>
  <si>
    <t>Information security awareness, education and training - All employees of the organization and, where relevant, contractors shall receive appropriate awareness education and training and regular updates in organizational policies and procedures, as relevant for their job function.</t>
  </si>
  <si>
    <t>User responsibilities - To make users accountable for safeguarding their authentication information.</t>
  </si>
  <si>
    <t>Documented operating procedures - Operating procedures shall be documented and made available to all users who need them.</t>
  </si>
  <si>
    <t>Management responsibilities - Management shall require all employees and contractors to apply information security in accordance with the established policies and procedures of the organization.</t>
  </si>
  <si>
    <t>Use of secret authentication information - Users shall be required to follow the organization’s practices in the use of secret authentication information.</t>
  </si>
  <si>
    <t>Working in secure areas - Procedures for working in secure areas shall be designed and applied.</t>
  </si>
  <si>
    <t>During employment - To ensure that employees and contractors are aware of and fulfil their information security responsibilities.</t>
  </si>
  <si>
    <t>Responsibility for assets - To identify organizational assets and define appropriate protection responsibilities.</t>
  </si>
  <si>
    <t>Cryptography</t>
  </si>
  <si>
    <t>Cryptographic controls - To ensure proper and effective use of cryptography to protect the confidentiality, authenticity and/or integrity of information.</t>
  </si>
  <si>
    <t>Test data - To ensure the protection of data used for testing.</t>
  </si>
  <si>
    <t>Protection of test data - Test data shall be selected carefully, protected and controlled.</t>
  </si>
  <si>
    <t>Electronic messaging - Information involved in electronic messaging shall be appropriately protected.</t>
  </si>
  <si>
    <t>Removal of assets - Equipment, information or software shall not be taken off-site without prior authorization.</t>
  </si>
  <si>
    <t>Secure disposal or re-use of equipment - All items of equipment containing storage media shall be verified to ensure that any sensitive data and licensed software has been removed or securely overwritten prior to disposal or re-use.</t>
  </si>
  <si>
    <t>System acquisition, development and maintenance</t>
  </si>
  <si>
    <t>Management of removable media - Procedures shall be implemented for the management of removable media in accordance with the classification scheme adopted by the organization.</t>
  </si>
  <si>
    <t>Disposal of media - Media shall be disposed of securely when no longer required, using formal procedures.</t>
  </si>
  <si>
    <t>Physical media transfer - Media containing information shall be protected against unauthorized access, misuse or corruption during transportation.</t>
  </si>
  <si>
    <t>Equipment - To prevent loss, damage, theft or compromise of assets and interruption to the organization’s operations.</t>
  </si>
  <si>
    <t>Capacity management - The use of resources shall be monitored, tuned and projections made of future capacity requirements to ensure the required system performance.</t>
  </si>
  <si>
    <t>Information backup - Backup copies of information, software and system images shall be taken and tested regularly in accordance with an agreed backup policy.</t>
  </si>
  <si>
    <t>Redundancies - To ensure availability of information processing facilities.</t>
  </si>
  <si>
    <t>Availability of information processing facilities - Information processing facilities shall be implemented with redundancy sufficient to meet availability requirements.</t>
  </si>
  <si>
    <t>Backup - To protect against loss of data.</t>
  </si>
  <si>
    <t>Clear desk and clear screen policy - A clear desk policy for papers and removable storage media and a clear screen policy for information processing facilities shall be adopted.</t>
  </si>
  <si>
    <t>Screening - 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</si>
  <si>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Termination or change of employment responsibilities - Information security responsibilities and duties that remain valid after termination or change of employment shall be defined, communicated to the employee or contractor and enforced.</t>
  </si>
  <si>
    <t>Labelling of information - An appropriate set of procedures for information labelling shall be developed and implemented in accordance with the information classification scheme adopted by the organization.</t>
  </si>
  <si>
    <t>Access control to program source code - Access to program source code shall be restricted.</t>
  </si>
  <si>
    <t>Information transfer - To maintain the security of information transferred within an organization and with any external entity.</t>
  </si>
  <si>
    <t>Installation of software on operational systems - Procedures shall be implemented to control the installation of software on operational systems.</t>
  </si>
  <si>
    <t>Restrictions on changes to software packages - Modifications to software packages shall be discouraged, limited to necessary changes and all changes shall be strictly controlled.</t>
  </si>
  <si>
    <t>Separation of development, testing and operational environments - Development, testing, and operational environments shall be separated to reduce the risks of unauthorized access or changes to the operational environment.</t>
  </si>
  <si>
    <t>Secure development environment - Organizations shall establish and appropriately protect secure development environments for system development and integration efforts that cover the entire system development lifecycle.</t>
  </si>
  <si>
    <t>Restrictions on software installation - Rules governing the installation of software by users shall be established and implemented.</t>
  </si>
  <si>
    <t>Technical review of applications after operating platform changes - When operating platforms are changed, business critical applications shall be reviewed and tested to ensure there is no adverse impact on organizational operations or security.</t>
  </si>
  <si>
    <t>Verify, review and evaluate information security continuity - The organization shall verify the established and implemented information security continuity controls at regular intervals in order to ensure that they are valid and effective during adverse situations.</t>
  </si>
  <si>
    <t>Human resource security</t>
  </si>
  <si>
    <t>Prior to employment - To ensure that employees and contractors understand their responsibilities and are suitable for the roles for which they are considered.</t>
  </si>
  <si>
    <t>Termination and change of employment - To protect the organization’s interests as part of the process of changing or terminating employment.</t>
  </si>
  <si>
    <t>Return of assets - All employees and external party users shall return all of the organizational assets in their possession upon termination of their employment, contract or agreement.</t>
  </si>
  <si>
    <t>Security in development and support processes - To ensure that information security is designed and implemented within the development lifecycle of information systems.</t>
  </si>
  <si>
    <t>Secure system engineering principles - Principles for engineering secure systems shall be established, documented, maintained and applied to any information system implementation efforts.</t>
  </si>
  <si>
    <t>System security testing - Testing of security functionality shall be carried out during development.</t>
  </si>
  <si>
    <t>System acceptance testing - Acceptance testing programs and related criteria shall be established for new information systems, upgrades and new versions.</t>
  </si>
  <si>
    <t>Information security in project management - Information security shall be addressed in project management, regardless of the type of the project.</t>
  </si>
  <si>
    <t>Security requirements of information systems - To ensure that information security is an integral part of information systems across the entire lifecycle. This also includes the requirements for information systems which provide services over public networks.</t>
  </si>
  <si>
    <t>Change management - Changes to the organization, business processes, information processing facilities and systems that affect information security shall be controlled.</t>
  </si>
  <si>
    <t>System change control procedures - Changes to systems within the development lifecycle shall be controlled by the use of formal change control procedures.</t>
  </si>
  <si>
    <t>Implementing information security continuity - The organization shall establish, document, implement and maintain processes, procedures and controls to ensure the required level of continuity for information security during an adverse situation.</t>
  </si>
  <si>
    <t>Equipment siting and protection - Equipment shall be sited and protected to reduce the risks from environmental threats and hazards, and opportunities for unauthorized access.</t>
  </si>
  <si>
    <t>Supporting utilities - Equipment shall be protected from power failures and other disruptions caused by failures in supporting utilities.</t>
  </si>
  <si>
    <t>Operations security</t>
  </si>
  <si>
    <t>Management of information security incidents and improvements - To ensure a consistent and effective approach to the management of information security incidents, including communication on security events and weaknesses.</t>
  </si>
  <si>
    <t>Learning from information security incidents - Knowledge gained from analysing and resolving information security incidents shall be used to reduce the likelihood or impact of future incidents.</t>
  </si>
  <si>
    <t>Information security continuity - Information security continuity shall be embedded in the organization’s business continuity management systems.</t>
  </si>
  <si>
    <t>Planning information security continuity - The organization shall determine its requirements for information security and the continuity of information security management in adverse situations, e.g. during a crisis or disaster.</t>
  </si>
  <si>
    <t>Equipment maintenance - Equipment shall be correctly maintained to ensure its continued availability and integrity.</t>
  </si>
  <si>
    <t>Information security policy for supplier relationships - Information security requirements for mitigating the risks associated with supplier’s access to the organization’s assets shall be agreed with the supplier and documented.</t>
  </si>
  <si>
    <t>Logging and monitoring - To record events and generate evidence.</t>
  </si>
  <si>
    <t>Event logging - Event logs recording user activities, exceptions, faults and information security events shall be produced, kept and regularly reviewed.</t>
  </si>
  <si>
    <t>Protection of log information - Logging facilities and log information shall be protected against tampering and unauthorized access.</t>
  </si>
  <si>
    <t>Administrator and operator logs - System administrator and system operator activities shall be logged and the logs protected and regularly reviewed.</t>
  </si>
  <si>
    <t>Clock synchronisation - The clocks of all relevant information processing systems within an organization or security domain shall be synchronised to a single reference time source.</t>
  </si>
  <si>
    <t>Unattended user equipment - Users shall ensure that unattended equipment has appropriate protection.</t>
  </si>
  <si>
    <t>Media handling - To prevent unauthorized disclosure, modification, removal or destruction of information stored on media.</t>
  </si>
  <si>
    <t>Information systems audit controls - Audit requirements and activities involving verification of operational systems shall be carefully planned and agreed to minimise disruptions to business processes.</t>
  </si>
  <si>
    <t>Use of privileged utility programs - The use of utility programs that might be capable of overriding system and application controls shall be restricted and tightly controlled.</t>
  </si>
  <si>
    <t>Communications security</t>
  </si>
  <si>
    <t>Network security management - To ensure the protection of information in networks and its supporting information processing facilities.</t>
  </si>
  <si>
    <t>Reporting information security weaknesses - Employees and contractors using the organization’s information systems and services shall be required to note and report any observed or suspected information security weaknesses in systems or services.</t>
  </si>
  <si>
    <t>Reporting information security events - Information security events shall be reported through appropriate management channels as quickly as possible.</t>
  </si>
  <si>
    <t>Protection from malware - To ensure that information and information processing facilities are protected against malware.</t>
  </si>
  <si>
    <t>Mobile devices and teleworking - To ensure the security of teleworking and use of mobile devices.</t>
  </si>
  <si>
    <t>Technical vulnerability management - To prevent exploitation of technical vulnerabilities.</t>
  </si>
  <si>
    <t>Responsibilities and procedures - Management responsibilities and procedures shall be established to ensure a quick, effective and orderly response to information security incidents.</t>
  </si>
  <si>
    <t>Information systems audit considerations - To minimise the impact of audit activities on operational systems.</t>
  </si>
  <si>
    <t>Information security incident management</t>
  </si>
  <si>
    <t>Response to information security incidents - Information security incidents shall be responded to in accordance with the documented procedures.</t>
  </si>
  <si>
    <t>Collection of evidence - The organization shall define and apply procedures for the identification, collection, acquisition and preservation of information, which can serve as evidence.</t>
  </si>
  <si>
    <t>Disciplinary process - There shall be a formal and communicated disciplinary process in place to take action against employees who have committed an information security breach.</t>
  </si>
  <si>
    <t>Contact with authorities - Appropriate contacts with relevant authorities shall be maintained.</t>
  </si>
  <si>
    <t>Information security aspects of business continuity management</t>
  </si>
  <si>
    <t>Risk</t>
  </si>
  <si>
    <t>very low</t>
  </si>
  <si>
    <t>low</t>
  </si>
  <si>
    <t>moderate</t>
  </si>
  <si>
    <t>high</t>
  </si>
  <si>
    <t>Concerns about how the controls are performing</t>
  </si>
  <si>
    <t>Needs attention</t>
  </si>
  <si>
    <t>Needs resolution</t>
  </si>
  <si>
    <t>very high</t>
  </si>
  <si>
    <r>
      <rPr>
        <b/>
        <sz val="18"/>
        <color theme="1"/>
        <rFont val="Calibri"/>
        <family val="2"/>
        <scheme val="minor"/>
      </rPr>
      <t>Organization Rating Level</t>
    </r>
    <r>
      <rPr>
        <sz val="12"/>
        <color theme="1"/>
        <rFont val="Calibri"/>
        <family val="2"/>
        <scheme val="minor"/>
      </rPr>
      <t xml:space="preserve">
(Framing/Profile within the RMF)</t>
    </r>
  </si>
  <si>
    <r>
      <rPr>
        <b/>
        <sz val="18"/>
        <color theme="1"/>
        <rFont val="Calibri"/>
        <family val="2"/>
        <scheme val="minor"/>
      </rPr>
      <t xml:space="preserve">Initial Risk Catagorization Questionnaire </t>
    </r>
    <r>
      <rPr>
        <sz val="11"/>
        <color theme="1"/>
        <rFont val="Calibri"/>
        <family val="2"/>
        <scheme val="minor"/>
      </rPr>
      <t xml:space="preserve">
(Low/Medium/High)</t>
    </r>
  </si>
  <si>
    <t>D.1</t>
  </si>
  <si>
    <t>D.2</t>
  </si>
  <si>
    <t>D.3</t>
  </si>
  <si>
    <t>I.1</t>
  </si>
  <si>
    <t>I.2</t>
  </si>
  <si>
    <t>B.1</t>
  </si>
  <si>
    <t>B.2</t>
  </si>
  <si>
    <t>Other assessment/analysis scaling</t>
  </si>
  <si>
    <t>Medium Risk Rating</t>
  </si>
  <si>
    <t>High Risk Rating</t>
  </si>
  <si>
    <t>Critical Risk Rating</t>
  </si>
  <si>
    <t>(Examples)</t>
  </si>
  <si>
    <t>Not Implemented</t>
  </si>
  <si>
    <t>Not Assessed</t>
  </si>
  <si>
    <t>C or 3</t>
  </si>
  <si>
    <t>A or 1</t>
  </si>
  <si>
    <t>B or 2</t>
  </si>
  <si>
    <t>D or 4</t>
  </si>
  <si>
    <t>E or 5</t>
  </si>
  <si>
    <t>Represents that the control is on but not analysed or that it is performing exactly as requred.</t>
  </si>
  <si>
    <t>This is the rating objective to represent the status of a good security control performance.</t>
  </si>
  <si>
    <t>Requires immediate resolution
It is performing outside of the established risk appetite range.</t>
  </si>
  <si>
    <t>Performing well as a cybersecurity control implementation</t>
  </si>
  <si>
    <t>A zero eliminates the aggregated measurements.</t>
  </si>
  <si>
    <t>Data classification questions with a choice of scaled answers.</t>
  </si>
  <si>
    <t>Impact questions with a choice of scaled answers.</t>
  </si>
  <si>
    <t>Business Continuity and Desaster Recovery (BC/DR) questions with a choice of scaled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</si>
</sst>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0" x14ac:knownFonts="1">
    <font>
      <sz val="11"/>
      <color theme="1"/>
      <name val="Calibri"/>
      <family val="2"/>
      <scheme val="minor"/>
    </font>
    <font>
      <sz val="11"/>
      <color theme="1"/>
      <name val="Calibri"/>
      <family val="2"/>
      <scheme val="minor"/>
    </font>
    <font>
      <sz val="10"/>
      <color theme="1"/>
      <name val="Calibri"/>
      <family val="2"/>
      <scheme val="minor"/>
    </font>
    <font>
      <b/>
      <u/>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2"/>
      <name val="Arial"/>
      <family val="2"/>
    </font>
    <font>
      <b/>
      <sz val="8"/>
      <name val="Arial"/>
      <family val="2"/>
    </font>
    <font>
      <sz val="12"/>
      <color rgb="FFFFFFFF"/>
      <name val="Calibri"/>
      <family val="2"/>
      <scheme val="minor"/>
    </font>
    <font>
      <b/>
      <sz val="14"/>
      <color theme="1"/>
      <name val="Arial"/>
      <family val="2"/>
    </font>
    <font>
      <b/>
      <sz val="14"/>
      <name val="Calibri"/>
      <family val="2"/>
      <scheme val="minor"/>
    </font>
    <font>
      <sz val="12"/>
      <name val="Calibri"/>
      <family val="2"/>
      <scheme val="minor"/>
    </font>
    <font>
      <b/>
      <sz val="12"/>
      <name val="Calibri"/>
      <family val="2"/>
      <scheme val="minor"/>
    </font>
    <font>
      <sz val="9"/>
      <color indexed="81"/>
      <name val="Tahoma"/>
      <family val="2"/>
    </font>
    <font>
      <u/>
      <sz val="12"/>
      <color theme="1"/>
      <name val="Calibri"/>
      <family val="2"/>
      <scheme val="minor"/>
    </font>
    <font>
      <sz val="12"/>
      <color rgb="FF000000"/>
      <name val="Calibri"/>
      <family val="2"/>
      <scheme val="minor"/>
    </font>
    <font>
      <u/>
      <sz val="12"/>
      <color theme="10"/>
      <name val="Calibri"/>
      <family val="2"/>
      <scheme val="minor"/>
    </font>
    <font>
      <b/>
      <sz val="16"/>
      <color theme="1"/>
      <name val="Calibri"/>
      <family val="2"/>
      <scheme val="minor"/>
    </font>
    <font>
      <sz val="12"/>
      <color theme="0"/>
      <name val="Calibri"/>
      <family val="2"/>
      <scheme val="minor"/>
    </font>
    <font>
      <b/>
      <sz val="12"/>
      <color theme="0"/>
      <name val="Calibri"/>
      <family val="2"/>
      <scheme val="minor"/>
    </font>
    <font>
      <b/>
      <sz val="14"/>
      <color theme="0"/>
      <name val="Calibri"/>
      <family val="2"/>
      <scheme val="minor"/>
    </font>
    <font>
      <sz val="9"/>
      <color indexed="81"/>
      <name val="Tahoma"/>
      <charset val="1"/>
    </font>
    <font>
      <u/>
      <sz val="11"/>
      <color theme="1"/>
      <name val="Calibri"/>
      <family val="2"/>
      <scheme val="minor"/>
    </font>
    <font>
      <i/>
      <sz val="10"/>
      <color theme="1"/>
      <name val="Calibri"/>
      <family val="2"/>
      <scheme val="minor"/>
    </font>
    <font>
      <sz val="8"/>
      <name val="Calibri"/>
      <family val="2"/>
      <scheme val="minor"/>
    </font>
    <font>
      <b/>
      <sz val="10"/>
      <color rgb="FFFF0000"/>
      <name val="Calibri"/>
      <family val="2"/>
      <scheme val="minor"/>
    </font>
    <font>
      <sz val="11"/>
      <color theme="0"/>
      <name val="Calibri"/>
      <family val="2"/>
      <scheme val="minor"/>
    </font>
    <font>
      <sz val="11"/>
      <color rgb="FF00000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rgb="FF5ABA5A"/>
        <bgColor indexed="64"/>
      </patternFill>
    </fill>
    <fill>
      <patternFill patternType="solid">
        <fgColor rgb="FF002060"/>
        <bgColor indexed="64"/>
      </patternFill>
    </fill>
    <fill>
      <patternFill patternType="solid">
        <fgColor rgb="FF00B0F0"/>
        <bgColor indexed="64"/>
      </patternFill>
    </fill>
    <fill>
      <patternFill patternType="gray125">
        <bgColor theme="0" tint="-0.14996795556505021"/>
      </patternFill>
    </fill>
    <fill>
      <patternFill patternType="solid">
        <fgColor rgb="FF92D050"/>
        <bgColor indexed="64"/>
      </patternFill>
    </fill>
    <fill>
      <patternFill patternType="solid">
        <fgColor rgb="FFFF333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FF5050"/>
        <bgColor indexed="64"/>
      </patternFill>
    </fill>
    <fill>
      <patternFill patternType="solid">
        <fgColor theme="0" tint="-0.1499374370555742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auto="1"/>
      </right>
      <top style="medium">
        <color auto="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medium">
        <color auto="1"/>
      </right>
      <top style="medium">
        <color auto="1"/>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diagonal/>
    </border>
    <border>
      <left style="medium">
        <color auto="1"/>
      </left>
      <right style="medium">
        <color auto="1"/>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0" fontId="17" fillId="0" borderId="0" applyNumberFormat="0" applyFill="0" applyBorder="0" applyAlignment="0" applyProtection="0"/>
  </cellStyleXfs>
  <cellXfs count="222">
    <xf numFmtId="0" fontId="0" fillId="0" borderId="0" xfId="0"/>
    <xf numFmtId="0" fontId="0" fillId="0" borderId="0" xfId="0" applyAlignment="1">
      <alignment horizontal="center" vertical="center"/>
    </xf>
    <xf numFmtId="0" fontId="2" fillId="0" borderId="0" xfId="0" applyFont="1" applyAlignment="1">
      <alignment vertical="center" wrapText="1"/>
    </xf>
    <xf numFmtId="0" fontId="5" fillId="0" borderId="6" xfId="0" applyFont="1" applyBorder="1" applyAlignment="1">
      <alignment horizontal="center" vertical="center" wrapText="1"/>
    </xf>
    <xf numFmtId="0" fontId="0" fillId="2" borderId="4" xfId="0" applyFill="1" applyBorder="1"/>
    <xf numFmtId="0" fontId="7" fillId="2" borderId="0" xfId="0" applyFont="1" applyFill="1" applyAlignment="1">
      <alignment horizontal="center" wrapText="1"/>
    </xf>
    <xf numFmtId="2" fontId="0" fillId="2" borderId="0" xfId="0" applyNumberFormat="1" applyFill="1"/>
    <xf numFmtId="0" fontId="9" fillId="4" borderId="3"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0" fontId="0" fillId="2" borderId="0" xfId="2" applyNumberFormat="1" applyFont="1" applyFill="1" applyBorder="1" applyAlignment="1">
      <alignment vertical="center"/>
    </xf>
    <xf numFmtId="9" fontId="0" fillId="0" borderId="17" xfId="2" applyFont="1" applyBorder="1" applyAlignment="1">
      <alignment horizontal="center" vertical="center"/>
    </xf>
    <xf numFmtId="0" fontId="12" fillId="5" borderId="19" xfId="0" applyFont="1" applyFill="1" applyBorder="1" applyAlignment="1">
      <alignment horizontal="center"/>
    </xf>
    <xf numFmtId="0" fontId="13" fillId="5" borderId="20" xfId="0" applyFont="1" applyFill="1" applyBorder="1" applyAlignment="1">
      <alignment horizontal="left"/>
    </xf>
    <xf numFmtId="0" fontId="12" fillId="5" borderId="15" xfId="0" applyFont="1" applyFill="1" applyBorder="1" applyAlignment="1">
      <alignment horizontal="left"/>
    </xf>
    <xf numFmtId="9" fontId="0" fillId="0" borderId="21" xfId="2" applyFont="1" applyBorder="1" applyAlignment="1">
      <alignment horizontal="center" vertical="center"/>
    </xf>
    <xf numFmtId="9" fontId="0" fillId="0" borderId="22" xfId="2" applyFont="1" applyBorder="1" applyAlignment="1">
      <alignment horizontal="center" vertical="center"/>
    </xf>
    <xf numFmtId="9" fontId="0" fillId="6" borderId="16" xfId="2" applyFont="1" applyFill="1" applyBorder="1" applyAlignment="1">
      <alignment horizontal="center" vertical="center"/>
    </xf>
    <xf numFmtId="9" fontId="0" fillId="6" borderId="23" xfId="2" applyFont="1" applyFill="1" applyBorder="1" applyAlignment="1">
      <alignment horizontal="center" vertical="center"/>
    </xf>
    <xf numFmtId="9" fontId="0" fillId="0" borderId="0" xfId="2" applyFont="1" applyBorder="1" applyAlignment="1">
      <alignment horizontal="center" vertical="center"/>
    </xf>
    <xf numFmtId="0" fontId="13" fillId="5" borderId="26" xfId="0" applyFont="1" applyFill="1" applyBorder="1" applyAlignment="1">
      <alignment horizontal="left"/>
    </xf>
    <xf numFmtId="0" fontId="12" fillId="5" borderId="27" xfId="0" applyFont="1" applyFill="1" applyBorder="1" applyAlignment="1">
      <alignment horizontal="left"/>
    </xf>
    <xf numFmtId="9" fontId="0" fillId="6" borderId="22" xfId="2" applyFont="1" applyFill="1" applyBorder="1" applyAlignment="1">
      <alignment horizontal="center" vertical="center"/>
    </xf>
    <xf numFmtId="9" fontId="0" fillId="6" borderId="28" xfId="2" applyFont="1" applyFill="1" applyBorder="1" applyAlignment="1">
      <alignment horizontal="center" vertical="center"/>
    </xf>
    <xf numFmtId="0" fontId="2" fillId="0" borderId="0" xfId="0" applyFont="1" applyAlignment="1">
      <alignment vertical="top" wrapText="1"/>
    </xf>
    <xf numFmtId="0" fontId="0" fillId="2" borderId="0" xfId="0" applyFill="1"/>
    <xf numFmtId="9" fontId="7" fillId="2" borderId="0" xfId="2" applyFont="1" applyFill="1" applyBorder="1" applyAlignment="1">
      <alignment horizontal="center" vertical="center"/>
    </xf>
    <xf numFmtId="9" fontId="0" fillId="0" borderId="22" xfId="2" applyFont="1" applyFill="1" applyBorder="1" applyAlignment="1">
      <alignment horizontal="center" vertical="center"/>
    </xf>
    <xf numFmtId="9" fontId="0" fillId="2" borderId="0" xfId="0" applyNumberFormat="1" applyFill="1"/>
    <xf numFmtId="0" fontId="0" fillId="7" borderId="0" xfId="0" applyFill="1" applyAlignment="1">
      <alignment horizontal="center" vertical="center"/>
    </xf>
    <xf numFmtId="9" fontId="0" fillId="0" borderId="28" xfId="2" applyFont="1" applyBorder="1" applyAlignment="1">
      <alignment horizontal="center" vertical="center"/>
    </xf>
    <xf numFmtId="0" fontId="12" fillId="8" borderId="19" xfId="0" applyFont="1" applyFill="1" applyBorder="1" applyAlignment="1">
      <alignment horizontal="center"/>
    </xf>
    <xf numFmtId="0" fontId="13" fillId="8" borderId="26" xfId="0" applyFont="1" applyFill="1" applyBorder="1" applyAlignment="1">
      <alignment horizontal="left"/>
    </xf>
    <xf numFmtId="0" fontId="12" fillId="8" borderId="27" xfId="0" applyFont="1" applyFill="1" applyBorder="1" applyAlignment="1">
      <alignment horizontal="left"/>
    </xf>
    <xf numFmtId="0" fontId="12" fillId="3" borderId="19" xfId="0" applyFont="1" applyFill="1" applyBorder="1" applyAlignment="1">
      <alignment horizontal="center"/>
    </xf>
    <xf numFmtId="0" fontId="13" fillId="3" borderId="26" xfId="0" applyFont="1" applyFill="1" applyBorder="1" applyAlignment="1">
      <alignment horizontal="left"/>
    </xf>
    <xf numFmtId="0" fontId="12" fillId="3" borderId="27" xfId="0" applyFont="1" applyFill="1" applyBorder="1" applyAlignment="1">
      <alignment horizontal="left"/>
    </xf>
    <xf numFmtId="9" fontId="0" fillId="0" borderId="30" xfId="2" applyFont="1" applyBorder="1" applyAlignment="1">
      <alignment horizontal="center" vertical="center"/>
    </xf>
    <xf numFmtId="0" fontId="12" fillId="3" borderId="32" xfId="0" applyFont="1" applyFill="1" applyBorder="1" applyAlignment="1">
      <alignment horizontal="center"/>
    </xf>
    <xf numFmtId="0" fontId="13" fillId="3" borderId="33" xfId="0" applyFont="1" applyFill="1" applyBorder="1" applyAlignment="1">
      <alignment horizontal="left"/>
    </xf>
    <xf numFmtId="0" fontId="12" fillId="3" borderId="34" xfId="0" applyFont="1" applyFill="1" applyBorder="1" applyAlignment="1">
      <alignment horizontal="left"/>
    </xf>
    <xf numFmtId="9" fontId="0" fillId="0" borderId="35" xfId="2" applyFont="1" applyBorder="1" applyAlignment="1">
      <alignment horizontal="center" vertical="center"/>
    </xf>
    <xf numFmtId="9" fontId="0" fillId="0" borderId="36" xfId="2" applyFont="1" applyBorder="1" applyAlignment="1">
      <alignment horizontal="center" vertical="center"/>
    </xf>
    <xf numFmtId="9" fontId="0" fillId="6" borderId="36" xfId="2" applyFont="1" applyFill="1" applyBorder="1" applyAlignment="1">
      <alignment horizontal="center" vertical="center"/>
    </xf>
    <xf numFmtId="9" fontId="0" fillId="6" borderId="37" xfId="2" applyFont="1" applyFill="1" applyBorder="1" applyAlignment="1">
      <alignment horizontal="center" vertical="center"/>
    </xf>
    <xf numFmtId="0" fontId="0" fillId="2" borderId="35" xfId="0" applyFill="1" applyBorder="1"/>
    <xf numFmtId="0" fontId="0" fillId="2" borderId="30" xfId="0" applyFill="1" applyBorder="1"/>
    <xf numFmtId="0" fontId="0" fillId="2" borderId="38" xfId="0" applyFill="1" applyBorder="1"/>
    <xf numFmtId="43" fontId="0" fillId="0" borderId="0" xfId="1" applyFont="1" applyBorder="1" applyAlignment="1">
      <alignment horizontal="center" vertical="center"/>
    </xf>
    <xf numFmtId="0" fontId="0" fillId="0" borderId="0" xfId="0" applyAlignment="1">
      <alignment horizontal="left"/>
    </xf>
    <xf numFmtId="0" fontId="0" fillId="9" borderId="0" xfId="0" applyFill="1" applyAlignment="1">
      <alignment horizontal="left"/>
    </xf>
    <xf numFmtId="165" fontId="0" fillId="0" borderId="22" xfId="0" applyNumberFormat="1" applyBorder="1" applyAlignment="1">
      <alignment horizontal="left"/>
    </xf>
    <xf numFmtId="49" fontId="0" fillId="0" borderId="22" xfId="0" applyNumberFormat="1" applyBorder="1" applyAlignment="1">
      <alignment horizontal="left"/>
    </xf>
    <xf numFmtId="0" fontId="16" fillId="0" borderId="0" xfId="0" applyFont="1" applyAlignment="1">
      <alignment vertical="center"/>
    </xf>
    <xf numFmtId="0" fontId="0" fillId="12" borderId="22" xfId="0" applyFill="1" applyBorder="1" applyAlignment="1">
      <alignment horizontal="left"/>
    </xf>
    <xf numFmtId="0" fontId="16" fillId="10" borderId="22" xfId="0" applyFont="1" applyFill="1" applyBorder="1" applyAlignment="1">
      <alignment horizontal="left" vertical="center"/>
    </xf>
    <xf numFmtId="0" fontId="16" fillId="10" borderId="0" xfId="0" applyFont="1" applyFill="1" applyAlignment="1">
      <alignment vertical="center"/>
    </xf>
    <xf numFmtId="0" fontId="0" fillId="13" borderId="22" xfId="0" applyFill="1" applyBorder="1" applyAlignment="1">
      <alignment horizontal="left"/>
    </xf>
    <xf numFmtId="0" fontId="0" fillId="14" borderId="22" xfId="0" applyFill="1" applyBorder="1" applyAlignment="1">
      <alignment horizontal="left"/>
    </xf>
    <xf numFmtId="49" fontId="6" fillId="0" borderId="0" xfId="3" applyNumberFormat="1"/>
    <xf numFmtId="49" fontId="6" fillId="0" borderId="0" xfId="3" applyNumberFormat="1" applyAlignment="1">
      <alignment horizontal="right"/>
    </xf>
    <xf numFmtId="0" fontId="6" fillId="15" borderId="0" xfId="3" applyFill="1"/>
    <xf numFmtId="0" fontId="6" fillId="0" borderId="0" xfId="3"/>
    <xf numFmtId="0" fontId="6" fillId="0" borderId="0" xfId="3" quotePrefix="1" applyAlignment="1">
      <alignment wrapText="1"/>
    </xf>
    <xf numFmtId="0" fontId="6" fillId="0" borderId="0" xfId="3" applyAlignment="1">
      <alignment wrapText="1"/>
    </xf>
    <xf numFmtId="0" fontId="17" fillId="0" borderId="0" xfId="4" applyAlignment="1">
      <alignment wrapText="1"/>
    </xf>
    <xf numFmtId="0" fontId="18" fillId="0" borderId="15" xfId="3" applyFont="1" applyBorder="1" applyAlignment="1">
      <alignment wrapText="1"/>
    </xf>
    <xf numFmtId="0" fontId="18" fillId="0" borderId="15" xfId="3" applyFont="1" applyBorder="1"/>
    <xf numFmtId="14" fontId="6" fillId="0" borderId="0" xfId="3" applyNumberFormat="1"/>
    <xf numFmtId="0" fontId="2" fillId="0" borderId="0" xfId="0" applyFont="1" applyAlignment="1">
      <alignment horizontal="center"/>
    </xf>
    <xf numFmtId="0" fontId="12" fillId="10" borderId="19" xfId="0" applyFont="1" applyFill="1" applyBorder="1" applyAlignment="1">
      <alignment horizontal="center"/>
    </xf>
    <xf numFmtId="0" fontId="13" fillId="10" borderId="26" xfId="0" applyFont="1" applyFill="1" applyBorder="1" applyAlignment="1">
      <alignment horizontal="left"/>
    </xf>
    <xf numFmtId="0" fontId="12" fillId="10" borderId="27" xfId="0" applyFont="1" applyFill="1" applyBorder="1" applyAlignment="1">
      <alignment horizontal="left"/>
    </xf>
    <xf numFmtId="0" fontId="2" fillId="0" borderId="0" xfId="0" applyFont="1" applyAlignment="1">
      <alignment horizontal="left"/>
    </xf>
    <xf numFmtId="0" fontId="2" fillId="0" borderId="0" xfId="0" applyFont="1" applyAlignment="1">
      <alignment vertical="center"/>
    </xf>
    <xf numFmtId="0" fontId="19" fillId="12" borderId="19" xfId="0" applyFont="1" applyFill="1" applyBorder="1" applyAlignment="1">
      <alignment horizontal="center"/>
    </xf>
    <xf numFmtId="0" fontId="20" fillId="12" borderId="26" xfId="0" applyFont="1" applyFill="1" applyBorder="1" applyAlignment="1">
      <alignment horizontal="left"/>
    </xf>
    <xf numFmtId="0" fontId="19" fillId="12" borderId="27" xfId="0" applyFont="1" applyFill="1" applyBorder="1" applyAlignment="1">
      <alignment horizontal="left"/>
    </xf>
    <xf numFmtId="165" fontId="0" fillId="0" borderId="0" xfId="0" applyNumberFormat="1" applyBorder="1" applyAlignment="1">
      <alignment horizontal="left"/>
    </xf>
    <xf numFmtId="0" fontId="2" fillId="0" borderId="0" xfId="0" applyFont="1" applyAlignment="1">
      <alignment horizontal="right" wrapText="1"/>
    </xf>
    <xf numFmtId="0" fontId="2" fillId="0" borderId="0" xfId="0" applyFont="1" applyAlignment="1">
      <alignment horizontal="right"/>
    </xf>
    <xf numFmtId="1" fontId="0" fillId="7" borderId="39" xfId="0" applyNumberFormat="1" applyFill="1" applyBorder="1" applyAlignment="1">
      <alignment horizontal="center" vertical="center"/>
    </xf>
    <xf numFmtId="0" fontId="23" fillId="0" borderId="0" xfId="0" applyFont="1"/>
    <xf numFmtId="0" fontId="24" fillId="0" borderId="0" xfId="0" applyFont="1" applyAlignment="1">
      <alignment vertical="center"/>
    </xf>
    <xf numFmtId="49" fontId="0" fillId="0" borderId="22" xfId="0" applyNumberFormat="1" applyFill="1" applyBorder="1" applyAlignment="1">
      <alignment horizontal="left"/>
    </xf>
    <xf numFmtId="165" fontId="0" fillId="0" borderId="22" xfId="0" applyNumberFormat="1" applyFill="1" applyBorder="1" applyAlignment="1">
      <alignment horizontal="left"/>
    </xf>
    <xf numFmtId="0" fontId="0" fillId="0" borderId="22" xfId="0" applyFill="1" applyBorder="1" applyAlignment="1">
      <alignment horizontal="left"/>
    </xf>
    <xf numFmtId="0" fontId="0" fillId="0" borderId="0" xfId="0" applyFill="1" applyAlignment="1">
      <alignment horizontal="left"/>
    </xf>
    <xf numFmtId="49" fontId="0" fillId="0" borderId="0" xfId="0" applyNumberFormat="1" applyFill="1" applyAlignment="1">
      <alignment horizontal="left"/>
    </xf>
    <xf numFmtId="0" fontId="0" fillId="0" borderId="0" xfId="0" applyFill="1" applyAlignment="1">
      <alignment horizontal="left" textRotation="90"/>
    </xf>
    <xf numFmtId="0" fontId="15" fillId="0" borderId="0" xfId="0" applyFont="1" applyFill="1" applyAlignment="1">
      <alignment horizontal="left" vertical="center" textRotation="45"/>
    </xf>
    <xf numFmtId="0" fontId="0" fillId="0" borderId="4" xfId="0" applyFill="1" applyBorder="1"/>
    <xf numFmtId="0" fontId="0" fillId="0" borderId="0" xfId="0" applyFill="1" applyBorder="1"/>
    <xf numFmtId="0" fontId="0" fillId="0" borderId="0" xfId="0" applyFill="1"/>
    <xf numFmtId="0" fontId="16" fillId="0" borderId="22" xfId="0" applyFont="1" applyFill="1" applyBorder="1" applyAlignment="1">
      <alignment horizontal="left"/>
    </xf>
    <xf numFmtId="0" fontId="15" fillId="0" borderId="0" xfId="0" applyFont="1" applyFill="1" applyAlignment="1">
      <alignment horizontal="left" vertical="top" textRotation="45"/>
    </xf>
    <xf numFmtId="0" fontId="16" fillId="9" borderId="0" xfId="0" applyFont="1" applyFill="1" applyAlignment="1">
      <alignment horizontal="left"/>
    </xf>
    <xf numFmtId="0" fontId="16" fillId="0" borderId="0" xfId="0" applyFont="1" applyFill="1" applyAlignment="1">
      <alignment horizontal="left"/>
    </xf>
    <xf numFmtId="0" fontId="6" fillId="0" borderId="0" xfId="3" applyAlignment="1">
      <alignment vertical="top" wrapText="1"/>
    </xf>
    <xf numFmtId="49" fontId="0" fillId="0" borderId="0" xfId="0" applyNumberFormat="1" applyFill="1" applyAlignment="1"/>
    <xf numFmtId="0" fontId="0" fillId="0" borderId="0" xfId="0" applyAlignment="1"/>
    <xf numFmtId="49" fontId="0" fillId="0" borderId="0" xfId="0" applyNumberFormat="1" applyAlignment="1"/>
    <xf numFmtId="0" fontId="0" fillId="12" borderId="0" xfId="0" applyFill="1" applyAlignment="1"/>
    <xf numFmtId="0" fontId="0" fillId="13" borderId="0" xfId="0" applyFill="1" applyAlignment="1"/>
    <xf numFmtId="0" fontId="0" fillId="14" borderId="0" xfId="0" applyFill="1" applyAlignment="1"/>
    <xf numFmtId="0" fontId="0" fillId="0" borderId="0" xfId="0" applyNumberFormat="1" applyFill="1" applyAlignment="1"/>
    <xf numFmtId="9" fontId="0" fillId="0" borderId="0" xfId="2" applyFont="1" applyFill="1" applyBorder="1" applyAlignment="1"/>
    <xf numFmtId="1" fontId="0" fillId="0" borderId="0" xfId="0" applyNumberFormat="1" applyFill="1"/>
    <xf numFmtId="0" fontId="0" fillId="0" borderId="22" xfId="0" applyFill="1" applyBorder="1"/>
    <xf numFmtId="0" fontId="0" fillId="0" borderId="25" xfId="0" applyFill="1" applyBorder="1"/>
    <xf numFmtId="1" fontId="0" fillId="0" borderId="0" xfId="0" applyNumberFormat="1" applyFill="1" applyAlignment="1">
      <alignment horizontal="left" vertical="center" textRotation="90"/>
    </xf>
    <xf numFmtId="0" fontId="0" fillId="0" borderId="0" xfId="0" applyFill="1" applyAlignment="1">
      <alignment horizontal="left" vertical="center" textRotation="90"/>
    </xf>
    <xf numFmtId="0" fontId="0" fillId="0" borderId="22" xfId="0" applyFill="1" applyBorder="1" applyAlignment="1">
      <alignment horizontal="left" vertical="center" wrapText="1"/>
    </xf>
    <xf numFmtId="0" fontId="0" fillId="0" borderId="0" xfId="0" applyFill="1" applyAlignment="1">
      <alignment horizontal="left" vertical="center" wrapText="1"/>
    </xf>
    <xf numFmtId="0" fontId="0" fillId="0" borderId="25" xfId="0" applyFill="1" applyBorder="1" applyAlignment="1">
      <alignment horizontal="left" vertical="center" textRotation="90" wrapText="1"/>
    </xf>
    <xf numFmtId="1" fontId="0" fillId="0" borderId="0" xfId="0" applyNumberFormat="1" applyFill="1" applyAlignment="1">
      <alignment horizontal="center" vertical="center"/>
    </xf>
    <xf numFmtId="49" fontId="0" fillId="0" borderId="0" xfId="0" applyNumberFormat="1" applyFill="1" applyBorder="1" applyAlignment="1">
      <alignment horizontal="left"/>
    </xf>
    <xf numFmtId="0" fontId="0" fillId="0" borderId="0" xfId="0" applyNumberFormat="1" applyAlignment="1"/>
    <xf numFmtId="0" fontId="6" fillId="0" borderId="2" xfId="3" applyBorder="1"/>
    <xf numFmtId="0" fontId="6" fillId="0" borderId="3" xfId="3" applyBorder="1"/>
    <xf numFmtId="0" fontId="6" fillId="0" borderId="0" xfId="3" applyBorder="1"/>
    <xf numFmtId="0" fontId="6" fillId="0" borderId="40" xfId="3" applyBorder="1"/>
    <xf numFmtId="9" fontId="6" fillId="0" borderId="0" xfId="3" applyNumberFormat="1" applyBorder="1"/>
    <xf numFmtId="0" fontId="6" fillId="0" borderId="30" xfId="3" applyBorder="1"/>
    <xf numFmtId="0" fontId="6" fillId="0" borderId="38" xfId="3" applyBorder="1"/>
    <xf numFmtId="0" fontId="0" fillId="0" borderId="0" xfId="0" applyFill="1" applyBorder="1" applyAlignment="1">
      <alignment horizontal="left"/>
    </xf>
    <xf numFmtId="165" fontId="0" fillId="0" borderId="0" xfId="0" applyNumberFormat="1" applyFill="1" applyBorder="1" applyAlignment="1">
      <alignment horizontal="left"/>
    </xf>
    <xf numFmtId="1" fontId="0" fillId="0" borderId="22" xfId="0" applyNumberFormat="1" applyFill="1" applyBorder="1" applyAlignment="1">
      <alignment horizontal="left"/>
    </xf>
    <xf numFmtId="1" fontId="0" fillId="0" borderId="22" xfId="0" applyNumberFormat="1" applyFill="1" applyBorder="1"/>
    <xf numFmtId="0" fontId="16" fillId="0" borderId="0" xfId="0" applyFont="1" applyFill="1" applyAlignment="1">
      <alignment horizontal="left" vertical="center"/>
    </xf>
    <xf numFmtId="0" fontId="16" fillId="0" borderId="0" xfId="0" applyFont="1" applyFill="1" applyBorder="1" applyAlignment="1">
      <alignment horizontal="left"/>
    </xf>
    <xf numFmtId="1" fontId="0" fillId="0" borderId="0" xfId="0" applyNumberFormat="1" applyFill="1" applyBorder="1"/>
    <xf numFmtId="49" fontId="23" fillId="0" borderId="22" xfId="0" applyNumberFormat="1" applyFont="1" applyBorder="1" applyAlignment="1">
      <alignment horizontal="left"/>
    </xf>
    <xf numFmtId="49" fontId="0" fillId="0" borderId="22" xfId="0" applyNumberFormat="1" applyFont="1" applyFill="1" applyBorder="1" applyAlignment="1">
      <alignment horizontal="left"/>
    </xf>
    <xf numFmtId="165" fontId="0" fillId="0" borderId="22" xfId="0" applyNumberFormat="1" applyFont="1" applyFill="1" applyBorder="1" applyAlignment="1">
      <alignment horizontal="left"/>
    </xf>
    <xf numFmtId="49" fontId="0" fillId="0" borderId="22" xfId="0" applyNumberFormat="1" applyFont="1" applyBorder="1" applyAlignment="1">
      <alignment horizontal="left"/>
    </xf>
    <xf numFmtId="165" fontId="0" fillId="0" borderId="22" xfId="0" applyNumberFormat="1" applyFont="1" applyBorder="1" applyAlignment="1">
      <alignment horizontal="left"/>
    </xf>
    <xf numFmtId="0" fontId="28" fillId="10" borderId="22" xfId="0" applyFont="1" applyFill="1" applyBorder="1" applyAlignment="1">
      <alignment horizontal="left" vertical="center"/>
    </xf>
    <xf numFmtId="0" fontId="0" fillId="13" borderId="22" xfId="0" applyFont="1" applyFill="1" applyBorder="1" applyAlignment="1">
      <alignment horizontal="left"/>
    </xf>
    <xf numFmtId="0" fontId="0" fillId="14" borderId="22" xfId="0" applyFont="1" applyFill="1" applyBorder="1" applyAlignment="1">
      <alignment horizontal="left"/>
    </xf>
    <xf numFmtId="49" fontId="0" fillId="0" borderId="0" xfId="0" applyNumberFormat="1" applyFont="1" applyFill="1" applyAlignment="1">
      <alignment horizontal="left"/>
    </xf>
    <xf numFmtId="0" fontId="0" fillId="0" borderId="0" xfId="0" applyNumberFormat="1" applyFont="1" applyAlignment="1"/>
    <xf numFmtId="0" fontId="28" fillId="10" borderId="0" xfId="0" applyFont="1" applyFill="1" applyAlignment="1">
      <alignment vertical="center"/>
    </xf>
    <xf numFmtId="0" fontId="0" fillId="13" borderId="0" xfId="0" applyFont="1" applyFill="1" applyAlignment="1"/>
    <xf numFmtId="0" fontId="0" fillId="14" borderId="0" xfId="0" applyFont="1" applyFill="1" applyAlignment="1"/>
    <xf numFmtId="49" fontId="0" fillId="0" borderId="0" xfId="0" applyNumberFormat="1" applyFont="1" applyFill="1" applyAlignment="1"/>
    <xf numFmtId="0" fontId="6" fillId="16" borderId="0" xfId="3" applyFill="1" applyBorder="1"/>
    <xf numFmtId="0" fontId="5" fillId="0" borderId="15" xfId="3" applyFont="1" applyBorder="1"/>
    <xf numFmtId="0" fontId="27" fillId="12" borderId="0" xfId="0" applyFont="1" applyFill="1" applyAlignment="1"/>
    <xf numFmtId="0" fontId="27" fillId="12" borderId="22" xfId="0" applyFont="1" applyFill="1" applyBorder="1" applyAlignment="1">
      <alignment horizontal="left"/>
    </xf>
    <xf numFmtId="0" fontId="27" fillId="11" borderId="0" xfId="0" applyFont="1" applyFill="1" applyAlignment="1"/>
    <xf numFmtId="0" fontId="27" fillId="11" borderId="22" xfId="0" applyFont="1" applyFill="1" applyBorder="1" applyAlignment="1">
      <alignment horizontal="left"/>
    </xf>
    <xf numFmtId="9" fontId="0" fillId="17" borderId="22" xfId="2" applyFont="1" applyFill="1" applyBorder="1" applyAlignment="1">
      <alignment horizontal="center" vertical="center"/>
    </xf>
    <xf numFmtId="49" fontId="0" fillId="0" borderId="0" xfId="0" applyNumberFormat="1" applyFont="1" applyFill="1" applyBorder="1" applyAlignment="1">
      <alignment horizontal="left"/>
    </xf>
    <xf numFmtId="0" fontId="0" fillId="3" borderId="5" xfId="0" applyFill="1" applyBorder="1" applyAlignment="1">
      <alignment horizontal="center" vertical="center" wrapText="1"/>
    </xf>
    <xf numFmtId="0" fontId="0" fillId="3" borderId="9" xfId="0" applyFill="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2" fillId="0" borderId="6" xfId="2" applyNumberFormat="1" applyFont="1" applyBorder="1" applyAlignment="1">
      <alignment horizontal="center" vertical="center"/>
    </xf>
    <xf numFmtId="164" fontId="2" fillId="0" borderId="7" xfId="2" applyNumberFormat="1" applyFont="1" applyBorder="1" applyAlignment="1">
      <alignment horizontal="center"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11" fillId="5" borderId="18" xfId="0" applyFont="1" applyFill="1" applyBorder="1" applyAlignment="1">
      <alignment horizontal="center" vertical="center" textRotation="45"/>
    </xf>
    <xf numFmtId="0" fontId="11" fillId="5" borderId="25" xfId="0" applyFont="1" applyFill="1" applyBorder="1" applyAlignment="1">
      <alignment horizontal="center" vertical="center" textRotation="45"/>
    </xf>
    <xf numFmtId="0" fontId="11" fillId="5" borderId="41" xfId="0" applyFont="1" applyFill="1" applyBorder="1" applyAlignment="1">
      <alignment horizontal="center" vertical="center" textRotation="45"/>
    </xf>
    <xf numFmtId="9" fontId="0" fillId="0" borderId="16" xfId="2" applyFont="1" applyBorder="1" applyAlignment="1">
      <alignment horizontal="center" vertical="center"/>
    </xf>
    <xf numFmtId="9" fontId="0" fillId="0" borderId="22" xfId="2" applyFont="1" applyBorder="1" applyAlignment="1">
      <alignment horizontal="center" vertical="center"/>
    </xf>
    <xf numFmtId="9" fontId="0" fillId="0" borderId="20" xfId="2" applyFont="1" applyBorder="1" applyAlignment="1">
      <alignment horizontal="center" vertical="center"/>
    </xf>
    <xf numFmtId="0" fontId="11" fillId="10" borderId="16" xfId="0" applyFont="1" applyFill="1" applyBorder="1" applyAlignment="1">
      <alignment horizontal="center" vertical="center" textRotation="45"/>
    </xf>
    <xf numFmtId="0" fontId="11" fillId="10" borderId="22" xfId="0" applyFont="1" applyFill="1" applyBorder="1" applyAlignment="1">
      <alignment horizontal="center" vertical="center" textRotation="45"/>
    </xf>
    <xf numFmtId="0" fontId="11" fillId="10" borderId="18" xfId="0" applyFont="1" applyFill="1" applyBorder="1" applyAlignment="1">
      <alignment horizontal="center" vertical="center" textRotation="45"/>
    </xf>
    <xf numFmtId="0" fontId="11" fillId="10" borderId="25" xfId="0" applyFont="1" applyFill="1" applyBorder="1" applyAlignment="1">
      <alignment horizontal="center" vertical="center" textRotation="45"/>
    </xf>
    <xf numFmtId="0" fontId="11" fillId="5" borderId="16" xfId="0" applyFont="1" applyFill="1" applyBorder="1" applyAlignment="1">
      <alignment horizontal="center" vertical="center" textRotation="45"/>
    </xf>
    <xf numFmtId="0" fontId="11" fillId="5" borderId="22" xfId="0" applyFont="1" applyFill="1" applyBorder="1" applyAlignment="1">
      <alignment horizontal="center" vertical="center" textRotation="45"/>
    </xf>
    <xf numFmtId="0" fontId="11" fillId="5" borderId="20" xfId="0" applyFont="1" applyFill="1" applyBorder="1" applyAlignment="1">
      <alignment horizontal="center" vertical="center" textRotation="45"/>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8" fillId="2" borderId="0" xfId="0" applyFont="1" applyFill="1" applyAlignment="1">
      <alignment horizontal="center" wrapText="1"/>
    </xf>
    <xf numFmtId="0" fontId="8" fillId="2" borderId="15" xfId="0" applyFont="1" applyFill="1" applyBorder="1" applyAlignment="1">
      <alignment horizontal="center" wrapText="1"/>
    </xf>
    <xf numFmtId="164" fontId="10" fillId="0" borderId="14" xfId="2" applyNumberFormat="1" applyFont="1" applyBorder="1" applyAlignment="1">
      <alignment horizontal="center" vertical="center" wrapText="1"/>
    </xf>
    <xf numFmtId="164" fontId="10" fillId="0" borderId="24" xfId="2" applyNumberFormat="1" applyFont="1" applyBorder="1" applyAlignment="1">
      <alignment horizontal="center" vertical="center" wrapText="1"/>
    </xf>
    <xf numFmtId="164" fontId="10" fillId="0" borderId="29" xfId="2" applyNumberFormat="1" applyFont="1" applyBorder="1" applyAlignment="1">
      <alignment horizontal="center" vertical="center" wrapText="1"/>
    </xf>
    <xf numFmtId="164" fontId="0" fillId="0" borderId="16" xfId="2" applyNumberFormat="1" applyFont="1" applyBorder="1" applyAlignment="1">
      <alignment horizontal="center" vertical="center"/>
    </xf>
    <xf numFmtId="0" fontId="11" fillId="12" borderId="16" xfId="0" applyFont="1" applyFill="1" applyBorder="1" applyAlignment="1">
      <alignment horizontal="center" vertical="center" textRotation="45"/>
    </xf>
    <xf numFmtId="0" fontId="11" fillId="12" borderId="22" xfId="0" applyFont="1" applyFill="1" applyBorder="1" applyAlignment="1">
      <alignment horizontal="center" vertical="center" textRotation="45"/>
    </xf>
    <xf numFmtId="0" fontId="21" fillId="12" borderId="18" xfId="0" applyFont="1" applyFill="1" applyBorder="1" applyAlignment="1">
      <alignment horizontal="center" vertical="center" textRotation="45"/>
    </xf>
    <xf numFmtId="0" fontId="21" fillId="12" borderId="25" xfId="0" applyFont="1" applyFill="1" applyBorder="1" applyAlignment="1">
      <alignment horizontal="center" vertical="center" textRotation="45"/>
    </xf>
    <xf numFmtId="0" fontId="11" fillId="8" borderId="16" xfId="0" applyFont="1" applyFill="1" applyBorder="1" applyAlignment="1">
      <alignment horizontal="center" vertical="center" textRotation="45"/>
    </xf>
    <xf numFmtId="0" fontId="11" fillId="8" borderId="22" xfId="0" applyFont="1" applyFill="1" applyBorder="1" applyAlignment="1">
      <alignment horizontal="center" vertical="center" textRotation="45"/>
    </xf>
    <xf numFmtId="0" fontId="11" fillId="8" borderId="18" xfId="0" applyFont="1" applyFill="1" applyBorder="1" applyAlignment="1">
      <alignment horizontal="center" vertical="center" textRotation="45"/>
    </xf>
    <xf numFmtId="0" fontId="11" fillId="8" borderId="25" xfId="0" applyFont="1" applyFill="1" applyBorder="1" applyAlignment="1">
      <alignment horizontal="center" vertical="center" textRotation="45"/>
    </xf>
    <xf numFmtId="0" fontId="11" fillId="3" borderId="16" xfId="0" applyFont="1" applyFill="1" applyBorder="1" applyAlignment="1">
      <alignment horizontal="center" vertical="center" textRotation="45"/>
    </xf>
    <xf numFmtId="0" fontId="11" fillId="3" borderId="22" xfId="0" applyFont="1" applyFill="1" applyBorder="1" applyAlignment="1">
      <alignment horizontal="center" vertical="center" textRotation="45"/>
    </xf>
    <xf numFmtId="0" fontId="11" fillId="3" borderId="20" xfId="0" applyFont="1" applyFill="1" applyBorder="1" applyAlignment="1">
      <alignment horizontal="center" vertical="center" textRotation="45"/>
    </xf>
    <xf numFmtId="0" fontId="11" fillId="3" borderId="18" xfId="0" applyFont="1" applyFill="1" applyBorder="1" applyAlignment="1">
      <alignment horizontal="center" vertical="center" textRotation="45"/>
    </xf>
    <xf numFmtId="0" fontId="11" fillId="3" borderId="25" xfId="0" applyFont="1" applyFill="1" applyBorder="1" applyAlignment="1">
      <alignment horizontal="center" vertical="center" textRotation="45"/>
    </xf>
    <xf numFmtId="0" fontId="11" fillId="3" borderId="31" xfId="0" applyFont="1" applyFill="1" applyBorder="1" applyAlignment="1">
      <alignment horizontal="center" vertical="center" textRotation="45"/>
    </xf>
    <xf numFmtId="0" fontId="6" fillId="0" borderId="0" xfId="3" applyAlignment="1">
      <alignment horizontal="left" vertical="top" wrapText="1"/>
    </xf>
    <xf numFmtId="0" fontId="6" fillId="0" borderId="1" xfId="3" applyBorder="1" applyAlignment="1">
      <alignment wrapText="1"/>
    </xf>
    <xf numFmtId="0" fontId="6" fillId="0" borderId="4" xfId="3" applyBorder="1" applyAlignment="1">
      <alignment wrapText="1"/>
    </xf>
    <xf numFmtId="0" fontId="6" fillId="0" borderId="35" xfId="3" applyBorder="1" applyAlignment="1">
      <alignment wrapText="1"/>
    </xf>
    <xf numFmtId="0" fontId="0" fillId="0" borderId="0" xfId="0" applyAlignment="1">
      <alignment wrapText="1"/>
    </xf>
    <xf numFmtId="0" fontId="5" fillId="0" borderId="42" xfId="3" applyFont="1" applyBorder="1"/>
    <xf numFmtId="0" fontId="6" fillId="0" borderId="15" xfId="3" applyBorder="1"/>
    <xf numFmtId="0" fontId="6" fillId="0" borderId="0" xfId="3"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44" xfId="0" applyBorder="1" applyAlignment="1">
      <alignment horizontal="center" wrapText="1"/>
    </xf>
    <xf numFmtId="0" fontId="0" fillId="0" borderId="46" xfId="0" applyBorder="1"/>
    <xf numFmtId="0" fontId="0" fillId="0" borderId="43" xfId="0" applyBorder="1"/>
    <xf numFmtId="0" fontId="0" fillId="0" borderId="45" xfId="0" applyBorder="1" applyAlignment="1">
      <alignment horizontal="center"/>
    </xf>
    <xf numFmtId="0" fontId="0" fillId="0" borderId="45" xfId="0" applyBorder="1" applyAlignment="1">
      <alignment horizontal="center" vertical="center"/>
    </xf>
    <xf numFmtId="0" fontId="0" fillId="0" borderId="44" xfId="0" applyBorder="1" applyAlignment="1">
      <alignment horizontal="center" vertical="center" textRotation="90"/>
    </xf>
    <xf numFmtId="0" fontId="0" fillId="0" borderId="45" xfId="0" applyBorder="1" applyAlignment="1">
      <alignment horizontal="center" vertical="center" textRotation="90"/>
    </xf>
    <xf numFmtId="0" fontId="0" fillId="0" borderId="46" xfId="0" applyBorder="1" applyAlignment="1">
      <alignment horizontal="center" vertical="center" textRotation="90"/>
    </xf>
  </cellXfs>
  <cellStyles count="5">
    <cellStyle name="Comma" xfId="1" builtinId="3"/>
    <cellStyle name="Hyperlink 2" xfId="4" xr:uid="{7D9CD6D9-CDDB-4948-97AE-BB1E7F56BF99}"/>
    <cellStyle name="Normal" xfId="0" builtinId="0"/>
    <cellStyle name="Normal 2" xfId="3" xr:uid="{BAD20828-D13B-417B-B69A-020D7A7666CC}"/>
    <cellStyle name="Percent" xfId="2" builtinId="5"/>
  </cellStyles>
  <dxfs count="4">
    <dxf>
      <fill>
        <patternFill>
          <bgColor rgb="FFFF0000"/>
        </patternFill>
      </fill>
    </dxf>
    <dxf>
      <fill>
        <patternFill>
          <bgColor rgb="FF92D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cisecurity.org/cis-controls-supporter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21590</xdr:colOff>
      <xdr:row>13</xdr:row>
      <xdr:rowOff>21591</xdr:rowOff>
    </xdr:from>
    <xdr:to>
      <xdr:col>1</xdr:col>
      <xdr:colOff>3730625</xdr:colOff>
      <xdr:row>13</xdr:row>
      <xdr:rowOff>834391</xdr:rowOff>
    </xdr:to>
    <xdr:pic>
      <xdr:nvPicPr>
        <xdr:cNvPr id="2" name="Picture 1">
          <a:hlinkClick xmlns:r="http://schemas.openxmlformats.org/officeDocument/2006/relationships" r:id="rId1"/>
          <a:extLst>
            <a:ext uri="{FF2B5EF4-FFF2-40B4-BE49-F238E27FC236}">
              <a16:creationId xmlns:a16="http://schemas.microsoft.com/office/drawing/2014/main" id="{0B665FB2-532A-444F-9961-7C619D8DC9A8}"/>
            </a:ext>
          </a:extLst>
        </xdr:cNvPr>
        <xdr:cNvPicPr>
          <a:picLocks noChangeAspect="1"/>
        </xdr:cNvPicPr>
      </xdr:nvPicPr>
      <xdr:blipFill>
        <a:blip xmlns:r="http://schemas.openxmlformats.org/officeDocument/2006/relationships" r:embed="rId2"/>
        <a:stretch>
          <a:fillRect/>
        </a:stretch>
      </xdr:blipFill>
      <xdr:spPr>
        <a:xfrm>
          <a:off x="3669030" y="4424681"/>
          <a:ext cx="3706495" cy="810260"/>
        </a:xfrm>
        <a:prstGeom prst="rect">
          <a:avLst/>
        </a:prstGeom>
      </xdr:spPr>
    </xdr:pic>
    <xdr:clientData/>
  </xdr:twoCellAnchor>
  <xdr:twoCellAnchor editAs="oneCell">
    <xdr:from>
      <xdr:col>0</xdr:col>
      <xdr:colOff>0</xdr:colOff>
      <xdr:row>5</xdr:row>
      <xdr:rowOff>1</xdr:rowOff>
    </xdr:from>
    <xdr:to>
      <xdr:col>0</xdr:col>
      <xdr:colOff>2326640</xdr:colOff>
      <xdr:row>5</xdr:row>
      <xdr:rowOff>802641</xdr:rowOff>
    </xdr:to>
    <xdr:pic>
      <xdr:nvPicPr>
        <xdr:cNvPr id="3" name="Picture 2" descr="Creative Commons License">
          <a:extLst>
            <a:ext uri="{FF2B5EF4-FFF2-40B4-BE49-F238E27FC236}">
              <a16:creationId xmlns:a16="http://schemas.microsoft.com/office/drawing/2014/main" id="{638B55EF-40F9-4320-9A09-64712DC483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84251"/>
          <a:ext cx="2326640" cy="80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creativecommons.org/share-your-work/public-domain/freeworks" TargetMode="External"/><Relationship Id="rId2" Type="http://schemas.openxmlformats.org/officeDocument/2006/relationships/hyperlink" Target="https://www.cisecurity.org/cis-controls-supporters/" TargetMode="External"/><Relationship Id="rId1" Type="http://schemas.openxmlformats.org/officeDocument/2006/relationships/hyperlink" Target="http://www.veritysecurity.com/espm/" TargetMode="External"/><Relationship Id="rId6" Type="http://schemas.openxmlformats.org/officeDocument/2006/relationships/drawing" Target="../drawings/drawing1.xml"/><Relationship Id="rId5" Type="http://schemas.openxmlformats.org/officeDocument/2006/relationships/hyperlink" Target="https://www.securitycheckbox.com/" TargetMode="External"/><Relationship Id="rId4" Type="http://schemas.openxmlformats.org/officeDocument/2006/relationships/hyperlink" Target="http://www.veritysecurity.com/espm/licens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338F-49AF-4BCD-8C08-A2D7C7BDE3FC}">
  <dimension ref="B1:Z62"/>
  <sheetViews>
    <sheetView showGridLines="0" showRowColHeaders="0" tabSelected="1" topLeftCell="G1" zoomScale="145" zoomScaleNormal="145" workbookViewId="0">
      <selection activeCell="M33" sqref="M33"/>
    </sheetView>
  </sheetViews>
  <sheetFormatPr defaultRowHeight="14.4" x14ac:dyDescent="0.3"/>
  <cols>
    <col min="1" max="1" width="2.5546875" customWidth="1"/>
    <col min="2" max="2" width="5.109375" customWidth="1"/>
    <col min="3" max="3" width="9.6640625" customWidth="1"/>
    <col min="4" max="4" width="5.6640625" customWidth="1"/>
    <col min="6" max="6" width="2.44140625" customWidth="1"/>
    <col min="10" max="10" width="48.6640625" bestFit="1" customWidth="1"/>
    <col min="12" max="24" width="5.21875" customWidth="1"/>
  </cols>
  <sheetData>
    <row r="1" spans="2:26" ht="15" thickBot="1" x14ac:dyDescent="0.35">
      <c r="H1" s="1"/>
      <c r="J1" s="1"/>
      <c r="K1" s="1"/>
      <c r="L1" s="1"/>
      <c r="M1" s="1"/>
      <c r="N1" s="1"/>
      <c r="O1" s="1"/>
      <c r="P1" s="1"/>
      <c r="Q1" s="1"/>
      <c r="R1" s="1"/>
      <c r="S1" s="1"/>
      <c r="T1" s="1"/>
      <c r="U1" s="1"/>
      <c r="V1" s="1"/>
      <c r="W1" s="1"/>
      <c r="Z1" s="2"/>
    </row>
    <row r="2" spans="2:26" ht="15" customHeight="1" thickBot="1" x14ac:dyDescent="0.35">
      <c r="B2" s="178" t="s">
        <v>0</v>
      </c>
      <c r="C2" s="179"/>
      <c r="D2" s="179"/>
      <c r="E2" s="179"/>
      <c r="F2" s="180"/>
      <c r="H2" s="1"/>
      <c r="J2" s="1"/>
      <c r="K2" s="1"/>
      <c r="L2" s="1"/>
      <c r="M2" s="1"/>
      <c r="N2" s="1"/>
      <c r="O2" s="1"/>
      <c r="P2" s="1"/>
      <c r="Q2" s="1"/>
      <c r="R2" s="1"/>
      <c r="S2" s="1"/>
      <c r="T2" s="1"/>
      <c r="U2" s="1"/>
      <c r="V2" s="1"/>
      <c r="W2" s="1"/>
      <c r="Z2" s="2"/>
    </row>
    <row r="3" spans="2:26" ht="26.4" thickBot="1" x14ac:dyDescent="0.35">
      <c r="B3" s="181"/>
      <c r="C3" s="182"/>
      <c r="D3" s="182"/>
      <c r="E3" s="182"/>
      <c r="F3" s="182"/>
      <c r="G3" s="156" t="s">
        <v>1</v>
      </c>
      <c r="H3" s="158" t="s">
        <v>2</v>
      </c>
      <c r="I3" s="158"/>
      <c r="J3" s="159"/>
      <c r="K3" s="3" t="s">
        <v>3</v>
      </c>
      <c r="L3" s="160" t="s">
        <v>4</v>
      </c>
      <c r="M3" s="158"/>
      <c r="N3" s="158"/>
      <c r="O3" s="158"/>
      <c r="P3" s="158"/>
      <c r="Q3" s="158"/>
      <c r="R3" s="158"/>
      <c r="S3" s="158"/>
      <c r="T3" s="158"/>
      <c r="U3" s="158"/>
      <c r="V3" s="158"/>
      <c r="W3" s="161">
        <f>SUM(M5:X27)/COUNT(M5:X27)</f>
        <v>0.33</v>
      </c>
      <c r="X3" s="162"/>
      <c r="Z3" s="2"/>
    </row>
    <row r="4" spans="2:26" ht="31.8" thickBot="1" x14ac:dyDescent="0.35">
      <c r="B4" s="4"/>
      <c r="C4" s="5" t="s">
        <v>5</v>
      </c>
      <c r="D4" s="6"/>
      <c r="E4" s="183" t="s">
        <v>6</v>
      </c>
      <c r="F4" s="6"/>
      <c r="G4" s="157"/>
      <c r="H4" s="7" t="s">
        <v>7</v>
      </c>
      <c r="I4" s="8" t="s">
        <v>8</v>
      </c>
      <c r="J4" s="8" t="s">
        <v>9</v>
      </c>
      <c r="K4" s="8"/>
      <c r="L4" s="9">
        <v>0</v>
      </c>
      <c r="M4" s="10">
        <v>1</v>
      </c>
      <c r="N4" s="10">
        <v>2</v>
      </c>
      <c r="O4" s="10">
        <v>3</v>
      </c>
      <c r="P4" s="10">
        <v>4</v>
      </c>
      <c r="Q4" s="10">
        <v>5</v>
      </c>
      <c r="R4" s="10">
        <v>6</v>
      </c>
      <c r="S4" s="10">
        <v>7</v>
      </c>
      <c r="T4" s="10">
        <v>8</v>
      </c>
      <c r="U4" s="10">
        <v>9</v>
      </c>
      <c r="V4" s="10">
        <v>10</v>
      </c>
      <c r="W4" s="10">
        <v>11</v>
      </c>
      <c r="X4" s="11">
        <v>12</v>
      </c>
      <c r="Z4" s="2"/>
    </row>
    <row r="5" spans="2:26" ht="17.399999999999999" customHeight="1" x14ac:dyDescent="0.3">
      <c r="B5" s="4"/>
      <c r="C5" s="185">
        <f>SUM(G5:G27)/COUNT(G5:G27)</f>
        <v>0.33</v>
      </c>
      <c r="D5" s="12"/>
      <c r="E5" s="184"/>
      <c r="F5" s="175"/>
      <c r="G5" s="13" t="str">
        <f>IF(SUMIFS(Descriptions!$L:$L,Descriptions!B:B,"ON",Descriptions!$C:$C,"ID",Descriptions!$E:$E,"AM")=0,"",SUMIFS(Descriptions!$L:$L,Descriptions!B:B,"ON",Descriptions!$C:$C,"ID",Descriptions!$E:$E,"AM")/COUNTIFS(Descriptions!B:B,"ON",Descriptions!$C:$C,"ID",Descriptions!$E:$E,"AM",Descriptions!$L:$L,"&gt;0")/100)</f>
        <v/>
      </c>
      <c r="H5" s="165" t="s">
        <v>10</v>
      </c>
      <c r="I5" s="14" t="s">
        <v>11</v>
      </c>
      <c r="J5" s="15" t="s">
        <v>12</v>
      </c>
      <c r="K5" s="16" t="s">
        <v>13</v>
      </c>
      <c r="L5" s="17" t="str">
        <f>IF(SUMIFS(Descriptions!$L:$L,Descriptions!B:B,"ON",Descriptions!$C:$C,"ID",Descriptions!$E:$E,"AM",Descriptions!$G:$G,"0")=0,"",SUMIFS(Descriptions!$L:$L,Descriptions!B:B,"ON",Descriptions!$C:$C,"ID",Descriptions!$E:$E,"AM",Descriptions!$G:$G,"0")/COUNTIFS(Descriptions!B:B,"ON",Descriptions!$C:$C,"ID",Descriptions!$E:$E,"AM",Descriptions!$G:$G,"0",Descriptions!$L:$L,"&gt;0")/100)</f>
        <v/>
      </c>
      <c r="M5" s="18" t="str">
        <f>IF(SUMIFS(Descriptions!$L:$L,Descriptions!B:B,"ON",Descriptions!$C:$C,"ID",Descriptions!$E:$E,"AM",Descriptions!$G:$G,"1")=0,"",SUMIFS(Descriptions!$L:$L,Descriptions!B:B,"ON",Descriptions!$C:$C,"ID",Descriptions!$E:$E,"AM",Descriptions!$G:$G,"1")/COUNTIFS(Descriptions!B:B,"ON",Descriptions!$C:$C,"ID",Descriptions!$E:$E,"AM",Descriptions!$G:$G,"1",Descriptions!$L:$L,"&gt;0")/100)</f>
        <v/>
      </c>
      <c r="N5" s="18" t="str">
        <f>IF(SUMIFS(Descriptions!$L:$L,Descriptions!B:B,"ON",Descriptions!$C:$C,"ID",Descriptions!$E:$E,"AM",Descriptions!$G:$G,"2")=0,"",SUMIFS(Descriptions!$L:$L,Descriptions!B:B,"ON",Descriptions!$C:$C,"ID",Descriptions!$E:$E,"AM",Descriptions!$G:$G,"2")/COUNTIFS(Descriptions!B:B,"ON",Descriptions!$C:$C,"ID",Descriptions!$E:$E,"AM",Descriptions!$G:$G,"2",Descriptions!$L:$L,"&gt;0")/100)</f>
        <v/>
      </c>
      <c r="O5" s="18" t="str">
        <f>IF(SUMIFS(Descriptions!$L:$L,Descriptions!B:B,"ON",Descriptions!$C:$C,"ID",Descriptions!$E:$E,"AM",Descriptions!$G:$G,"3")=0,"",SUMIFS(Descriptions!$L:$L,Descriptions!B:B,"ON",Descriptions!$C:$C,"ID",Descriptions!$E:$E,"AM",Descriptions!$G:$G,"3")/COUNTIFS(Descriptions!B:B,"ON",Descriptions!$C:$C,"ID",Descriptions!$E:$E,"AM",Descriptions!$G:$G,"3",Descriptions!$L:$L,"&gt;0")/100)</f>
        <v/>
      </c>
      <c r="P5" s="18" t="str">
        <f>IF(SUMIFS(Descriptions!$L:$L,Descriptions!B:B,"ON",Descriptions!$C:$C,"ID",Descriptions!$E:$E,"AM",Descriptions!$G:$G,"4")=0,"",SUMIFS(Descriptions!$L:$L,Descriptions!B:B,"ON",Descriptions!$C:$C,"ID",Descriptions!$E:$E,"AM",Descriptions!$G:$G,"4")/COUNTIFS(Descriptions!B:B,"ON",Descriptions!$C:$C,"ID",Descriptions!$E:$E,"AM",Descriptions!$G:$G,"4",Descriptions!$L:$L,"&gt;0")/100)</f>
        <v/>
      </c>
      <c r="Q5" s="18" t="str">
        <f>IF(SUMIFS(Descriptions!$L:$L,Descriptions!B:B,"ON",Descriptions!$C:$C,"ID",Descriptions!$E:$E,"AM",Descriptions!$G:$G,"5")=0,"",SUMIFS(Descriptions!$L:$L,Descriptions!B:B,"ON",Descriptions!$C:$C,"ID",Descriptions!$E:$E,"AM",Descriptions!$G:$G,"5")/COUNTIFS(Descriptions!B:B,"ON",Descriptions!$C:$C,"ID",Descriptions!$E:$E,"AM",Descriptions!$G:$G,"5",Descriptions!$L:$L,"&gt;0")/100)</f>
        <v/>
      </c>
      <c r="R5" s="18" t="str">
        <f>IF(SUMIFS(Descriptions!$L:$L,Descriptions!B:B,"ON",Descriptions!$C:$C,"ID",Descriptions!$E:$E,"AM",Descriptions!$G:$G,"6")=0,"",SUMIFS(Descriptions!$L:$L,Descriptions!B:B,"ON",Descriptions!$C:$C,"ID",Descriptions!$E:$E,"AM",Descriptions!$G:$G,"6")/COUNTIFS(Descriptions!B:B,"ON",Descriptions!$C:$C,"ID",Descriptions!$E:$E,"AM",Descriptions!$G:$G,"6",Descriptions!$L:$L,"&gt;0")/100)</f>
        <v/>
      </c>
      <c r="S5" s="19" t="str">
        <f>IF(SUMIFS(Descriptions!$L:$L,Descriptions!B:B,"ON",Descriptions!$C:$C,"ID",Descriptions!$E:$E,"AM",Descriptions!$G:$G,"7")=0,"",SUMIFS(Descriptions!$L:$L,Descriptions!B:B,"ON",Descriptions!$C:$C,"ID",Descriptions!$E:$E,"AM",Descriptions!$G:$G,"7")/COUNTIFS(Descriptions!B:B,"ON",Descriptions!$C:$C,"ID",Descriptions!$E:$E,"AM",Descriptions!$G:$G,"7",Descriptions!$L:$L,"&gt;0")/100)</f>
        <v/>
      </c>
      <c r="T5" s="19" t="str">
        <f>IF(SUMIFS(Descriptions!$L:$L,Descriptions!B:B,"ON",Descriptions!$C:$C,"ID",Descriptions!$E:$E,"AM",Descriptions!$G:$G,"8")=0,"",SUMIFS(Descriptions!$L:$L,Descriptions!B:B,"ON",Descriptions!$C:$C,"ID",Descriptions!$E:$E,"AM",Descriptions!$G:$G,"8")/COUNTIFS(Descriptions!B:B,"ON",Descriptions!$C:$C,"ID",Descriptions!$E:$E,"AM",Descriptions!$G:$G,"8",Descriptions!$L:$L,"&gt;0")/100)</f>
        <v/>
      </c>
      <c r="U5" s="19" t="str">
        <f>IF(SUMIFS(Descriptions!$L:$L,Descriptions!B:B,"ON",Descriptions!$C:$C,"ID",Descriptions!$E:$E,"AM",Descriptions!$G:$G,"9")=0,"",SUMIFS(Descriptions!$L:$L,Descriptions!B:B,"ON",Descriptions!$C:$C,"ID",Descriptions!$E:$E,"AM",Descriptions!$G:$G,"9")/COUNTIFS(Descriptions!B:B,"ON",Descriptions!$C:$C,"ID",Descriptions!$E:$E,"AM",Descriptions!$G:$G,"9",Descriptions!$L:$L,"&gt;0")/100)</f>
        <v/>
      </c>
      <c r="V5" s="19" t="str">
        <f>IF(SUMIFS(Descriptions!$L:$L,Descriptions!B:B,"ON",Descriptions!$C:$C,"ID",Descriptions!$E:$E,"AM",Descriptions!$G:$G,"10")=0,"",SUMIFS(Descriptions!$L:$L,Descriptions!B:B,"ON",Descriptions!$C:$C,"ID",Descriptions!$E:$E,"AM",Descriptions!$G:$G,"10")/COUNTIFS(Descriptions!B:B,"ON",Descriptions!$C:$C,"ID",Descriptions!$E:$E,"AM",Descriptions!$G:$G,"10",Descriptions!$L:$L,"&gt;0")/100)</f>
        <v/>
      </c>
      <c r="W5" s="19" t="str">
        <f>IF(SUMIFS(Descriptions!$L:$L,Descriptions!B:B,"ON",Descriptions!$C:$C,"ID",Descriptions!$E:$E,"AM",Descriptions!$G:$G,"11")=0,"",SUMIFS(Descriptions!$L:$L,Descriptions!B:B,"ON",Descriptions!$C:$C,"ID",Descriptions!$E:$E,"AM",Descriptions!$G:$G,"11")/COUNTIFS(Descriptions!B:B,"ON",Descriptions!$C:$C,"ID",Descriptions!$E:$E,"AM",Descriptions!$G:$G,"11",Descriptions!$L:$L,"&gt;0")/100)</f>
        <v/>
      </c>
      <c r="X5" s="20" t="str">
        <f>IF(SUMIFS(Descriptions!$L:$L,Descriptions!B:B,"ON",Descriptions!$C:$C,"ID",Descriptions!$E:$E,"AM",Descriptions!$G:$G,"12")=0,"",SUMIFS(Descriptions!$L:$L,Descriptions!B:B,"ON",Descriptions!$C:$C,"ID",Descriptions!$E:$E,"AM",Descriptions!$G:$G,"12")/COUNTIFS(Descriptions!B:B,"ON",Descriptions!$C:$C,"ID",Descriptions!$E:$E,"AM",Descriptions!$G:$G,"12",Descriptions!$L:$L,"&gt;0")/100)</f>
        <v/>
      </c>
    </row>
    <row r="6" spans="2:26" ht="17.399999999999999" customHeight="1" x14ac:dyDescent="0.3">
      <c r="B6" s="4"/>
      <c r="C6" s="186"/>
      <c r="D6" s="12"/>
      <c r="E6" s="188" t="e">
        <f>SUM(G5:G10)/COUNT(G5:G10)</f>
        <v>#DIV/0!</v>
      </c>
      <c r="F6" s="176"/>
      <c r="G6" s="21" t="str">
        <f>IF(SUMIFS(Descriptions!$L:$L,Descriptions!B:B,"ON",Descriptions!$C:$C,"ID",Descriptions!$E:$E,"BE")=0,"",SUMIFS(Descriptions!$L:$L,Descriptions!B:B,"ON",Descriptions!$C:$C,"ID",Descriptions!$E:$E,"BE")/COUNTIFS(Descriptions!B:B,"ON",Descriptions!$C:$C,"ID",Descriptions!$E:$E,"BE",Descriptions!$L:$L,"&gt;0")/100)</f>
        <v/>
      </c>
      <c r="H6" s="166"/>
      <c r="I6" s="14" t="s">
        <v>14</v>
      </c>
      <c r="J6" s="22" t="s">
        <v>15</v>
      </c>
      <c r="K6" s="23" t="s">
        <v>16</v>
      </c>
      <c r="L6" s="17" t="str">
        <f>IF(SUMIFS(Descriptions!$L:$L,Descriptions!B:B,"ON",Descriptions!$C:$C,"ID",Descriptions!$E:$E,"BE",Descriptions!$G:$G,"0")=0,"",SUMIFS(Descriptions!$L:$L,Descriptions!B:B,"ON",Descriptions!$C:$C,"ID",Descriptions!$E:$E,"BE",Descriptions!$G:$G,"0")/COUNTIFS(Descriptions!B:B,"ON",Descriptions!$C:$C,"ID",Descriptions!$E:$E,"BE",Descriptions!$G:$G,"0",Descriptions!$L:$L,"&gt;0")/100)</f>
        <v/>
      </c>
      <c r="M6" s="18" t="str">
        <f>IF(SUMIFS(Descriptions!$L:$L,Descriptions!B:B,"ON",Descriptions!$C:$C,"ID",Descriptions!$E:$E,"BE",Descriptions!$G:$G,"1")=0,"",SUMIFS(Descriptions!$L:$L,Descriptions!B:B,"ON",Descriptions!$C:$C,"ID",Descriptions!$E:$E,"BE",Descriptions!$G:$G,"1")/COUNTIFS(Descriptions!B:B,"ON",Descriptions!$C:$C,"ID",Descriptions!$E:$E,"BE",Descriptions!$G:$G,"1",Descriptions!$L:$L,"&gt;0")/100)</f>
        <v/>
      </c>
      <c r="N6" s="18" t="str">
        <f>IF(SUMIFS(Descriptions!$L:$L,Descriptions!B:B,"ON",Descriptions!$C:$C,"ID",Descriptions!$E:$E,"BE",Descriptions!$G:$G,"2")=0,"",SUMIFS(Descriptions!$L:$L,Descriptions!B:B,"ON",Descriptions!$C:$C,"ID",Descriptions!$E:$E,"BE",Descriptions!$G:$G,"2")/COUNTIFS(Descriptions!B:B,"ON",Descriptions!$C:$C,"ID",Descriptions!$E:$E,"BE",Descriptions!$G:$G,"2",Descriptions!$L:$L,"&gt;0")/100)</f>
        <v/>
      </c>
      <c r="O6" s="18" t="str">
        <f>IF(SUMIFS(Descriptions!$L:$L,Descriptions!B:B,"ON",Descriptions!$C:$C,"ID",Descriptions!$E:$E,"BE",Descriptions!$G:$G,"3")=0,"",SUMIFS(Descriptions!$L:$L,Descriptions!B:B,"ON",Descriptions!$C:$C,"ID",Descriptions!$E:$E,"BE",Descriptions!$G:$G,"3")/COUNTIFS(Descriptions!B:B,"ON",Descriptions!$C:$C,"ID",Descriptions!$E:$E,"BE",Descriptions!$G:$G,"3",Descriptions!$L:$L,"&gt;0")/100)</f>
        <v/>
      </c>
      <c r="P6" s="18" t="str">
        <f>IF(SUMIFS(Descriptions!$L:$L,Descriptions!B:B,"ON",Descriptions!$C:$C,"ID",Descriptions!$E:$E,"BE",Descriptions!$G:$G,"4")=0,"",SUMIFS(Descriptions!$L:$L,Descriptions!B:B,"ON",Descriptions!$C:$C,"ID",Descriptions!$E:$E,"BE",Descriptions!$G:$G,"4")/COUNTIFS(Descriptions!B:B,"ON",Descriptions!$C:$C,"ID",Descriptions!$E:$E,"BE",Descriptions!$G:$G,"4",Descriptions!$L:$L,"&gt;0")/100)</f>
        <v/>
      </c>
      <c r="Q6" s="18" t="str">
        <f>IF(SUMIFS(Descriptions!$L:$L,Descriptions!B:B,"ON",Descriptions!$C:$C,"ID",Descriptions!$E:$E,"BE",Descriptions!$G:$G,"5")=0,"",SUMIFS(Descriptions!$L:$L,Descriptions!B:B,"ON",Descriptions!$C:$C,"ID",Descriptions!$E:$E,"BE",Descriptions!$G:$G,"5")/COUNTIFS(Descriptions!B:B,"ON",Descriptions!$C:$C,"ID",Descriptions!$E:$E,"BE",Descriptions!$G:$G,"5",Descriptions!$L:$L,"&gt;0")/100)</f>
        <v/>
      </c>
      <c r="R6" s="24" t="str">
        <f>IF(SUMIFS(Descriptions!$L:$L,Descriptions!B:B,"ON",Descriptions!$C:$C,"ID",Descriptions!$E:$E,"BE",Descriptions!$G:$G,"6")=0,"",SUMIFS(Descriptions!$L:$L,Descriptions!B:B,"ON",Descriptions!$C:$C,"ID",Descriptions!$E:$E,"BE",Descriptions!$G:$G,"6")/COUNTIFS(Descriptions!B:B,"ON",Descriptions!$C:$C,"ID",Descriptions!$E:$E,"BE",Descriptions!$G:$G,"6",Descriptions!$L:$L,"&gt;0")/100)</f>
        <v/>
      </c>
      <c r="S6" s="24" t="str">
        <f>IF(SUMIFS(Descriptions!$L:$L,Descriptions!B:B,"ON",Descriptions!$C:$C,"ID",Descriptions!$E:$E,"BE",Descriptions!$G:$G,"7")=0,"",SUMIFS(Descriptions!$L:$L,Descriptions!B:B,"ON",Descriptions!$C:$C,"ID",Descriptions!$E:$E,"BE",Descriptions!$G:$G,"7")/COUNTIFS(Descriptions!B:B,"ON",Descriptions!$C:$C,"ID",Descriptions!$E:$E,"BE",Descriptions!$G:$G,"7",Descriptions!$L:$L,"&gt;0")/100)</f>
        <v/>
      </c>
      <c r="T6" s="24" t="str">
        <f>IF(SUMIFS(Descriptions!$L:$L,Descriptions!B:B,"ON",Descriptions!$C:$C,"ID",Descriptions!$E:$E,"BE",Descriptions!$G:$G,"8")=0,"",SUMIFS(Descriptions!$L:$L,Descriptions!B:B,"ON",Descriptions!$C:$C,"ID",Descriptions!$E:$E,"BE",Descriptions!$G:$G,"8")/COUNTIFS(Descriptions!B:B,"ON",Descriptions!$C:$C,"ID",Descriptions!$E:$E,"BE",Descriptions!$G:$G,"8",Descriptions!$L:$L,"&gt;0")/100)</f>
        <v/>
      </c>
      <c r="U6" s="24" t="str">
        <f>IF(SUMIFS(Descriptions!$L:$L,Descriptions!B:B,"ON",Descriptions!$C:$C,"ID",Descriptions!$E:$E,"BE",Descriptions!$G:$G,"9")=0,"",SUMIFS(Descriptions!$L:$L,Descriptions!B:B,"ON",Descriptions!$C:$C,"ID",Descriptions!$E:$E,"BE",Descriptions!$G:$G,"9")/COUNTIFS(Descriptions!B:B,"ON",Descriptions!$C:$C,"ID",Descriptions!$E:$E,"BE",Descriptions!$G:$G,"9",Descriptions!$L:$L,"&gt;0")/100)</f>
        <v/>
      </c>
      <c r="V6" s="24" t="str">
        <f>IF(SUMIFS(Descriptions!$L:$L,Descriptions!B:B,"ON",Descriptions!$C:$C,"ID",Descriptions!$E:$E,"BE",Descriptions!$G:$G,"10")=0,"",SUMIFS(Descriptions!$L:$L,Descriptions!B:B,"ON",Descriptions!$C:$C,"ID",Descriptions!$E:$E,"BE",Descriptions!$G:$G,"10")/COUNTIFS(Descriptions!B:B,"ON",Descriptions!$C:$C,"ID",Descriptions!$E:$E,"BE",Descriptions!$G:$G,"10",Descriptions!$L:$L,"&gt;0")/100)</f>
        <v/>
      </c>
      <c r="W6" s="24" t="str">
        <f>IF(SUMIFS(Descriptions!$L:$L,Descriptions!B:B,"ON",Descriptions!$C:$C,"ID",Descriptions!$E:$E,"BE",Descriptions!$G:$G,"11")=0,"",SUMIFS(Descriptions!$L:$L,Descriptions!B:B,"ON",Descriptions!$C:$C,"ID",Descriptions!$E:$E,"BE",Descriptions!$G:$G,"11")/COUNTIFS(Descriptions!B:B,"ON",Descriptions!$C:$C,"ID",Descriptions!$E:$E,"BE",Descriptions!$G:$G,"11",Descriptions!$L:$L,"&gt;0")/100)</f>
        <v/>
      </c>
      <c r="X6" s="25" t="str">
        <f>IF(SUMIFS(Descriptions!$L:$L,Descriptions!B:B,"ON",Descriptions!$C:$C,"ID",Descriptions!$E:$E,"BE",Descriptions!$G:$G,"12")=0,"",SUMIFS(Descriptions!$L:$L,Descriptions!B:B,"ON",Descriptions!$C:$C,"ID",Descriptions!$E:$E,"BE",Descriptions!$G:$G,"12")/COUNTIFS(Descriptions!B:B,"ON",Descriptions!$C:$C,"ID",Descriptions!$E:$E,"BE",Descriptions!$G:$G,"12",Descriptions!$L:$L,"&gt;0")/100)</f>
        <v/>
      </c>
      <c r="Z6" s="26"/>
    </row>
    <row r="7" spans="2:26" ht="17.399999999999999" customHeight="1" thickBot="1" x14ac:dyDescent="0.35">
      <c r="B7" s="4"/>
      <c r="C7" s="187"/>
      <c r="D7" s="12"/>
      <c r="E7" s="169"/>
      <c r="F7" s="176"/>
      <c r="G7" s="21" t="str">
        <f>IF(SUMIFS(Descriptions!$L:$L,Descriptions!B:B,"ON",Descriptions!$C:$C,"ID",Descriptions!$E:$E,"GV")=0,"",SUMIFS(Descriptions!$L:$L,Descriptions!B:B,"ON",Descriptions!$C:$C,"ID",Descriptions!$E:$E,"GV")/COUNTIFS(Descriptions!B:B,"ON",Descriptions!$C:$C,"ID",Descriptions!$E:$E,"GV",Descriptions!$L:$L,"&gt;0")/100)</f>
        <v/>
      </c>
      <c r="H7" s="166"/>
      <c r="I7" s="14" t="s">
        <v>17</v>
      </c>
      <c r="J7" s="22" t="s">
        <v>18</v>
      </c>
      <c r="K7" s="23" t="s">
        <v>19</v>
      </c>
      <c r="L7" s="17" t="str">
        <f>IF(SUMIFS(Descriptions!$L:$L,Descriptions!B:B,"ON",Descriptions!$C:$C,"ID",Descriptions!$E:$E,"GV",Descriptions!$G:$G,"0")=0,"",SUMIFS(Descriptions!$L:$L,Descriptions!B:B,"ON",Descriptions!$C:$C,"ID",Descriptions!$E:$E,"GV",Descriptions!$G:$G,"0")/COUNTIFS(Descriptions!B:B,"ON",Descriptions!$C:$C,"ID",Descriptions!$E:$E,"GV",Descriptions!$G:$G,"0",Descriptions!$L:$L,"&gt;0")/100)</f>
        <v/>
      </c>
      <c r="M7" s="18" t="str">
        <f>IF(SUMIFS(Descriptions!$L:$L,Descriptions!B:B,"ON",Descriptions!$C:$C,"ID",Descriptions!$E:$E,"GV",Descriptions!$G:$G,"1")=0,"",SUMIFS(Descriptions!$L:$L,Descriptions!B:B,"ON",Descriptions!$C:$C,"ID",Descriptions!$E:$E,"GV",Descriptions!$G:$G,"1")/COUNTIFS(Descriptions!B:B,"ON",Descriptions!$C:$C,"ID",Descriptions!$E:$E,"GV",Descriptions!$G:$G,"1",Descriptions!$L:$L,"&gt;0")/100)</f>
        <v/>
      </c>
      <c r="N7" s="18" t="str">
        <f>IF(SUMIFS(Descriptions!$L:$L,Descriptions!B:B,"ON",Descriptions!$C:$C,"ID",Descriptions!$E:$E,"GV",Descriptions!$G:$G,"2")=0,"",SUMIFS(Descriptions!$L:$L,Descriptions!B:B,"ON",Descriptions!$C:$C,"ID",Descriptions!$E:$E,"GV",Descriptions!$G:$G,"2")/COUNTIFS(Descriptions!B:B,"ON",Descriptions!$C:$C,"ID",Descriptions!$E:$E,"GV",Descriptions!$G:$G,"2",Descriptions!$L:$L,"&gt;0")/100)</f>
        <v/>
      </c>
      <c r="O7" s="18" t="str">
        <f>IF(SUMIFS(Descriptions!$L:$L,Descriptions!B:B,"ON",Descriptions!$C:$C,"ID",Descriptions!$E:$E,"GV",Descriptions!$G:$G,"3")=0,"",SUMIFS(Descriptions!$L:$L,Descriptions!B:B,"ON",Descriptions!$C:$C,"ID",Descriptions!$E:$E,"GV",Descriptions!$G:$G,"3")/COUNTIFS(Descriptions!B:B,"ON",Descriptions!$C:$C,"ID",Descriptions!$E:$E,"GV",Descriptions!$G:$G,"3",Descriptions!$L:$L,"&gt;0")/100)</f>
        <v/>
      </c>
      <c r="P7" s="18" t="str">
        <f>IF(SUMIFS(Descriptions!$L:$L,Descriptions!B:B,"ON",Descriptions!$C:$C,"ID",Descriptions!$E:$E,"GV",Descriptions!$G:$G,"4")=0,"",SUMIFS(Descriptions!$L:$L,Descriptions!B:B,"ON",Descriptions!$C:$C,"ID",Descriptions!$E:$E,"GV",Descriptions!$G:$G,"4")/COUNTIFS(Descriptions!B:B,"ON",Descriptions!$C:$C,"ID",Descriptions!$E:$E,"GV",Descriptions!$G:$G,"4",Descriptions!$L:$L,"&gt;0")/100)</f>
        <v/>
      </c>
      <c r="Q7" s="24" t="str">
        <f>IF(SUMIFS(Descriptions!$L:$L,Descriptions!B:B,"ON",Descriptions!$C:$C,"ID",Descriptions!$E:$E,"GV",Descriptions!$G:$G,"5")=0,"",SUMIFS(Descriptions!$L:$L,Descriptions!B:B,"ON",Descriptions!$C:$C,"ID",Descriptions!$E:$E,"GV",Descriptions!$G:$G,"5")/COUNTIFS(Descriptions!B:B,"ON",Descriptions!$C:$C,"ID",Descriptions!$E:$E,"GV",Descriptions!$G:$G,"5",Descriptions!$L:$L,"&gt;0")/100)</f>
        <v/>
      </c>
      <c r="R7" s="24" t="str">
        <f>IF(SUMIFS(Descriptions!$L:$L,Descriptions!B:B,"ON",Descriptions!$C:$C,"ID",Descriptions!$E:$E,"GV",Descriptions!$G:$G,"6")=0,"",SUMIFS(Descriptions!$L:$L,Descriptions!B:B,"ON",Descriptions!$C:$C,"ID",Descriptions!$E:$E,"GV",Descriptions!$G:$G,"6")/COUNTIFS(Descriptions!B:B,"ON",Descriptions!$C:$C,"ID",Descriptions!$E:$E,"GV",Descriptions!$G:$G,"6",Descriptions!$L:$L,"&gt;0")/100)</f>
        <v/>
      </c>
      <c r="S7" s="24" t="str">
        <f>IF(SUMIFS(Descriptions!$L:$L,Descriptions!B:B,"ON",Descriptions!$C:$C,"ID",Descriptions!$E:$E,"GV",Descriptions!$G:$G,"7")=0,"",SUMIFS(Descriptions!$L:$L,Descriptions!B:B,"ON",Descriptions!$C:$C,"ID",Descriptions!$E:$E,"GV",Descriptions!$G:$G,"7")/COUNTIFS(Descriptions!B:B,"ON",Descriptions!$C:$C,"ID",Descriptions!$E:$E,"GV",Descriptions!$G:$G,"7",Descriptions!$L:$L,"&gt;0")/100)</f>
        <v/>
      </c>
      <c r="T7" s="24" t="str">
        <f>IF(SUMIFS(Descriptions!$L:$L,Descriptions!B:B,"ON",Descriptions!$C:$C,"ID",Descriptions!$E:$E,"GV",Descriptions!$G:$G,"8")=0,"",SUMIFS(Descriptions!$L:$L,Descriptions!B:B,"ON",Descriptions!$C:$C,"ID",Descriptions!$E:$E,"GV",Descriptions!$G:$G,"8")/COUNTIFS(Descriptions!B:B,"ON",Descriptions!$C:$C,"ID",Descriptions!$E:$E,"GV",Descriptions!$G:$G,"8",Descriptions!$L:$L,"&gt;0")/100)</f>
        <v/>
      </c>
      <c r="U7" s="24" t="str">
        <f>IF(SUMIFS(Descriptions!$L:$L,Descriptions!B:B,"ON",Descriptions!$C:$C,"ID",Descriptions!$E:$E,"GV",Descriptions!$G:$G,"9")=0,"",SUMIFS(Descriptions!$L:$L,Descriptions!B:B,"ON",Descriptions!$C:$C,"ID",Descriptions!$E:$E,"GV",Descriptions!$G:$G,"9")/COUNTIFS(Descriptions!B:B,"ON",Descriptions!$C:$C,"ID",Descriptions!$E:$E,"GV",Descriptions!$G:$G,"9",Descriptions!$L:$L,"&gt;0")/100)</f>
        <v/>
      </c>
      <c r="V7" s="24" t="str">
        <f>IF(SUMIFS(Descriptions!$L:$L,Descriptions!B:B,"ON",Descriptions!$C:$C,"ID",Descriptions!$E:$E,"GV",Descriptions!$G:$G,"10")=0,"",SUMIFS(Descriptions!$L:$L,Descriptions!B:B,"ON",Descriptions!$C:$C,"ID",Descriptions!$E:$E,"GV",Descriptions!$G:$G,"10")/COUNTIFS(Descriptions!B:B,"ON",Descriptions!$C:$C,"ID",Descriptions!$E:$E,"GV",Descriptions!$G:$G,"10",Descriptions!$L:$L,"&gt;0")/100)</f>
        <v/>
      </c>
      <c r="W7" s="24" t="str">
        <f>IF(SUMIFS(Descriptions!$L:$L,Descriptions!B:B,"ON",Descriptions!$C:$C,"ID",Descriptions!$E:$E,"GV",Descriptions!$G:$G,"11")=0,"",SUMIFS(Descriptions!$L:$L,Descriptions!B:B,"ON",Descriptions!$C:$C,"ID",Descriptions!$E:$E,"GV",Descriptions!$G:$G,"11")/COUNTIFS(Descriptions!B:B,"ON",Descriptions!$C:$C,"ID",Descriptions!$E:$E,"GV",Descriptions!$G:$G,"11",Descriptions!$L:$L,"&gt;0")/100)</f>
        <v/>
      </c>
      <c r="X7" s="25" t="str">
        <f>IF(SUMIFS(Descriptions!$L:$L,Descriptions!B:B,"ON",Descriptions!$C:$C,"ID",Descriptions!$E:$E,"GV",Descriptions!$G:$G,"12")=0,"",SUMIFS(Descriptions!$L:$L,Descriptions!B:B,"ON",Descriptions!$C:$C,"ID",Descriptions!$E:$E,"GV",Descriptions!$G:$G,"12")/COUNTIFS(Descriptions!B:B,"ON",Descriptions!$C:$C,"ID",Descriptions!$E:$E,"GV",Descriptions!$G:$G,"12",Descriptions!$L:$L,"&gt;0")/100)</f>
        <v/>
      </c>
      <c r="Z7" s="26"/>
    </row>
    <row r="8" spans="2:26" ht="17.399999999999999" customHeight="1" x14ac:dyDescent="0.3">
      <c r="B8" s="4"/>
      <c r="C8" s="27"/>
      <c r="D8" s="28"/>
      <c r="E8" s="170"/>
      <c r="F8" s="176"/>
      <c r="G8" s="21" t="str">
        <f>IF(SUMIFS(Descriptions!$L:$L,Descriptions!B:B,"ON",Descriptions!$C:$C,"ID",Descriptions!$E:$E,"RA")=0,"",SUMIFS(Descriptions!$L:$L,Descriptions!B:B,"ON",Descriptions!$C:$C,"ID",Descriptions!$E:$E,"RA")/COUNTIFS(Descriptions!B:B,"ON",Descriptions!$C:$C,"ID",Descriptions!$E:$E,"RA",Descriptions!$L:$L,"&gt;0")/100)</f>
        <v/>
      </c>
      <c r="H8" s="166"/>
      <c r="I8" s="14" t="s">
        <v>20</v>
      </c>
      <c r="J8" s="22" t="s">
        <v>21</v>
      </c>
      <c r="K8" s="23" t="s">
        <v>22</v>
      </c>
      <c r="L8" s="17" t="str">
        <f>IF(SUMIFS(Descriptions!$L:$L,Descriptions!B:B,"ON",Descriptions!$C:$C,"ID",Descriptions!$E:$E,"RA",Descriptions!$G:$G,"0")=0,"",SUMIFS(Descriptions!$L:$L,Descriptions!B:B,"ON",Descriptions!$C:$C,"ID",Descriptions!$E:$E,"RA",Descriptions!$G:$G,"0")/COUNTIFS(Descriptions!B:B,"ON",Descriptions!$C:$C,"ID",Descriptions!$E:$E,"RA",Descriptions!$G:$G,"0",Descriptions!$L:$L,"&gt;0")/100)</f>
        <v/>
      </c>
      <c r="M8" s="18" t="str">
        <f>IF(SUMIFS(Descriptions!$L:$L,Descriptions!B:B,"ON",Descriptions!$C:$C,"ID",Descriptions!$E:$E,"RA",Descriptions!$G:$G,"1")=0,"",SUMIFS(Descriptions!$L:$L,Descriptions!B:B,"ON",Descriptions!$C:$C,"ID",Descriptions!$E:$E,"RA",Descriptions!$G:$G,"1")/COUNTIFS(Descriptions!B:B,"ON",Descriptions!$C:$C,"ID",Descriptions!$E:$E,"RA",Descriptions!$G:$G,"1",Descriptions!$L:$L,"&gt;0")/100)</f>
        <v/>
      </c>
      <c r="N8" s="29" t="str">
        <f>IF(SUMIFS(Descriptions!$L:$L,Descriptions!B:B,"ON",Descriptions!$C:$C,"ID",Descriptions!$E:$E,"RA",Descriptions!$G:$G,"2")=0,"",SUMIFS(Descriptions!$L:$L,Descriptions!B:B,"ON",Descriptions!$C:$C,"ID",Descriptions!$E:$E,"RA",Descriptions!$G:$G,"2")/COUNTIFS(Descriptions!B:B,"ON",Descriptions!$C:$C,"ID",Descriptions!$E:$E,"RA",Descriptions!$G:$G,"2",Descriptions!$L:$L,"&gt;0")/100)</f>
        <v/>
      </c>
      <c r="O8" s="29" t="str">
        <f>IF(SUMIFS(Descriptions!$L:$L,Descriptions!B:B,"ON",Descriptions!$C:$C,"ID",Descriptions!$E:$E,"RA",Descriptions!$G:$G,"3")=0,"",SUMIFS(Descriptions!$L:$L,Descriptions!B:B,"ON",Descriptions!$C:$C,"ID",Descriptions!$E:$E,"RA",Descriptions!$G:$G,"3")/COUNTIFS(Descriptions!B:B,"ON",Descriptions!$C:$C,"ID",Descriptions!$E:$E,"RA",Descriptions!$G:$G,"3",Descriptions!$L:$L,"&gt;0")/100)</f>
        <v/>
      </c>
      <c r="P8" s="29" t="str">
        <f>IF(SUMIFS(Descriptions!$L:$L,Descriptions!B:B,"ON",Descriptions!$C:$C,"ID",Descriptions!$E:$E,"RA",Descriptions!$G:$G,"4")=0,"",SUMIFS(Descriptions!$L:$L,Descriptions!B:B,"ON",Descriptions!$C:$C,"ID",Descriptions!$E:$E,"RA",Descriptions!$G:$G,"4")/COUNTIFS(Descriptions!B:B,"ON",Descriptions!$C:$C,"ID",Descriptions!$E:$E,"RA",Descriptions!$G:$G,"4",Descriptions!$L:$L,"&gt;0")/100)</f>
        <v/>
      </c>
      <c r="Q8" s="29" t="str">
        <f>IF(SUMIFS(Descriptions!$L:$L,Descriptions!B:B,"ON",Descriptions!$C:$C,"ID",Descriptions!$E:$E,"RA",Descriptions!$G:$G,"5")=0,"",SUMIFS(Descriptions!$L:$L,Descriptions!B:B,"ON",Descriptions!$C:$C,"ID",Descriptions!$E:$E,"RA",Descriptions!$G:$G,"5")/COUNTIFS(Descriptions!B:B,"ON",Descriptions!$C:$C,"ID",Descriptions!$E:$E,"RA",Descriptions!$G:$G,"5",Descriptions!$L:$L,"&gt;0")/100)</f>
        <v/>
      </c>
      <c r="R8" s="29" t="str">
        <f>IF(SUMIFS(Descriptions!$L:$L,Descriptions!B:B,"ON",Descriptions!$C:$C,"ID",Descriptions!$E:$E,"RA",Descriptions!$G:$G,"6")=0,"",SUMIFS(Descriptions!$L:$L,Descriptions!B:B,"ON",Descriptions!$C:$C,"ID",Descriptions!$E:$E,"RA",Descriptions!$G:$G,"6")/COUNTIFS(Descriptions!B:B,"ON",Descriptions!$C:$C,"ID",Descriptions!$E:$E,"RA",Descriptions!$G:$G,"6",Descriptions!$L:$L,"&gt;0")/100)</f>
        <v/>
      </c>
      <c r="S8" s="24" t="str">
        <f>IF(SUMIFS(Descriptions!$L:$L,Descriptions!B:B,"ON",Descriptions!$C:$C,"ID",Descriptions!$E:$E,"RA",Descriptions!$G:$G,"7")=0,"",SUMIFS(Descriptions!$L:$L,Descriptions!B:B,"ON",Descriptions!$C:$C,"ID",Descriptions!$E:$E,"RA",Descriptions!$G:$G,"7")/COUNTIFS(Descriptions!B:B,"ON",Descriptions!$C:$C,"ID",Descriptions!$E:$E,"RA",Descriptions!$G:$G,"7",Descriptions!$L:$L,"&gt;0")/100)</f>
        <v/>
      </c>
      <c r="T8" s="24" t="str">
        <f>IF(SUMIFS(Descriptions!$L:$L,Descriptions!B:B,"ON",Descriptions!$C:$C,"ID",Descriptions!$E:$E,"RA",Descriptions!$G:$G,"8")=0,"",SUMIFS(Descriptions!$L:$L,Descriptions!B:B,"ON",Descriptions!$C:$C,"ID",Descriptions!$E:$E,"RA",Descriptions!$G:$G,"8")/COUNTIFS(Descriptions!B:B,"ON",Descriptions!$C:$C,"ID",Descriptions!$E:$E,"RA",Descriptions!$G:$G,"8",Descriptions!$L:$L,"&gt;0")/100)</f>
        <v/>
      </c>
      <c r="U8" s="24" t="str">
        <f>IF(SUMIFS(Descriptions!$L:$L,Descriptions!B:B,"ON",Descriptions!$C:$C,"ID",Descriptions!$E:$E,"RA",Descriptions!$G:$G,"9")=0,"",SUMIFS(Descriptions!$L:$L,Descriptions!B:B,"ON",Descriptions!$C:$C,"ID",Descriptions!$E:$E,"RA",Descriptions!$G:$G,"9")/COUNTIFS(Descriptions!B:B,"ON",Descriptions!$C:$C,"ID",Descriptions!$E:$E,"RA",Descriptions!$G:$G,"9",Descriptions!$L:$L,"&gt;0")/100)</f>
        <v/>
      </c>
      <c r="V8" s="24" t="str">
        <f>IF(SUMIFS(Descriptions!$L:$L,Descriptions!B:B,"ON",Descriptions!$C:$C,"ID",Descriptions!$E:$E,"RA",Descriptions!$G:$G,"10")=0,"",SUMIFS(Descriptions!$L:$L,Descriptions!B:B,"ON",Descriptions!$C:$C,"ID",Descriptions!$E:$E,"RA",Descriptions!$G:$G,"10")/COUNTIFS(Descriptions!B:B,"ON",Descriptions!$C:$C,"ID",Descriptions!$E:$E,"RA",Descriptions!$G:$G,"10",Descriptions!$L:$L,"&gt;0")/100)</f>
        <v/>
      </c>
      <c r="W8" s="24" t="str">
        <f>IF(SUMIFS(Descriptions!$L:$L,Descriptions!B:B,"ON",Descriptions!$C:$C,"ID",Descriptions!$E:$E,"RA",Descriptions!$G:$G,"11")=0,"",SUMIFS(Descriptions!$L:$L,Descriptions!B:B,"ON",Descriptions!$C:$C,"ID",Descriptions!$E:$E,"RA",Descriptions!$G:$G,"11")/COUNTIFS(Descriptions!B:B,"ON",Descriptions!$C:$C,"ID",Descriptions!$E:$E,"RA",Descriptions!$G:$G,"11",Descriptions!$L:$L,"&gt;0")/100)</f>
        <v/>
      </c>
      <c r="X8" s="25" t="str">
        <f>IF(SUMIFS(Descriptions!$L:$L,Descriptions!B:B,"ON",Descriptions!$C:$C,"ID",Descriptions!$E:$E,"RA",Descriptions!$G:$G,"12")=0,"",SUMIFS(Descriptions!$L:$L,Descriptions!B:B,"ON",Descriptions!$C:$C,"ID",Descriptions!$E:$E,"RA",Descriptions!$G:$G,"12")/COUNTIFS(Descriptions!B:B,"ON",Descriptions!$C:$C,"ID",Descriptions!$E:$E,"RA",Descriptions!$G:$G,"12",Descriptions!$L:$L,"&gt;0")/100)</f>
        <v/>
      </c>
    </row>
    <row r="9" spans="2:26" ht="17.399999999999999" customHeight="1" x14ac:dyDescent="0.3">
      <c r="B9" s="4"/>
      <c r="C9" s="27"/>
      <c r="D9" s="27"/>
      <c r="E9" s="30"/>
      <c r="F9" s="176"/>
      <c r="G9" s="21" t="str">
        <f>IF(SUMIFS(Descriptions!$L:$L,Descriptions!B:B,"ON",Descriptions!$C:$C,"ID",Descriptions!$E:$E,"RM")=0,"",SUMIFS(Descriptions!$L:$L,Descriptions!B:B,"ON",Descriptions!$C:$C,"ID",Descriptions!$E:$E,"RM")/COUNTIFS(Descriptions!B:B,"ON",Descriptions!$C:$C,"ID",Descriptions!$E:$E,"RM",Descriptions!$L:$L,"&gt;0")/100)</f>
        <v/>
      </c>
      <c r="H9" s="166"/>
      <c r="I9" s="14" t="s">
        <v>23</v>
      </c>
      <c r="J9" s="22" t="s">
        <v>24</v>
      </c>
      <c r="K9" s="23" t="s">
        <v>25</v>
      </c>
      <c r="L9" s="17" t="str">
        <f>IF(SUMIFS(Descriptions!$L:$L,Descriptions!B:B,"ON",Descriptions!$C:$C,"ID",Descriptions!$E:$E,"RM",Descriptions!$G:$G,"0")=0,"",SUMIFS(Descriptions!$L:$L,Descriptions!B:B,"ON",Descriptions!$C:$C,"ID",Descriptions!$E:$E,"RM",Descriptions!$G:$G,"0")/COUNTIFS(Descriptions!B:B,"ON",Descriptions!$C:$C,"ID",Descriptions!$E:$E,"RM",Descriptions!$G:$G,"0",Descriptions!$L:$L,"&gt;0")/100)</f>
        <v/>
      </c>
      <c r="M9" s="18" t="str">
        <f>IF(SUMIFS(Descriptions!$L:$L,Descriptions!B:B,"ON",Descriptions!$C:$C,"ID",Descriptions!$E:$E,"RM",Descriptions!$G:$G,"1")=0,"",SUMIFS(Descriptions!$L:$L,Descriptions!B:B,"ON",Descriptions!$C:$C,"ID",Descriptions!$E:$E,"RM",Descriptions!$G:$G,"1")/COUNTIFS(Descriptions!B:B,"ON",Descriptions!$C:$C,"ID",Descriptions!$E:$E,"RM",Descriptions!$G:$G,"1",Descriptions!$L:$L,"&gt;0")/100)</f>
        <v/>
      </c>
      <c r="N9" s="18" t="str">
        <f>IF(SUMIFS(Descriptions!$L:$L,Descriptions!B:B,"ON",Descriptions!$C:$C,"ID",Descriptions!$E:$E,"RM",Descriptions!$G:$G,"2")=0,"",SUMIFS(Descriptions!$L:$L,Descriptions!B:B,"ON",Descriptions!$C:$C,"ID",Descriptions!$E:$E,"RM",Descriptions!$G:$G,"2")/COUNTIFS(Descriptions!B:B,"ON",Descriptions!$C:$C,"ID",Descriptions!$E:$E,"RM",Descriptions!$G:$G,"2",Descriptions!$L:$L,"&gt;0")/100)</f>
        <v/>
      </c>
      <c r="O9" s="18" t="str">
        <f>IF(SUMIFS(Descriptions!$L:$L,Descriptions!B:B,"ON",Descriptions!$C:$C,"ID",Descriptions!$E:$E,"RM",Descriptions!$G:$G,"3")=0,"",SUMIFS(Descriptions!$L:$L,Descriptions!B:B,"ON",Descriptions!$C:$C,"ID",Descriptions!$E:$E,"RM",Descriptions!$G:$G,"3")/COUNTIFS(Descriptions!B:B,"ON",Descriptions!$C:$C,"ID",Descriptions!$E:$E,"RM",Descriptions!$G:$G,"3",Descriptions!$L:$L,"&gt;0")/100)</f>
        <v/>
      </c>
      <c r="P9" s="24" t="str">
        <f>IF(SUMIFS(Descriptions!$L:$L,Descriptions!B:B,"ON",Descriptions!$C:$C,"ID",Descriptions!$E:$E,"RM",Descriptions!$G:$G,"4")=0,"",SUMIFS(Descriptions!$L:$L,Descriptions!B:B,"ON",Descriptions!$C:$C,"ID",Descriptions!$E:$E,"RM",Descriptions!$G:$G,"4")/COUNTIFS(Descriptions!B:B,"ON",Descriptions!$C:$C,"ID",Descriptions!$E:$E,"RM",Descriptions!$G:$G,"4",Descriptions!$L:$L,"&gt;0")/100)</f>
        <v/>
      </c>
      <c r="Q9" s="24" t="str">
        <f>IF(SUMIFS(Descriptions!$L:$L,Descriptions!B:B,"ON",Descriptions!$C:$C,"ID",Descriptions!$E:$E,"RM",Descriptions!$G:$G,"5")=0,"",SUMIFS(Descriptions!$L:$L,Descriptions!B:B,"ON",Descriptions!$C:$C,"ID",Descriptions!$E:$E,"RM",Descriptions!$G:$G,"5")/COUNTIFS(Descriptions!B:B,"ON",Descriptions!$C:$C,"ID",Descriptions!$E:$E,"RM",Descriptions!$G:$G,"5",Descriptions!$L:$L,"&gt;0")/100)</f>
        <v/>
      </c>
      <c r="R9" s="24" t="str">
        <f>IF(SUMIFS(Descriptions!$L:$L,Descriptions!B:B,"ON",Descriptions!$C:$C,"ID",Descriptions!$E:$E,"RM",Descriptions!$G:$G,"6")=0,"",SUMIFS(Descriptions!$L:$L,Descriptions!B:B,"ON",Descriptions!$C:$C,"ID",Descriptions!$E:$E,"RM",Descriptions!$G:$G,"6")/COUNTIFS(Descriptions!B:B,"ON",Descriptions!$C:$C,"ID",Descriptions!$E:$E,"RM",Descriptions!$G:$G,"6",Descriptions!$L:$L,"&gt;0")/100)</f>
        <v/>
      </c>
      <c r="S9" s="24" t="str">
        <f>IF(SUMIFS(Descriptions!$L:$L,Descriptions!B:B,"ON",Descriptions!$C:$C,"ID",Descriptions!$E:$E,"RM",Descriptions!$G:$G,"7")=0,"",SUMIFS(Descriptions!$L:$L,Descriptions!B:B,"ON",Descriptions!$C:$C,"ID",Descriptions!$E:$E,"RM",Descriptions!$G:$G,"7")/COUNTIFS(Descriptions!B:B,"ON",Descriptions!$C:$C,"ID",Descriptions!$E:$E,"RM",Descriptions!$G:$G,"7",Descriptions!$L:$L,"&gt;0")/100)</f>
        <v/>
      </c>
      <c r="T9" s="24" t="str">
        <f>IF(SUMIFS(Descriptions!$L:$L,Descriptions!B:B,"ON",Descriptions!$C:$C,"ID",Descriptions!$E:$E,"RM",Descriptions!$G:$G,"8")=0,"",SUMIFS(Descriptions!$L:$L,Descriptions!B:B,"ON",Descriptions!$C:$C,"ID",Descriptions!$E:$E,"RM",Descriptions!$G:$G,"8")/COUNTIFS(Descriptions!B:B,"ON",Descriptions!$C:$C,"ID",Descriptions!$E:$E,"RM",Descriptions!$G:$G,"8",Descriptions!$L:$L,"&gt;0")/100)</f>
        <v/>
      </c>
      <c r="U9" s="24" t="str">
        <f>IF(SUMIFS(Descriptions!$L:$L,Descriptions!B:B,"ON",Descriptions!$C:$C,"ID",Descriptions!$E:$E,"RM",Descriptions!$G:$G,"9")=0,"",SUMIFS(Descriptions!$L:$L,Descriptions!B:B,"ON",Descriptions!$C:$C,"ID",Descriptions!$E:$E,"RM",Descriptions!$G:$G,"9")/COUNTIFS(Descriptions!B:B,"ON",Descriptions!$C:$C,"ID",Descriptions!$E:$E,"RM",Descriptions!$G:$G,"9",Descriptions!$L:$L,"&gt;0")/100)</f>
        <v/>
      </c>
      <c r="V9" s="24" t="str">
        <f>IF(SUMIFS(Descriptions!$L:$L,Descriptions!B:B,"ON",Descriptions!$C:$C,"ID",Descriptions!$E:$E,"RM",Descriptions!$G:$G,"10")=0,"",SUMIFS(Descriptions!$L:$L,Descriptions!B:B,"ON",Descriptions!$C:$C,"ID",Descriptions!$E:$E,"RM",Descriptions!$G:$G,"10")/COUNTIFS(Descriptions!B:B,"ON",Descriptions!$C:$C,"ID",Descriptions!$E:$E,"RM",Descriptions!$G:$G,"10",Descriptions!$L:$L,"&gt;0")/100)</f>
        <v/>
      </c>
      <c r="W9" s="24" t="str">
        <f>IF(SUMIFS(Descriptions!$L:$L,Descriptions!B:B,"ON",Descriptions!$C:$C,"ID",Descriptions!$E:$E,"RM",Descriptions!$G:$G,"11")=0,"",SUMIFS(Descriptions!$L:$L,Descriptions!B:B,"ON",Descriptions!$C:$C,"ID",Descriptions!$E:$E,"RM",Descriptions!$G:$G,"11")/COUNTIFS(Descriptions!B:B,"ON",Descriptions!$C:$C,"ID",Descriptions!$E:$E,"RM",Descriptions!$G:$G,"11",Descriptions!$L:$L,"&gt;0")/100)</f>
        <v/>
      </c>
      <c r="X9" s="25" t="str">
        <f>IF(SUMIFS(Descriptions!$L:$L,Descriptions!B:B,"ON",Descriptions!$C:$C,"ID",Descriptions!$E:$E,"RM",Descriptions!$G:$G,"12")=0,"",SUMIFS(Descriptions!$L:$L,Descriptions!B:B,"ON",Descriptions!$C:$C,"ID",Descriptions!$E:$E,"RM",Descriptions!$G:$G,"12")/COUNTIFS(Descriptions!B:B,"ON",Descriptions!$C:$C,"ID",Descriptions!$E:$E,"RM",Descriptions!$G:$G,"12",Descriptions!$L:$L,"&gt;0")/100)</f>
        <v/>
      </c>
    </row>
    <row r="10" spans="2:26" ht="17.399999999999999" customHeight="1" x14ac:dyDescent="0.3">
      <c r="B10" s="4"/>
      <c r="C10" s="27"/>
      <c r="D10" s="27"/>
      <c r="E10" s="30"/>
      <c r="F10" s="177"/>
      <c r="G10" s="21" t="str">
        <f>IF(SUMIFS(Descriptions!$L:$L,Descriptions!B:B,"ON",Descriptions!$C:$C,"ID",Descriptions!$E:$E,"SC")=0,"",SUMIFS(Descriptions!$L:$L,Descriptions!B:B,"ON",Descriptions!$C:$C,"ID",Descriptions!$E:$E,"SC")/COUNTIFS(Descriptions!B:B,"ON",Descriptions!$C:$C,"ID",Descriptions!$E:$E,"SC",Descriptions!$L:$L,"&gt;0")/100)</f>
        <v/>
      </c>
      <c r="H10" s="167"/>
      <c r="I10" s="14" t="s">
        <v>27</v>
      </c>
      <c r="J10" s="22" t="s">
        <v>28</v>
      </c>
      <c r="K10" s="23" t="s">
        <v>29</v>
      </c>
      <c r="L10" s="17" t="str">
        <f>IF(SUMIFS(Descriptions!$L:$L,Descriptions!B:B,"ON",Descriptions!$C:$C,"ID",Descriptions!$E:$E,"RM",Descriptions!$G:$G,"0")=0,"",SUMIFS(Descriptions!$L:$L,Descriptions!B:B,"ON",Descriptions!$C:$C,"ID",Descriptions!$E:$E,"RM",Descriptions!$G:$G,"0")/COUNTIFS(Descriptions!B:B,"ON",Descriptions!$C:$C,"ID",Descriptions!$E:$E,"RM",Descriptions!$G:$G,"0",Descriptions!$L:$L,"&gt;0")/100)</f>
        <v/>
      </c>
      <c r="M10" s="18" t="str">
        <f>IF(SUMIFS(Descriptions!$L:$L,Descriptions!B:B,"ON",Descriptions!$C:$C,"ID",Descriptions!$E:$E,"SC",Descriptions!$G:$G,"1")=0,"",SUMIFS(Descriptions!$L:$L,Descriptions!B:B,"ON",Descriptions!$C:$C,"ID",Descriptions!$E:$E,"SC",Descriptions!$G:$G,"1")/COUNTIFS(Descriptions!B:B,"ON",Descriptions!$C:$C,"ID",Descriptions!$E:$E,"SC",Descriptions!$G:$G,"1",Descriptions!$L:$L,"&gt;0")/100)</f>
        <v/>
      </c>
      <c r="N10" s="18" t="str">
        <f>IF(SUMIFS(Descriptions!$L:$L,Descriptions!B:B,"ON",Descriptions!$C:$C,"ID",Descriptions!$E:$E,"SC",Descriptions!$G:$G,"2")=0,"",SUMIFS(Descriptions!$L:$L,Descriptions!B:B,"ON",Descriptions!$C:$C,"ID",Descriptions!$E:$E,"SC",Descriptions!$G:$G,"2")/COUNTIFS(Descriptions!B:B,"ON",Descriptions!$C:$C,"ID",Descriptions!$E:$E,"SC",Descriptions!$G:$G,"2",Descriptions!$L:$L,"&gt;0")/100)</f>
        <v/>
      </c>
      <c r="O10" s="18" t="str">
        <f>IF(SUMIFS(Descriptions!$L:$L,Descriptions!B:B,"ON",Descriptions!$C:$C,"ID",Descriptions!$E:$E,"SC",Descriptions!$G:$G,"3")=0,"",SUMIFS(Descriptions!$L:$L,Descriptions!B:B,"ON",Descriptions!$C:$C,"ID",Descriptions!$E:$E,"SC",Descriptions!$G:$G,"3")/COUNTIFS(Descriptions!B:B,"ON",Descriptions!$C:$C,"ID",Descriptions!$E:$E,"SC",Descriptions!$G:$G,"3",Descriptions!$L:$L,"&gt;0")/100)</f>
        <v/>
      </c>
      <c r="P10" s="18" t="str">
        <f>IF(SUMIFS(Descriptions!$L:$L,Descriptions!B:B,"ON",Descriptions!$C:$C,"ID",Descriptions!$E:$E,"SC",Descriptions!$G:$G,"4")=0,"",SUMIFS(Descriptions!$L:$L,Descriptions!B:B,"ON",Descriptions!$C:$C,"ID",Descriptions!$E:$E,"SC",Descriptions!$G:$G,"4")/COUNTIFS(Descriptions!B:B,"ON",Descriptions!$C:$C,"ID",Descriptions!$E:$E,"SC",Descriptions!$G:$G,"4",Descriptions!$L:$L,"&gt;0")/100)</f>
        <v/>
      </c>
      <c r="Q10" s="18" t="str">
        <f>IF(SUMIFS(Descriptions!$L:$L,Descriptions!B:B,"ON",Descriptions!$C:$C,"ID",Descriptions!$E:$E,"SC",Descriptions!$G:$G,"5")=0,"",SUMIFS(Descriptions!$L:$L,Descriptions!B:B,"ON",Descriptions!$C:$C,"ID",Descriptions!$E:$E,"SC",Descriptions!$G:$G,"5")/COUNTIFS(Descriptions!B:B,"ON",Descriptions!$C:$C,"ID",Descriptions!$E:$E,"SC",Descriptions!$G:$G,"5",Descriptions!$L:$L,"&gt;0")/100)</f>
        <v/>
      </c>
      <c r="R10" s="24" t="str">
        <f>IF(SUMIFS(Descriptions!$L:$L,Descriptions!B:B,"ON",Descriptions!$C:$C,"ID",Descriptions!$E:$E,"SC",Descriptions!$G:$G,"6")=0,"",SUMIFS(Descriptions!$L:$L,Descriptions!B:B,"ON",Descriptions!$C:$C,"ID",Descriptions!$E:$E,"SC",Descriptions!$G:$G,"6")/COUNTIFS(Descriptions!B:B,"ON",Descriptions!$C:$C,"ID",Descriptions!$E:$E,"SC",Descriptions!$G:$G,"6",Descriptions!$L:$L,"&gt;0")/100)</f>
        <v/>
      </c>
      <c r="S10" s="24" t="str">
        <f>IF(SUMIFS(Descriptions!$L:$L,Descriptions!B:B,"ON",Descriptions!$C:$C,"ID",Descriptions!$E:$E,"SC",Descriptions!$G:$G,"7")=0,"",SUMIFS(Descriptions!$L:$L,Descriptions!B:B,"ON",Descriptions!$C:$C,"ID",Descriptions!$E:$E,"SC",Descriptions!$G:$G,"7")/COUNTIFS(Descriptions!B:B,"ON",Descriptions!$C:$C,"ID",Descriptions!$E:$E,"SC",Descriptions!$G:$G,"7",Descriptions!$L:$L,"&gt;0")/100)</f>
        <v/>
      </c>
      <c r="T10" s="24" t="str">
        <f>IF(SUMIFS(Descriptions!$L:$L,Descriptions!B:B,"ON",Descriptions!$C:$C,"ID",Descriptions!$E:$E,"SC",Descriptions!$G:$G,"8")=0,"",SUMIFS(Descriptions!$L:$L,Descriptions!B:B,"ON",Descriptions!$C:$C,"ID",Descriptions!$E:$E,"SC",Descriptions!$G:$G,"8")/COUNTIFS(Descriptions!B:B,"ON",Descriptions!$C:$C,"ID",Descriptions!$E:$E,"SC",Descriptions!$G:$G,"8",Descriptions!$L:$L,"&gt;0")/100)</f>
        <v/>
      </c>
      <c r="U10" s="24" t="str">
        <f>IF(SUMIFS(Descriptions!$L:$L,Descriptions!B:B,"ON",Descriptions!$C:$C,"ID",Descriptions!$E:$E,"SC",Descriptions!$G:$G,"9")=0,"",SUMIFS(Descriptions!$L:$L,Descriptions!B:B,"ON",Descriptions!$C:$C,"ID",Descriptions!$E:$E,"SC",Descriptions!$G:$G,"9")/COUNTIFS(Descriptions!B:B,"ON",Descriptions!$C:$C,"ID",Descriptions!$E:$E,"SC",Descriptions!$G:$G,"9",Descriptions!$L:$L,"&gt;0")/100)</f>
        <v/>
      </c>
      <c r="V10" s="24" t="str">
        <f>IF(SUMIFS(Descriptions!$L:$L,Descriptions!B:B,"ON",Descriptions!$C:$C,"ID",Descriptions!$E:$E,"SC",Descriptions!$G:$G,"10")=0,"",SUMIFS(Descriptions!$L:$L,Descriptions!B:B,"ON",Descriptions!$C:$C,"ID",Descriptions!$E:$E,"SC",Descriptions!$G:$G,"10")/COUNTIFS(Descriptions!B:B,"ON",Descriptions!$C:$C,"ID",Descriptions!$E:$E,"SC",Descriptions!$G:$G,"10",Descriptions!$L:$L,"&gt;0")/100)</f>
        <v/>
      </c>
      <c r="W10" s="24" t="str">
        <f>IF(SUMIFS(Descriptions!$L:$L,Descriptions!B:B,"ON",Descriptions!$C:$C,"ID",Descriptions!$E:$E,"SC",Descriptions!$G:$G,"11")=0,"",SUMIFS(Descriptions!$L:$L,Descriptions!B:B,"ON",Descriptions!$C:$C,"ID",Descriptions!$E:$E,"SC",Descriptions!$G:$G,"11")/COUNTIFS(Descriptions!B:B,"ON",Descriptions!$C:$C,"ID",Descriptions!$E:$E,"SC",Descriptions!$G:$G,"11",Descriptions!$L:$L,"&gt;0")/100)</f>
        <v/>
      </c>
      <c r="X10" s="25" t="str">
        <f>IF(SUMIFS(Descriptions!$L:$L,Descriptions!B:B,"ON",Descriptions!$C:$C,"ID",Descriptions!$E:$E,"SC",Descriptions!$G:$G,"12")=0,"",SUMIFS(Descriptions!$L:$L,Descriptions!B:B,"ON",Descriptions!$C:$C,"ID",Descriptions!$E:$E,"SC",Descriptions!$G:$G,"12")/COUNTIFS(Descriptions!B:B,"ON",Descriptions!$C:$C,"ID",Descriptions!$E:$E,"SC",Descriptions!$G:$G,"12",Descriptions!$L:$L,"&gt;0")/100)</f>
        <v/>
      </c>
    </row>
    <row r="11" spans="2:26" ht="17.399999999999999" customHeight="1" x14ac:dyDescent="0.3">
      <c r="B11" s="4"/>
      <c r="C11" s="27"/>
      <c r="D11" s="27"/>
      <c r="E11" s="30"/>
      <c r="F11" s="189"/>
      <c r="G11" s="13" t="str">
        <f>IF(SUMIFS(Descriptions!$L:$L,Descriptions!B:B,"ON",Descriptions!$C:$C,"PR",Descriptions!$E:$E,"AC")=0,"",SUMIFS(Descriptions!$L:$L,Descriptions!B:B,"ON",Descriptions!$C:$C,"PR",Descriptions!$E:$E,"AC")/COUNTIFS(Descriptions!B:B,"ON",Descriptions!$C:$C,"PR",Descriptions!$E:$E,"AC",Descriptions!$L:$L,"&gt;0")/100)</f>
        <v/>
      </c>
      <c r="H11" s="191" t="s">
        <v>30</v>
      </c>
      <c r="I11" s="77" t="s">
        <v>31</v>
      </c>
      <c r="J11" s="78" t="s">
        <v>32</v>
      </c>
      <c r="K11" s="79" t="s">
        <v>33</v>
      </c>
      <c r="L11" s="17" t="str">
        <f>IF(SUMIFS(Descriptions!$L:$L,Descriptions!B:B,"ON",Descriptions!$C:$C,"PR",Descriptions!$E:$E,"AC",Descriptions!$G:$G,"0")=0,"",SUMIFS(Descriptions!$L:$L,Descriptions!B:B,"ON",Descriptions!$C:$C,"PR",Descriptions!$E:$E,"AC",Descriptions!$G:$G,"0")/COUNTIFS(Descriptions!B:B,"ON",Descriptions!$C:$C,"PR",Descriptions!$E:$E,"AC",Descriptions!$G:$G,"0",Descriptions!$L:$L,"&gt;0")/100)</f>
        <v/>
      </c>
      <c r="M11" s="18" t="str">
        <f>IF(SUMIFS(Descriptions!$L:$L,Descriptions!B:B,"ON",Descriptions!$C:$C,"PR",Descriptions!$E:$E,"AC",Descriptions!$G:$G,"1")=0,"",SUMIFS(Descriptions!$L:$L,Descriptions!B:B,"ON",Descriptions!$C:$C,"PR",Descriptions!$E:$E,"AC",Descriptions!$G:$G,"1")/COUNTIFS(Descriptions!B:B,"ON",Descriptions!$C:$C,"PR",Descriptions!$E:$E,"AC",Descriptions!$G:$G,"1",Descriptions!$L:$L,"&gt;0")/100)</f>
        <v/>
      </c>
      <c r="N11" s="18" t="str">
        <f>IF(SUMIFS(Descriptions!$L:$L,Descriptions!B:B,"ON",Descriptions!$C:$C,"PR",Descriptions!$E:$E,"AC",Descriptions!$G:$G,"2")=0,"",SUMIFS(Descriptions!$L:$L,Descriptions!B:B,"ON",Descriptions!$C:$C,"PR",Descriptions!$E:$E,"AC",Descriptions!$G:$G,"2")/COUNTIFS(Descriptions!B:B,"ON",Descriptions!$C:$C,"PR",Descriptions!$E:$E,"AC",Descriptions!$G:$G,"2",Descriptions!$L:$L,"&gt;0")/100)</f>
        <v/>
      </c>
      <c r="O11" s="18" t="str">
        <f>IF(SUMIFS(Descriptions!$L:$L,Descriptions!B:B,"ON",Descriptions!$C:$C,"PR",Descriptions!$E:$E,"AC",Descriptions!$G:$G,"3")=0,"",SUMIFS(Descriptions!$L:$L,Descriptions!B:B,"ON",Descriptions!$C:$C,"PR",Descriptions!$E:$E,"AC",Descriptions!$G:$G,"3")/COUNTIFS(Descriptions!B:B,"ON",Descriptions!$C:$C,"PR",Descriptions!$E:$E,"AC",Descriptions!$G:$G,"3",Descriptions!$L:$L,"&gt;0")/100)</f>
        <v/>
      </c>
      <c r="P11" s="18" t="str">
        <f>IF(SUMIFS(Descriptions!$L:$L,Descriptions!B:B,"ON",Descriptions!$C:$C,"PR",Descriptions!$E:$E,"AC",Descriptions!$G:$G,"4")=0,"",SUMIFS(Descriptions!$L:$L,Descriptions!B:B,"ON",Descriptions!$C:$C,"PR",Descriptions!$E:$E,"AC",Descriptions!$G:$G,"4")/COUNTIFS(Descriptions!B:B,"ON",Descriptions!$C:$C,"PR",Descriptions!$E:$E,"AC",Descriptions!$G:$G,"4",Descriptions!$L:$L,"&gt;0")/100)</f>
        <v/>
      </c>
      <c r="Q11" s="18" t="str">
        <f>IF(SUMIFS(Descriptions!$L:$L,Descriptions!B:B,"ON",Descriptions!$C:$C,"PR",Descriptions!$E:$E,"AC",Descriptions!$G:$G,"5")=0,"",SUMIFS(Descriptions!$L:$L,Descriptions!B:B,"ON",Descriptions!$C:$C,"PR",Descriptions!$E:$E,"AC",Descriptions!$G:$G,"5")/COUNTIFS(Descriptions!B:B,"ON",Descriptions!$C:$C,"PR",Descriptions!$E:$E,"AC",Descriptions!$G:$G,"5",Descriptions!$L:$L,"&gt;0")/100)</f>
        <v/>
      </c>
      <c r="R11" s="18" t="str">
        <f>IF(SUMIFS(Descriptions!$L:$L,Descriptions!B:B,"ON",Descriptions!$C:$C,"PR",Descriptions!$E:$E,"AC",Descriptions!$G:$G,"6")=0,"",SUMIFS(Descriptions!$L:$L,Descriptions!B:B,"ON",Descriptions!$C:$C,"PR",Descriptions!$E:$E,"AC",Descriptions!$G:$G,"6")/COUNTIFS(Descriptions!B:B,"ON",Descriptions!$C:$C,"PR",Descriptions!$E:$E,"AC",Descriptions!$G:$G,"6",Descriptions!$L:$L,"&gt;0")/100)</f>
        <v/>
      </c>
      <c r="S11" s="154" t="str">
        <f>IF(SUMIFS(Descriptions!$L:$L,Descriptions!B:B,"ON",Descriptions!$C:$C,"PR",Descriptions!$E:$E,"AC",Descriptions!$G:$G,"7")=0,"",SUMIFS(Descriptions!$L:$L,Descriptions!B:B,"ON",Descriptions!$C:$C,"PR",Descriptions!$E:$E,"AC",Descriptions!$G:$G,"7")/COUNTIFS(Descriptions!B:B,"ON",Descriptions!$C:$C,"PR",Descriptions!$E:$E,"AC",Descriptions!$G:$G,"7",Descriptions!$L:$L,"&gt;0")/100)</f>
        <v/>
      </c>
      <c r="T11" s="24" t="str">
        <f>IF(SUMIFS(Descriptions!$L:$L,Descriptions!B:B,"ON",Descriptions!$C:$C,"PR",Descriptions!$E:$E,"AC",Descriptions!$G:$G,"8")=0,"",SUMIFS(Descriptions!$L:$L,Descriptions!B:B,"ON",Descriptions!$C:$C,"PR",Descriptions!$E:$E,"AC",Descriptions!$G:$G,"8")/COUNTIFS(Descriptions!B:B,"ON",Descriptions!$C:$C,"PR",Descriptions!$E:$E,"AC",Descriptions!$G:$G,"8",Descriptions!$L:$L,"&gt;0")/100)</f>
        <v/>
      </c>
      <c r="U11" s="24" t="str">
        <f>IF(SUMIFS(Descriptions!$L:$L,Descriptions!B:B,"ON",Descriptions!$C:$C,"PR",Descriptions!$E:$E,"AC",Descriptions!$G:$G,"9")=0,"",SUMIFS(Descriptions!$L:$L,Descriptions!B:B,"ON",Descriptions!$C:$C,"PR",Descriptions!$E:$E,"AC",Descriptions!$G:$G,"9")/COUNTIFS(Descriptions!B:B,"ON",Descriptions!$C:$C,"PR",Descriptions!$E:$E,"AC",Descriptions!$G:$G,"9",Descriptions!$L:$L,"&gt;0")/100)</f>
        <v/>
      </c>
      <c r="V11" s="24" t="str">
        <f>IF(SUMIFS(Descriptions!$L:$L,Descriptions!B:B,"ON",Descriptions!$C:$C,"PR",Descriptions!$E:$E,"AC",Descriptions!$G:$G,"10")=0,"",SUMIFS(Descriptions!$L:$L,Descriptions!B:B,"ON",Descriptions!$C:$C,"PR",Descriptions!$E:$E,"AC",Descriptions!$G:$G,"10")/COUNTIFS(Descriptions!B:B,"ON",Descriptions!$C:$C,"PR",Descriptions!$E:$E,"AC",Descriptions!$G:$G,"10",Descriptions!$L:$L,"&gt;0")/100)</f>
        <v/>
      </c>
      <c r="W11" s="24" t="str">
        <f>IF(SUMIFS(Descriptions!$L:$L,Descriptions!B:B,"ON",Descriptions!$C:$C,"PR",Descriptions!$E:$E,"AC",Descriptions!$G:$G,"11")=0,"",SUMIFS(Descriptions!$L:$L,Descriptions!B:B,"ON",Descriptions!$C:$C,"PR",Descriptions!$E:$E,"AC",Descriptions!$G:$G,"11")/COUNTIFS(Descriptions!B:B,"ON",Descriptions!$C:$C,"PR",Descriptions!$E:$E,"AC",Descriptions!$G:$G,"11",Descriptions!$L:$L,"&gt;0")/100)</f>
        <v/>
      </c>
      <c r="X11" s="25" t="str">
        <f>IF(SUMIFS(Descriptions!$L:$L,Descriptions!B:B,"ON",Descriptions!$C:$C,"PR",Descriptions!$E:$E,"AC",Descriptions!$G:$G,"12")=0,"",SUMIFS(Descriptions!$L:$L,Descriptions!B:B,"ON",Descriptions!$C:$C,"PR",Descriptions!$E:$E,"AC",Descriptions!$G:$G,"12")/COUNTIFS(Descriptions!B:B,"ON",Descriptions!$C:$C,"PR",Descriptions!$E:$E,"AC",Descriptions!$G:$G,"12",Descriptions!$L:$L,"&gt;0")/100)</f>
        <v/>
      </c>
    </row>
    <row r="12" spans="2:26" ht="17.399999999999999" customHeight="1" x14ac:dyDescent="0.3">
      <c r="B12" s="4"/>
      <c r="C12" s="27"/>
      <c r="D12" s="27"/>
      <c r="E12" s="168" t="e">
        <f>SUM(G11:G16)/COUNT(G11:G16)</f>
        <v>#DIV/0!</v>
      </c>
      <c r="F12" s="190"/>
      <c r="G12" s="21" t="str">
        <f>IF(SUMIFS(Descriptions!$L:$L,Descriptions!B:B,"ON",Descriptions!$C:$C,"PR",Descriptions!$E:$E,"AT")=0,"",SUMIFS(Descriptions!$L:$L,Descriptions!B:B,"ON",Descriptions!$C:$C,"PR",Descriptions!$E:$E,"AT")/COUNTIFS(Descriptions!B:B,"ON",Descriptions!$C:$C,"PR",Descriptions!$E:$E,"AT",Descriptions!$L:$L,"&gt;0")/100)</f>
        <v/>
      </c>
      <c r="H12" s="192"/>
      <c r="I12" s="77" t="s">
        <v>34</v>
      </c>
      <c r="J12" s="78" t="s">
        <v>35</v>
      </c>
      <c r="K12" s="79" t="s">
        <v>36</v>
      </c>
      <c r="L12" s="17" t="str">
        <f>IF(SUMIFS(Descriptions!$L:$L,Descriptions!B:B,"ON",Descriptions!$C:$C,"PR",Descriptions!$E:$E,"AT",Descriptions!$G:$G,"0")=0,"",SUMIFS(Descriptions!$L:$L,Descriptions!B:B,"ON",Descriptions!$C:$C,"PR",Descriptions!$E:$E,"AT",Descriptions!$G:$G,"0")/COUNTIFS(Descriptions!B:B,"ON",Descriptions!$C:$C,"PR",Descriptions!$E:$E,"AT",Descriptions!$G:$G,"0",Descriptions!$L:$L,"&gt;0")/100)</f>
        <v/>
      </c>
      <c r="M12" s="18" t="str">
        <f>IF(SUMIFS(Descriptions!$L:$L,Descriptions!B:B,"ON",Descriptions!$C:$C,"PR",Descriptions!$E:$E,"AT",Descriptions!$G:$G,"1")=0,"",SUMIFS(Descriptions!$L:$L,Descriptions!B:B,"ON",Descriptions!$C:$C,"PR",Descriptions!$E:$E,"AT",Descriptions!$G:$G,"1")/COUNTIFS(Descriptions!B:B,"ON",Descriptions!$C:$C,"PR",Descriptions!$E:$E,"AT",Descriptions!$G:$G,"1",Descriptions!$L:$L,"&gt;0")/100)</f>
        <v/>
      </c>
      <c r="N12" s="18" t="str">
        <f>IF(SUMIFS(Descriptions!$L:$L,Descriptions!B:B,"ON",Descriptions!$C:$C,"PR",Descriptions!$E:$E,"AT",Descriptions!$G:$G,"2")=0,"",SUMIFS(Descriptions!$L:$L,Descriptions!B:B,"ON",Descriptions!$C:$C,"PR",Descriptions!$E:$E,"AT",Descriptions!$G:$G,"2")/COUNTIFS(Descriptions!B:B,"ON",Descriptions!$C:$C,"PR",Descriptions!$E:$E,"AT",Descriptions!$G:$G,"2",Descriptions!$L:$L,"&gt;0")/100)</f>
        <v/>
      </c>
      <c r="O12" s="18" t="str">
        <f>IF(SUMIFS(Descriptions!$L:$L,Descriptions!B:B,"ON",Descriptions!$C:$C,"PR",Descriptions!$E:$E,"AT",Descriptions!$G:$G,"3")=0,"",SUMIFS(Descriptions!$L:$L,Descriptions!B:B,"ON",Descriptions!$C:$C,"PR",Descriptions!$E:$E,"AT",Descriptions!$G:$G,"3")/COUNTIFS(Descriptions!B:B,"ON",Descriptions!$C:$C,"PR",Descriptions!$E:$E,"AT",Descriptions!$G:$G,"3",Descriptions!$L:$L,"&gt;0")/100)</f>
        <v/>
      </c>
      <c r="P12" s="18" t="str">
        <f>IF(SUMIFS(Descriptions!$L:$L,Descriptions!B:B,"ON",Descriptions!$C:$C,"PR",Descriptions!$E:$E,"AT",Descriptions!$G:$G,"4")=0,"",SUMIFS(Descriptions!$L:$L,Descriptions!B:B,"ON",Descriptions!$C:$C,"PR",Descriptions!$E:$E,"AT",Descriptions!$G:$G,"4")/COUNTIFS(Descriptions!B:B,"ON",Descriptions!$C:$C,"PR",Descriptions!$E:$E,"AT",Descriptions!$G:$G,"4",Descriptions!$L:$L,"&gt;0")/100)</f>
        <v/>
      </c>
      <c r="Q12" s="18" t="str">
        <f>IF(SUMIFS(Descriptions!$L:$L,Descriptions!B:B,"ON",Descriptions!$C:$C,"PR",Descriptions!$E:$E,"AT",Descriptions!$G:$G,"5")=0,"",SUMIFS(Descriptions!$L:$L,Descriptions!B:B,"ON",Descriptions!$C:$C,"PR",Descriptions!$E:$E,"AT",Descriptions!$G:$G,"5")/COUNTIFS(Descriptions!B:B,"ON",Descriptions!$C:$C,"PR",Descriptions!$E:$E,"AT",Descriptions!$G:$G,"5",Descriptions!$L:$L,"&gt;0")/100)</f>
        <v/>
      </c>
      <c r="R12" s="24" t="str">
        <f>IF(SUMIFS(Descriptions!$L:$L,Descriptions!B:B,"ON",Descriptions!$C:$C,"PR",Descriptions!$E:$E,"AT",Descriptions!$G:$G,"6")=0,"",SUMIFS(Descriptions!$L:$L,Descriptions!B:B,"ON",Descriptions!$C:$C,"PR",Descriptions!$E:$E,"AT",Descriptions!$G:$G,"6")/COUNTIFS(Descriptions!B:B,"ON",Descriptions!$C:$C,"PR",Descriptions!$E:$E,"AT",Descriptions!$G:$G,"6",Descriptions!$L:$L,"&gt;0")/100)</f>
        <v/>
      </c>
      <c r="S12" s="24" t="str">
        <f>IF(SUMIFS(Descriptions!$L:$L,Descriptions!B:B,"ON",Descriptions!$C:$C,"PR",Descriptions!$E:$E,"AT",Descriptions!$G:$G,"7")=0,"",SUMIFS(Descriptions!$L:$L,Descriptions!B:B,"ON",Descriptions!$C:$C,"PR",Descriptions!$E:$E,"AT",Descriptions!$G:$G,"7")/COUNTIFS(Descriptions!B:B,"ON",Descriptions!$C:$C,"PR",Descriptions!$E:$E,"AT",Descriptions!$G:$G,"7",Descriptions!$L:$L,"&gt;0")/100)</f>
        <v/>
      </c>
      <c r="T12" s="24" t="str">
        <f>IF(SUMIFS(Descriptions!$L:$L,Descriptions!B:B,"ON",Descriptions!$C:$C,"PR",Descriptions!$E:$E,"AT",Descriptions!$G:$G,"8")=0,"",SUMIFS(Descriptions!$L:$L,Descriptions!B:B,"ON",Descriptions!$C:$C,"PR",Descriptions!$E:$E,"AT",Descriptions!$G:$G,"8")/COUNTIFS(Descriptions!B:B,"ON",Descriptions!$C:$C,"PR",Descriptions!$E:$E,"AT",Descriptions!$G:$G,"8",Descriptions!$L:$L,"&gt;0")/100)</f>
        <v/>
      </c>
      <c r="U12" s="24" t="str">
        <f>IF(SUMIFS(Descriptions!$L:$L,Descriptions!B:B,"ON",Descriptions!$C:$C,"PR",Descriptions!$E:$E,"AT",Descriptions!$G:$G,"9")=0,"",SUMIFS(Descriptions!$L:$L,Descriptions!B:B,"ON",Descriptions!$C:$C,"PR",Descriptions!$E:$E,"AT",Descriptions!$G:$G,"9")/COUNTIFS(Descriptions!B:B,"ON",Descriptions!$C:$C,"PR",Descriptions!$E:$E,"AT",Descriptions!$G:$G,"9",Descriptions!$L:$L,"&gt;0")/100)</f>
        <v/>
      </c>
      <c r="V12" s="24" t="str">
        <f>IF(SUMIFS(Descriptions!$L:$L,Descriptions!B:B,"ON",Descriptions!$C:$C,"PR",Descriptions!$E:$E,"AT",Descriptions!$G:$G,"10")=0,"",SUMIFS(Descriptions!$L:$L,Descriptions!B:B,"ON",Descriptions!$C:$C,"PR",Descriptions!$E:$E,"AT",Descriptions!$G:$G,"10")/COUNTIFS(Descriptions!B:B,"ON",Descriptions!$C:$C,"PR",Descriptions!$E:$E,"AT",Descriptions!$G:$G,"10",Descriptions!$L:$L,"&gt;0")/100)</f>
        <v/>
      </c>
      <c r="W12" s="24" t="str">
        <f>IF(SUMIFS(Descriptions!$L:$L,Descriptions!B:B,"ON",Descriptions!$C:$C,"PR",Descriptions!$E:$E,"AT",Descriptions!$G:$G,"11")=0,"",SUMIFS(Descriptions!$L:$L,Descriptions!B:B,"ON",Descriptions!$C:$C,"PR",Descriptions!$E:$E,"AT",Descriptions!$G:$G,"11")/COUNTIFS(Descriptions!B:B,"ON",Descriptions!$C:$C,"PR",Descriptions!$E:$E,"AT",Descriptions!$G:$G,"11",Descriptions!$L:$L,"&gt;0")/100)</f>
        <v/>
      </c>
      <c r="X12" s="25" t="str">
        <f>IF(SUMIFS(Descriptions!$L:$L,Descriptions!B:B,"ON",Descriptions!$C:$C,"PR",Descriptions!$E:$E,"AT",Descriptions!$G:$G,"12")=0,"",SUMIFS(Descriptions!$L:$L,Descriptions!B:B,"ON",Descriptions!$C:$C,"PR",Descriptions!$E:$E,"AT",Descriptions!$G:$G,"12")/COUNTIFS(Descriptions!B:B,"ON",Descriptions!$C:$C,"PR",Descriptions!$E:$E,"AT",Descriptions!$G:$G,"12",Descriptions!$L:$L,"&gt;0")/100)</f>
        <v/>
      </c>
    </row>
    <row r="13" spans="2:26" ht="17.399999999999999" customHeight="1" x14ac:dyDescent="0.3">
      <c r="B13" s="4"/>
      <c r="C13" s="27"/>
      <c r="D13" s="27"/>
      <c r="E13" s="169"/>
      <c r="F13" s="190"/>
      <c r="G13" s="21" t="str">
        <f>IF(SUMIFS(Descriptions!$L:$L,Descriptions!B:B,"ON",Descriptions!$C:$C,"PR",Descriptions!$E:$E,"DS")=0,"",SUMIFS(Descriptions!$L:$L,Descriptions!B:B,"ON",Descriptions!$C:$C,"PR",Descriptions!$E:$E,"DS")/COUNTIFS(Descriptions!B:B,"ON",Descriptions!$C:$C,"PR",Descriptions!$E:$E,"DS",Descriptions!$L:$L,"&gt;0")/100)</f>
        <v/>
      </c>
      <c r="H13" s="192"/>
      <c r="I13" s="77" t="s">
        <v>38</v>
      </c>
      <c r="J13" s="78" t="s">
        <v>39</v>
      </c>
      <c r="K13" s="79" t="s">
        <v>40</v>
      </c>
      <c r="L13" s="17" t="str">
        <f>IF(SUMIFS(Descriptions!$L:$L,Descriptions!B:B,"ON",Descriptions!$C:$C,"PR",Descriptions!$E:$E,"DS",Descriptions!$G:$G,"0")=0,"",SUMIFS(Descriptions!$L:$L,Descriptions!B:B,"ON",Descriptions!$C:$C,"PR",Descriptions!$E:$E,"DS",Descriptions!$G:$G,"0")/COUNTIFS(Descriptions!B:B,"ON",Descriptions!$C:$C,"PR",Descriptions!$E:$E,"DS",Descriptions!$G:$G,"0",Descriptions!$L:$L,"&gt;0")/100)</f>
        <v/>
      </c>
      <c r="M13" s="18" t="str">
        <f>IF(SUMIFS(Descriptions!$L:$L,Descriptions!B:B,"ON",Descriptions!$C:$C,"PR",Descriptions!$E:$E,"DS",Descriptions!$G:$G,"1")=0,"",SUMIFS(Descriptions!$L:$L,Descriptions!B:B,"ON",Descriptions!$C:$C,"PR",Descriptions!$E:$E,"DS",Descriptions!$G:$G,"1")/COUNTIFS(Descriptions!B:B,"ON",Descriptions!$C:$C,"PR",Descriptions!$E:$E,"DS",Descriptions!$G:$G,"1",Descriptions!$L:$L,"&gt;0")/100)</f>
        <v/>
      </c>
      <c r="N13" s="18" t="str">
        <f>IF(SUMIFS(Descriptions!$L:$L,Descriptions!B:B,"ON",Descriptions!$C:$C,"PR",Descriptions!$E:$E,"DS",Descriptions!$G:$G,"2")=0,"",SUMIFS(Descriptions!$L:$L,Descriptions!B:B,"ON",Descriptions!$C:$C,"PR",Descriptions!$E:$E,"DS",Descriptions!$G:$G,"2")/COUNTIFS(Descriptions!B:B,"ON",Descriptions!$C:$C,"PR",Descriptions!$E:$E,"DS",Descriptions!$G:$G,"2",Descriptions!$L:$L,"&gt;0")/100)</f>
        <v/>
      </c>
      <c r="O13" s="18" t="str">
        <f>IF(SUMIFS(Descriptions!$L:$L,Descriptions!B:B,"ON",Descriptions!$C:$C,"PR",Descriptions!$E:$E,"DS",Descriptions!$G:$G,"3")=0,"",SUMIFS(Descriptions!$L:$L,Descriptions!B:B,"ON",Descriptions!$C:$C,"PR",Descriptions!$E:$E,"DS",Descriptions!$G:$G,"3")/COUNTIFS(Descriptions!B:B,"ON",Descriptions!$C:$C,"PR",Descriptions!$E:$E,"DS",Descriptions!$G:$G,"3",Descriptions!$L:$L,"&gt;0")/100)</f>
        <v/>
      </c>
      <c r="P13" s="18" t="str">
        <f>IF(SUMIFS(Descriptions!$L:$L,Descriptions!B:B,"ON",Descriptions!$C:$C,"PR",Descriptions!$E:$E,"DS",Descriptions!$G:$G,"4")=0,"",SUMIFS(Descriptions!$L:$L,Descriptions!B:B,"ON",Descriptions!$C:$C,"PR",Descriptions!$E:$E,"DS",Descriptions!$G:$G,"4")/COUNTIFS(Descriptions!B:B,"ON",Descriptions!$C:$C,"PR",Descriptions!$E:$E,"DS",Descriptions!$G:$G,"4",Descriptions!$L:$L,"&gt;0")/100)</f>
        <v/>
      </c>
      <c r="Q13" s="18" t="str">
        <f>IF(SUMIFS(Descriptions!$L:$L,Descriptions!B:B,"ON",Descriptions!$C:$C,"PR",Descriptions!$E:$E,"DS",Descriptions!$G:$G,"5")=0,"",SUMIFS(Descriptions!$L:$L,Descriptions!B:B,"ON",Descriptions!$C:$C,"PR",Descriptions!$E:$E,"DS",Descriptions!$G:$G,"5")/COUNTIFS(Descriptions!B:B,"ON",Descriptions!$C:$C,"PR",Descriptions!$E:$E,"DS",Descriptions!$G:$G,"5",Descriptions!$L:$L,"&gt;0")/100)</f>
        <v/>
      </c>
      <c r="R13" s="18" t="str">
        <f>IF(SUMIFS(Descriptions!$L:$L,Descriptions!B:B,"ON",Descriptions!$C:$C,"PR",Descriptions!$E:$E,"DS",Descriptions!$G:$G,"6")=0,"",SUMIFS(Descriptions!$L:$L,Descriptions!B:B,"ON",Descriptions!$C:$C,"PR",Descriptions!$E:$E,"DS",Descriptions!$G:$G,"6")/COUNTIFS(Descriptions!B:B,"ON",Descriptions!$C:$C,"PR",Descriptions!$E:$E,"DS",Descriptions!$G:$G,"6",Descriptions!$L:$L,"&gt;0")/100)</f>
        <v/>
      </c>
      <c r="S13" s="18" t="str">
        <f>IF(SUMIFS(Descriptions!$L:$L,Descriptions!B:B,"ON",Descriptions!$C:$C,"PR",Descriptions!$E:$E,"DS",Descriptions!$G:$G,"7")=0,"",SUMIFS(Descriptions!$L:$L,Descriptions!B:B,"ON",Descriptions!$C:$C,"PR",Descriptions!$E:$E,"DS",Descriptions!$G:$G,"7")/COUNTIFS(Descriptions!B:B,"ON",Descriptions!$C:$C,"PR",Descriptions!$E:$E,"DS",Descriptions!$G:$G,"7",Descriptions!$L:$L,"&gt;0")/100)</f>
        <v/>
      </c>
      <c r="T13" s="18" t="str">
        <f>IF(SUMIFS(Descriptions!$L:$L,Descriptions!B:B,"ON",Descriptions!$C:$C,"PR",Descriptions!$E:$E,"DS",Descriptions!$G:$G,"8")=0,"",SUMIFS(Descriptions!$L:$L,Descriptions!B:B,"ON",Descriptions!$C:$C,"PR",Descriptions!$E:$E,"DS",Descriptions!$G:$G,"8")/COUNTIFS(Descriptions!B:B,"ON",Descriptions!$C:$C,"PR",Descriptions!$E:$E,"DS",Descriptions!$G:$G,"8",Descriptions!$L:$L,"&gt;0")/100)</f>
        <v/>
      </c>
      <c r="U13" s="24" t="str">
        <f>IF(SUMIFS(Descriptions!$L:$L,Descriptions!B:B,"ON",Descriptions!$C:$C,"PR",Descriptions!$E:$E,"DS",Descriptions!$G:$G,"9")=0,"",SUMIFS(Descriptions!$L:$L,Descriptions!B:B,"ON",Descriptions!$C:$C,"PR",Descriptions!$E:$E,"DS",Descriptions!$G:$G,"9")/COUNTIFS(Descriptions!B:B,"ON",Descriptions!$C:$C,"PR",Descriptions!$E:$E,"DS",Descriptions!$G:$G,"9",Descriptions!$L:$L,"&gt;0")/100)</f>
        <v/>
      </c>
      <c r="V13" s="24" t="str">
        <f>IF(SUMIFS(Descriptions!$L:$L,Descriptions!B:B,"ON",Descriptions!$C:$C,"PR",Descriptions!$E:$E,"DS",Descriptions!$G:$G,"10")=0,"",SUMIFS(Descriptions!$L:$L,Descriptions!B:B,"ON",Descriptions!$C:$C,"PR",Descriptions!$E:$E,"DS",Descriptions!$G:$G,"10")/COUNTIFS(Descriptions!B:B,"ON",Descriptions!$C:$C,"PR",Descriptions!$E:$E,"DS",Descriptions!$G:$G,"10",Descriptions!$L:$L,"&gt;0")/100)</f>
        <v/>
      </c>
      <c r="W13" s="24" t="str">
        <f>IF(SUMIFS(Descriptions!$L:$L,Descriptions!B:B,"ON",Descriptions!$C:$C,"PR",Descriptions!$E:$E,"DS",Descriptions!$G:$G,"11")=0,"",SUMIFS(Descriptions!$L:$L,Descriptions!B:B,"ON",Descriptions!$C:$C,"PR",Descriptions!$E:$E,"DS",Descriptions!$G:$G,"11")/COUNTIFS(Descriptions!B:B,"ON",Descriptions!$C:$C,"PR",Descriptions!$E:$E,"DS",Descriptions!$G:$G,"11",Descriptions!$L:$L,"&gt;0")/100)</f>
        <v/>
      </c>
      <c r="X13" s="25" t="str">
        <f>IF(SUMIFS(Descriptions!$L:$L,Descriptions!B:B,"ON",Descriptions!$C:$C,"PR",Descriptions!$E:$E,"DS",Descriptions!$G:$G,"12")=0,"",SUMIFS(Descriptions!$L:$L,Descriptions!B:B,"ON",Descriptions!$C:$C,"PR",Descriptions!$E:$E,"DS",Descriptions!$G:$G,"12")/COUNTIFS(Descriptions!B:B,"ON",Descriptions!$C:$C,"PR",Descriptions!$E:$E,"DS",Descriptions!$G:$G,"12",Descriptions!$L:$L,"&gt;0")/100)</f>
        <v/>
      </c>
    </row>
    <row r="14" spans="2:26" ht="17.399999999999999" customHeight="1" x14ac:dyDescent="0.3">
      <c r="B14" s="4"/>
      <c r="C14" s="27"/>
      <c r="D14" s="27"/>
      <c r="E14" s="170"/>
      <c r="F14" s="190"/>
      <c r="G14" s="21" t="str">
        <f>IF(SUMIFS(Descriptions!$L:$L,Descriptions!B:B,"ON",Descriptions!$C:$C,"PR",Descriptions!$E:$E,"IP")=0,"",SUMIFS(Descriptions!$L:$L,Descriptions!B:B,"ON",Descriptions!$C:$C,"PR",Descriptions!$E:$E,"IP")/COUNTIFS(Descriptions!B:B,"ON",Descriptions!$C:$C,"PR",Descriptions!$E:$E,"IP",Descriptions!$L:$L,"&gt;0")/100)</f>
        <v/>
      </c>
      <c r="H14" s="192"/>
      <c r="I14" s="77" t="s">
        <v>42</v>
      </c>
      <c r="J14" s="78" t="s">
        <v>43</v>
      </c>
      <c r="K14" s="79" t="s">
        <v>44</v>
      </c>
      <c r="L14" s="17" t="str">
        <f>IF(SUMIFS(Descriptions!$L:$L,Descriptions!B:B,"ON",Descriptions!$C:$C,"PR",Descriptions!$E:$E,"IP",Descriptions!$G:$G,"0")=0,"",SUMIFS(Descriptions!$L:$L,Descriptions!B:B,"ON",Descriptions!$C:$C,"PR",Descriptions!$E:$E,"IP",Descriptions!$G:$G,"0")/COUNTIFS(Descriptions!B:B,"ON",Descriptions!$C:$C,"PR",Descriptions!$E:$E,"IP",Descriptions!$G:$G,"0",Descriptions!$L:$L,"&gt;0")/100)</f>
        <v/>
      </c>
      <c r="M14" s="18" t="str">
        <f>IF(SUMIFS(Descriptions!$L:$L,Descriptions!B:B,"ON",Descriptions!$C:$C,"PR",Descriptions!$E:$E,"IP",Descriptions!$G:$G,"1")=0,"",SUMIFS(Descriptions!$L:$L,Descriptions!B:B,"ON",Descriptions!$C:$C,"PR",Descriptions!$E:$E,"IP",Descriptions!$G:$G,"1")/COUNTIFS(Descriptions!B:B,"ON",Descriptions!$C:$C,"PR",Descriptions!$E:$E,"IP",Descriptions!$G:$G,"1",Descriptions!$L:$L,"&gt;0")/100)</f>
        <v/>
      </c>
      <c r="N14" s="18" t="str">
        <f>IF(SUMIFS(Descriptions!$L:$L,Descriptions!B:B,"ON",Descriptions!$C:$C,"PR",Descriptions!$E:$E,"IP",Descriptions!$G:$G,"2")=0,"",SUMIFS(Descriptions!$L:$L,Descriptions!B:B,"ON",Descriptions!$C:$C,"PR",Descriptions!$E:$E,"IP",Descriptions!$G:$G,"2")/COUNTIFS(Descriptions!B:B,"ON",Descriptions!$C:$C,"PR",Descriptions!$E:$E,"IP",Descriptions!$G:$G,"2",Descriptions!$L:$L,"&gt;0")/100)</f>
        <v/>
      </c>
      <c r="O14" s="18" t="str">
        <f>IF(SUMIFS(Descriptions!$L:$L,Descriptions!B:B,"ON",Descriptions!$C:$C,"PR",Descriptions!$E:$E,"IP",Descriptions!$G:$G,"3")=0,"",SUMIFS(Descriptions!$L:$L,Descriptions!B:B,"ON",Descriptions!$C:$C,"PR",Descriptions!$E:$E,"IP",Descriptions!$G:$G,"3")/COUNTIFS(Descriptions!B:B,"ON",Descriptions!$C:$C,"PR",Descriptions!$E:$E,"IP",Descriptions!$G:$G,"3",Descriptions!$L:$L,"&gt;0")/100)</f>
        <v/>
      </c>
      <c r="P14" s="18" t="str">
        <f>IF(SUMIFS(Descriptions!$L:$L,Descriptions!B:B,"ON",Descriptions!$C:$C,"PR",Descriptions!$E:$E,"IP",Descriptions!$G:$G,"4")=0,"",SUMIFS(Descriptions!$L:$L,Descriptions!B:B,"ON",Descriptions!$C:$C,"PR",Descriptions!$E:$E,"IP",Descriptions!$G:$G,"4")/COUNTIFS(Descriptions!B:B,"ON",Descriptions!$C:$C,"PR",Descriptions!$E:$E,"IP",Descriptions!$G:$G,"4",Descriptions!$L:$L,"&gt;0")/100)</f>
        <v/>
      </c>
      <c r="Q14" s="18" t="str">
        <f>IF(SUMIFS(Descriptions!$L:$L,Descriptions!B:B,"ON",Descriptions!$C:$C,"PR",Descriptions!$E:$E,"IP",Descriptions!$G:$G,"5")=0,"",SUMIFS(Descriptions!$L:$L,Descriptions!B:B,"ON",Descriptions!$C:$C,"PR",Descriptions!$E:$E,"IP",Descriptions!$G:$G,"5")/COUNTIFS(Descriptions!B:B,"ON",Descriptions!$C:$C,"PR",Descriptions!$E:$E,"IP",Descriptions!$G:$G,"5",Descriptions!$L:$L,"&gt;0")/100)</f>
        <v/>
      </c>
      <c r="R14" s="18" t="str">
        <f>IF(SUMIFS(Descriptions!$L:$L,Descriptions!B:B,"ON",Descriptions!$C:$C,"PR",Descriptions!$E:$E,"IP",Descriptions!$G:$G,"6")=0,"",SUMIFS(Descriptions!$L:$L,Descriptions!B:B,"ON",Descriptions!$C:$C,"PR",Descriptions!$E:$E,"IP",Descriptions!$G:$G,"6")/COUNTIFS(Descriptions!B:B,"ON",Descriptions!$C:$C,"PR",Descriptions!$E:$E,"IP",Descriptions!$G:$G,"6",Descriptions!$L:$L,"&gt;0")/100)</f>
        <v/>
      </c>
      <c r="S14" s="18" t="str">
        <f>IF(SUMIFS(Descriptions!$L:$L,Descriptions!B:B,"ON",Descriptions!$C:$C,"PR",Descriptions!$E:$E,"IP",Descriptions!$G:$G,"7")=0,"",SUMIFS(Descriptions!$L:$L,Descriptions!B:B,"ON",Descriptions!$C:$C,"PR",Descriptions!$E:$E,"IP",Descriptions!$G:$G,"7")/COUNTIFS(Descriptions!B:B,"ON",Descriptions!$C:$C,"PR",Descriptions!$E:$E,"IP",Descriptions!$G:$G,"7",Descriptions!$L:$L,"&gt;0")/100)</f>
        <v/>
      </c>
      <c r="T14" s="18" t="str">
        <f>IF(SUMIFS(Descriptions!$L:$L,Descriptions!B:B,"ON",Descriptions!$C:$C,"PR",Descriptions!$E:$E,"IP",Descriptions!$G:$G,"8")=0,"",SUMIFS(Descriptions!$L:$L,Descriptions!B:B,"ON",Descriptions!$C:$C,"PR",Descriptions!$E:$E,"IP",Descriptions!$G:$G,"8")/COUNTIFS(Descriptions!B:B,"ON",Descriptions!$C:$C,"PR",Descriptions!$E:$E,"IP",Descriptions!$G:$G,"8",Descriptions!$L:$L,"&gt;0")/100)</f>
        <v/>
      </c>
      <c r="U14" s="18" t="str">
        <f>IF(SUMIFS(Descriptions!$L:$L,Descriptions!B:B,"ON",Descriptions!$C:$C,"PR",Descriptions!$E:$E,"IP",Descriptions!$G:$G,"9")=0,"",SUMIFS(Descriptions!$L:$L,Descriptions!B:B,"ON",Descriptions!$C:$C,"PR",Descriptions!$E:$E,"IP",Descriptions!$G:$G,"9")/COUNTIFS(Descriptions!B:B,"ON",Descriptions!$C:$C,"PR",Descriptions!$E:$E,"IP",Descriptions!$G:$G,"9",Descriptions!$L:$L,"&gt;0")/100)</f>
        <v/>
      </c>
      <c r="V14" s="18" t="str">
        <f>IF(SUMIFS(Descriptions!$L:$L,Descriptions!B:B,"ON",Descriptions!$C:$C,"PR",Descriptions!$E:$E,"IP",Descriptions!$G:$G,"10")=0,"",SUMIFS(Descriptions!$L:$L,Descriptions!B:B,"ON",Descriptions!$C:$C,"PR",Descriptions!$E:$E,"IP",Descriptions!$G:$G,"10")/COUNTIFS(Descriptions!B:B,"ON",Descriptions!$C:$C,"PR",Descriptions!$E:$E,"IP",Descriptions!$G:$G,"10",Descriptions!$L:$L,"&gt;0")/100)</f>
        <v/>
      </c>
      <c r="W14" s="18" t="str">
        <f>IF(SUMIFS(Descriptions!$L:$L,Descriptions!B:B,"ON",Descriptions!$C:$C,"PR",Descriptions!$E:$E,"IP",Descriptions!$G:$G,"11")=0,"",SUMIFS(Descriptions!$L:$L,Descriptions!B:B,"ON",Descriptions!$C:$C,"PR",Descriptions!$E:$E,"IP",Descriptions!$G:$G,"11")/COUNTIFS(Descriptions!B:B,"ON",Descriptions!$C:$C,"PR",Descriptions!$E:$E,"IP",Descriptions!$G:$G,"11",Descriptions!$L:$L,"&gt;0")/100)</f>
        <v/>
      </c>
      <c r="X14" s="32" t="str">
        <f>IF(SUMIFS(Descriptions!$L:$L,Descriptions!B:B,"ON",Descriptions!$C:$C,"PR",Descriptions!$E:$E,"IP",Descriptions!$G:$G,"12")=0,"",SUMIFS(Descriptions!$L:$L,Descriptions!B:B,"ON",Descriptions!$C:$C,"PR",Descriptions!$E:$E,"IP",Descriptions!$G:$G,"12")/COUNTIFS(Descriptions!B:B,"ON",Descriptions!$C:$C,"PR",Descriptions!$E:$E,"IP",Descriptions!$G:$G,"12",Descriptions!$L:$L,"&gt;0")/100)</f>
        <v/>
      </c>
    </row>
    <row r="15" spans="2:26" ht="17.399999999999999" customHeight="1" x14ac:dyDescent="0.3">
      <c r="B15" s="4"/>
      <c r="C15" s="27"/>
      <c r="D15" s="27"/>
      <c r="E15" s="30"/>
      <c r="F15" s="190"/>
      <c r="G15" s="21" t="str">
        <f>IF(SUMIFS(Descriptions!$L:$L,Descriptions!B:B,"ON",Descriptions!$C:$C,"PR",Descriptions!$E:$E,"MA")=0,"",SUMIFS(Descriptions!$L:$L,Descriptions!B:B,"ON",Descriptions!$C:$C,"PR",Descriptions!$E:$E,"MA")/COUNTIFS(Descriptions!B:B,"ON",Descriptions!$C:$C,"PR",Descriptions!$E:$E,"MA",Descriptions!$L:$L,"&gt;0")/100)</f>
        <v/>
      </c>
      <c r="H15" s="192"/>
      <c r="I15" s="77" t="s">
        <v>45</v>
      </c>
      <c r="J15" s="78" t="s">
        <v>46</v>
      </c>
      <c r="K15" s="79" t="s">
        <v>47</v>
      </c>
      <c r="L15" s="17" t="str">
        <f>IF(SUMIFS(Descriptions!$L:$L,Descriptions!B:B,"ON",Descriptions!$C:$C,"PR",Descriptions!$E:$E,"MA",Descriptions!$G:$G,"0")=0,"",SUMIFS(Descriptions!$L:$L,Descriptions!B:B,"ON",Descriptions!$C:$C,"PR",Descriptions!$E:$E,"MA",Descriptions!$G:$G,"0")/COUNTIFS(Descriptions!B:B,"ON",Descriptions!$C:$C,"PR",Descriptions!$E:$E,"MA",Descriptions!$G:$G,"0",Descriptions!$L:$L,"&gt;0")/100)</f>
        <v/>
      </c>
      <c r="M15" s="18" t="str">
        <f>IF(SUMIFS(Descriptions!$L:$L,Descriptions!B:B,"ON",Descriptions!$C:$C,"PR",Descriptions!$E:$E,"MA",Descriptions!$G:$G,"1")=0,"",SUMIFS(Descriptions!$L:$L,Descriptions!B:B,"ON",Descriptions!$C:$C,"PR",Descriptions!$E:$E,"MA",Descriptions!$G:$G,"1")/COUNTIFS(Descriptions!B:B,"ON",Descriptions!$C:$C,"PR",Descriptions!$E:$E,"MA",Descriptions!$G:$G,"1",Descriptions!$L:$L,"&gt;0")/100)</f>
        <v/>
      </c>
      <c r="N15" s="18" t="str">
        <f>IF(SUMIFS(Descriptions!$L:$L,Descriptions!B:B,"ON",Descriptions!$C:$C,"PR",Descriptions!$E:$E,"MA",Descriptions!$G:$G,"2")=0,"",SUMIFS(Descriptions!$L:$L,Descriptions!B:B,"ON",Descriptions!$C:$C,"PR",Descriptions!$E:$E,"MA",Descriptions!$G:$G,"2")/COUNTIFS(Descriptions!B:B,"ON",Descriptions!$C:$C,"PR",Descriptions!$E:$E,"MA",Descriptions!$G:$G,"2",Descriptions!$L:$L,"&gt;0")/100)</f>
        <v/>
      </c>
      <c r="O15" s="24" t="str">
        <f>IF(SUMIFS(Descriptions!$L:$L,Descriptions!B:B,"ON",Descriptions!$C:$C,"PR",Descriptions!$E:$E,"MA",Descriptions!$G:$G,"3")=0,"",SUMIFS(Descriptions!$L:$L,Descriptions!B:B,"ON",Descriptions!$C:$C,"PR",Descriptions!$E:$E,"MA",Descriptions!$G:$G,"3")/COUNTIFS(Descriptions!B:B,"ON",Descriptions!$C:$C,"PR",Descriptions!$E:$E,"MA",Descriptions!$G:$G,"3",Descriptions!$L:$L,"&gt;0")/100)</f>
        <v/>
      </c>
      <c r="P15" s="24" t="str">
        <f>IF(SUMIFS(Descriptions!$L:$L,Descriptions!B:B,"ON",Descriptions!$C:$C,"PR",Descriptions!$E:$E,"MA",Descriptions!$G:$G,"4")=0,"",SUMIFS(Descriptions!$L:$L,Descriptions!B:B,"ON",Descriptions!$C:$C,"PR",Descriptions!$E:$E,"MA",Descriptions!$G:$G,"4")/COUNTIFS(Descriptions!B:B,"ON",Descriptions!$C:$C,"PR",Descriptions!$E:$E,"MA",Descriptions!$G:$G,"4",Descriptions!$L:$L,"&gt;0")/100)</f>
        <v/>
      </c>
      <c r="Q15" s="24" t="str">
        <f>IF(SUMIFS(Descriptions!$L:$L,Descriptions!B:B,"ON",Descriptions!$C:$C,"PR",Descriptions!$E:$E,"MA",Descriptions!$G:$G,"5")=0,"",SUMIFS(Descriptions!$L:$L,Descriptions!B:B,"ON",Descriptions!$C:$C,"PR",Descriptions!$E:$E,"MA",Descriptions!$G:$G,"5")/COUNTIFS(Descriptions!B:B,"ON",Descriptions!$C:$C,"PR",Descriptions!$E:$E,"MA",Descriptions!$G:$G,"5",Descriptions!$L:$L,"&gt;0")/100)</f>
        <v/>
      </c>
      <c r="R15" s="24" t="str">
        <f>IF(SUMIFS(Descriptions!$L:$L,Descriptions!B:B,"ON",Descriptions!$C:$C,"PR",Descriptions!$E:$E,"MA",Descriptions!$G:$G,"6")=0,"",SUMIFS(Descriptions!$L:$L,Descriptions!B:B,"ON",Descriptions!$C:$C,"PR",Descriptions!$E:$E,"MA",Descriptions!$G:$G,"6")/COUNTIFS(Descriptions!B:B,"ON",Descriptions!$C:$C,"PR",Descriptions!$E:$E,"MA",Descriptions!$G:$G,"6",Descriptions!$L:$L,"&gt;0")/100)</f>
        <v/>
      </c>
      <c r="S15" s="24" t="str">
        <f>IF(SUMIFS(Descriptions!$L:$L,Descriptions!B:B,"ON",Descriptions!$C:$C,"PR",Descriptions!$E:$E,"MA",Descriptions!$G:$G,"7")=0,"",SUMIFS(Descriptions!$L:$L,Descriptions!B:B,"ON",Descriptions!$C:$C,"PR",Descriptions!$E:$E,"MA",Descriptions!$G:$G,"7")/COUNTIFS(Descriptions!B:B,"ON",Descriptions!$C:$C,"PR",Descriptions!$E:$E,"MA",Descriptions!$G:$G,"7",Descriptions!$L:$L,"&gt;0")/100)</f>
        <v/>
      </c>
      <c r="T15" s="24" t="str">
        <f>IF(SUMIFS(Descriptions!$L:$L,Descriptions!B:B,"ON",Descriptions!$C:$C,"PR",Descriptions!$E:$E,"MA",Descriptions!$G:$G,"8")=0,"",SUMIFS(Descriptions!$L:$L,Descriptions!B:B,"ON",Descriptions!$C:$C,"PR",Descriptions!$E:$E,"MA",Descriptions!$G:$G,"8")/COUNTIFS(Descriptions!B:B,"ON",Descriptions!$C:$C,"PR",Descriptions!$E:$E,"MA",Descriptions!$G:$G,"8",Descriptions!$L:$L,"&gt;0")/100)</f>
        <v/>
      </c>
      <c r="U15" s="24" t="str">
        <f>IF(SUMIFS(Descriptions!$L:$L,Descriptions!B:B,"ON",Descriptions!$C:$C,"PR",Descriptions!$E:$E,"MA",Descriptions!$G:$G,"9")=0,"",SUMIFS(Descriptions!$L:$L,Descriptions!B:B,"ON",Descriptions!$C:$C,"PR",Descriptions!$E:$E,"MA",Descriptions!$G:$G,"9")/COUNTIFS(Descriptions!B:B,"ON",Descriptions!$C:$C,"PR",Descriptions!$E:$E,"MA",Descriptions!$G:$G,"9",Descriptions!$L:$L,"&gt;0")/100)</f>
        <v/>
      </c>
      <c r="V15" s="24" t="str">
        <f>IF(SUMIFS(Descriptions!$L:$L,Descriptions!B:B,"ON",Descriptions!$C:$C,"PR",Descriptions!$E:$E,"MA",Descriptions!$G:$G,"10")=0,"",SUMIFS(Descriptions!$L:$L,Descriptions!B:B,"ON",Descriptions!$C:$C,"PR",Descriptions!$E:$E,"MA",Descriptions!$G:$G,"10")/COUNTIFS(Descriptions!B:B,"ON",Descriptions!$C:$C,"PR",Descriptions!$E:$E,"MA",Descriptions!$G:$G,"10",Descriptions!$L:$L,"&gt;0")/100)</f>
        <v/>
      </c>
      <c r="W15" s="24" t="str">
        <f>IF(SUMIFS(Descriptions!$L:$L,Descriptions!B:B,"ON",Descriptions!$C:$C,"PR",Descriptions!$E:$E,"MA",Descriptions!$G:$G,"11")=0,"",SUMIFS(Descriptions!$L:$L,Descriptions!B:B,"ON",Descriptions!$C:$C,"PR",Descriptions!$E:$E,"MA",Descriptions!$G:$G,"11")/COUNTIFS(Descriptions!B:B,"ON",Descriptions!$C:$C,"PR",Descriptions!$E:$E,"MA",Descriptions!$G:$G,"11",Descriptions!$L:$L,"&gt;0")/100)</f>
        <v/>
      </c>
      <c r="X15" s="25" t="str">
        <f>IF(SUMIFS(Descriptions!$L:$L,Descriptions!B:B,"ON",Descriptions!$C:$C,"PR",Descriptions!$E:$E,"MA",Descriptions!$G:$G,"12")=0,"",SUMIFS(Descriptions!$L:$L,Descriptions!B:B,"ON",Descriptions!$C:$C,"PR",Descriptions!$E:$E,"MA",Descriptions!$G:$G,"12")/COUNTIFS(Descriptions!B:B,"ON",Descriptions!$C:$C,"PR",Descriptions!$E:$E,"MA",Descriptions!$G:$G,"12",Descriptions!$L:$L,"&gt;0")/100)</f>
        <v/>
      </c>
    </row>
    <row r="16" spans="2:26" ht="17.399999999999999" customHeight="1" x14ac:dyDescent="0.3">
      <c r="B16" s="4"/>
      <c r="C16" s="27"/>
      <c r="D16" s="27"/>
      <c r="E16" s="30"/>
      <c r="F16" s="190"/>
      <c r="G16" s="21" t="str">
        <f>IF(SUMIFS(Descriptions!$L:$L,Descriptions!B:B,"ON",Descriptions!$C:$C,"PR",Descriptions!$E:$E,"PT")=0,"",SUMIFS(Descriptions!$L:$L,Descriptions!B:B,"ON",Descriptions!$C:$C,"PR",Descriptions!$E:$E,"PT")/COUNTIFS(Descriptions!B:B,"ON",Descriptions!$C:$C,"PR",Descriptions!$E:$E,"PT",Descriptions!$L:$L,"&gt;0")/100)</f>
        <v/>
      </c>
      <c r="H16" s="192"/>
      <c r="I16" s="77" t="s">
        <v>49</v>
      </c>
      <c r="J16" s="78" t="s">
        <v>50</v>
      </c>
      <c r="K16" s="79" t="s">
        <v>51</v>
      </c>
      <c r="L16" s="17" t="str">
        <f>IF(SUMIFS(Descriptions!$L:$L,Descriptions!B:B,"ON",Descriptions!$C:$C,"PR",Descriptions!$E:$E,"PT",Descriptions!$G:$G,"0")=0,"",SUMIFS(Descriptions!$L:$L,Descriptions!B:B,"ON",Descriptions!$C:$C,"PR",Descriptions!$E:$E,"PT",Descriptions!$G:$G,"0")/COUNTIFS(Descriptions!B:B,"ON",Descriptions!$C:$C,"PR",Descriptions!$E:$E,"PT",Descriptions!$G:$G,"0",Descriptions!$L:$L,"&gt;0")/100)</f>
        <v/>
      </c>
      <c r="M16" s="18" t="str">
        <f>IF(SUMIFS(Descriptions!$L:$L,Descriptions!B:B,"ON",Descriptions!$C:$C,"PR",Descriptions!$E:$E,"PT",Descriptions!$G:$G,"1")=0,"",SUMIFS(Descriptions!$L:$L,Descriptions!B:B,"ON",Descriptions!$C:$C,"PR",Descriptions!$E:$E,"PT",Descriptions!$G:$G,"1")/COUNTIFS(Descriptions!B:B,"ON",Descriptions!$C:$C,"PR",Descriptions!$E:$E,"PT",Descriptions!$G:$G,"1",Descriptions!$L:$L,"&gt;0")/100)</f>
        <v/>
      </c>
      <c r="N16" s="18" t="str">
        <f>IF(SUMIFS(Descriptions!$L:$L,Descriptions!B:B,"ON",Descriptions!$C:$C,"PR",Descriptions!$E:$E,"PT",Descriptions!$G:$G,"2")=0,"",SUMIFS(Descriptions!$L:$L,Descriptions!B:B,"ON",Descriptions!$C:$C,"PR",Descriptions!$E:$E,"PT",Descriptions!$G:$G,"2")/COUNTIFS(Descriptions!B:B,"ON",Descriptions!$C:$C,"PR",Descriptions!$E:$E,"PT",Descriptions!$G:$G,"2",Descriptions!$L:$L,"&gt;0")/100)</f>
        <v/>
      </c>
      <c r="O16" s="18" t="str">
        <f>IF(SUMIFS(Descriptions!$L:$L,Descriptions!B:B,"ON",Descriptions!$C:$C,"PR",Descriptions!$E:$E,"PT",Descriptions!$G:$G,"3")=0,"",SUMIFS(Descriptions!$L:$L,Descriptions!B:B,"ON",Descriptions!$C:$C,"PR",Descriptions!$E:$E,"PT",Descriptions!$G:$G,"3")/COUNTIFS(Descriptions!B:B,"ON",Descriptions!$C:$C,"PR",Descriptions!$E:$E,"PT",Descriptions!$G:$G,"3",Descriptions!$L:$L,"&gt;0")/100)</f>
        <v/>
      </c>
      <c r="P16" s="18" t="str">
        <f>IF(SUMIFS(Descriptions!$L:$L,Descriptions!B:B,"ON",Descriptions!$C:$C,"PR",Descriptions!$E:$E,"PT",Descriptions!$G:$G,"4")=0,"",SUMIFS(Descriptions!$L:$L,Descriptions!B:B,"ON",Descriptions!$C:$C,"PR",Descriptions!$E:$E,"PT",Descriptions!$G:$G,"4")/COUNTIFS(Descriptions!B:B,"ON",Descriptions!$C:$C,"PR",Descriptions!$E:$E,"PT",Descriptions!$G:$G,"4",Descriptions!$L:$L,"&gt;0")/100)</f>
        <v/>
      </c>
      <c r="Q16" s="18" t="str">
        <f>IF(SUMIFS(Descriptions!$L:$L,Descriptions!B:B,"ON",Descriptions!$C:$C,"PR",Descriptions!$E:$E,"PT",Descriptions!$G:$G,"5")=0,"",SUMIFS(Descriptions!$L:$L,Descriptions!B:B,"ON",Descriptions!$C:$C,"PR",Descriptions!$E:$E,"PT",Descriptions!$G:$G,"5")/COUNTIFS(Descriptions!B:B,"ON",Descriptions!$C:$C,"PR",Descriptions!$E:$E,"PT",Descriptions!$G:$G,"5",Descriptions!$L:$L,"&gt;0")/100)</f>
        <v/>
      </c>
      <c r="R16" s="24" t="str">
        <f>IF(SUMIFS(Descriptions!$L:$L,Descriptions!B:B,"ON",Descriptions!$C:$C,"PR",Descriptions!$E:$E,"PT",Descriptions!$G:$G,"6")=0,"",SUMIFS(Descriptions!$L:$L,Descriptions!B:B,"ON",Descriptions!$C:$C,"PR",Descriptions!$E:$E,"PT",Descriptions!$G:$G,"6")/COUNTIFS(Descriptions!B:B,"ON",Descriptions!$C:$C,"PR",Descriptions!$E:$E,"PT",Descriptions!$G:$G,"6",Descriptions!$L:$L,"&gt;0")/100)</f>
        <v/>
      </c>
      <c r="S16" s="24" t="str">
        <f>IF(SUMIFS(Descriptions!$L:$L,Descriptions!B:B,"ON",Descriptions!$C:$C,"PR",Descriptions!$E:$E,"PT",Descriptions!$G:$G,"7")=0,"",SUMIFS(Descriptions!$L:$L,Descriptions!B:B,"ON",Descriptions!$C:$C,"PR",Descriptions!$E:$E,"PT",Descriptions!$G:$G,"7")/COUNTIFS(Descriptions!B:B,"ON",Descriptions!$C:$C,"PR",Descriptions!$E:$E,"PT",Descriptions!$G:$G,"7",Descriptions!$L:$L,"&gt;0")/100)</f>
        <v/>
      </c>
      <c r="T16" s="24" t="str">
        <f>IF(SUMIFS(Descriptions!$L:$L,Descriptions!B:B,"ON",Descriptions!$C:$C,"PR",Descriptions!$E:$E,"PT",Descriptions!$G:$G,"8")=0,"",SUMIFS(Descriptions!$L:$L,Descriptions!B:B,"ON",Descriptions!$C:$C,"PR",Descriptions!$E:$E,"PT",Descriptions!$G:$G,"8")/COUNTIFS(Descriptions!B:B,"ON",Descriptions!$C:$C,"PR",Descriptions!$E:$E,"PT",Descriptions!$G:$G,"8",Descriptions!$L:$L,"&gt;0")/100)</f>
        <v/>
      </c>
      <c r="U16" s="24" t="str">
        <f>IF(SUMIFS(Descriptions!$L:$L,Descriptions!B:B,"ON",Descriptions!$C:$C,"PR",Descriptions!$E:$E,"PT",Descriptions!$G:$G,"9")=0,"",SUMIFS(Descriptions!$L:$L,Descriptions!B:B,"ON",Descriptions!$C:$C,"PR",Descriptions!$E:$E,"PT",Descriptions!$G:$G,"9")/COUNTIFS(Descriptions!B:B,"ON",Descriptions!$C:$C,"PR",Descriptions!$E:$E,"PT",Descriptions!$G:$G,"9",Descriptions!$L:$L,"&gt;0")/100)</f>
        <v/>
      </c>
      <c r="V16" s="24" t="str">
        <f>IF(SUMIFS(Descriptions!$L:$L,Descriptions!B:B,"ON",Descriptions!$C:$C,"PR",Descriptions!$E:$E,"PT",Descriptions!$G:$G,"10")=0,"",SUMIFS(Descriptions!$L:$L,Descriptions!B:B,"ON",Descriptions!$C:$C,"PR",Descriptions!$E:$E,"PT",Descriptions!$G:$G,"10")/COUNTIFS(Descriptions!B:B,"ON",Descriptions!$C:$C,"PR",Descriptions!$E:$E,"PT",Descriptions!$G:$G,"10",Descriptions!$L:$L,"&gt;0")/100)</f>
        <v/>
      </c>
      <c r="W16" s="24" t="str">
        <f>IF(SUMIFS(Descriptions!$L:$L,Descriptions!B:B,"ON",Descriptions!$C:$C,"PR",Descriptions!$E:$E,"PT",Descriptions!$G:$G,"11")=0,"",SUMIFS(Descriptions!$L:$L,Descriptions!B:B,"ON",Descriptions!$C:$C,"PR",Descriptions!$E:$E,"PT",Descriptions!$G:$G,"11")/COUNTIFS(Descriptions!B:B,"ON",Descriptions!$C:$C,"PR",Descriptions!$E:$E,"PT",Descriptions!$G:$G,"11",Descriptions!$L:$L,"&gt;0")/100)</f>
        <v/>
      </c>
      <c r="X16" s="25" t="str">
        <f>IF(SUMIFS(Descriptions!$L:$L,Descriptions!B:B,"ON",Descriptions!$C:$C,"PR",Descriptions!$E:$E,"PT",Descriptions!$G:$G,"12")=0,"",SUMIFS(Descriptions!$L:$L,Descriptions!B:B,"ON",Descriptions!$C:$C,"PR",Descriptions!$E:$E,"PT",Descriptions!$G:$G,"12")/COUNTIFS(Descriptions!B:B,"ON",Descriptions!$C:$C,"PR",Descriptions!$E:$E,"PT",Descriptions!$G:$G,"12",Descriptions!$L:$L,"&gt;0")/100)</f>
        <v/>
      </c>
    </row>
    <row r="17" spans="2:24" ht="17.399999999999999" customHeight="1" x14ac:dyDescent="0.3">
      <c r="B17" s="4"/>
      <c r="C17" s="27"/>
      <c r="D17" s="27"/>
      <c r="E17" s="168" t="e">
        <f>SUM(G17:G19)/COUNT(G17:G19)</f>
        <v>#DIV/0!</v>
      </c>
      <c r="F17" s="171"/>
      <c r="G17" s="13" t="str">
        <f>IF(SUMIFS(Descriptions!$L:$L,Descriptions!B:B,"ON",Descriptions!$C:$C,"DE",Descriptions!$E:$E,"AE")=0,"",SUMIFS(Descriptions!$L:$L,Descriptions!B:B,"ON",Descriptions!$C:$C,"DE",Descriptions!$E:$E,"AE")/COUNTIFS(Descriptions!B:B,"ON",Descriptions!$C:$C,"DE",Descriptions!$E:$E,"AE",Descriptions!$L:$L,"&gt;0")/100)</f>
        <v/>
      </c>
      <c r="H17" s="173" t="s">
        <v>53</v>
      </c>
      <c r="I17" s="72" t="s">
        <v>54</v>
      </c>
      <c r="J17" s="73" t="s">
        <v>55</v>
      </c>
      <c r="K17" s="74" t="s">
        <v>56</v>
      </c>
      <c r="L17" s="17" t="str">
        <f>IF(SUMIFS(Descriptions!$L:$L,Descriptions!B:B,"ON",Descriptions!$C:$C,"DE",Descriptions!$E:$E,"AE",Descriptions!$G:$G,"0")=0,"",SUMIFS(Descriptions!$L:$L,Descriptions!B:B,"ON",Descriptions!$C:$C,"DE",Descriptions!$E:$E,"AE",Descriptions!$G:$G,"0")/COUNTIFS(Descriptions!B:B,"ON",Descriptions!$C:$C,"DE",Descriptions!$E:$E,"AE",Descriptions!$G:$G,"0",Descriptions!$L:$L,"&gt;0")/100)</f>
        <v/>
      </c>
      <c r="M17" s="18" t="str">
        <f>IF(SUMIFS(Descriptions!$L:$L,Descriptions!B:B,"ON",Descriptions!$C:$C,"DE",Descriptions!$E:$E,"AE",Descriptions!$G:$G,"1")=0,"",SUMIFS(Descriptions!$L:$L,Descriptions!B:B,"ON",Descriptions!$C:$C,"DE",Descriptions!$E:$E,"AE",Descriptions!$G:$G,"1")/COUNTIFS(Descriptions!B:B,"ON",Descriptions!$C:$C,"DE",Descriptions!$E:$E,"AE",Descriptions!$G:$G,"1",Descriptions!$L:$L,"&gt;0")/100)</f>
        <v/>
      </c>
      <c r="N17" s="18" t="str">
        <f>IF(SUMIFS(Descriptions!$L:$L,Descriptions!B:B,"ON",Descriptions!$C:$C,"DE",Descriptions!$E:$E,"AE",Descriptions!$G:$G,"2")=0,"",SUMIFS(Descriptions!$L:$L,Descriptions!B:B,"ON",Descriptions!$C:$C,"DE",Descriptions!$E:$E,"AE",Descriptions!$G:$G,"2")/COUNTIFS(Descriptions!B:B,"ON",Descriptions!$C:$C,"DE",Descriptions!$E:$E,"AE",Descriptions!$G:$G,"2",Descriptions!$L:$L,"&gt;0")/100)</f>
        <v/>
      </c>
      <c r="O17" s="18" t="str">
        <f>IF(SUMIFS(Descriptions!$L:$L,Descriptions!B:B,"ON",Descriptions!$C:$C,"DE",Descriptions!$E:$E,"AE",Descriptions!$G:$G,"3")=0,"",SUMIFS(Descriptions!$L:$L,Descriptions!B:B,"ON",Descriptions!$C:$C,"DE",Descriptions!$E:$E,"AE",Descriptions!$G:$G,"3")/COUNTIFS(Descriptions!B:B,"ON",Descriptions!$C:$C,"DE",Descriptions!$E:$E,"AE",Descriptions!$G:$G,"3",Descriptions!$L:$L,"&gt;0")/100)</f>
        <v/>
      </c>
      <c r="P17" s="18" t="str">
        <f>IF(SUMIFS(Descriptions!$L:$L,Descriptions!B:B,"ON",Descriptions!$C:$C,"DE",Descriptions!$E:$E,"AE",Descriptions!$G:$G,"4")=0,"",SUMIFS(Descriptions!$L:$L,Descriptions!B:B,"ON",Descriptions!$C:$C,"DE",Descriptions!$E:$E,"AE",Descriptions!$G:$G,"4")/COUNTIFS(Descriptions!B:B,"ON",Descriptions!$C:$C,"DE",Descriptions!$E:$E,"AE",Descriptions!$G:$G,"4",Descriptions!$L:$L,"&gt;0")/100)</f>
        <v/>
      </c>
      <c r="Q17" s="18" t="str">
        <f>IF(SUMIFS(Descriptions!$L:$L,Descriptions!B:B,"ON",Descriptions!$C:$C,"DE",Descriptions!$E:$E,"AE",Descriptions!$G:$G,"5")=0,"",SUMIFS(Descriptions!$L:$L,Descriptions!B:B,"ON",Descriptions!$C:$C,"DE",Descriptions!$E:$E,"AE",Descriptions!$G:$G,"5")/COUNTIFS(Descriptions!B:B,"ON",Descriptions!$C:$C,"DE",Descriptions!$E:$E,"AE",Descriptions!$G:$G,"5",Descriptions!$L:$L,"&gt;0")/100)</f>
        <v/>
      </c>
      <c r="R17" s="24" t="str">
        <f>IF(SUMIFS(Descriptions!$L:$L,Descriptions!B:B,"ON",Descriptions!$C:$C,"DE",Descriptions!$E:$E,"AE",Descriptions!$G:$G,"6")=0,"",SUMIFS(Descriptions!$L:$L,Descriptions!B:B,"ON",Descriptions!$C:$C,"DE",Descriptions!$E:$E,"AE",Descriptions!$G:$G,"6")/COUNTIFS(Descriptions!B:B,"ON",Descriptions!$C:$C,"DE",Descriptions!$E:$E,"AE",Descriptions!$G:$G,"6",Descriptions!$L:$L,"&gt;0")/100)</f>
        <v/>
      </c>
      <c r="S17" s="24" t="str">
        <f>IF(SUMIFS(Descriptions!$L:$L,Descriptions!B:B,"ON",Descriptions!$C:$C,"DE",Descriptions!$E:$E,"AE",Descriptions!$G:$G,"7")=0,"",SUMIFS(Descriptions!$L:$L,Descriptions!B:B,"ON",Descriptions!$C:$C,"DE",Descriptions!$E:$E,"AE",Descriptions!$G:$G,"7")/COUNTIFS(Descriptions!B:B,"ON",Descriptions!$C:$C,"DE",Descriptions!$E:$E,"AE",Descriptions!$G:$G,"7",Descriptions!$L:$L,"&gt;0")/100)</f>
        <v/>
      </c>
      <c r="T17" s="24" t="str">
        <f>IF(SUMIFS(Descriptions!$L:$L,Descriptions!B:B,"ON",Descriptions!$C:$C,"DE",Descriptions!$E:$E,"AE",Descriptions!$G:$G,"8")=0,"",SUMIFS(Descriptions!$L:$L,Descriptions!B:B,"ON",Descriptions!$C:$C,"DE",Descriptions!$E:$E,"AE",Descriptions!$G:$G,"8")/COUNTIFS(Descriptions!B:B,"ON",Descriptions!$C:$C,"DE",Descriptions!$E:$E,"AE",Descriptions!$G:$G,"8",Descriptions!$L:$L,"&gt;0")/100)</f>
        <v/>
      </c>
      <c r="U17" s="24" t="str">
        <f>IF(SUMIFS(Descriptions!$L:$L,Descriptions!B:B,"ON",Descriptions!$C:$C,"DE",Descriptions!$E:$E,"AE",Descriptions!$G:$G,"9")=0,"",SUMIFS(Descriptions!$L:$L,Descriptions!B:B,"ON",Descriptions!$C:$C,"DE",Descriptions!$E:$E,"AE",Descriptions!$G:$G,"9")/COUNTIFS(Descriptions!B:B,"ON",Descriptions!$C:$C,"DE",Descriptions!$E:$E,"AE",Descriptions!$G:$G,"9",Descriptions!$L:$L,"&gt;0")/100)</f>
        <v/>
      </c>
      <c r="V17" s="24" t="str">
        <f>IF(SUMIFS(Descriptions!$L:$L,Descriptions!B:B,"ON",Descriptions!$C:$C,"DE",Descriptions!$E:$E,"AE",Descriptions!$G:$G,"10")=0,"",SUMIFS(Descriptions!$L:$L,Descriptions!B:B,"ON",Descriptions!$C:$C,"DE",Descriptions!$E:$E,"AE",Descriptions!$G:$G,"10")/COUNTIFS(Descriptions!B:B,"ON",Descriptions!$C:$C,"DE",Descriptions!$E:$E,"AE",Descriptions!$G:$G,"10",Descriptions!$L:$L,"&gt;0")/100)</f>
        <v/>
      </c>
      <c r="W17" s="24" t="str">
        <f>IF(SUMIFS(Descriptions!$L:$L,Descriptions!B:B,"ON",Descriptions!$C:$C,"DE",Descriptions!$E:$E,"AE",Descriptions!$G:$G,"11")=0,"",SUMIFS(Descriptions!$L:$L,Descriptions!B:B,"ON",Descriptions!$C:$C,"DE",Descriptions!$E:$E,"AE",Descriptions!$G:$G,"11")/COUNTIFS(Descriptions!B:B,"ON",Descriptions!$C:$C,"DE",Descriptions!$E:$E,"AE",Descriptions!$G:$G,"11",Descriptions!$L:$L,"&gt;0")/100)</f>
        <v/>
      </c>
      <c r="X17" s="25" t="str">
        <f>IF(SUMIFS(Descriptions!$L:$L,Descriptions!B:B,"ON",Descriptions!$C:$C,"DE",Descriptions!$E:$E,"AE",Descriptions!$G:$G,"12")=0,"",SUMIFS(Descriptions!$L:$L,Descriptions!B:B,"ON",Descriptions!$C:$C,"DE",Descriptions!$E:$E,"AE",Descriptions!$G:$G,"12")/COUNTIFS(Descriptions!B:B,"ON",Descriptions!$C:$C,"DE",Descriptions!$E:$E,"AE",Descriptions!$G:$G,"12",Descriptions!$L:$L,"&gt;0")/100)</f>
        <v/>
      </c>
    </row>
    <row r="18" spans="2:24" ht="17.399999999999999" customHeight="1" x14ac:dyDescent="0.3">
      <c r="B18" s="4"/>
      <c r="C18" s="27"/>
      <c r="D18" s="27"/>
      <c r="E18" s="169"/>
      <c r="F18" s="172"/>
      <c r="G18" s="21" t="str">
        <f>IF(SUMIFS(Descriptions!$L:$L,Descriptions!B:B,"ON",Descriptions!$C:$C,"DE",Descriptions!$E:$E,"CM")=0,"",SUMIFS(Descriptions!$L:$L,Descriptions!B:B,"ON",Descriptions!$C:$C,"DE",Descriptions!$E:$E,"CM")/COUNTIFS(Descriptions!B:B,"ON",Descriptions!$C:$C,"DE",Descriptions!$E:$E,"CM",Descriptions!$L:$L,"&gt;0")/100)</f>
        <v/>
      </c>
      <c r="H18" s="174"/>
      <c r="I18" s="72" t="s">
        <v>57</v>
      </c>
      <c r="J18" s="73" t="s">
        <v>58</v>
      </c>
      <c r="K18" s="74" t="s">
        <v>59</v>
      </c>
      <c r="L18" s="17" t="str">
        <f>IF(SUMIFS(Descriptions!$L:$L,Descriptions!B:B,"ON",Descriptions!$C:$C,"DE",Descriptions!$E:$E,"CM",Descriptions!$G:$G,"0")=0,"",SUMIFS(Descriptions!$L:$L,Descriptions!B:B,"ON",Descriptions!$C:$C,"DE",Descriptions!$E:$E,"CM",Descriptions!$G:$G,"0")/COUNTIFS(Descriptions!B:B,"ON",Descriptions!$C:$C,"DE",Descriptions!$E:$E,"CM",Descriptions!$G:$G,"0",Descriptions!$L:$L,"&gt;0")/100)</f>
        <v/>
      </c>
      <c r="M18" s="18" t="str">
        <f>IF(SUMIFS(Descriptions!$L:$L,Descriptions!B:B,"ON",Descriptions!$C:$C,"DE",Descriptions!$E:$E,"CM",Descriptions!$G:$G,"1")=0,"",SUMIFS(Descriptions!$L:$L,Descriptions!B:B,"ON",Descriptions!$C:$C,"DE",Descriptions!$E:$E,"CM",Descriptions!$G:$G,"1")/COUNTIFS(Descriptions!B:B,"ON",Descriptions!$C:$C,"DE",Descriptions!$E:$E,"CM",Descriptions!$G:$G,"1",Descriptions!$L:$L,"&gt;0")/100)</f>
        <v/>
      </c>
      <c r="N18" s="18" t="str">
        <f>IF(SUMIFS(Descriptions!$L:$L,Descriptions!B:B,"ON",Descriptions!$C:$C,"DE",Descriptions!$E:$E,"CM",Descriptions!$G:$G,"2")=0,"",SUMIFS(Descriptions!$L:$L,Descriptions!B:B,"ON",Descriptions!$C:$C,"DE",Descriptions!$E:$E,"CM",Descriptions!$G:$G,"2")/COUNTIFS(Descriptions!B:B,"ON",Descriptions!$C:$C,"DE",Descriptions!$E:$E,"CM",Descriptions!$G:$G,"2",Descriptions!$L:$L,"&gt;0")/100)</f>
        <v/>
      </c>
      <c r="O18" s="18" t="str">
        <f>IF(SUMIFS(Descriptions!$L:$L,Descriptions!B:B,"ON",Descriptions!$C:$C,"DE",Descriptions!$E:$E,"CM",Descriptions!$G:$G,"3")=0,"",SUMIFS(Descriptions!$L:$L,Descriptions!B:B,"ON",Descriptions!$C:$C,"DE",Descriptions!$E:$E,"CM",Descriptions!$G:$G,"3")/COUNTIFS(Descriptions!B:B,"ON",Descriptions!$C:$C,"DE",Descriptions!$E:$E,"CM",Descriptions!$G:$G,"3",Descriptions!$L:$L,"&gt;0")/100)</f>
        <v/>
      </c>
      <c r="P18" s="18" t="str">
        <f>IF(SUMIFS(Descriptions!$L:$L,Descriptions!B:B,"ON",Descriptions!$C:$C,"DE",Descriptions!$E:$E,"CM",Descriptions!$G:$G,"4")=0,"",SUMIFS(Descriptions!$L:$L,Descriptions!B:B,"ON",Descriptions!$C:$C,"DE",Descriptions!$E:$E,"CM",Descriptions!$G:$G,"4")/COUNTIFS(Descriptions!B:B,"ON",Descriptions!$C:$C,"DE",Descriptions!$E:$E,"CM",Descriptions!$G:$G,"4",Descriptions!$L:$L,"&gt;0")/100)</f>
        <v/>
      </c>
      <c r="Q18" s="18" t="str">
        <f>IF(SUMIFS(Descriptions!$L:$L,Descriptions!B:B,"ON",Descriptions!$C:$C,"DE",Descriptions!$E:$E,"CM",Descriptions!$G:$G,"5")=0,"",SUMIFS(Descriptions!$L:$L,Descriptions!B:B,"ON",Descriptions!$C:$C,"DE",Descriptions!$E:$E,"CM",Descriptions!$G:$G,"5")/COUNTIFS(Descriptions!B:B,"ON",Descriptions!$C:$C,"DE",Descriptions!$E:$E,"CM",Descriptions!$G:$G,"5",Descriptions!$L:$L,"&gt;0")/100)</f>
        <v/>
      </c>
      <c r="R18" s="18" t="str">
        <f>IF(SUMIFS(Descriptions!$L:$L,Descriptions!B:B,"ON",Descriptions!$C:$C,"DE",Descriptions!$E:$E,"CM",Descriptions!$G:$G,"6")=0,"",SUMIFS(Descriptions!$L:$L,Descriptions!B:B,"ON",Descriptions!$C:$C,"DE",Descriptions!$E:$E,"CM",Descriptions!$G:$G,"6")/COUNTIFS(Descriptions!B:B,"ON",Descriptions!$C:$C,"DE",Descriptions!$E:$E,"CM",Descriptions!$G:$G,"6",Descriptions!$L:$L,"&gt;0")/100)</f>
        <v/>
      </c>
      <c r="S18" s="18" t="str">
        <f>IF(SUMIFS(Descriptions!$L:$L,Descriptions!B:B,"ON",Descriptions!$C:$C,"DE",Descriptions!$E:$E,"CM",Descriptions!$G:$G,"7")=0,"",SUMIFS(Descriptions!$L:$L,Descriptions!B:B,"ON",Descriptions!$C:$C,"DE",Descriptions!$E:$E,"CM",Descriptions!$G:$G,"7")/COUNTIFS(Descriptions!B:B,"ON",Descriptions!$C:$C,"DE",Descriptions!$E:$E,"CM",Descriptions!$G:$G,"7",Descriptions!$L:$L,"&gt;0")/100)</f>
        <v/>
      </c>
      <c r="T18" s="18" t="str">
        <f>IF(SUMIFS(Descriptions!$L:$L,Descriptions!B:B,"ON",Descriptions!$C:$C,"DE",Descriptions!$E:$E,"CM",Descriptions!$G:$G,"8")=0,"",SUMIFS(Descriptions!$L:$L,Descriptions!B:B,"ON",Descriptions!$C:$C,"DE",Descriptions!$E:$E,"CM",Descriptions!$G:$G,"8")/COUNTIFS(Descriptions!B:B,"ON",Descriptions!$C:$C,"DE",Descriptions!$E:$E,"CM",Descriptions!$G:$G,"8",Descriptions!$L:$L,"&gt;0")/100)</f>
        <v/>
      </c>
      <c r="U18" s="24" t="str">
        <f>IF(SUMIFS(Descriptions!$L:$L,Descriptions!B:B,"ON",Descriptions!$C:$C,"DE",Descriptions!$E:$E,"CM",Descriptions!$G:$G,"9")=0,"",SUMIFS(Descriptions!$L:$L,Descriptions!B:B,"ON",Descriptions!$C:$C,"DE",Descriptions!$E:$E,"CM",Descriptions!$G:$G,"9")/COUNTIFS(Descriptions!B:B,"ON",Descriptions!$C:$C,"DE",Descriptions!$E:$E,"CM",Descriptions!$G:$G,"9",Descriptions!$L:$L,"&gt;0")/100)</f>
        <v/>
      </c>
      <c r="V18" s="24" t="str">
        <f>IF(SUMIFS(Descriptions!$L:$L,Descriptions!B:B,"ON",Descriptions!$C:$C,"DE",Descriptions!$E:$E,"CM",Descriptions!$G:$G,"10")=0,"",SUMIFS(Descriptions!$L:$L,Descriptions!B:B,"ON",Descriptions!$C:$C,"DE",Descriptions!$E:$E,"CM",Descriptions!$G:$G,"10")/COUNTIFS(Descriptions!B:B,"ON",Descriptions!$C:$C,"DE",Descriptions!$E:$E,"CM",Descriptions!$G:$G,"10",Descriptions!$L:$L,"&gt;0")/100)</f>
        <v/>
      </c>
      <c r="W18" s="24" t="str">
        <f>IF(SUMIFS(Descriptions!$L:$L,Descriptions!B:B,"ON",Descriptions!$C:$C,"DE",Descriptions!$E:$E,"CM",Descriptions!$G:$G,"11")=0,"",SUMIFS(Descriptions!$L:$L,Descriptions!B:B,"ON",Descriptions!$C:$C,"DE",Descriptions!$E:$E,"CM",Descriptions!$G:$G,"11")/COUNTIFS(Descriptions!B:B,"ON",Descriptions!$C:$C,"DE",Descriptions!$E:$E,"CM",Descriptions!$G:$G,"11",Descriptions!$L:$L,"&gt;0")/100)</f>
        <v/>
      </c>
      <c r="X18" s="25" t="str">
        <f>IF(SUMIFS(Descriptions!$L:$L,Descriptions!B:B,"ON",Descriptions!$C:$C,"DE",Descriptions!$E:$E,"CM",Descriptions!$G:$G,"12")=0,"",SUMIFS(Descriptions!$L:$L,Descriptions!B:B,"ON",Descriptions!$C:$C,"DE",Descriptions!$E:$E,"CM",Descriptions!$G:$G,"12")/COUNTIFS(Descriptions!B:B,"ON",Descriptions!$C:$C,"DE",Descriptions!$E:$E,"CM",Descriptions!$G:$G,"12",Descriptions!$L:$L,"&gt;0")/100)</f>
        <v/>
      </c>
    </row>
    <row r="19" spans="2:24" ht="17.399999999999999" customHeight="1" x14ac:dyDescent="0.3">
      <c r="B19" s="4"/>
      <c r="C19" s="27"/>
      <c r="D19" s="27"/>
      <c r="E19" s="170"/>
      <c r="F19" s="172"/>
      <c r="G19" s="21" t="str">
        <f>IF(SUMIFS(Descriptions!$L:$L,Descriptions!B:B,"ON",Descriptions!$C:$C,"DE",Descriptions!$E:$E,"DP")=0,"",SUMIFS(Descriptions!$L:$L,Descriptions!B:B,"ON",Descriptions!$C:$C,"DE",Descriptions!$E:$E,"DP")/COUNTIFS(Descriptions!B:B,"ON",Descriptions!$C:$C,"DE",Descriptions!$E:$E,"DP",Descriptions!$L:$L,"&gt;0")/100)</f>
        <v/>
      </c>
      <c r="H19" s="174"/>
      <c r="I19" s="72" t="s">
        <v>61</v>
      </c>
      <c r="J19" s="73" t="s">
        <v>62</v>
      </c>
      <c r="K19" s="74" t="s">
        <v>63</v>
      </c>
      <c r="L19" s="17" t="str">
        <f>IF(SUMIFS(Descriptions!$L:$L,Descriptions!B:B,"ON",Descriptions!$C:$C,"DE",Descriptions!$E:$E,"DP",Descriptions!$G:$G,"0")=0,"",SUMIFS(Descriptions!$L:$L,Descriptions!B:B,"ON",Descriptions!$C:$C,"DE",Descriptions!$E:$E,"DP",Descriptions!$G:$G,"0")/COUNTIFS(Descriptions!B:B,"ON",Descriptions!$C:$C,"DE",Descriptions!$E:$E,"DP",Descriptions!$G:$G,"0",Descriptions!$L:$L,"&gt;0")/100)</f>
        <v/>
      </c>
      <c r="M19" s="18" t="str">
        <f>IF(SUMIFS(Descriptions!$L:$L,Descriptions!B:B,"ON",Descriptions!$C:$C,"DE",Descriptions!$E:$E,"DP",Descriptions!$G:$G,"1")=0,"",SUMIFS(Descriptions!$L:$L,Descriptions!B:B,"ON",Descriptions!$C:$C,"DE",Descriptions!$E:$E,"DP",Descriptions!$G:$G,"1")/COUNTIFS(Descriptions!B:B,"ON",Descriptions!$C:$C,"DE",Descriptions!$E:$E,"DP",Descriptions!$G:$G,"1",Descriptions!$L:$L,"&gt;0")/100)</f>
        <v/>
      </c>
      <c r="N19" s="18" t="str">
        <f>IF(SUMIFS(Descriptions!$L:$L,Descriptions!B:B,"ON",Descriptions!$C:$C,"DE",Descriptions!$E:$E,"DP",Descriptions!$G:$G,"2")=0,"",SUMIFS(Descriptions!$L:$L,Descriptions!B:B,"ON",Descriptions!$C:$C,"DE",Descriptions!$E:$E,"DP",Descriptions!$G:$G,"2")/COUNTIFS(Descriptions!B:B,"ON",Descriptions!$C:$C,"DE",Descriptions!$E:$E,"DP",Descriptions!$G:$G,"2",Descriptions!$L:$L,"&gt;0")/100)</f>
        <v/>
      </c>
      <c r="O19" s="18" t="str">
        <f>IF(SUMIFS(Descriptions!$L:$L,Descriptions!B:B,"ON",Descriptions!$C:$C,"DE",Descriptions!$E:$E,"DP",Descriptions!$G:$G,"3")=0,"",SUMIFS(Descriptions!$L:$L,Descriptions!B:B,"ON",Descriptions!$C:$C,"DE",Descriptions!$E:$E,"DP",Descriptions!$G:$G,"3")/COUNTIFS(Descriptions!B:B,"ON",Descriptions!$C:$C,"DE",Descriptions!$E:$E,"DP",Descriptions!$G:$G,"3",Descriptions!$L:$L,"&gt;0")/100)</f>
        <v/>
      </c>
      <c r="P19" s="18" t="str">
        <f>IF(SUMIFS(Descriptions!$L:$L,Descriptions!B:B,"ON",Descriptions!$C:$C,"DE",Descriptions!$E:$E,"DP",Descriptions!$G:$G,"4")=0,"",SUMIFS(Descriptions!$L:$L,Descriptions!B:B,"ON",Descriptions!$C:$C,"DE",Descriptions!$E:$E,"DP",Descriptions!$G:$G,"4")/COUNTIFS(Descriptions!B:B,"ON",Descriptions!$C:$C,"DE",Descriptions!$E:$E,"DP",Descriptions!$G:$G,"4",Descriptions!$L:$L,"&gt;0")/100)</f>
        <v/>
      </c>
      <c r="Q19" s="18" t="str">
        <f>IF(SUMIFS(Descriptions!$L:$L,Descriptions!B:B,"ON",Descriptions!$C:$C,"DE",Descriptions!$E:$E,"DP",Descriptions!$G:$G,"5")=0,"",SUMIFS(Descriptions!$L:$L,Descriptions!B:B,"ON",Descriptions!$C:$C,"DE",Descriptions!$E:$E,"DP",Descriptions!$G:$G,"5")/COUNTIFS(Descriptions!B:B,"ON",Descriptions!$C:$C,"DE",Descriptions!$E:$E,"DP",Descriptions!$G:$G,"5",Descriptions!$L:$L,"&gt;0")/100)</f>
        <v/>
      </c>
      <c r="R19" s="24" t="str">
        <f>IF(SUMIFS(Descriptions!$L:$L,Descriptions!B:B,"ON",Descriptions!$C:$C,"DE",Descriptions!$E:$E,"DP",Descriptions!$G:$G,"6")=0,"",SUMIFS(Descriptions!$L:$L,Descriptions!B:B,"ON",Descriptions!$C:$C,"DE",Descriptions!$E:$E,"DP",Descriptions!$G:$G,"6")/COUNTIFS(Descriptions!B:B,"ON",Descriptions!$C:$C,"DE",Descriptions!$E:$E,"DP",Descriptions!$G:$G,"6",Descriptions!$L:$L,"&gt;0")/100)</f>
        <v/>
      </c>
      <c r="S19" s="24" t="str">
        <f>IF(SUMIFS(Descriptions!$L:$L,Descriptions!B:B,"ON",Descriptions!$C:$C,"DE",Descriptions!$E:$E,"DP",Descriptions!$G:$G,"7")=0,"",SUMIFS(Descriptions!$L:$L,Descriptions!B:B,"ON",Descriptions!$C:$C,"DE",Descriptions!$E:$E,"DP",Descriptions!$G:$G,"7")/COUNTIFS(Descriptions!B:B,"ON",Descriptions!$C:$C,"DE",Descriptions!$E:$E,"DP",Descriptions!$G:$G,"7",Descriptions!$L:$L,"&gt;0")/100)</f>
        <v/>
      </c>
      <c r="T19" s="24" t="str">
        <f>IF(SUMIFS(Descriptions!$L:$L,Descriptions!B:B,"ON",Descriptions!$C:$C,"DE",Descriptions!$E:$E,"DP",Descriptions!$G:$G,"8")=0,"",SUMIFS(Descriptions!$L:$L,Descriptions!B:B,"ON",Descriptions!$C:$C,"DE",Descriptions!$E:$E,"DP",Descriptions!$G:$G,"8")/COUNTIFS(Descriptions!B:B,"ON",Descriptions!$C:$C,"DE",Descriptions!$E:$E,"DP",Descriptions!$G:$G,"8",Descriptions!$L:$L,"&gt;0")/100)</f>
        <v/>
      </c>
      <c r="U19" s="24" t="str">
        <f>IF(SUMIFS(Descriptions!$L:$L,Descriptions!B:B,"ON",Descriptions!$C:$C,"DE",Descriptions!$E:$E,"DP",Descriptions!$G:$G,"9")=0,"",SUMIFS(Descriptions!$L:$L,Descriptions!B:B,"ON",Descriptions!$C:$C,"DE",Descriptions!$E:$E,"DP",Descriptions!$G:$G,"9")/COUNTIFS(Descriptions!B:B,"ON",Descriptions!$C:$C,"DE",Descriptions!$E:$E,"DP",Descriptions!$G:$G,"9",Descriptions!$L:$L,"&gt;0")/100)</f>
        <v/>
      </c>
      <c r="V19" s="24" t="str">
        <f>IF(SUMIFS(Descriptions!$L:$L,Descriptions!B:B,"ON",Descriptions!$C:$C,"DE",Descriptions!$E:$E,"DP",Descriptions!$G:$G,"10")=0,"",SUMIFS(Descriptions!$L:$L,Descriptions!B:B,"ON",Descriptions!$C:$C,"DE",Descriptions!$E:$E,"DP",Descriptions!$G:$G,"10")/COUNTIFS(Descriptions!B:B,"ON",Descriptions!$C:$C,"DE",Descriptions!$E:$E,"DP",Descriptions!$G:$G,"10",Descriptions!$L:$L,"&gt;0")/100)</f>
        <v/>
      </c>
      <c r="W19" s="24" t="str">
        <f>IF(SUMIFS(Descriptions!$L:$L,Descriptions!B:B,"ON",Descriptions!$C:$C,"DE",Descriptions!$E:$E,"DP",Descriptions!$G:$G,"11")=0,"",SUMIFS(Descriptions!$L:$L,Descriptions!B:B,"ON",Descriptions!$C:$C,"DE",Descriptions!$E:$E,"DP",Descriptions!$G:$G,"11")/COUNTIFS(Descriptions!B:B,"ON",Descriptions!$C:$C,"DE",Descriptions!$E:$E,"DP",Descriptions!$G:$G,"11",Descriptions!$L:$L,"&gt;0")/100)</f>
        <v/>
      </c>
      <c r="X19" s="25" t="str">
        <f>IF(SUMIFS(Descriptions!$L:$L,Descriptions!B:B,"ON",Descriptions!$C:$C,"DE",Descriptions!$E:$E,"DP",Descriptions!$G:$G,"12")=0,"",SUMIFS(Descriptions!$L:$L,Descriptions!B:B,"ON",Descriptions!$C:$C,"DE",Descriptions!$E:$E,"DP",Descriptions!$G:$G,"12")/COUNTIFS(Descriptions!B:B,"ON",Descriptions!$C:$C,"DE",Descriptions!$E:$E,"DP",Descriptions!$G:$G,"12",Descriptions!$L:$L,"&gt;0")/100)</f>
        <v/>
      </c>
    </row>
    <row r="20" spans="2:24" ht="17.399999999999999" customHeight="1" x14ac:dyDescent="0.3">
      <c r="B20" s="4"/>
      <c r="C20" s="27"/>
      <c r="D20" s="27"/>
      <c r="E20" s="30"/>
      <c r="F20" s="193"/>
      <c r="G20" s="13" t="str">
        <f>IF(SUMIFS(Descriptions!$L:$L,Descriptions!B:B,"ON",Descriptions!$C:$C,"RS",Descriptions!$E:$E,"AN")=0,"",SUMIFS(Descriptions!$L:$L,Descriptions!B:B,"ON",Descriptions!$C:$C,"RS",Descriptions!$E:$E,"AN")/COUNTIFS(Descriptions!B:B,"ON",Descriptions!$C:$C,"RS",Descriptions!$E:$E,"AN",Descriptions!$L:$L,"&gt;0")/100)</f>
        <v/>
      </c>
      <c r="H20" s="195" t="s">
        <v>65</v>
      </c>
      <c r="I20" s="33" t="s">
        <v>66</v>
      </c>
      <c r="J20" s="34" t="s">
        <v>67</v>
      </c>
      <c r="K20" s="35" t="s">
        <v>68</v>
      </c>
      <c r="L20" s="17" t="str">
        <f>IF(SUMIFS(Descriptions!$L:$L,Descriptions!B:B,"ON",Descriptions!$C:$C,"RS",Descriptions!$E:$E,"AN",Descriptions!$G:$G,"0")=0,"",SUMIFS(Descriptions!$L:$L,Descriptions!B:B,"ON",Descriptions!$C:$C,"RS",Descriptions!$E:$E,"AN",Descriptions!$G:$G,"0")/COUNTIFS(Descriptions!B:B,"ON",Descriptions!$C:$C,"RS",Descriptions!$E:$E,"AN",Descriptions!$G:$G,"0",Descriptions!$L:$L,"&gt;0")/100)</f>
        <v/>
      </c>
      <c r="M20" s="18" t="str">
        <f>IF(SUMIFS(Descriptions!$L:$L,Descriptions!B:B,"ON",Descriptions!$C:$C,"RS",Descriptions!$E:$E,"AN",Descriptions!$G:$G,"1")=0,"",SUMIFS(Descriptions!$L:$L,Descriptions!B:B,"ON",Descriptions!$C:$C,"RS",Descriptions!$E:$E,"AN",Descriptions!$G:$G,"1")/COUNTIFS(Descriptions!B:B,"ON",Descriptions!$C:$C,"RS",Descriptions!$E:$E,"AN",Descriptions!$G:$G,"1",Descriptions!$L:$L,"&gt;0")/100)</f>
        <v/>
      </c>
      <c r="N20" s="18" t="str">
        <f>IF(SUMIFS(Descriptions!$L:$L,Descriptions!B:B,"ON",Descriptions!$C:$C,"RS",Descriptions!$E:$E,"AN",Descriptions!$G:$G,"2")=0,"",SUMIFS(Descriptions!$L:$L,Descriptions!B:B,"ON",Descriptions!$C:$C,"RS",Descriptions!$E:$E,"AN",Descriptions!$G:$G,"2")/COUNTIFS(Descriptions!B:B,"ON",Descriptions!$C:$C,"RS",Descriptions!$E:$E,"AN",Descriptions!$G:$G,"2",Descriptions!$L:$L,"&gt;0")/100)</f>
        <v/>
      </c>
      <c r="O20" s="18" t="str">
        <f>IF(SUMIFS(Descriptions!$L:$L,Descriptions!B:B,"ON",Descriptions!$C:$C,"RS",Descriptions!$E:$E,"AN",Descriptions!$G:$G,"3")=0,"",SUMIFS(Descriptions!$L:$L,Descriptions!B:B,"ON",Descriptions!$C:$C,"RS",Descriptions!$E:$E,"AN",Descriptions!$G:$G,"3")/COUNTIFS(Descriptions!B:B,"ON",Descriptions!$C:$C,"RS",Descriptions!$E:$E,"AN",Descriptions!$G:$G,"3",Descriptions!$L:$L,"&gt;0")/100)</f>
        <v/>
      </c>
      <c r="P20" s="18" t="str">
        <f>IF(SUMIFS(Descriptions!$L:$L,Descriptions!B:B,"ON",Descriptions!$C:$C,"RS",Descriptions!$E:$E,"AN",Descriptions!$G:$G,"4")=0,"",SUMIFS(Descriptions!$L:$L,Descriptions!B:B,"ON",Descriptions!$C:$C,"RS",Descriptions!$E:$E,"AN",Descriptions!$G:$G,"4")/COUNTIFS(Descriptions!B:B,"ON",Descriptions!$C:$C,"RS",Descriptions!$E:$E,"AN",Descriptions!$G:$G,"4",Descriptions!$L:$L,"&gt;0")/100)</f>
        <v/>
      </c>
      <c r="Q20" s="154" t="str">
        <f>IF(SUMIFS(Descriptions!$L:$L,Descriptions!B:B,"ON",Descriptions!$C:$C,"RS",Descriptions!$E:$E,"AN",Descriptions!$G:$G,"5")=0,"",SUMIFS(Descriptions!$L:$L,Descriptions!B:B,"ON",Descriptions!$C:$C,"RS",Descriptions!$E:$E,"AN",Descriptions!$G:$G,"5")/COUNTIFS(Descriptions!B:B,"ON",Descriptions!$C:$C,"RS",Descriptions!$E:$E,"AN",Descriptions!$G:$G,"5",Descriptions!$L:$L,"&gt;0")/100)</f>
        <v/>
      </c>
      <c r="R20" s="24" t="str">
        <f>IF(SUMIFS(Descriptions!$L:$L,Descriptions!B:B,"ON",Descriptions!$C:$C,"RS",Descriptions!$E:$E,"AN",Descriptions!$G:$G,"6")=0,"",SUMIFS(Descriptions!$L:$L,Descriptions!B:B,"ON",Descriptions!$C:$C,"RS",Descriptions!$E:$E,"AN",Descriptions!$G:$G,"6")/COUNTIFS(Descriptions!B:B,"ON",Descriptions!$C:$C,"RS",Descriptions!$E:$E,"AN",Descriptions!$G:$G,"6",Descriptions!$L:$L,"&gt;0")/100)</f>
        <v/>
      </c>
      <c r="S20" s="24" t="str">
        <f>IF(SUMIFS(Descriptions!$L:$L,Descriptions!B:B,"ON",Descriptions!$C:$C,"RS",Descriptions!$E:$E,"AN",Descriptions!$G:$G,"7")=0,"",SUMIFS(Descriptions!$L:$L,Descriptions!B:B,"ON",Descriptions!$C:$C,"RS",Descriptions!$E:$E,"AN",Descriptions!$G:$G,"7")/COUNTIFS(Descriptions!B:B,"ON",Descriptions!$C:$C,"RS",Descriptions!$E:$E,"AN",Descriptions!$G:$G,"7",Descriptions!$L:$L,"&gt;0")/100)</f>
        <v/>
      </c>
      <c r="T20" s="24" t="str">
        <f>IF(SUMIFS(Descriptions!$L:$L,Descriptions!B:B,"ON",Descriptions!$C:$C,"RS",Descriptions!$E:$E,"AN",Descriptions!$G:$G,"8")=0,"",SUMIFS(Descriptions!$L:$L,Descriptions!B:B,"ON",Descriptions!$C:$C,"RS",Descriptions!$E:$E,"AN",Descriptions!$G:$G,"8")/COUNTIFS(Descriptions!B:B,"ON",Descriptions!$C:$C,"RS",Descriptions!$E:$E,"AN",Descriptions!$G:$G,"8",Descriptions!$L:$L,"&gt;0")/100)</f>
        <v/>
      </c>
      <c r="U20" s="24" t="str">
        <f>IF(SUMIFS(Descriptions!$L:$L,Descriptions!B:B,"ON",Descriptions!$C:$C,"RS",Descriptions!$E:$E,"AN",Descriptions!$G:$G,"9")=0,"",SUMIFS(Descriptions!$L:$L,Descriptions!B:B,"ON",Descriptions!$C:$C,"RS",Descriptions!$E:$E,"AN",Descriptions!$G:$G,"9")/COUNTIFS(Descriptions!B:B,"ON",Descriptions!$C:$C,"RS",Descriptions!$E:$E,"AN",Descriptions!$G:$G,"9",Descriptions!$L:$L,"&gt;0")/100)</f>
        <v/>
      </c>
      <c r="V20" s="24" t="str">
        <f>IF(SUMIFS(Descriptions!$L:$L,Descriptions!B:B,"ON",Descriptions!$C:$C,"RS",Descriptions!$E:$E,"AN",Descriptions!$G:$G,"10")=0,"",SUMIFS(Descriptions!$L:$L,Descriptions!B:B,"ON",Descriptions!$C:$C,"RS",Descriptions!$E:$E,"AN",Descriptions!$G:$G,"10")/COUNTIFS(Descriptions!B:B,"ON",Descriptions!$C:$C,"RS",Descriptions!$E:$E,"AN",Descriptions!$G:$G,"10",Descriptions!$L:$L,"&gt;0")/100)</f>
        <v/>
      </c>
      <c r="W20" s="24" t="str">
        <f>IF(SUMIFS(Descriptions!$L:$L,Descriptions!B:B,"ON",Descriptions!$C:$C,"RS",Descriptions!$E:$E,"AN",Descriptions!$G:$G,"11")=0,"",SUMIFS(Descriptions!$L:$L,Descriptions!B:B,"ON",Descriptions!$C:$C,"RS",Descriptions!$E:$E,"AN",Descriptions!$G:$G,"11")/COUNTIFS(Descriptions!B:B,"ON",Descriptions!$C:$C,"RS",Descriptions!$E:$E,"AN",Descriptions!$G:$G,"11",Descriptions!$L:$L,"&gt;0")/100)</f>
        <v/>
      </c>
      <c r="X20" s="25" t="str">
        <f>IF(SUMIFS(Descriptions!$L:$L,Descriptions!B:B,"ON",Descriptions!$C:$C,"RS",Descriptions!$E:$E,"AN",Descriptions!$G:$G,"12")=0,"",SUMIFS(Descriptions!$L:$L,Descriptions!B:B,"ON",Descriptions!$C:$C,"RS",Descriptions!$E:$E,"AN",Descriptions!$G:$G,"12")/COUNTIFS(Descriptions!B:B,"ON",Descriptions!$C:$C,"RS",Descriptions!$E:$E,"AN",Descriptions!$G:$G,"12",Descriptions!$L:$L,"&gt;0")/100)</f>
        <v/>
      </c>
    </row>
    <row r="21" spans="2:24" ht="17.399999999999999" customHeight="1" x14ac:dyDescent="0.3">
      <c r="B21" s="4"/>
      <c r="C21" s="27"/>
      <c r="D21" s="27"/>
      <c r="E21" s="168" t="e">
        <f>SUM(G20:G24)/COUNT(G20:G24)</f>
        <v>#DIV/0!</v>
      </c>
      <c r="F21" s="194"/>
      <c r="G21" s="21" t="str">
        <f>IF(SUMIFS(Descriptions!$L:$L,Descriptions!B:B,"ON",Descriptions!$C:$C,"RS",Descriptions!$E:$E,"CO")=0,"",SUMIFS(Descriptions!$L:$L,Descriptions!B:B,"ON",Descriptions!$C:$C,"RS",Descriptions!$E:$E,"CO")/COUNTIFS(Descriptions!B:B,"ON",Descriptions!$C:$C,"RS",Descriptions!$E:$E,"CO",Descriptions!$L:$L,"&gt;0")/100)</f>
        <v/>
      </c>
      <c r="H21" s="196"/>
      <c r="I21" s="33" t="s">
        <v>70</v>
      </c>
      <c r="J21" s="34" t="s">
        <v>71</v>
      </c>
      <c r="K21" s="35" t="s">
        <v>72</v>
      </c>
      <c r="L21" s="17" t="str">
        <f>IF(SUMIFS(Descriptions!$L:$L,Descriptions!B:B,"ON",Descriptions!$C:$C,"RS",Descriptions!$E:$E,"CO",Descriptions!$G:$G,"0")=0,"",SUMIFS(Descriptions!$L:$L,Descriptions!B:B,"ON",Descriptions!$C:$C,"RS",Descriptions!$E:$E,"CO",Descriptions!$G:$G,"0")/COUNTIFS(Descriptions!B:B,"ON",Descriptions!$C:$C,"RS",Descriptions!$E:$E,"CO",Descriptions!$G:$G,"0",Descriptions!$L:$L,"&gt;0")/100)</f>
        <v/>
      </c>
      <c r="M21" s="18" t="str">
        <f>IF(SUMIFS(Descriptions!$L:$L,Descriptions!B:B,"ON",Descriptions!$C:$C,"RS",Descriptions!$E:$E,"CO",Descriptions!$G:$G,"1")=0,"",SUMIFS(Descriptions!$L:$L,Descriptions!B:B,"ON",Descriptions!$C:$C,"RS",Descriptions!$E:$E,"CO",Descriptions!$G:$G,"1")/COUNTIFS(Descriptions!B:B,"ON",Descriptions!$C:$C,"RS",Descriptions!$E:$E,"CO",Descriptions!$G:$G,"1",Descriptions!$L:$L,"&gt;0")/100)</f>
        <v/>
      </c>
      <c r="N21" s="18" t="str">
        <f>IF(SUMIFS(Descriptions!$L:$L,Descriptions!B:B,"ON",Descriptions!$C:$C,"RS",Descriptions!$E:$E,"CO",Descriptions!$G:$G,"2")=0,"",SUMIFS(Descriptions!$L:$L,Descriptions!B:B,"ON",Descriptions!$C:$C,"RS",Descriptions!$E:$E,"CO",Descriptions!$G:$G,"2")/COUNTIFS(Descriptions!B:B,"ON",Descriptions!$C:$C,"RS",Descriptions!$E:$E,"CO",Descriptions!$G:$G,"2",Descriptions!$L:$L,"&gt;0")/100)</f>
        <v/>
      </c>
      <c r="O21" s="18" t="str">
        <f>IF(SUMIFS(Descriptions!$L:$L,Descriptions!B:B,"ON",Descriptions!$C:$C,"RS",Descriptions!$E:$E,"CO",Descriptions!$G:$G,"3")=0,"",SUMIFS(Descriptions!$L:$L,Descriptions!B:B,"ON",Descriptions!$C:$C,"RS",Descriptions!$E:$E,"CO",Descriptions!$G:$G,"3")/COUNTIFS(Descriptions!B:B,"ON",Descriptions!$C:$C,"RS",Descriptions!$E:$E,"CO",Descriptions!$G:$G,"3",Descriptions!$L:$L,"&gt;0")/100)</f>
        <v/>
      </c>
      <c r="P21" s="18" t="str">
        <f>IF(SUMIFS(Descriptions!$L:$L,Descriptions!B:B,"ON",Descriptions!$C:$C,"RS",Descriptions!$E:$E,"CO",Descriptions!$G:$G,"4")=0,"",SUMIFS(Descriptions!$L:$L,Descriptions!B:B,"ON",Descriptions!$C:$C,"RS",Descriptions!$E:$E,"CO",Descriptions!$G:$G,"4")/COUNTIFS(Descriptions!B:B,"ON",Descriptions!$C:$C,"RS",Descriptions!$E:$E,"CO",Descriptions!$G:$G,"4",Descriptions!$L:$L,"&gt;0")/100)</f>
        <v/>
      </c>
      <c r="Q21" s="18" t="str">
        <f>IF(SUMIFS(Descriptions!$L:$L,Descriptions!B:B,"ON",Descriptions!$C:$C,"RS",Descriptions!$E:$E,"CO",Descriptions!$G:$G,"5")=0,"",SUMIFS(Descriptions!$L:$L,Descriptions!B:B,"ON",Descriptions!$C:$C,"RS",Descriptions!$E:$E,"CO",Descriptions!$G:$G,"5")/COUNTIFS(Descriptions!B:B,"ON",Descriptions!$C:$C,"RS",Descriptions!$E:$E,"CO",Descriptions!$G:$G,"5",Descriptions!$L:$L,"&gt;0")/100)</f>
        <v/>
      </c>
      <c r="R21" s="24" t="str">
        <f>IF(SUMIFS(Descriptions!$L:$L,Descriptions!B:B,"ON",Descriptions!$C:$C,"RS",Descriptions!$E:$E,"CO",Descriptions!$G:$G,"6")=0,"",SUMIFS(Descriptions!$L:$L,Descriptions!B:B,"ON",Descriptions!$C:$C,"RS",Descriptions!$E:$E,"CO",Descriptions!$G:$G,"6")/COUNTIFS(Descriptions!B:B,"ON",Descriptions!$C:$C,"RS",Descriptions!$E:$E,"CO",Descriptions!$G:$G,"6",Descriptions!$L:$L,"&gt;0")/100)</f>
        <v/>
      </c>
      <c r="S21" s="24" t="str">
        <f>IF(SUMIFS(Descriptions!$L:$L,Descriptions!B:B,"ON",Descriptions!$C:$C,"RS",Descriptions!$E:$E,"CO",Descriptions!$G:$G,"7")=0,"",SUMIFS(Descriptions!$L:$L,Descriptions!B:B,"ON",Descriptions!$C:$C,"RS",Descriptions!$E:$E,"CO",Descriptions!$G:$G,"7")/COUNTIFS(Descriptions!B:B,"ON",Descriptions!$C:$C,"RS",Descriptions!$E:$E,"CO",Descriptions!$G:$G,"7",Descriptions!$L:$L,"&gt;0")/100)</f>
        <v/>
      </c>
      <c r="T21" s="24" t="str">
        <f>IF(SUMIFS(Descriptions!$L:$L,Descriptions!B:B,"ON",Descriptions!$C:$C,"RS",Descriptions!$E:$E,"CO",Descriptions!$G:$G,"8")=0,"",SUMIFS(Descriptions!$L:$L,Descriptions!B:B,"ON",Descriptions!$C:$C,"RS",Descriptions!$E:$E,"CO",Descriptions!$G:$G,"8")/COUNTIFS(Descriptions!B:B,"ON",Descriptions!$C:$C,"RS",Descriptions!$E:$E,"CO",Descriptions!$G:$G,"8",Descriptions!$L:$L,"&gt;0")/100)</f>
        <v/>
      </c>
      <c r="U21" s="24" t="str">
        <f>IF(SUMIFS(Descriptions!$L:$L,Descriptions!B:B,"ON",Descriptions!$C:$C,"RS",Descriptions!$E:$E,"CO",Descriptions!$G:$G,"9")=0,"",SUMIFS(Descriptions!$L:$L,Descriptions!B:B,"ON",Descriptions!$C:$C,"RS",Descriptions!$E:$E,"CO",Descriptions!$G:$G,"9")/COUNTIFS(Descriptions!B:B,"ON",Descriptions!$C:$C,"RS",Descriptions!$E:$E,"CO",Descriptions!$G:$G,"9",Descriptions!$L:$L,"&gt;0")/100)</f>
        <v/>
      </c>
      <c r="V21" s="24" t="str">
        <f>IF(SUMIFS(Descriptions!$L:$L,Descriptions!B:B,"ON",Descriptions!$C:$C,"RS",Descriptions!$E:$E,"CO",Descriptions!$G:$G,"10")=0,"",SUMIFS(Descriptions!$L:$L,Descriptions!B:B,"ON",Descriptions!$C:$C,"RS",Descriptions!$E:$E,"CO",Descriptions!$G:$G,"10")/COUNTIFS(Descriptions!B:B,"ON",Descriptions!$C:$C,"RS",Descriptions!$E:$E,"CO",Descriptions!$G:$G,"10",Descriptions!$L:$L,"&gt;0")/100)</f>
        <v/>
      </c>
      <c r="W21" s="24" t="str">
        <f>IF(SUMIFS(Descriptions!$L:$L,Descriptions!B:B,"ON",Descriptions!$C:$C,"RS",Descriptions!$E:$E,"CO",Descriptions!$G:$G,"11")=0,"",SUMIFS(Descriptions!$L:$L,Descriptions!B:B,"ON",Descriptions!$C:$C,"RS",Descriptions!$E:$E,"CO",Descriptions!$G:$G,"11")/COUNTIFS(Descriptions!B:B,"ON",Descriptions!$C:$C,"RS",Descriptions!$E:$E,"CO",Descriptions!$G:$G,"11",Descriptions!$L:$L,"&gt;0")/100)</f>
        <v/>
      </c>
      <c r="X21" s="25" t="str">
        <f>IF(SUMIFS(Descriptions!$L:$L,Descriptions!B:B,"ON",Descriptions!$C:$C,"RS",Descriptions!$E:$E,"CO",Descriptions!$G:$G,"12")=0,"",SUMIFS(Descriptions!$L:$L,Descriptions!B:B,"ON",Descriptions!$C:$C,"RS",Descriptions!$E:$E,"CO",Descriptions!$G:$G,"12")/COUNTIFS(Descriptions!B:B,"ON",Descriptions!$C:$C,"RS",Descriptions!$E:$E,"CO",Descriptions!$G:$G,"12",Descriptions!$L:$L,"&gt;0")/100)</f>
        <v/>
      </c>
    </row>
    <row r="22" spans="2:24" ht="17.399999999999999" customHeight="1" x14ac:dyDescent="0.3">
      <c r="B22" s="4"/>
      <c r="C22" s="27"/>
      <c r="D22" s="27"/>
      <c r="E22" s="169"/>
      <c r="F22" s="194"/>
      <c r="G22" s="21" t="str">
        <f>IF(SUMIFS(Descriptions!$L:$L,Descriptions!B:B,"ON",Descriptions!$C:$C,"RS",Descriptions!$E:$E,"IM")=0,"",SUMIFS(Descriptions!$L:$L,Descriptions!B:B,"ON",Descriptions!$C:$C,"RS",Descriptions!$E:$E,"IM")/COUNTIFS(Descriptions!B:B,"ON",Descriptions!$C:$C,"RS",Descriptions!$E:$E,"IM",Descriptions!$L:$L,"&gt;0")/100)</f>
        <v/>
      </c>
      <c r="H22" s="196"/>
      <c r="I22" s="33" t="s">
        <v>74</v>
      </c>
      <c r="J22" s="34" t="s">
        <v>75</v>
      </c>
      <c r="K22" s="35" t="s">
        <v>76</v>
      </c>
      <c r="L22" s="17" t="str">
        <f>IF(SUMIFS(Descriptions!$L:$L,Descriptions!B:B,"ON",Descriptions!$C:$C,"RS",Descriptions!$E:$E,"IM",Descriptions!$G:$G,"0")=0,"",SUMIFS(Descriptions!$L:$L,Descriptions!B:B,"ON",Descriptions!$C:$C,"RS",Descriptions!$E:$E,"IM",Descriptions!$G:$G,"0")/COUNTIFS(Descriptions!B:B,"ON",Descriptions!$C:$C,"RS",Descriptions!$E:$E,"IM",Descriptions!$G:$G,"0",Descriptions!$L:$L,"&gt;0")/100)</f>
        <v/>
      </c>
      <c r="M22" s="18" t="str">
        <f>IF(SUMIFS(Descriptions!$L:$L,Descriptions!B:B,"ON",Descriptions!$C:$C,"RS",Descriptions!$E:$E,"IM",Descriptions!$G:$G,"1")=0,"",SUMIFS(Descriptions!$L:$L,Descriptions!B:B,"ON",Descriptions!$C:$C,"RS",Descriptions!$E:$E,"IM",Descriptions!$G:$G,"1")/COUNTIFS(Descriptions!B:B,"ON",Descriptions!$C:$C,"RS",Descriptions!$E:$E,"IM",Descriptions!$G:$G,"1",Descriptions!$L:$L,"&gt;0")/100)</f>
        <v/>
      </c>
      <c r="N22" s="18" t="str">
        <f>IF(SUMIFS(Descriptions!$L:$L,Descriptions!B:B,"ON",Descriptions!$C:$C,"RS",Descriptions!$E:$E,"IM",Descriptions!$G:$G,"2")=0,"",SUMIFS(Descriptions!$L:$L,Descriptions!B:B,"ON",Descriptions!$C:$C,"RS",Descriptions!$E:$E,"IM",Descriptions!$G:$G,"2")/COUNTIFS(Descriptions!B:B,"ON",Descriptions!$C:$C,"RS",Descriptions!$E:$E,"IM",Descriptions!$G:$G,"2",Descriptions!$L:$L,"&gt;0")/100)</f>
        <v/>
      </c>
      <c r="O22" s="24" t="str">
        <f>IF(SUMIFS(Descriptions!$L:$L,Descriptions!B:B,"ON",Descriptions!$C:$C,"RS",Descriptions!$E:$E,"IM",Descriptions!$G:$G,"3")=0,"",SUMIFS(Descriptions!$L:$L,Descriptions!B:B,"ON",Descriptions!$C:$C,"RS",Descriptions!$E:$E,"IM",Descriptions!$G:$G,"3")/COUNTIFS(Descriptions!B:B,"ON",Descriptions!$C:$C,"RS",Descriptions!$E:$E,"IM",Descriptions!$G:$G,"3",Descriptions!$L:$L,"&gt;0")/100)</f>
        <v/>
      </c>
      <c r="P22" s="24" t="str">
        <f>IF(SUMIFS(Descriptions!$L:$L,Descriptions!B:B,"ON",Descriptions!$C:$C,"RS",Descriptions!$E:$E,"IM",Descriptions!$G:$G,"4")=0,"",SUMIFS(Descriptions!$L:$L,Descriptions!B:B,"ON",Descriptions!$C:$C,"RS",Descriptions!$E:$E,"IM",Descriptions!$G:$G,"4")/COUNTIFS(Descriptions!B:B,"ON",Descriptions!$C:$C,"RS",Descriptions!$E:$E,"IM",Descriptions!$G:$G,"4",Descriptions!$L:$L,"&gt;0")/100)</f>
        <v/>
      </c>
      <c r="Q22" s="24" t="str">
        <f>IF(SUMIFS(Descriptions!$L:$L,Descriptions!B:B,"ON",Descriptions!$C:$C,"RS",Descriptions!$E:$E,"IM",Descriptions!$G:$G,"5")=0,"",SUMIFS(Descriptions!$L:$L,Descriptions!B:B,"ON",Descriptions!$C:$C,"RS",Descriptions!$E:$E,"IM",Descriptions!$G:$G,"5")/COUNTIFS(Descriptions!B:B,"ON",Descriptions!$C:$C,"RS",Descriptions!$E:$E,"IM",Descriptions!$G:$G,"5",Descriptions!$L:$L,"&gt;0")/100)</f>
        <v/>
      </c>
      <c r="R22" s="24" t="str">
        <f>IF(SUMIFS(Descriptions!$L:$L,Descriptions!B:B,"ON",Descriptions!$C:$C,"RS",Descriptions!$E:$E,"IM",Descriptions!$G:$G,"6")=0,"",SUMIFS(Descriptions!$L:$L,Descriptions!B:B,"ON",Descriptions!$C:$C,"RS",Descriptions!$E:$E,"IM",Descriptions!$G:$G,"6")/COUNTIFS(Descriptions!B:B,"ON",Descriptions!$C:$C,"RS",Descriptions!$E:$E,"IM",Descriptions!$G:$G,"6",Descriptions!$L:$L,"&gt;0")/100)</f>
        <v/>
      </c>
      <c r="S22" s="24" t="str">
        <f>IF(SUMIFS(Descriptions!$L:$L,Descriptions!B:B,"ON",Descriptions!$C:$C,"RS",Descriptions!$E:$E,"IM",Descriptions!$G:$G,"7")=0,"",SUMIFS(Descriptions!$L:$L,Descriptions!B:B,"ON",Descriptions!$C:$C,"RS",Descriptions!$E:$E,"IM",Descriptions!$G:$G,"7")/COUNTIFS(Descriptions!B:B,"ON",Descriptions!$C:$C,"RS",Descriptions!$E:$E,"IM",Descriptions!$G:$G,"7",Descriptions!$L:$L,"&gt;0")/100)</f>
        <v/>
      </c>
      <c r="T22" s="24" t="str">
        <f>IF(SUMIFS(Descriptions!$L:$L,Descriptions!B:B,"ON",Descriptions!$C:$C,"RS",Descriptions!$E:$E,"IM",Descriptions!$G:$G,"8")=0,"",SUMIFS(Descriptions!$L:$L,Descriptions!B:B,"ON",Descriptions!$C:$C,"RS",Descriptions!$E:$E,"IM",Descriptions!$G:$G,"8")/COUNTIFS(Descriptions!B:B,"ON",Descriptions!$C:$C,"RS",Descriptions!$E:$E,"IM",Descriptions!$G:$G,"8",Descriptions!$L:$L,"&gt;0")/100)</f>
        <v/>
      </c>
      <c r="U22" s="24" t="str">
        <f>IF(SUMIFS(Descriptions!$L:$L,Descriptions!B:B,"ON",Descriptions!$C:$C,"RS",Descriptions!$E:$E,"IM",Descriptions!$G:$G,"9")=0,"",SUMIFS(Descriptions!$L:$L,Descriptions!B:B,"ON",Descriptions!$C:$C,"RS",Descriptions!$E:$E,"IM",Descriptions!$G:$G,"9")/COUNTIFS(Descriptions!B:B,"ON",Descriptions!$C:$C,"RS",Descriptions!$E:$E,"IM",Descriptions!$G:$G,"9",Descriptions!$L:$L,"&gt;0")/100)</f>
        <v/>
      </c>
      <c r="V22" s="24" t="str">
        <f>IF(SUMIFS(Descriptions!$L:$L,Descriptions!B:B,"ON",Descriptions!$C:$C,"RS",Descriptions!$E:$E,"IM",Descriptions!$G:$G,"10")=0,"",SUMIFS(Descriptions!$L:$L,Descriptions!B:B,"ON",Descriptions!$C:$C,"RS",Descriptions!$E:$E,"IM",Descriptions!$G:$G,"10")/COUNTIFS(Descriptions!B:B,"ON",Descriptions!$C:$C,"RS",Descriptions!$E:$E,"IM",Descriptions!$G:$G,"10",Descriptions!$L:$L,"&gt;0")/100)</f>
        <v/>
      </c>
      <c r="W22" s="24" t="str">
        <f>IF(SUMIFS(Descriptions!$L:$L,Descriptions!B:B,"ON",Descriptions!$C:$C,"RS",Descriptions!$E:$E,"IM",Descriptions!$G:$G,"11")=0,"",SUMIFS(Descriptions!$L:$L,Descriptions!B:B,"ON",Descriptions!$C:$C,"RS",Descriptions!$E:$E,"IM",Descriptions!$G:$G,"11")/COUNTIFS(Descriptions!B:B,"ON",Descriptions!$C:$C,"RS",Descriptions!$E:$E,"IM",Descriptions!$G:$G,"11",Descriptions!$L:$L,"&gt;0")/100)</f>
        <v/>
      </c>
      <c r="X22" s="25" t="str">
        <f>IF(SUMIFS(Descriptions!$L:$L,Descriptions!B:B,"ON",Descriptions!$C:$C,"RS",Descriptions!$E:$E,"IM",Descriptions!$G:$G,"12")=0,"",SUMIFS(Descriptions!$L:$L,Descriptions!B:B,"ON",Descriptions!$C:$C,"RS",Descriptions!$E:$E,"IM",Descriptions!$G:$G,"12")/COUNTIFS(Descriptions!B:B,"ON",Descriptions!$C:$C,"RS",Descriptions!$E:$E,"IM",Descriptions!$G:$G,"12",Descriptions!$L:$L,"&gt;0")/100)</f>
        <v/>
      </c>
    </row>
    <row r="23" spans="2:24" ht="17.399999999999999" customHeight="1" x14ac:dyDescent="0.3">
      <c r="B23" s="4"/>
      <c r="C23" s="27"/>
      <c r="D23" s="27"/>
      <c r="E23" s="170"/>
      <c r="F23" s="194"/>
      <c r="G23" s="21" t="str">
        <f>IF(SUMIFS(Descriptions!$L:$L,Descriptions!B:B,"ON",Descriptions!$C:$C,"RS",Descriptions!$E:$E,"MI")=0,"",SUMIFS(Descriptions!$L:$L,Descriptions!B:B,"ON",Descriptions!$C:$C,"RS",Descriptions!$E:$E,"MI")/COUNTIFS(Descriptions!B:B,"ON",Descriptions!$C:$C,"RS",Descriptions!$E:$E,"MI",Descriptions!$L:$L,"&gt;0")/100)</f>
        <v/>
      </c>
      <c r="H23" s="196"/>
      <c r="I23" s="33" t="s">
        <v>78</v>
      </c>
      <c r="J23" s="34" t="s">
        <v>79</v>
      </c>
      <c r="K23" s="35" t="s">
        <v>80</v>
      </c>
      <c r="L23" s="17" t="str">
        <f>IF(SUMIFS(Descriptions!$L:$L,Descriptions!B:B,"ON",Descriptions!$C:$C,"RS",Descriptions!$E:$E,"MI",Descriptions!$G:$G,"0")=0,"",SUMIFS(Descriptions!$L:$L,Descriptions!B:B,"ON",Descriptions!$C:$C,"RS",Descriptions!$E:$E,"MI",Descriptions!$G:$G,"0")/COUNTIFS(Descriptions!B:B,"ON",Descriptions!$C:$C,"RS",Descriptions!$E:$E,"MI",Descriptions!$G:$G,"0",Descriptions!$L:$L,"&gt;0")/100)</f>
        <v/>
      </c>
      <c r="M23" s="18" t="str">
        <f>IF(SUMIFS(Descriptions!$L:$L,Descriptions!B:B,"ON",Descriptions!$C:$C,"RS",Descriptions!$E:$E,"MI",Descriptions!$G:$G,"1")=0,"",SUMIFS(Descriptions!$L:$L,Descriptions!B:B,"ON",Descriptions!$C:$C,"RS",Descriptions!$E:$E,"MI",Descriptions!$G:$G,"1")/COUNTIFS(Descriptions!B:B,"ON",Descriptions!$C:$C,"RS",Descriptions!$E:$E,"MI",Descriptions!$G:$G,"1",Descriptions!$L:$L,"&gt;0")/100)</f>
        <v/>
      </c>
      <c r="N23" s="18" t="str">
        <f>IF(SUMIFS(Descriptions!$L:$L,Descriptions!B:B,"ON",Descriptions!$C:$C,"RS",Descriptions!$E:$E,"MI",Descriptions!$G:$G,"2")=0,"",SUMIFS(Descriptions!$L:$L,Descriptions!B:B,"ON",Descriptions!$C:$C,"RS",Descriptions!$E:$E,"MI",Descriptions!$G:$G,"2")/COUNTIFS(Descriptions!B:B,"ON",Descriptions!$C:$C,"RS",Descriptions!$E:$E,"MI",Descriptions!$G:$G,"2",Descriptions!$L:$L,"&gt;0")/100)</f>
        <v/>
      </c>
      <c r="O23" s="18" t="str">
        <f>IF(SUMIFS(Descriptions!$L:$L,Descriptions!B:B,"ON",Descriptions!$C:$C,"RS",Descriptions!$E:$E,"MI",Descriptions!$G:$G,"3")=0,"",SUMIFS(Descriptions!$L:$L,Descriptions!B:B,"ON",Descriptions!$C:$C,"RS",Descriptions!$E:$E,"MI",Descriptions!$G:$G,"3")/COUNTIFS(Descriptions!B:B,"ON",Descriptions!$C:$C,"RS",Descriptions!$E:$E,"MI",Descriptions!$G:$G,"3",Descriptions!$L:$L,"&gt;0")/100)</f>
        <v/>
      </c>
      <c r="P23" s="24" t="str">
        <f>IF(SUMIFS(Descriptions!$L:$L,Descriptions!B:B,"ON",Descriptions!$C:$C,"RS",Descriptions!$E:$E,"MI",Descriptions!$G:$G,"4")=0,"",SUMIFS(Descriptions!$L:$L,Descriptions!B:B,"ON",Descriptions!$C:$C,"RS",Descriptions!$E:$E,"MI",Descriptions!$G:$G,"4")/COUNTIFS(Descriptions!B:B,"ON",Descriptions!$C:$C,"RS",Descriptions!$E:$E,"MI",Descriptions!$G:$G,"4",Descriptions!$L:$L,"&gt;0")/100)</f>
        <v/>
      </c>
      <c r="Q23" s="24" t="str">
        <f>IF(SUMIFS(Descriptions!$L:$L,Descriptions!B:B,"ON",Descriptions!$C:$C,"RS",Descriptions!$E:$E,"MI",Descriptions!$G:$G,"5")=0,"",SUMIFS(Descriptions!$L:$L,Descriptions!B:B,"ON",Descriptions!$C:$C,"RS",Descriptions!$E:$E,"MI",Descriptions!$G:$G,"5")/COUNTIFS(Descriptions!B:B,"ON",Descriptions!$C:$C,"RS",Descriptions!$E:$E,"MI",Descriptions!$G:$G,"5",Descriptions!$L:$L,"&gt;0")/100)</f>
        <v/>
      </c>
      <c r="R23" s="24" t="str">
        <f>IF(SUMIFS(Descriptions!$L:$L,Descriptions!B:B,"ON",Descriptions!$C:$C,"RS",Descriptions!$E:$E,"MI",Descriptions!$G:$G,"6")=0,"",SUMIFS(Descriptions!$L:$L,Descriptions!B:B,"ON",Descriptions!$C:$C,"RS",Descriptions!$E:$E,"MI",Descriptions!$G:$G,"6")/COUNTIFS(Descriptions!B:B,"ON",Descriptions!$C:$C,"RS",Descriptions!$E:$E,"MI",Descriptions!$G:$G,"6",Descriptions!$L:$L,"&gt;0")/100)</f>
        <v/>
      </c>
      <c r="S23" s="24" t="str">
        <f>IF(SUMIFS(Descriptions!$L:$L,Descriptions!B:B,"ON",Descriptions!$C:$C,"RS",Descriptions!$E:$E,"MI",Descriptions!$G:$G,"7")=0,"",SUMIFS(Descriptions!$L:$L,Descriptions!B:B,"ON",Descriptions!$C:$C,"RS",Descriptions!$E:$E,"MI",Descriptions!$G:$G,"7")/COUNTIFS(Descriptions!B:B,"ON",Descriptions!$C:$C,"RS",Descriptions!$E:$E,"MI",Descriptions!$G:$G,"7",Descriptions!$L:$L,"&gt;0")/100)</f>
        <v/>
      </c>
      <c r="T23" s="24" t="str">
        <f>IF(SUMIFS(Descriptions!$L:$L,Descriptions!B:B,"ON",Descriptions!$C:$C,"RS",Descriptions!$E:$E,"MI",Descriptions!$G:$G,"8")=0,"",SUMIFS(Descriptions!$L:$L,Descriptions!B:B,"ON",Descriptions!$C:$C,"RS",Descriptions!$E:$E,"MI",Descriptions!$G:$G,"8")/COUNTIFS(Descriptions!B:B,"ON",Descriptions!$C:$C,"RS",Descriptions!$E:$E,"MI",Descriptions!$G:$G,"8",Descriptions!$L:$L,"&gt;0")/100)</f>
        <v/>
      </c>
      <c r="U23" s="24" t="str">
        <f>IF(SUMIFS(Descriptions!$L:$L,Descriptions!B:B,"ON",Descriptions!$C:$C,"RS",Descriptions!$E:$E,"MI",Descriptions!$G:$G,"9")=0,"",SUMIFS(Descriptions!$L:$L,Descriptions!B:B,"ON",Descriptions!$C:$C,"RS",Descriptions!$E:$E,"MI",Descriptions!$G:$G,"9")/COUNTIFS(Descriptions!B:B,"ON",Descriptions!$C:$C,"RS",Descriptions!$E:$E,"MI",Descriptions!$G:$G,"9",Descriptions!$L:$L,"&gt;0")/100)</f>
        <v/>
      </c>
      <c r="V23" s="24" t="str">
        <f>IF(SUMIFS(Descriptions!$L:$L,Descriptions!B:B,"ON",Descriptions!$C:$C,"RS",Descriptions!$E:$E,"MI",Descriptions!$G:$G,"10")=0,"",SUMIFS(Descriptions!$L:$L,Descriptions!B:B,"ON",Descriptions!$C:$C,"RS",Descriptions!$E:$E,"MI",Descriptions!$G:$G,"10")/COUNTIFS(Descriptions!B:B,"ON",Descriptions!$C:$C,"RS",Descriptions!$E:$E,"MI",Descriptions!$G:$G,"10",Descriptions!$L:$L,"&gt;0")/100)</f>
        <v/>
      </c>
      <c r="W23" s="24" t="str">
        <f>IF(SUMIFS(Descriptions!$L:$L,Descriptions!B:B,"ON",Descriptions!$C:$C,"RS",Descriptions!$E:$E,"MI",Descriptions!$G:$G,"11")=0,"",SUMIFS(Descriptions!$L:$L,Descriptions!B:B,"ON",Descriptions!$C:$C,"RS",Descriptions!$E:$E,"MI",Descriptions!$G:$G,"11")/COUNTIFS(Descriptions!B:B,"ON",Descriptions!$C:$C,"RS",Descriptions!$E:$E,"MI",Descriptions!$G:$G,"11",Descriptions!$L:$L,"&gt;0")/100)</f>
        <v/>
      </c>
      <c r="X23" s="25" t="str">
        <f>IF(SUMIFS(Descriptions!$L:$L,Descriptions!B:B,"ON",Descriptions!$C:$C,"RS",Descriptions!$E:$E,"MI",Descriptions!$G:$G,"12")=0,"",SUMIFS(Descriptions!$L:$L,Descriptions!B:B,"ON",Descriptions!$C:$C,"RS",Descriptions!$E:$E,"MI",Descriptions!$G:$G,"12")/COUNTIFS(Descriptions!B:B,"ON",Descriptions!$C:$C,"RS",Descriptions!$E:$E,"MI",Descriptions!$G:$G,"12",Descriptions!$L:$L,"&gt;0")/100)</f>
        <v/>
      </c>
    </row>
    <row r="24" spans="2:24" ht="17.399999999999999" customHeight="1" x14ac:dyDescent="0.3">
      <c r="B24" s="4"/>
      <c r="C24" s="27"/>
      <c r="D24" s="27"/>
      <c r="E24" s="30"/>
      <c r="F24" s="194"/>
      <c r="G24" s="21" t="str">
        <f>IF(SUMIFS(Descriptions!$L:$L,Descriptions!B:B,"ON",Descriptions!$C:$C,"RS",Descriptions!$E:$E,"RP")=0,"",SUMIFS(Descriptions!$L:$L,Descriptions!B:B,"ON",Descriptions!$C:$C,"RS",Descriptions!$E:$E,"RP")/COUNTIFS(Descriptions!B:B,"ON",Descriptions!$C:$C,"RS",Descriptions!$E:$E,"RP",Descriptions!$L:$L,"&gt;0")/100)</f>
        <v/>
      </c>
      <c r="H24" s="196"/>
      <c r="I24" s="33" t="s">
        <v>82</v>
      </c>
      <c r="J24" s="34" t="s">
        <v>83</v>
      </c>
      <c r="K24" s="35" t="s">
        <v>84</v>
      </c>
      <c r="L24" s="17" t="str">
        <f>IF(SUMIFS(Descriptions!$L:$L,Descriptions!B:B,"ON",Descriptions!$C:$C,"RS",Descriptions!$E:$E,"RP",Descriptions!$G:$G,"0")=0,"",SUMIFS(Descriptions!$L:$L,Descriptions!B:B,"ON",Descriptions!$C:$C,"RS",Descriptions!$E:$E,"RP",Descriptions!$G:$G,"0")/COUNTIFS(Descriptions!B:B,"ON",Descriptions!$C:$C,"RS",Descriptions!$E:$E,"RP",Descriptions!$G:$G,"0",Descriptions!$L:$L,"&gt;0")/100)</f>
        <v/>
      </c>
      <c r="M24" s="18" t="str">
        <f>IF(SUMIFS(Descriptions!$L:$L,Descriptions!B:B,"ON",Descriptions!$C:$C,"RS",Descriptions!$E:$E,"RP",Descriptions!$G:$G,"1")=0,"",SUMIFS(Descriptions!$L:$L,Descriptions!B:B,"ON",Descriptions!$C:$C,"RS",Descriptions!$E:$E,"RP",Descriptions!$G:$G,"1")/COUNTIFS(Descriptions!B:B,"ON",Descriptions!$C:$C,"RS",Descriptions!$E:$E,"RP",Descriptions!$G:$G,"1",Descriptions!$L:$L,"&gt;0")/100)</f>
        <v/>
      </c>
      <c r="N24" s="24" t="str">
        <f>IF(SUMIFS(Descriptions!$L:$L,Descriptions!B:B,"ON",Descriptions!$C:$C,"RS",Descriptions!$E:$E,"RP",Descriptions!$G:$G,"2")=0,"",SUMIFS(Descriptions!$L:$L,Descriptions!B:B,"ON",Descriptions!$C:$C,"RS",Descriptions!$E:$E,"RP",Descriptions!$G:$G,"2")/COUNTIFS(Descriptions!B:B,"ON",Descriptions!$C:$C,"RS",Descriptions!$E:$E,"RP",Descriptions!$G:$G,"2",Descriptions!$L:$L,"&gt;0")/100)</f>
        <v/>
      </c>
      <c r="O24" s="24" t="str">
        <f>IF(SUMIFS(Descriptions!$L:$L,Descriptions!B:B,"ON",Descriptions!$C:$C,"RS",Descriptions!$E:$E,"RP",Descriptions!$G:$G,"3")=0,"",SUMIFS(Descriptions!$L:$L,Descriptions!B:B,"ON",Descriptions!$C:$C,"RS",Descriptions!$E:$E,"RP",Descriptions!$G:$G,"3")/COUNTIFS(Descriptions!B:B,"ON",Descriptions!$C:$C,"RS",Descriptions!$E:$E,"RP",Descriptions!$G:$G,"3",Descriptions!$L:$L,"&gt;0")/100)</f>
        <v/>
      </c>
      <c r="P24" s="24" t="str">
        <f>IF(SUMIFS(Descriptions!$L:$L,Descriptions!B:B,"ON",Descriptions!$C:$C,"RS",Descriptions!$E:$E,"RP",Descriptions!$G:$G,"4")=0,"",SUMIFS(Descriptions!$L:$L,Descriptions!B:B,"ON",Descriptions!$C:$C,"RS",Descriptions!$E:$E,"RP",Descriptions!$G:$G,"4")/COUNTIFS(Descriptions!B:B,"ON",Descriptions!$C:$C,"RS",Descriptions!$E:$E,"RP",Descriptions!$G:$G,"4",Descriptions!$L:$L,"&gt;0")/100)</f>
        <v/>
      </c>
      <c r="Q24" s="24" t="str">
        <f>IF(SUMIFS(Descriptions!$L:$L,Descriptions!B:B,"ON",Descriptions!$C:$C,"RS",Descriptions!$E:$E,"RP",Descriptions!$G:$G,"5")=0,"",SUMIFS(Descriptions!$L:$L,Descriptions!B:B,"ON",Descriptions!$C:$C,"RS",Descriptions!$E:$E,"RP",Descriptions!$G:$G,"5")/COUNTIFS(Descriptions!B:B,"ON",Descriptions!$C:$C,"RS",Descriptions!$E:$E,"RP",Descriptions!$G:$G,"5",Descriptions!$L:$L,"&gt;0")/100)</f>
        <v/>
      </c>
      <c r="R24" s="24" t="str">
        <f>IF(SUMIFS(Descriptions!$L:$L,Descriptions!B:B,"ON",Descriptions!$C:$C,"RS",Descriptions!$E:$E,"RP",Descriptions!$G:$G,"6")=0,"",SUMIFS(Descriptions!$L:$L,Descriptions!B:B,"ON",Descriptions!$C:$C,"RS",Descriptions!$E:$E,"RP",Descriptions!$G:$G,"6")/COUNTIFS(Descriptions!B:B,"ON",Descriptions!$C:$C,"RS",Descriptions!$E:$E,"RP",Descriptions!$G:$G,"6",Descriptions!$L:$L,"&gt;0")/100)</f>
        <v/>
      </c>
      <c r="S24" s="24" t="str">
        <f>IF(SUMIFS(Descriptions!$L:$L,Descriptions!B:B,"ON",Descriptions!$C:$C,"RS",Descriptions!$E:$E,"RP",Descriptions!$G:$G,"7")=0,"",SUMIFS(Descriptions!$L:$L,Descriptions!B:B,"ON",Descriptions!$C:$C,"RS",Descriptions!$E:$E,"RP",Descriptions!$G:$G,"7")/COUNTIFS(Descriptions!B:B,"ON",Descriptions!$C:$C,"RS",Descriptions!$E:$E,"RP",Descriptions!$G:$G,"7",Descriptions!$L:$L,"&gt;0")/100)</f>
        <v/>
      </c>
      <c r="T24" s="24" t="str">
        <f>IF(SUMIFS(Descriptions!$L:$L,Descriptions!B:B,"ON",Descriptions!$C:$C,"RS",Descriptions!$E:$E,"RP",Descriptions!$G:$G,"8")=0,"",SUMIFS(Descriptions!$L:$L,Descriptions!B:B,"ON",Descriptions!$C:$C,"RS",Descriptions!$E:$E,"RP",Descriptions!$G:$G,"8")/COUNTIFS(Descriptions!B:B,"ON",Descriptions!$C:$C,"RS",Descriptions!$E:$E,"RP",Descriptions!$G:$G,"8",Descriptions!$L:$L,"&gt;0")/100)</f>
        <v/>
      </c>
      <c r="U24" s="24" t="str">
        <f>IF(SUMIFS(Descriptions!$L:$L,Descriptions!B:B,"ON",Descriptions!$C:$C,"RS",Descriptions!$E:$E,"RP",Descriptions!$G:$G,"9")=0,"",SUMIFS(Descriptions!$L:$L,Descriptions!B:B,"ON",Descriptions!$C:$C,"RS",Descriptions!$E:$E,"RP",Descriptions!$G:$G,"9")/COUNTIFS(Descriptions!B:B,"ON",Descriptions!$C:$C,"RS",Descriptions!$E:$E,"RP",Descriptions!$G:$G,"9",Descriptions!$L:$L,"&gt;0")/100)</f>
        <v/>
      </c>
      <c r="V24" s="24" t="str">
        <f>IF(SUMIFS(Descriptions!$L:$L,Descriptions!B:B,"ON",Descriptions!$C:$C,"RS",Descriptions!$E:$E,"RP",Descriptions!$G:$G,"10")=0,"",SUMIFS(Descriptions!$L:$L,Descriptions!B:B,"ON",Descriptions!$C:$C,"RS",Descriptions!$E:$E,"RP",Descriptions!$G:$G,"10")/COUNTIFS(Descriptions!B:B,"ON",Descriptions!$C:$C,"RS",Descriptions!$E:$E,"RP",Descriptions!$G:$G,"10",Descriptions!$L:$L,"&gt;0")/100)</f>
        <v/>
      </c>
      <c r="W24" s="24" t="str">
        <f>IF(SUMIFS(Descriptions!$L:$L,Descriptions!B:B,"ON",Descriptions!$C:$C,"RS",Descriptions!$E:$E,"RP",Descriptions!$G:$G,"11")=0,"",SUMIFS(Descriptions!$L:$L,Descriptions!B:B,"ON",Descriptions!$C:$C,"RS",Descriptions!$E:$E,"RP",Descriptions!$G:$G,"11")/COUNTIFS(Descriptions!B:B,"ON",Descriptions!$C:$C,"RS",Descriptions!$E:$E,"RP",Descriptions!$G:$G,"11",Descriptions!$L:$L,"&gt;0")/100)</f>
        <v/>
      </c>
      <c r="X24" s="25" t="str">
        <f>IF(SUMIFS(Descriptions!$L:$L,Descriptions!B:B,"ON",Descriptions!$C:$C,"RS",Descriptions!$E:$E,"RP",Descriptions!$G:$G,"12")=0,"",SUMIFS(Descriptions!$L:$L,Descriptions!B:B,"ON",Descriptions!$C:$C,"RS",Descriptions!$E:$E,"RP",Descriptions!$G:$G,"12")/COUNTIFS(Descriptions!B:B,"ON",Descriptions!$C:$C,"RS",Descriptions!$E:$E,"RP",Descriptions!$G:$G,"12",Descriptions!$L:$L,"&gt;0")/100)</f>
        <v/>
      </c>
    </row>
    <row r="25" spans="2:24" ht="17.399999999999999" customHeight="1" x14ac:dyDescent="0.3">
      <c r="B25" s="4"/>
      <c r="C25" s="27"/>
      <c r="D25" s="27"/>
      <c r="E25" s="168">
        <f>SUM(G25:G27)/COUNT(G25:G27)</f>
        <v>0.33</v>
      </c>
      <c r="F25" s="197"/>
      <c r="G25" s="13" t="str">
        <f>IF(SUMIFS(Descriptions!$L:$L,Descriptions!B:B,"ON",Descriptions!$C:$C,"RC",Descriptions!$E:$E,"CO")=0,"",SUMIFS(Descriptions!$L:$L,Descriptions!B:B,"ON",Descriptions!$C:$C,"RC",Descriptions!$E:$E,"CO")/COUNTIFS(Descriptions!B:B,"ON",Descriptions!$C:$C,"RC",Descriptions!$E:$E,"CO",Descriptions!$L:$L,"&gt;0")/100)</f>
        <v/>
      </c>
      <c r="H25" s="200" t="s">
        <v>86</v>
      </c>
      <c r="I25" s="36" t="s">
        <v>87</v>
      </c>
      <c r="J25" s="37" t="s">
        <v>71</v>
      </c>
      <c r="K25" s="38" t="s">
        <v>88</v>
      </c>
      <c r="L25" s="17" t="str">
        <f>IF(SUMIFS(Descriptions!$L:$L,Descriptions!B:B,"ON",Descriptions!$C:$C,"RC",Descriptions!$E:$E,"CO",Descriptions!$G:$G,"0")=0,"",SUMIFS(Descriptions!$L:$L,Descriptions!B:B,"ON",Descriptions!$C:$C,"RC",Descriptions!$E:$E,"CO",Descriptions!$G:$G,"0")/COUNTIFS(Descriptions!B:B,"ON",Descriptions!$C:$C,"RC",Descriptions!$E:$E,"CO",Descriptions!$G:$G,"0",Descriptions!$L:$L,"&gt;0")/100)</f>
        <v/>
      </c>
      <c r="M25" s="18" t="str">
        <f>IF(SUMIFS(Descriptions!$L:$L,Descriptions!B:B,"ON",Descriptions!$C:$C,"RC",Descriptions!$E:$E,"CO",Descriptions!$G:$G,"1")=0,"",SUMIFS(Descriptions!$L:$L,Descriptions!B:B,"ON",Descriptions!$C:$C,"RC",Descriptions!$E:$E,"CO",Descriptions!$G:$G,"1")/COUNTIFS(Descriptions!B:B,"ON",Descriptions!$C:$C,"RC",Descriptions!$E:$E,"CO",Descriptions!$G:$G,"1",Descriptions!$L:$L,"&gt;0")/100)</f>
        <v/>
      </c>
      <c r="N25" s="18" t="str">
        <f>IF(SUMIFS(Descriptions!$L:$L,Descriptions!B:B,"ON",Descriptions!$C:$C,"RC",Descriptions!$E:$E,"CO",Descriptions!$G:$G,"2")=0,"",SUMIFS(Descriptions!$L:$L,Descriptions!B:B,"ON",Descriptions!$C:$C,"RC",Descriptions!$E:$E,"CO",Descriptions!$G:$G,"2")/COUNTIFS(Descriptions!B:B,"ON",Descriptions!$C:$C,"RC",Descriptions!$E:$E,"CO",Descriptions!$G:$G,"2",Descriptions!$L:$L,"&gt;0")/100)</f>
        <v/>
      </c>
      <c r="O25" s="18" t="str">
        <f>IF(SUMIFS(Descriptions!$L:$L,Descriptions!B:B,"ON",Descriptions!$C:$C,"RC",Descriptions!$E:$E,"CO",Descriptions!$G:$G,"3")=0,"",SUMIFS(Descriptions!$L:$L,Descriptions!B:B,"ON",Descriptions!$C:$C,"RC",Descriptions!$E:$E,"CO",Descriptions!$G:$G,"3")/COUNTIFS(Descriptions!B:B,"ON",Descriptions!$C:$C,"RC",Descriptions!$E:$E,"CO",Descriptions!$G:$G,"3",Descriptions!$L:$L,"&gt;0")/100)</f>
        <v/>
      </c>
      <c r="P25" s="24" t="str">
        <f>IF(SUMIFS(Descriptions!$L:$L,Descriptions!B:B,"ON",Descriptions!$C:$C,"RC",Descriptions!$E:$E,"CO",Descriptions!$G:$G,"4")=0,"",SUMIFS(Descriptions!$L:$L,Descriptions!B:B,"ON",Descriptions!$C:$C,"RC",Descriptions!$E:$E,"CO",Descriptions!$G:$G,"4")/COUNTIFS(Descriptions!B:B,"ON",Descriptions!$C:$C,"RC",Descriptions!$E:$E,"CO",Descriptions!$G:$G,"4",Descriptions!$L:$L,"&gt;0")/100)</f>
        <v/>
      </c>
      <c r="Q25" s="24" t="str">
        <f>IF(SUMIFS(Descriptions!$L:$L,Descriptions!B:B,"ON",Descriptions!$C:$C,"RC",Descriptions!$E:$E,"CO",Descriptions!$G:$G,"5")=0,"",SUMIFS(Descriptions!$L:$L,Descriptions!B:B,"ON",Descriptions!$C:$C,"RC",Descriptions!$E:$E,"CO",Descriptions!$G:$G,"5")/COUNTIFS(Descriptions!B:B,"ON",Descriptions!$C:$C,"RC",Descriptions!$E:$E,"CO",Descriptions!$G:$G,"5",Descriptions!$L:$L,"&gt;0")/100)</f>
        <v/>
      </c>
      <c r="R25" s="24" t="str">
        <f>IF(SUMIFS(Descriptions!$L:$L,Descriptions!B:B,"ON",Descriptions!$C:$C,"RC",Descriptions!$E:$E,"CO",Descriptions!$G:$G,"6")=0,"",SUMIFS(Descriptions!$L:$L,Descriptions!B:B,"ON",Descriptions!$C:$C,"RC",Descriptions!$E:$E,"CO",Descriptions!$G:$G,"6")/COUNTIFS(Descriptions!B:B,"ON",Descriptions!$C:$C,"RC",Descriptions!$E:$E,"CO",Descriptions!$G:$G,"6",Descriptions!$L:$L,"&gt;0")/100)</f>
        <v/>
      </c>
      <c r="S25" s="24" t="str">
        <f>IF(SUMIFS(Descriptions!$L:$L,Descriptions!B:B,"ON",Descriptions!$C:$C,"RC",Descriptions!$E:$E,"CO",Descriptions!$G:$G,"7")=0,"",SUMIFS(Descriptions!$L:$L,Descriptions!B:B,"ON",Descriptions!$C:$C,"RC",Descriptions!$E:$E,"CO",Descriptions!$G:$G,"7")/COUNTIFS(Descriptions!B:B,"ON",Descriptions!$C:$C,"RC",Descriptions!$E:$E,"CO",Descriptions!$G:$G,"7",Descriptions!$L:$L,"&gt;0")/100)</f>
        <v/>
      </c>
      <c r="T25" s="24" t="str">
        <f>IF(SUMIFS(Descriptions!$L:$L,Descriptions!B:B,"ON",Descriptions!$C:$C,"RC",Descriptions!$E:$E,"CO",Descriptions!$G:$G,"8")=0,"",SUMIFS(Descriptions!$L:$L,Descriptions!B:B,"ON",Descriptions!$C:$C,"RC",Descriptions!$E:$E,"CO",Descriptions!$G:$G,"8")/COUNTIFS(Descriptions!B:B,"ON",Descriptions!$C:$C,"RC",Descriptions!$E:$E,"CO",Descriptions!$G:$G,"8",Descriptions!$L:$L,"&gt;0")/100)</f>
        <v/>
      </c>
      <c r="U25" s="24" t="str">
        <f>IF(SUMIFS(Descriptions!$L:$L,Descriptions!B:B,"ON",Descriptions!$C:$C,"RC",Descriptions!$E:$E,"CO",Descriptions!$G:$G,"9")=0,"",SUMIFS(Descriptions!$L:$L,Descriptions!B:B,"ON",Descriptions!$C:$C,"RC",Descriptions!$E:$E,"CO",Descriptions!$G:$G,"9")/COUNTIFS(Descriptions!B:B,"ON",Descriptions!$C:$C,"RC",Descriptions!$E:$E,"CO",Descriptions!$G:$G,"9",Descriptions!$L:$L,"&gt;0")/100)</f>
        <v/>
      </c>
      <c r="V25" s="24" t="str">
        <f>IF(SUMIFS(Descriptions!$L:$L,Descriptions!B:B,"ON",Descriptions!$C:$C,"RC",Descriptions!$E:$E,"CO",Descriptions!$G:$G,"10")=0,"",SUMIFS(Descriptions!$L:$L,Descriptions!B:B,"ON",Descriptions!$C:$C,"RC",Descriptions!$E:$E,"CO",Descriptions!$G:$G,"10")/COUNTIFS(Descriptions!B:B,"ON",Descriptions!$C:$C,"RC",Descriptions!$E:$E,"CO",Descriptions!$G:$G,"10",Descriptions!$L:$L,"&gt;0")/100)</f>
        <v/>
      </c>
      <c r="W25" s="24" t="str">
        <f>IF(SUMIFS(Descriptions!$L:$L,Descriptions!B:B,"ON",Descriptions!$C:$C,"RC",Descriptions!$E:$E,"CO",Descriptions!$G:$G,"11")=0,"",SUMIFS(Descriptions!$L:$L,Descriptions!B:B,"ON",Descriptions!$C:$C,"RC",Descriptions!$E:$E,"CO",Descriptions!$G:$G,"11")/COUNTIFS(Descriptions!B:B,"ON",Descriptions!$C:$C,"RC",Descriptions!$E:$E,"CO",Descriptions!$G:$G,"11",Descriptions!$L:$L,"&gt;0")/100)</f>
        <v/>
      </c>
      <c r="X25" s="25" t="str">
        <f>IF(SUMIFS(Descriptions!$L:$L,Descriptions!B:B,"ON",Descriptions!$C:$C,"RC",Descriptions!$E:$E,"CO",Descriptions!$G:$G,"12")=0,"",SUMIFS(Descriptions!$L:$L,Descriptions!B:B,"ON",Descriptions!$C:$C,"RC",Descriptions!$E:$E,"CO",Descriptions!$G:$G,"12")/COUNTIFS(Descriptions!B:B,"ON",Descriptions!$C:$C,"RC",Descriptions!$E:$E,"CO",Descriptions!$G:$G,"12",Descriptions!$L:$L,"&gt;0")/100)</f>
        <v/>
      </c>
    </row>
    <row r="26" spans="2:24" ht="17.399999999999999" customHeight="1" x14ac:dyDescent="0.3">
      <c r="B26" s="4"/>
      <c r="C26" s="27"/>
      <c r="D26" s="27"/>
      <c r="E26" s="169"/>
      <c r="F26" s="198"/>
      <c r="G26" s="21">
        <f>IF(SUMIFS(Descriptions!$L:$L,Descriptions!B:B,"ON",Descriptions!$C:$C,"RC",Descriptions!$E:$E,"IM")=0,"",SUMIFS(Descriptions!$L:$L,Descriptions!B:B,"ON",Descriptions!$C:$C,"RC",Descriptions!$E:$E,"IM")/COUNTIFS(Descriptions!B:B,"ON",Descriptions!$C:$C,"RC",Descriptions!$E:$E,"IM",Descriptions!$L:$L,"&gt;0")/100)</f>
        <v>0.33</v>
      </c>
      <c r="H26" s="201"/>
      <c r="I26" s="36" t="s">
        <v>90</v>
      </c>
      <c r="J26" s="37" t="s">
        <v>75</v>
      </c>
      <c r="K26" s="38" t="s">
        <v>91</v>
      </c>
      <c r="L26" s="17" t="str">
        <f>IF(SUMIFS(Descriptions!$L:$L,Descriptions!B:B,"ON",Descriptions!$C:$C,"RC",Descriptions!$E:$E,"IM",Descriptions!$G:$G,"0")=0,"",SUMIFS(Descriptions!$L:$L,Descriptions!B:B,"ON",Descriptions!$C:$C,"RC",Descriptions!$E:$E,"IM",Descriptions!$G:$G,"0")/COUNTIFS(Descriptions!B:B,"ON",Descriptions!$C:$C,"RC",Descriptions!$E:$E,"IM",Descriptions!$G:$G,"0",Descriptions!$L:$L,"&gt;0")/100)</f>
        <v/>
      </c>
      <c r="M26" s="18" t="str">
        <f>IF(SUMIFS(Descriptions!$L:$L,Descriptions!B:B,"ON",Descriptions!$C:$C,"RC",Descriptions!$E:$E,"IM",Descriptions!$G:$G,"1")=0,"",SUMIFS(Descriptions!$L:$L,Descriptions!B:B,"ON",Descriptions!$C:$C,"RC",Descriptions!$E:$E,"IM",Descriptions!$G:$G,"1")/COUNTIFS(Descriptions!B:B,"ON",Descriptions!$C:$C,"RC",Descriptions!$E:$E,"IM",Descriptions!$G:$G,"1",Descriptions!$L:$L,"&gt;0")/100)</f>
        <v/>
      </c>
      <c r="N26" s="18">
        <f>IF(SUMIFS(Descriptions!$L:$L,Descriptions!B:B,"ON",Descriptions!$C:$C,"RC",Descriptions!$E:$E,"IM",Descriptions!$G:$G,"2")=0,"",SUMIFS(Descriptions!$L:$L,Descriptions!B:B,"ON",Descriptions!$C:$C,"RC",Descriptions!$E:$E,"IM",Descriptions!$G:$G,"2")/COUNTIFS(Descriptions!B:B,"ON",Descriptions!$C:$C,"RC",Descriptions!$E:$E,"IM",Descriptions!$G:$G,"2",Descriptions!$L:$L,"&gt;0")/100)</f>
        <v>0.33</v>
      </c>
      <c r="O26" s="24" t="str">
        <f>IF(SUMIFS(Descriptions!$L:$L,Descriptions!B:B,"ON",Descriptions!$C:$C,"RC",Descriptions!$E:$E,"IM",Descriptions!$G:$G,"3")=0,"",SUMIFS(Descriptions!$L:$L,Descriptions!B:B,"ON",Descriptions!$C:$C,"RC",Descriptions!$E:$E,"IM",Descriptions!$G:$G,"3")/COUNTIFS(Descriptions!B:B,"ON",Descriptions!$C:$C,"RC",Descriptions!$E:$E,"IM",Descriptions!$G:$G,"3",Descriptions!$L:$L,"&gt;0")/100)</f>
        <v/>
      </c>
      <c r="P26" s="24" t="str">
        <f>IF(SUMIFS(Descriptions!$L:$L,Descriptions!B:B,"ON",Descriptions!$C:$C,"RC",Descriptions!$E:$E,"IM",Descriptions!$G:$G,"4")=0,"",SUMIFS(Descriptions!$L:$L,Descriptions!B:B,"ON",Descriptions!$C:$C,"RC",Descriptions!$E:$E,"IM",Descriptions!$G:$G,"4")/COUNTIFS(Descriptions!B:B,"ON",Descriptions!$C:$C,"RC",Descriptions!$E:$E,"IM",Descriptions!$G:$G,"4",Descriptions!$L:$L,"&gt;0")/100)</f>
        <v/>
      </c>
      <c r="Q26" s="24" t="str">
        <f>IF(SUMIFS(Descriptions!$L:$L,Descriptions!B:B,"ON",Descriptions!$C:$C,"RC",Descriptions!$E:$E,"IM",Descriptions!$G:$G,"5")=0,"",SUMIFS(Descriptions!$L:$L,Descriptions!B:B,"ON",Descriptions!$C:$C,"RC",Descriptions!$E:$E,"IM",Descriptions!$G:$G,"5")/COUNTIFS(Descriptions!B:B,"ON",Descriptions!$C:$C,"RC",Descriptions!$E:$E,"IM",Descriptions!$G:$G,"5",Descriptions!$L:$L,"&gt;0")/100)</f>
        <v/>
      </c>
      <c r="R26" s="24" t="str">
        <f>IF(SUMIFS(Descriptions!$L:$L,Descriptions!B:B,"ON",Descriptions!$C:$C,"RC",Descriptions!$E:$E,"IM",Descriptions!$G:$G,"6")=0,"",SUMIFS(Descriptions!$L:$L,Descriptions!B:B,"ON",Descriptions!$C:$C,"RC",Descriptions!$E:$E,"IM",Descriptions!$G:$G,"6")/COUNTIFS(Descriptions!B:B,"ON",Descriptions!$C:$C,"RC",Descriptions!$E:$E,"IM",Descriptions!$G:$G,"6",Descriptions!$L:$L,"&gt;0")/100)</f>
        <v/>
      </c>
      <c r="S26" s="24" t="str">
        <f>IF(SUMIFS(Descriptions!$L:$L,Descriptions!B:B,"ON",Descriptions!$C:$C,"RC",Descriptions!$E:$E,"IM",Descriptions!$G:$G,"7")=0,"",SUMIFS(Descriptions!$L:$L,Descriptions!B:B,"ON",Descriptions!$C:$C,"RC",Descriptions!$E:$E,"IM",Descriptions!$G:$G,"7")/COUNTIFS(Descriptions!B:B,"ON",Descriptions!$C:$C,"RC",Descriptions!$E:$E,"IM",Descriptions!$G:$G,"7",Descriptions!$L:$L,"&gt;0")/100)</f>
        <v/>
      </c>
      <c r="T26" s="24" t="str">
        <f>IF(SUMIFS(Descriptions!$L:$L,Descriptions!B:B,"ON",Descriptions!$C:$C,"RC",Descriptions!$E:$E,"IM",Descriptions!$G:$G,"8")=0,"",SUMIFS(Descriptions!$L:$L,Descriptions!B:B,"ON",Descriptions!$C:$C,"RC",Descriptions!$E:$E,"IM",Descriptions!$G:$G,"8")/COUNTIFS(Descriptions!B:B,"ON",Descriptions!$C:$C,"RC",Descriptions!$E:$E,"IM",Descriptions!$G:$G,"8",Descriptions!$L:$L,"&gt;0")/100)</f>
        <v/>
      </c>
      <c r="U26" s="24" t="str">
        <f>IF(SUMIFS(Descriptions!$L:$L,Descriptions!B:B,"ON",Descriptions!$C:$C,"RC",Descriptions!$E:$E,"IM",Descriptions!$G:$G,"9")=0,"",SUMIFS(Descriptions!$L:$L,Descriptions!B:B,"ON",Descriptions!$C:$C,"RC",Descriptions!$E:$E,"IM",Descriptions!$G:$G,"9")/COUNTIFS(Descriptions!B:B,"ON",Descriptions!$C:$C,"RC",Descriptions!$E:$E,"IM",Descriptions!$G:$G,"9",Descriptions!$L:$L,"&gt;0")/100)</f>
        <v/>
      </c>
      <c r="V26" s="24" t="str">
        <f>IF(SUMIFS(Descriptions!$L:$L,Descriptions!B:B,"ON",Descriptions!$C:$C,"RC",Descriptions!$E:$E,"IM",Descriptions!$G:$G,"10")=0,"",SUMIFS(Descriptions!$L:$L,Descriptions!B:B,"ON",Descriptions!$C:$C,"RC",Descriptions!$E:$E,"IM",Descriptions!$G:$G,"10")/COUNTIFS(Descriptions!B:B,"ON",Descriptions!$C:$C,"RC",Descriptions!$E:$E,"IM",Descriptions!$G:$G,"10",Descriptions!$L:$L,"&gt;0")/100)</f>
        <v/>
      </c>
      <c r="W26" s="24" t="str">
        <f>IF(SUMIFS(Descriptions!$L:$L,Descriptions!B:B,"ON",Descriptions!$C:$C,"RC",Descriptions!$E:$E,"IM",Descriptions!$G:$G,"11")=0,"",SUMIFS(Descriptions!$L:$L,Descriptions!B:B,"ON",Descriptions!$C:$C,"RC",Descriptions!$E:$E,"IM",Descriptions!$G:$G,"11")/COUNTIFS(Descriptions!B:B,"ON",Descriptions!$C:$C,"RC",Descriptions!$E:$E,"IM",Descriptions!$G:$G,"11",Descriptions!$L:$L,"&gt;0")/100)</f>
        <v/>
      </c>
      <c r="X26" s="25" t="str">
        <f>IF(SUMIFS(Descriptions!$L:$L,Descriptions!B:B,"ON",Descriptions!$C:$C,"RC",Descriptions!$E:$E,"IM",Descriptions!$G:$G,"12")=0,"",SUMIFS(Descriptions!$L:$L,Descriptions!B:B,"ON",Descriptions!$C:$C,"RC",Descriptions!$E:$E,"IM",Descriptions!$G:$G,"12")/COUNTIFS(Descriptions!B:B,"ON",Descriptions!$C:$C,"RC",Descriptions!$E:$E,"IM",Descriptions!$G:$G,"12",Descriptions!$L:$L,"&gt;0")/100)</f>
        <v/>
      </c>
    </row>
    <row r="27" spans="2:24" ht="17.399999999999999" customHeight="1" thickBot="1" x14ac:dyDescent="0.35">
      <c r="B27" s="4"/>
      <c r="C27" s="27"/>
      <c r="D27" s="27"/>
      <c r="E27" s="170"/>
      <c r="F27" s="199"/>
      <c r="G27" s="39" t="str">
        <f>IF(SUMIFS(Descriptions!$L:$L,Descriptions!B:B,"ON",Descriptions!$C:$C,"RC",Descriptions!$E:$E,"RP")=0,"",SUMIFS(Descriptions!$L:$L,Descriptions!B:B,"ON",Descriptions!$C:$C,"RC",Descriptions!$E:$E,"RP")/COUNTIFS(Descriptions!B:B,"ON",Descriptions!$C:$C,"RC",Descriptions!$E:$E,"RP",Descriptions!$L:$L,"&gt;0")/100)</f>
        <v/>
      </c>
      <c r="H27" s="202"/>
      <c r="I27" s="40" t="s">
        <v>93</v>
      </c>
      <c r="J27" s="41" t="s">
        <v>94</v>
      </c>
      <c r="K27" s="42" t="s">
        <v>95</v>
      </c>
      <c r="L27" s="43" t="str">
        <f>IF(SUMIFS(Descriptions!$L:$L,Descriptions!B:B,"ON",Descriptions!$C:$C,"RC",Descriptions!$E:$E,"RP",Descriptions!$G:$G,"0")=0,"",SUMIFS(Descriptions!$L:$L,Descriptions!B:B,"ON",Descriptions!$C:$C,"RC",Descriptions!$E:$E,"RP",Descriptions!$G:$G,"0")/COUNTIFS(Descriptions!B:B,"ON",Descriptions!$C:$C,"RC",Descriptions!$E:$E,"RP",Descriptions!$G:$G,"0",Descriptions!$L:$L,"&gt;0")/100)</f>
        <v/>
      </c>
      <c r="M27" s="44" t="str">
        <f>IF(SUMIFS(Descriptions!$L:$L,Descriptions!B:B,"ON",Descriptions!$C:$C,"RC",Descriptions!$E:$E,"RP",Descriptions!$G:$G,"1")=0,"",SUMIFS(Descriptions!$L:$L,Descriptions!B:B,"ON",Descriptions!$C:$C,"RC",Descriptions!$E:$E,"RP",Descriptions!$G:$G,"1")/COUNTIFS(Descriptions!B:B,"ON",Descriptions!$C:$C,"RC",Descriptions!$E:$E,"RP",Descriptions!$G:$G,"1",Descriptions!$L:$L,"&gt;0")/100)</f>
        <v/>
      </c>
      <c r="N27" s="45" t="str">
        <f>IF(SUMIFS(Descriptions!$L:$L,Descriptions!B:B,"ON",Descriptions!$C:$C,"RC",Descriptions!$E:$E,"RP",Descriptions!$G:$G,"2")=0,"",SUMIFS(Descriptions!$L:$L,Descriptions!B:B,"ON",Descriptions!$C:$C,"RC",Descriptions!$E:$E,"RP",Descriptions!$G:$G,"2")/COUNTIFS(Descriptions!B:B,"ON",Descriptions!$C:$C,"RC",Descriptions!$E:$E,"RP",Descriptions!$G:$G,"2",Descriptions!$L:$L,"&gt;0")/100)</f>
        <v/>
      </c>
      <c r="O27" s="45" t="str">
        <f>IF(SUMIFS(Descriptions!$L:$L,Descriptions!B:B,"ON",Descriptions!$C:$C,"RC",Descriptions!$E:$E,"RP",Descriptions!$G:$G,"3")=0,"",SUMIFS(Descriptions!$L:$L,Descriptions!B:B,"ON",Descriptions!$C:$C,"RC",Descriptions!$E:$E,"RP",Descriptions!$G:$G,"3")/COUNTIFS(Descriptions!B:B,"ON",Descriptions!$C:$C,"RC",Descriptions!$E:$E,"RP",Descriptions!$G:$G,"3",Descriptions!$L:$L,"&gt;0")/100)</f>
        <v/>
      </c>
      <c r="P27" s="45" t="str">
        <f>IF(SUMIFS(Descriptions!$L:$L,Descriptions!B:B,"ON",Descriptions!$C:$C,"RC",Descriptions!$E:$E,"RP",Descriptions!$G:$G,"4")=0,"",SUMIFS(Descriptions!$L:$L,Descriptions!B:B,"ON",Descriptions!$C:$C,"RC",Descriptions!$E:$E,"RP",Descriptions!$G:$G,"4")/COUNTIFS(Descriptions!B:B,"ON",Descriptions!$C:$C,"RC",Descriptions!$E:$E,"RP",Descriptions!$G:$G,"4",Descriptions!$L:$L,"&gt;0")/100)</f>
        <v/>
      </c>
      <c r="Q27" s="45" t="str">
        <f>IF(SUMIFS(Descriptions!$L:$L,Descriptions!B:B,"ON",Descriptions!$C:$C,"RC",Descriptions!$E:$E,"RP",Descriptions!$G:$G,"5")=0,"",SUMIFS(Descriptions!$L:$L,Descriptions!B:B,"ON",Descriptions!$C:$C,"RC",Descriptions!$E:$E,"RP",Descriptions!$G:$G,"5")/COUNTIFS(Descriptions!B:B,"ON",Descriptions!$C:$C,"RC",Descriptions!$E:$E,"RP",Descriptions!$G:$G,"5",Descriptions!$L:$L,"&gt;0")/100)</f>
        <v/>
      </c>
      <c r="R27" s="45" t="str">
        <f>IF(SUMIFS(Descriptions!$L:$L,Descriptions!B:B,"ON",Descriptions!$C:$C,"RC",Descriptions!$E:$E,"RP",Descriptions!$G:$G,"6")=0,"",SUMIFS(Descriptions!$L:$L,Descriptions!B:B,"ON",Descriptions!$C:$C,"RC",Descriptions!$E:$E,"RP",Descriptions!$G:$G,"6")/COUNTIFS(Descriptions!B:B,"ON",Descriptions!$C:$C,"RC",Descriptions!$E:$E,"RP",Descriptions!$G:$G,"6",Descriptions!$L:$L,"&gt;0")/100)</f>
        <v/>
      </c>
      <c r="S27" s="45" t="str">
        <f>IF(SUMIFS(Descriptions!$L:$L,Descriptions!B:B,"ON",Descriptions!$C:$C,"RC",Descriptions!$E:$E,"RP",Descriptions!$G:$G,"7")=0,"",SUMIFS(Descriptions!$L:$L,Descriptions!B:B,"ON",Descriptions!$C:$C,"RC",Descriptions!$E:$E,"RP",Descriptions!$G:$G,"7")/COUNTIFS(Descriptions!B:B,"ON",Descriptions!$C:$C,"RC",Descriptions!$E:$E,"RP",Descriptions!$G:$G,"7",Descriptions!$L:$L,"&gt;0")/100)</f>
        <v/>
      </c>
      <c r="T27" s="45" t="str">
        <f>IF(SUMIFS(Descriptions!$L:$L,Descriptions!B:B,"ON",Descriptions!$C:$C,"RC",Descriptions!$E:$E,"RP",Descriptions!$G:$G,"8")=0,"",SUMIFS(Descriptions!$L:$L,Descriptions!B:B,"ON",Descriptions!$C:$C,"RC",Descriptions!$E:$E,"RP",Descriptions!$G:$G,"8")/COUNTIFS(Descriptions!B:B,"ON",Descriptions!$C:$C,"RC",Descriptions!$E:$E,"RP",Descriptions!$G:$G,"8",Descriptions!$L:$L,"&gt;0")/100)</f>
        <v/>
      </c>
      <c r="U27" s="45" t="str">
        <f>IF(SUMIFS(Descriptions!$L:$L,Descriptions!B:B,"ON",Descriptions!$C:$C,"RC",Descriptions!$E:$E,"RP",Descriptions!$G:$G,"9")=0,"",SUMIFS(Descriptions!$L:$L,Descriptions!B:B,"ON",Descriptions!$C:$C,"RC",Descriptions!$E:$E,"RP",Descriptions!$G:$G,"9")/COUNTIFS(Descriptions!B:B,"ON",Descriptions!$C:$C,"RC",Descriptions!$E:$E,"RP",Descriptions!$G:$G,"9",Descriptions!$L:$L,"&gt;0")/100)</f>
        <v/>
      </c>
      <c r="V27" s="45" t="str">
        <f>IF(SUMIFS(Descriptions!$L:$L,Descriptions!B:B,"ON",Descriptions!$C:$C,"RC",Descriptions!$E:$E,"RP",Descriptions!$G:$G,"10")=0,"",SUMIFS(Descriptions!$L:$L,Descriptions!B:B,"ON",Descriptions!$C:$C,"RC",Descriptions!$E:$E,"RP",Descriptions!$G:$G,"10")/COUNTIFS(Descriptions!B:B,"ON",Descriptions!$C:$C,"RC",Descriptions!$E:$E,"RP",Descriptions!$G:$G,"10",Descriptions!$L:$L,"&gt;0")/100)</f>
        <v/>
      </c>
      <c r="W27" s="45" t="str">
        <f>IF(SUMIFS(Descriptions!$L:$L,Descriptions!B:B,"ON",Descriptions!$C:$C,"RC",Descriptions!$E:$E,"RP",Descriptions!$G:$G,"11")=0,"",SUMIFS(Descriptions!$L:$L,Descriptions!B:B,"ON",Descriptions!$C:$C,"RC",Descriptions!$E:$E,"RP",Descriptions!$G:$G,"11")/COUNTIFS(Descriptions!B:B,"ON",Descriptions!$C:$C,"RC",Descriptions!$E:$E,"RP",Descriptions!$G:$G,"11",Descriptions!$L:$L,"&gt;0")/100)</f>
        <v/>
      </c>
      <c r="X27" s="46" t="str">
        <f>IF(SUMIFS(Descriptions!$L:$L,Descriptions!B:B,"ON",Descriptions!$C:$C,"RC",Descriptions!$E:$E,"RP",Descriptions!$G:$G,"12")=0,"",SUMIFS(Descriptions!$L:$L,Descriptions!B:B,"ON",Descriptions!$C:$C,"RC",Descriptions!$E:$E,"RP",Descriptions!$G:$G,"12")/COUNTIFS(Descriptions!B:B,"ON",Descriptions!$C:$C,"RC",Descriptions!$E:$E,"RP",Descriptions!$G:$G,"12",Descriptions!$L:$L,"&gt;0")/100)</f>
        <v/>
      </c>
    </row>
    <row r="28" spans="2:24" ht="15" thickBot="1" x14ac:dyDescent="0.35">
      <c r="B28" s="47"/>
      <c r="C28" s="48"/>
      <c r="D28" s="48"/>
      <c r="E28" s="48"/>
      <c r="F28" s="49"/>
      <c r="H28" s="50"/>
      <c r="J28" s="1"/>
      <c r="K28" s="1"/>
      <c r="L28" s="1"/>
      <c r="M28" s="1"/>
      <c r="N28" s="1"/>
      <c r="O28" s="1"/>
      <c r="P28" s="1"/>
      <c r="Q28" s="1"/>
      <c r="R28" s="1"/>
      <c r="S28" s="1"/>
      <c r="T28" s="1"/>
      <c r="U28" s="1"/>
      <c r="V28" s="1"/>
      <c r="W28" s="1"/>
    </row>
    <row r="30" spans="2:24" ht="15" thickBot="1" x14ac:dyDescent="0.35">
      <c r="L30" s="84" t="s">
        <v>3900</v>
      </c>
    </row>
    <row r="31" spans="2:24" ht="28.2" thickBot="1" x14ac:dyDescent="0.35">
      <c r="J31" s="81" t="s">
        <v>4485</v>
      </c>
      <c r="K31" s="83">
        <v>2</v>
      </c>
      <c r="L31" s="163" t="str">
        <f>INDEX(Key!B:C,MATCH(K31,Key!B:B,0),2)</f>
        <v>CMMC 1.0</v>
      </c>
      <c r="M31" s="164"/>
      <c r="N31" s="164"/>
      <c r="O31" s="164"/>
      <c r="P31" s="164"/>
      <c r="Q31" s="164"/>
      <c r="R31" s="164"/>
      <c r="S31" s="164"/>
      <c r="T31" s="164"/>
      <c r="U31" s="164"/>
      <c r="V31" s="164"/>
      <c r="W31" s="164"/>
      <c r="X31" s="164"/>
    </row>
    <row r="32" spans="2:24" ht="27.6" customHeight="1" x14ac:dyDescent="0.3">
      <c r="J32" s="81" t="s">
        <v>3902</v>
      </c>
      <c r="K32" s="31" t="s">
        <v>3903</v>
      </c>
      <c r="L32" s="164" t="str">
        <f>IF(K32="SETS","Select 'ON' in the list below for the control sets to be displayed in the Dashboard"," ")</f>
        <v>Select 'ON' in the list below for the control sets to be displayed in the Dashboard</v>
      </c>
      <c r="M32" s="164"/>
      <c r="N32" s="164"/>
      <c r="O32" s="164"/>
      <c r="P32" s="164"/>
      <c r="Q32" s="164"/>
      <c r="R32" s="164"/>
      <c r="S32" s="164"/>
      <c r="T32" s="164"/>
      <c r="U32" s="164"/>
      <c r="V32" s="164"/>
      <c r="W32" s="164"/>
      <c r="X32" s="164"/>
    </row>
    <row r="33" spans="3:12" x14ac:dyDescent="0.3">
      <c r="J33" s="82" t="s">
        <v>2835</v>
      </c>
      <c r="K33" s="71" t="s">
        <v>26</v>
      </c>
      <c r="L33" s="85" t="str">
        <f>IF(K33="ON","Displayed in the Dashboard"," ")</f>
        <v xml:space="preserve"> </v>
      </c>
    </row>
    <row r="34" spans="3:12" x14ac:dyDescent="0.3">
      <c r="J34" s="82" t="s">
        <v>77</v>
      </c>
      <c r="K34" s="71" t="s">
        <v>26</v>
      </c>
      <c r="L34" s="85" t="str">
        <f t="shared" ref="L34:L62" si="0">IF(K34="ON","Displayed in the Dashboard"," ")</f>
        <v xml:space="preserve"> </v>
      </c>
    </row>
    <row r="35" spans="3:12" x14ac:dyDescent="0.3">
      <c r="C35" s="75"/>
      <c r="J35" s="82" t="s">
        <v>73</v>
      </c>
      <c r="K35" s="71" t="s">
        <v>26</v>
      </c>
      <c r="L35" s="85" t="str">
        <f t="shared" si="0"/>
        <v xml:space="preserve"> </v>
      </c>
    </row>
    <row r="36" spans="3:12" x14ac:dyDescent="0.3">
      <c r="C36" s="75"/>
      <c r="J36" s="82" t="s">
        <v>4107</v>
      </c>
      <c r="K36" s="71" t="s">
        <v>69</v>
      </c>
      <c r="L36" s="85" t="str">
        <f t="shared" si="0"/>
        <v>Displayed in the Dashboard</v>
      </c>
    </row>
    <row r="37" spans="3:12" x14ac:dyDescent="0.3">
      <c r="J37" s="82" t="s">
        <v>60</v>
      </c>
      <c r="K37" s="71" t="s">
        <v>26</v>
      </c>
      <c r="L37" s="85" t="str">
        <f t="shared" si="0"/>
        <v xml:space="preserve"> </v>
      </c>
    </row>
    <row r="38" spans="3:12" x14ac:dyDescent="0.3">
      <c r="J38" s="82" t="s">
        <v>41</v>
      </c>
      <c r="K38" s="71" t="s">
        <v>26</v>
      </c>
      <c r="L38" s="85" t="str">
        <f t="shared" si="0"/>
        <v xml:space="preserve"> </v>
      </c>
    </row>
    <row r="39" spans="3:12" x14ac:dyDescent="0.3">
      <c r="J39" s="82" t="s">
        <v>37</v>
      </c>
      <c r="K39" s="71" t="s">
        <v>26</v>
      </c>
      <c r="L39" s="85" t="str">
        <f t="shared" si="0"/>
        <v xml:space="preserve"> </v>
      </c>
    </row>
    <row r="40" spans="3:12" x14ac:dyDescent="0.3">
      <c r="C40" s="75"/>
      <c r="J40" s="82" t="s">
        <v>85</v>
      </c>
      <c r="K40" s="71" t="s">
        <v>26</v>
      </c>
      <c r="L40" s="85" t="str">
        <f t="shared" si="0"/>
        <v xml:space="preserve"> </v>
      </c>
    </row>
    <row r="41" spans="3:12" x14ac:dyDescent="0.3">
      <c r="J41" s="82" t="s">
        <v>92</v>
      </c>
      <c r="K41" s="71" t="s">
        <v>26</v>
      </c>
      <c r="L41" s="85" t="str">
        <f t="shared" si="0"/>
        <v xml:space="preserve"> </v>
      </c>
    </row>
    <row r="42" spans="3:12" x14ac:dyDescent="0.3">
      <c r="J42" s="82" t="s">
        <v>64</v>
      </c>
      <c r="K42" s="71" t="s">
        <v>26</v>
      </c>
      <c r="L42" s="85" t="str">
        <f t="shared" si="0"/>
        <v xml:space="preserve"> </v>
      </c>
    </row>
    <row r="43" spans="3:12" x14ac:dyDescent="0.3">
      <c r="J43" s="82" t="s">
        <v>96</v>
      </c>
      <c r="K43" s="71" t="s">
        <v>26</v>
      </c>
      <c r="L43" s="85" t="str">
        <f t="shared" si="0"/>
        <v xml:space="preserve"> </v>
      </c>
    </row>
    <row r="44" spans="3:12" x14ac:dyDescent="0.3">
      <c r="J44" s="82" t="s">
        <v>89</v>
      </c>
      <c r="K44" s="71" t="s">
        <v>26</v>
      </c>
      <c r="L44" s="85" t="str">
        <f t="shared" si="0"/>
        <v xml:space="preserve"> </v>
      </c>
    </row>
    <row r="45" spans="3:12" x14ac:dyDescent="0.3">
      <c r="J45" s="82" t="s">
        <v>81</v>
      </c>
      <c r="K45" s="71" t="s">
        <v>26</v>
      </c>
      <c r="L45" s="85" t="str">
        <f t="shared" si="0"/>
        <v xml:space="preserve"> </v>
      </c>
    </row>
    <row r="46" spans="3:12" x14ac:dyDescent="0.3">
      <c r="J46" s="82" t="s">
        <v>52</v>
      </c>
      <c r="K46" s="71" t="s">
        <v>26</v>
      </c>
      <c r="L46" s="85" t="str">
        <f t="shared" si="0"/>
        <v xml:space="preserve"> </v>
      </c>
    </row>
    <row r="47" spans="3:12" x14ac:dyDescent="0.3">
      <c r="J47" s="82" t="s">
        <v>48</v>
      </c>
      <c r="K47" s="71" t="s">
        <v>26</v>
      </c>
      <c r="L47" s="85" t="str">
        <f t="shared" si="0"/>
        <v xml:space="preserve"> </v>
      </c>
    </row>
    <row r="48" spans="3:12" x14ac:dyDescent="0.3">
      <c r="J48" s="82" t="s">
        <v>5225</v>
      </c>
      <c r="K48" s="71" t="s">
        <v>26</v>
      </c>
      <c r="L48" s="85" t="str">
        <f t="shared" si="0"/>
        <v xml:space="preserve"> </v>
      </c>
    </row>
    <row r="49" spans="12:12" x14ac:dyDescent="0.3">
      <c r="L49" s="76" t="str">
        <f t="shared" si="0"/>
        <v xml:space="preserve"> </v>
      </c>
    </row>
    <row r="50" spans="12:12" x14ac:dyDescent="0.3">
      <c r="L50" s="76" t="str">
        <f t="shared" si="0"/>
        <v xml:space="preserve"> </v>
      </c>
    </row>
    <row r="51" spans="12:12" x14ac:dyDescent="0.3">
      <c r="L51" s="76" t="str">
        <f t="shared" si="0"/>
        <v xml:space="preserve"> </v>
      </c>
    </row>
    <row r="52" spans="12:12" x14ac:dyDescent="0.3">
      <c r="L52" s="76" t="str">
        <f t="shared" si="0"/>
        <v xml:space="preserve"> </v>
      </c>
    </row>
    <row r="53" spans="12:12" x14ac:dyDescent="0.3">
      <c r="L53" s="76" t="str">
        <f t="shared" si="0"/>
        <v xml:space="preserve"> </v>
      </c>
    </row>
    <row r="54" spans="12:12" x14ac:dyDescent="0.3">
      <c r="L54" s="76" t="str">
        <f t="shared" si="0"/>
        <v xml:space="preserve"> </v>
      </c>
    </row>
    <row r="55" spans="12:12" x14ac:dyDescent="0.3">
      <c r="L55" s="76" t="str">
        <f t="shared" si="0"/>
        <v xml:space="preserve"> </v>
      </c>
    </row>
    <row r="56" spans="12:12" x14ac:dyDescent="0.3">
      <c r="L56" s="76" t="str">
        <f t="shared" si="0"/>
        <v xml:space="preserve"> </v>
      </c>
    </row>
    <row r="57" spans="12:12" x14ac:dyDescent="0.3">
      <c r="L57" s="76" t="str">
        <f t="shared" si="0"/>
        <v xml:space="preserve"> </v>
      </c>
    </row>
    <row r="58" spans="12:12" x14ac:dyDescent="0.3">
      <c r="L58" s="76" t="str">
        <f t="shared" si="0"/>
        <v xml:space="preserve"> </v>
      </c>
    </row>
    <row r="59" spans="12:12" x14ac:dyDescent="0.3">
      <c r="L59" s="76" t="str">
        <f t="shared" si="0"/>
        <v xml:space="preserve"> </v>
      </c>
    </row>
    <row r="60" spans="12:12" x14ac:dyDescent="0.3">
      <c r="L60" s="76" t="str">
        <f t="shared" si="0"/>
        <v xml:space="preserve"> </v>
      </c>
    </row>
    <row r="61" spans="12:12" x14ac:dyDescent="0.3">
      <c r="L61" s="76" t="str">
        <f t="shared" si="0"/>
        <v xml:space="preserve"> </v>
      </c>
    </row>
    <row r="62" spans="12:12" x14ac:dyDescent="0.3">
      <c r="L62" s="76" t="str">
        <f t="shared" si="0"/>
        <v xml:space="preserve"> </v>
      </c>
    </row>
  </sheetData>
  <mergeCells count="24">
    <mergeCell ref="B2:F3"/>
    <mergeCell ref="E4:E5"/>
    <mergeCell ref="C5:C7"/>
    <mergeCell ref="E6:E8"/>
    <mergeCell ref="F11:F16"/>
    <mergeCell ref="E12:E14"/>
    <mergeCell ref="L32:X32"/>
    <mergeCell ref="H5:H10"/>
    <mergeCell ref="E17:E19"/>
    <mergeCell ref="F17:F19"/>
    <mergeCell ref="H17:H19"/>
    <mergeCell ref="F5:F10"/>
    <mergeCell ref="H11:H16"/>
    <mergeCell ref="F20:F24"/>
    <mergeCell ref="H20:H24"/>
    <mergeCell ref="E21:E23"/>
    <mergeCell ref="E25:E27"/>
    <mergeCell ref="F25:F27"/>
    <mergeCell ref="H25:H27"/>
    <mergeCell ref="G3:G4"/>
    <mergeCell ref="H3:J3"/>
    <mergeCell ref="L3:V3"/>
    <mergeCell ref="W3:X3"/>
    <mergeCell ref="L31:X31"/>
  </mergeCells>
  <conditionalFormatting sqref="D8">
    <cfRule type="colorScale" priority="34">
      <colorScale>
        <cfvo type="min"/>
        <cfvo type="percentile" val="50"/>
        <cfvo type="max"/>
        <color rgb="FFF8696B"/>
        <color rgb="FFFFEB84"/>
        <color rgb="FF63BE7B"/>
      </colorScale>
    </cfRule>
  </conditionalFormatting>
  <conditionalFormatting sqref="D5">
    <cfRule type="top10" dxfId="3" priority="33" percent="1" rank="10"/>
  </conditionalFormatting>
  <conditionalFormatting sqref="E17:E19 E21:E23 E25:E27">
    <cfRule type="colorScale" priority="32">
      <colorScale>
        <cfvo type="min"/>
        <cfvo type="percentile" val="50"/>
        <cfvo type="max"/>
        <color rgb="FFF8696B"/>
        <color rgb="FFFFEB84"/>
        <color rgb="FF63BE7B"/>
      </colorScale>
    </cfRule>
  </conditionalFormatting>
  <conditionalFormatting sqref="E17:E19">
    <cfRule type="colorScale" priority="31">
      <colorScale>
        <cfvo type="min"/>
        <cfvo type="percentile" val="50"/>
        <cfvo type="max"/>
        <color rgb="FFF8696B"/>
        <color rgb="FFFFEB84"/>
        <color rgb="FF63BE7B"/>
      </colorScale>
    </cfRule>
  </conditionalFormatting>
  <conditionalFormatting sqref="H28">
    <cfRule type="top10" dxfId="2" priority="30" percent="1" rank="10"/>
  </conditionalFormatting>
  <conditionalFormatting sqref="H28">
    <cfRule type="colorScale" priority="29">
      <colorScale>
        <cfvo type="min"/>
        <cfvo type="percentile" val="50"/>
        <cfvo type="max"/>
        <color rgb="FFF8696B"/>
        <color rgb="FFFFEB84"/>
        <color rgb="FF63BE7B"/>
      </colorScale>
    </cfRule>
  </conditionalFormatting>
  <conditionalFormatting sqref="C5 E6 E12 E17:E19 E21:E23 E25:E27">
    <cfRule type="colorScale" priority="28">
      <colorScale>
        <cfvo type="min"/>
        <cfvo type="percentile" val="50"/>
        <cfvo type="max"/>
        <color rgb="FFF8696B"/>
        <color rgb="FFFFEB84"/>
        <color rgb="FF63BE7B"/>
      </colorScale>
    </cfRule>
  </conditionalFormatting>
  <conditionalFormatting sqref="G5:G27">
    <cfRule type="colorScale" priority="27">
      <colorScale>
        <cfvo type="min"/>
        <cfvo type="percentile" val="50"/>
        <cfvo type="max"/>
        <color rgb="FFF8696B"/>
        <color rgb="FFFFEB84"/>
        <color rgb="FF63BE7B"/>
      </colorScale>
    </cfRule>
  </conditionalFormatting>
  <conditionalFormatting sqref="M19:U19 M17:U17 M15:V15 M18:T18 M20:T21 L27:U27 M25:X25 M24:U24 M26:V26 M22:V23 X15:X24 X26:X27 M7:X9 L5:X6 M16:T16 M11:X14">
    <cfRule type="colorScale" priority="26">
      <colorScale>
        <cfvo type="min"/>
        <cfvo type="percentile" val="50"/>
        <cfvo type="max"/>
        <color rgb="FFF8696B"/>
        <color rgb="FFFFEB84"/>
        <color rgb="FF63BE7B"/>
      </colorScale>
    </cfRule>
  </conditionalFormatting>
  <conditionalFormatting sqref="V17:X17">
    <cfRule type="colorScale" priority="25">
      <colorScale>
        <cfvo type="min"/>
        <cfvo type="percentile" val="50"/>
        <cfvo type="max"/>
        <color rgb="FFF8696B"/>
        <color rgb="FFFFEB84"/>
        <color rgb="FF63BE7B"/>
      </colorScale>
    </cfRule>
  </conditionalFormatting>
  <conditionalFormatting sqref="U16:X16">
    <cfRule type="colorScale" priority="24">
      <colorScale>
        <cfvo type="min"/>
        <cfvo type="percentile" val="50"/>
        <cfvo type="max"/>
        <color rgb="FFF8696B"/>
        <color rgb="FFFFEB84"/>
        <color rgb="FF63BE7B"/>
      </colorScale>
    </cfRule>
  </conditionalFormatting>
  <conditionalFormatting sqref="W15:X15">
    <cfRule type="colorScale" priority="23">
      <colorScale>
        <cfvo type="min"/>
        <cfvo type="percentile" val="50"/>
        <cfvo type="max"/>
        <color rgb="FFF8696B"/>
        <color rgb="FFFFEB84"/>
        <color rgb="FF63BE7B"/>
      </colorScale>
    </cfRule>
  </conditionalFormatting>
  <conditionalFormatting sqref="U18:X18">
    <cfRule type="colorScale" priority="22">
      <colorScale>
        <cfvo type="min"/>
        <cfvo type="percentile" val="50"/>
        <cfvo type="max"/>
        <color rgb="FFF8696B"/>
        <color rgb="FFFFEB84"/>
        <color rgb="FF63BE7B"/>
      </colorScale>
    </cfRule>
  </conditionalFormatting>
  <conditionalFormatting sqref="V19:X19">
    <cfRule type="colorScale" priority="21">
      <colorScale>
        <cfvo type="min"/>
        <cfvo type="percentile" val="50"/>
        <cfvo type="max"/>
        <color rgb="FFF8696B"/>
        <color rgb="FFFFEB84"/>
        <color rgb="FF63BE7B"/>
      </colorScale>
    </cfRule>
  </conditionalFormatting>
  <conditionalFormatting sqref="U20:X20">
    <cfRule type="colorScale" priority="20">
      <colorScale>
        <cfvo type="min"/>
        <cfvo type="percentile" val="50"/>
        <cfvo type="max"/>
        <color rgb="FFF8696B"/>
        <color rgb="FFFFEB84"/>
        <color rgb="FF63BE7B"/>
      </colorScale>
    </cfRule>
  </conditionalFormatting>
  <conditionalFormatting sqref="U21:X21">
    <cfRule type="colorScale" priority="19">
      <colorScale>
        <cfvo type="min"/>
        <cfvo type="percentile" val="50"/>
        <cfvo type="max"/>
        <color rgb="FFF8696B"/>
        <color rgb="FFFFEB84"/>
        <color rgb="FF63BE7B"/>
      </colorScale>
    </cfRule>
  </conditionalFormatting>
  <conditionalFormatting sqref="V27:X27">
    <cfRule type="colorScale" priority="18">
      <colorScale>
        <cfvo type="min"/>
        <cfvo type="percentile" val="50"/>
        <cfvo type="max"/>
        <color rgb="FFF8696B"/>
        <color rgb="FFFFEB84"/>
        <color rgb="FF63BE7B"/>
      </colorScale>
    </cfRule>
  </conditionalFormatting>
  <conditionalFormatting sqref="V24:X24">
    <cfRule type="colorScale" priority="17">
      <colorScale>
        <cfvo type="min"/>
        <cfvo type="percentile" val="50"/>
        <cfvo type="max"/>
        <color rgb="FFF8696B"/>
        <color rgb="FFFFEB84"/>
        <color rgb="FF63BE7B"/>
      </colorScale>
    </cfRule>
  </conditionalFormatting>
  <conditionalFormatting sqref="W26:X26">
    <cfRule type="colorScale" priority="16">
      <colorScale>
        <cfvo type="min"/>
        <cfvo type="percentile" val="50"/>
        <cfvo type="max"/>
        <color rgb="FFF8696B"/>
        <color rgb="FFFFEB84"/>
        <color rgb="FF63BE7B"/>
      </colorScale>
    </cfRule>
  </conditionalFormatting>
  <conditionalFormatting sqref="W23:X23">
    <cfRule type="colorScale" priority="15">
      <colorScale>
        <cfvo type="min"/>
        <cfvo type="percentile" val="50"/>
        <cfvo type="max"/>
        <color rgb="FFF8696B"/>
        <color rgb="FFFFEB84"/>
        <color rgb="FF63BE7B"/>
      </colorScale>
    </cfRule>
  </conditionalFormatting>
  <conditionalFormatting sqref="W22:X22">
    <cfRule type="colorScale" priority="14">
      <colorScale>
        <cfvo type="min"/>
        <cfvo type="percentile" val="50"/>
        <cfvo type="max"/>
        <color rgb="FFF8696B"/>
        <color rgb="FFFFEB84"/>
        <color rgb="FF63BE7B"/>
      </colorScale>
    </cfRule>
  </conditionalFormatting>
  <conditionalFormatting sqref="C5">
    <cfRule type="colorScale" priority="13">
      <colorScale>
        <cfvo type="min"/>
        <cfvo type="percentile" val="50"/>
        <cfvo type="max"/>
        <color rgb="FFF8696B"/>
        <color rgb="FFFFEB84"/>
        <color rgb="FF63BE7B"/>
      </colorScale>
    </cfRule>
  </conditionalFormatting>
  <conditionalFormatting sqref="L7:L9 L11:L26">
    <cfRule type="colorScale" priority="12">
      <colorScale>
        <cfvo type="min"/>
        <cfvo type="percentile" val="50"/>
        <cfvo type="max"/>
        <color rgb="FFF8696B"/>
        <color rgb="FFFFEB84"/>
        <color rgb="FF63BE7B"/>
      </colorScale>
    </cfRule>
  </conditionalFormatting>
  <conditionalFormatting sqref="L5:X9 L11:X27">
    <cfRule type="colorScale" priority="11">
      <colorScale>
        <cfvo type="min"/>
        <cfvo type="percentile" val="50"/>
        <cfvo type="max"/>
        <color rgb="FFF8696B"/>
        <color rgb="FFFFEB84"/>
        <color rgb="FF63BE7B"/>
      </colorScale>
    </cfRule>
  </conditionalFormatting>
  <conditionalFormatting sqref="M10:X10">
    <cfRule type="colorScale" priority="10">
      <colorScale>
        <cfvo type="min"/>
        <cfvo type="percentile" val="50"/>
        <cfvo type="max"/>
        <color rgb="FFF8696B"/>
        <color rgb="FFFFEB84"/>
        <color rgb="FF63BE7B"/>
      </colorScale>
    </cfRule>
  </conditionalFormatting>
  <conditionalFormatting sqref="L10">
    <cfRule type="colorScale" priority="9">
      <colorScale>
        <cfvo type="min"/>
        <cfvo type="percentile" val="50"/>
        <cfvo type="max"/>
        <color rgb="FFF8696B"/>
        <color rgb="FFFFEB84"/>
        <color rgb="FF63BE7B"/>
      </colorScale>
    </cfRule>
  </conditionalFormatting>
  <conditionalFormatting sqref="L10:X10">
    <cfRule type="colorScale" priority="8">
      <colorScale>
        <cfvo type="min"/>
        <cfvo type="percentile" val="50"/>
        <cfvo type="max"/>
        <color rgb="FFF8696B"/>
        <color rgb="FFFFEB84"/>
        <color rgb="FF63BE7B"/>
      </colorScale>
    </cfRule>
  </conditionalFormatting>
  <conditionalFormatting sqref="M5:X27">
    <cfRule type="colorScale" priority="7">
      <colorScale>
        <cfvo type="min"/>
        <cfvo type="percentile" val="50"/>
        <cfvo type="max"/>
        <color rgb="FFF8696B"/>
        <color rgb="FFFFEB84"/>
        <color rgb="FF63BE7B"/>
      </colorScale>
    </cfRule>
  </conditionalFormatting>
  <conditionalFormatting sqref="K32:K48">
    <cfRule type="containsText" dxfId="1" priority="6" stopIfTrue="1" operator="containsText" text="'ON">
      <formula>NOT(ISERROR(SEARCH("'ON",K32)))</formula>
    </cfRule>
  </conditionalFormatting>
  <conditionalFormatting sqref="K33:K48">
    <cfRule type="containsText" dxfId="0" priority="5" stopIfTrue="1" operator="containsText" text="'OFF">
      <formula>NOT(ISERROR(SEARCH("'OFF",K33)))</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3E002C4-EEEE-4CE9-B1CE-FBA983DC3599}">
          <x14:formula1>
            <xm:f>Key!$F$4:$F$5</xm:f>
          </x14:formula1>
          <xm:sqref>K32</xm:sqref>
        </x14:dataValidation>
        <x14:dataValidation type="list" allowBlank="1" showInputMessage="1" showErrorMessage="1" xr:uid="{2DA84628-82E2-43D3-A097-141766FFE48C}">
          <x14:formula1>
            <xm:f>Key!$F$2:$F$3</xm:f>
          </x14:formula1>
          <xm:sqref>K33:K48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B69A-003F-4A81-B09A-1FBEC80E9E34}">
  <sheetPr>
    <tabColor theme="1" tint="4.9989318521683403E-2"/>
  </sheetPr>
  <dimension ref="B1:F102"/>
  <sheetViews>
    <sheetView zoomScaleNormal="100" workbookViewId="0">
      <selection activeCell="E14" sqref="E14:J31"/>
    </sheetView>
  </sheetViews>
  <sheetFormatPr defaultRowHeight="15.6" x14ac:dyDescent="0.3"/>
  <cols>
    <col min="1" max="1" width="4.44140625" style="64" customWidth="1"/>
    <col min="2" max="2" width="9.21875" style="64" customWidth="1"/>
    <col min="3" max="3" width="68.33203125" style="64" customWidth="1"/>
    <col min="4" max="5" width="8.88671875" style="64"/>
    <col min="6" max="6" width="4.44140625" style="64" customWidth="1"/>
    <col min="7" max="7" width="30.44140625" style="64" customWidth="1"/>
    <col min="8" max="16384" width="8.88671875" style="64"/>
  </cols>
  <sheetData>
    <row r="1" spans="2:6" x14ac:dyDescent="0.3">
      <c r="B1" s="61"/>
      <c r="C1" s="62" t="s">
        <v>3850</v>
      </c>
      <c r="D1" s="63" t="str">
        <f>IF(Dashboard!K31&gt;0,"ON","OFF")</f>
        <v>ON</v>
      </c>
      <c r="F1" s="64" t="s">
        <v>3851</v>
      </c>
    </row>
    <row r="2" spans="2:6" ht="31.2" x14ac:dyDescent="0.3">
      <c r="B2" s="65" t="s">
        <v>5230</v>
      </c>
      <c r="C2" s="64" t="s">
        <v>3852</v>
      </c>
      <c r="F2" s="64" t="s">
        <v>69</v>
      </c>
    </row>
    <row r="3" spans="2:6" x14ac:dyDescent="0.3">
      <c r="B3" s="65">
        <v>0</v>
      </c>
      <c r="C3" s="64" t="s">
        <v>3853</v>
      </c>
      <c r="F3" s="64" t="s">
        <v>26</v>
      </c>
    </row>
    <row r="4" spans="2:6" x14ac:dyDescent="0.3">
      <c r="B4" s="64">
        <v>1</v>
      </c>
      <c r="C4" s="64" t="s">
        <v>3854</v>
      </c>
      <c r="F4" s="64" t="s">
        <v>3903</v>
      </c>
    </row>
    <row r="5" spans="2:6" x14ac:dyDescent="0.3">
      <c r="B5" s="64">
        <v>2</v>
      </c>
      <c r="C5" s="93" t="s">
        <v>4107</v>
      </c>
      <c r="F5" s="64" t="s">
        <v>3901</v>
      </c>
    </row>
    <row r="6" spans="2:6" x14ac:dyDescent="0.3">
      <c r="B6" s="64">
        <v>3</v>
      </c>
      <c r="C6" s="64" t="s">
        <v>4108</v>
      </c>
    </row>
    <row r="7" spans="2:6" x14ac:dyDescent="0.3">
      <c r="B7" s="64">
        <v>4</v>
      </c>
      <c r="C7" s="64" t="s">
        <v>4109</v>
      </c>
    </row>
    <row r="8" spans="2:6" x14ac:dyDescent="0.3">
      <c r="B8" s="64">
        <v>5</v>
      </c>
      <c r="C8" s="64" t="s">
        <v>5219</v>
      </c>
    </row>
    <row r="9" spans="2:6" x14ac:dyDescent="0.3">
      <c r="B9" s="64">
        <v>6</v>
      </c>
      <c r="C9" s="64" t="s">
        <v>3855</v>
      </c>
    </row>
    <row r="10" spans="2:6" x14ac:dyDescent="0.3">
      <c r="B10" s="64">
        <v>7</v>
      </c>
      <c r="C10" s="64" t="s">
        <v>3855</v>
      </c>
    </row>
    <row r="11" spans="2:6" x14ac:dyDescent="0.3">
      <c r="B11" s="64">
        <v>8</v>
      </c>
      <c r="C11" s="64" t="s">
        <v>3856</v>
      </c>
    </row>
    <row r="12" spans="2:6" x14ac:dyDescent="0.3">
      <c r="B12" s="64">
        <v>9</v>
      </c>
      <c r="C12" s="64" t="s">
        <v>3857</v>
      </c>
    </row>
    <row r="13" spans="2:6" x14ac:dyDescent="0.3">
      <c r="B13" s="64">
        <v>10</v>
      </c>
      <c r="C13" s="64" t="s">
        <v>3855</v>
      </c>
    </row>
    <row r="14" spans="2:6" x14ac:dyDescent="0.3">
      <c r="B14" s="64">
        <v>11</v>
      </c>
      <c r="C14" s="64" t="s">
        <v>5222</v>
      </c>
    </row>
    <row r="15" spans="2:6" x14ac:dyDescent="0.3">
      <c r="B15" s="64">
        <v>12</v>
      </c>
      <c r="C15" s="64" t="s">
        <v>3855</v>
      </c>
    </row>
    <row r="16" spans="2:6" x14ac:dyDescent="0.3">
      <c r="B16" s="64">
        <v>13</v>
      </c>
      <c r="C16" s="64" t="s">
        <v>3855</v>
      </c>
    </row>
    <row r="17" spans="2:3" x14ac:dyDescent="0.3">
      <c r="B17" s="64">
        <v>14</v>
      </c>
      <c r="C17" s="64" t="s">
        <v>3855</v>
      </c>
    </row>
    <row r="18" spans="2:3" x14ac:dyDescent="0.3">
      <c r="B18" s="64">
        <v>15</v>
      </c>
      <c r="C18" s="64" t="s">
        <v>3855</v>
      </c>
    </row>
    <row r="19" spans="2:3" x14ac:dyDescent="0.3">
      <c r="B19" s="64">
        <v>16</v>
      </c>
      <c r="C19" s="64" t="s">
        <v>3858</v>
      </c>
    </row>
    <row r="20" spans="2:3" x14ac:dyDescent="0.3">
      <c r="B20" s="64">
        <v>17</v>
      </c>
      <c r="C20" s="64" t="s">
        <v>3859</v>
      </c>
    </row>
    <row r="21" spans="2:3" x14ac:dyDescent="0.3">
      <c r="B21" s="64">
        <v>18</v>
      </c>
      <c r="C21" s="64" t="s">
        <v>3860</v>
      </c>
    </row>
    <row r="22" spans="2:3" x14ac:dyDescent="0.3">
      <c r="B22" s="64">
        <v>19</v>
      </c>
      <c r="C22" s="64" t="s">
        <v>3861</v>
      </c>
    </row>
    <row r="23" spans="2:3" x14ac:dyDescent="0.3">
      <c r="B23" s="64">
        <v>20</v>
      </c>
      <c r="C23" s="64" t="s">
        <v>3862</v>
      </c>
    </row>
    <row r="24" spans="2:3" x14ac:dyDescent="0.3">
      <c r="B24" s="64">
        <v>21</v>
      </c>
      <c r="C24" s="64" t="s">
        <v>3863</v>
      </c>
    </row>
    <row r="25" spans="2:3" x14ac:dyDescent="0.3">
      <c r="B25" s="64">
        <v>22</v>
      </c>
      <c r="C25" s="64" t="s">
        <v>3864</v>
      </c>
    </row>
    <row r="26" spans="2:3" x14ac:dyDescent="0.3">
      <c r="B26" s="64">
        <v>23</v>
      </c>
      <c r="C26" s="64" t="s">
        <v>3865</v>
      </c>
    </row>
    <row r="27" spans="2:3" x14ac:dyDescent="0.3">
      <c r="B27" s="64">
        <v>24</v>
      </c>
      <c r="C27" s="64" t="s">
        <v>3866</v>
      </c>
    </row>
    <row r="28" spans="2:3" x14ac:dyDescent="0.3">
      <c r="B28" s="64">
        <v>25</v>
      </c>
      <c r="C28" s="64" t="s">
        <v>3867</v>
      </c>
    </row>
    <row r="29" spans="2:3" x14ac:dyDescent="0.3">
      <c r="B29" s="64">
        <v>26</v>
      </c>
      <c r="C29" s="64" t="s">
        <v>3868</v>
      </c>
    </row>
    <row r="30" spans="2:3" x14ac:dyDescent="0.3">
      <c r="B30" s="64">
        <v>27</v>
      </c>
      <c r="C30" s="64" t="s">
        <v>3869</v>
      </c>
    </row>
    <row r="31" spans="2:3" x14ac:dyDescent="0.3">
      <c r="B31" s="64">
        <v>28</v>
      </c>
      <c r="C31" s="64" t="s">
        <v>3870</v>
      </c>
    </row>
    <row r="32" spans="2:3" x14ac:dyDescent="0.3">
      <c r="B32" s="64">
        <v>29</v>
      </c>
      <c r="C32" s="64" t="s">
        <v>3871</v>
      </c>
    </row>
    <row r="33" spans="2:3" x14ac:dyDescent="0.3">
      <c r="B33" s="64">
        <v>30</v>
      </c>
      <c r="C33" s="64" t="s">
        <v>3872</v>
      </c>
    </row>
    <row r="34" spans="2:3" x14ac:dyDescent="0.3">
      <c r="B34" s="64">
        <v>31</v>
      </c>
      <c r="C34" s="64" t="s">
        <v>3873</v>
      </c>
    </row>
    <row r="35" spans="2:3" x14ac:dyDescent="0.3">
      <c r="B35" s="64">
        <v>32</v>
      </c>
      <c r="C35" s="64" t="s">
        <v>3874</v>
      </c>
    </row>
    <row r="36" spans="2:3" x14ac:dyDescent="0.3">
      <c r="B36" s="64">
        <v>33</v>
      </c>
      <c r="C36" s="64" t="s">
        <v>3875</v>
      </c>
    </row>
    <row r="37" spans="2:3" x14ac:dyDescent="0.3">
      <c r="B37" s="64">
        <v>34</v>
      </c>
      <c r="C37" s="64" t="s">
        <v>3876</v>
      </c>
    </row>
    <row r="38" spans="2:3" x14ac:dyDescent="0.3">
      <c r="B38" s="64">
        <v>35</v>
      </c>
      <c r="C38" s="64" t="s">
        <v>3855</v>
      </c>
    </row>
    <row r="39" spans="2:3" x14ac:dyDescent="0.3">
      <c r="B39" s="64">
        <v>36</v>
      </c>
      <c r="C39" s="64" t="s">
        <v>3855</v>
      </c>
    </row>
    <row r="40" spans="2:3" x14ac:dyDescent="0.3">
      <c r="B40" s="64">
        <v>37</v>
      </c>
      <c r="C40" s="64" t="s">
        <v>3855</v>
      </c>
    </row>
    <row r="41" spans="2:3" x14ac:dyDescent="0.3">
      <c r="B41" s="64">
        <v>38</v>
      </c>
      <c r="C41" s="64" t="s">
        <v>3855</v>
      </c>
    </row>
    <row r="42" spans="2:3" x14ac:dyDescent="0.3">
      <c r="B42" s="64">
        <v>39</v>
      </c>
      <c r="C42" s="64" t="s">
        <v>3855</v>
      </c>
    </row>
    <row r="43" spans="2:3" x14ac:dyDescent="0.3">
      <c r="B43" s="64">
        <v>40</v>
      </c>
      <c r="C43" s="64" t="s">
        <v>3855</v>
      </c>
    </row>
    <row r="44" spans="2:3" x14ac:dyDescent="0.3">
      <c r="B44" s="64">
        <v>41</v>
      </c>
      <c r="C44" s="64" t="s">
        <v>3855</v>
      </c>
    </row>
    <row r="45" spans="2:3" x14ac:dyDescent="0.3">
      <c r="B45" s="64">
        <v>42</v>
      </c>
      <c r="C45" s="64" t="s">
        <v>3855</v>
      </c>
    </row>
    <row r="46" spans="2:3" x14ac:dyDescent="0.3">
      <c r="B46" s="64">
        <v>43</v>
      </c>
      <c r="C46" s="64" t="s">
        <v>3855</v>
      </c>
    </row>
    <row r="47" spans="2:3" x14ac:dyDescent="0.3">
      <c r="B47" s="64">
        <v>44</v>
      </c>
      <c r="C47" s="64" t="s">
        <v>3855</v>
      </c>
    </row>
    <row r="48" spans="2:3" x14ac:dyDescent="0.3">
      <c r="B48" s="64">
        <v>45</v>
      </c>
      <c r="C48" s="64" t="s">
        <v>3855</v>
      </c>
    </row>
    <row r="49" spans="2:3" x14ac:dyDescent="0.3">
      <c r="B49" s="64">
        <v>46</v>
      </c>
      <c r="C49" s="64" t="s">
        <v>3855</v>
      </c>
    </row>
    <row r="50" spans="2:3" x14ac:dyDescent="0.3">
      <c r="B50" s="64">
        <v>47</v>
      </c>
      <c r="C50" s="64" t="s">
        <v>3855</v>
      </c>
    </row>
    <row r="51" spans="2:3" x14ac:dyDescent="0.3">
      <c r="B51" s="64">
        <v>48</v>
      </c>
      <c r="C51" s="64" t="s">
        <v>3855</v>
      </c>
    </row>
    <row r="52" spans="2:3" x14ac:dyDescent="0.3">
      <c r="B52" s="64">
        <v>49</v>
      </c>
      <c r="C52" s="64" t="s">
        <v>3855</v>
      </c>
    </row>
    <row r="53" spans="2:3" x14ac:dyDescent="0.3">
      <c r="B53" s="64">
        <v>50</v>
      </c>
      <c r="C53" s="64" t="s">
        <v>3855</v>
      </c>
    </row>
    <row r="54" spans="2:3" x14ac:dyDescent="0.3">
      <c r="B54" s="64">
        <v>51</v>
      </c>
      <c r="C54" s="64" t="s">
        <v>3855</v>
      </c>
    </row>
    <row r="55" spans="2:3" x14ac:dyDescent="0.3">
      <c r="B55" s="64">
        <v>52</v>
      </c>
      <c r="C55" s="64" t="s">
        <v>3855</v>
      </c>
    </row>
    <row r="56" spans="2:3" x14ac:dyDescent="0.3">
      <c r="B56" s="64">
        <v>53</v>
      </c>
      <c r="C56" s="64" t="s">
        <v>3855</v>
      </c>
    </row>
    <row r="57" spans="2:3" x14ac:dyDescent="0.3">
      <c r="B57" s="64">
        <v>54</v>
      </c>
      <c r="C57" s="64" t="s">
        <v>3855</v>
      </c>
    </row>
    <row r="58" spans="2:3" x14ac:dyDescent="0.3">
      <c r="B58" s="64">
        <v>55</v>
      </c>
      <c r="C58" s="64" t="s">
        <v>3855</v>
      </c>
    </row>
    <row r="59" spans="2:3" x14ac:dyDescent="0.3">
      <c r="B59" s="64">
        <v>56</v>
      </c>
      <c r="C59" s="64" t="s">
        <v>3855</v>
      </c>
    </row>
    <row r="60" spans="2:3" x14ac:dyDescent="0.3">
      <c r="B60" s="64">
        <v>57</v>
      </c>
      <c r="C60" s="64" t="s">
        <v>3855</v>
      </c>
    </row>
    <row r="61" spans="2:3" x14ac:dyDescent="0.3">
      <c r="B61" s="64">
        <v>58</v>
      </c>
      <c r="C61" s="64" t="s">
        <v>3855</v>
      </c>
    </row>
    <row r="62" spans="2:3" x14ac:dyDescent="0.3">
      <c r="B62" s="64">
        <v>59</v>
      </c>
      <c r="C62" s="64" t="s">
        <v>3855</v>
      </c>
    </row>
    <row r="63" spans="2:3" x14ac:dyDescent="0.3">
      <c r="B63" s="64">
        <v>60</v>
      </c>
      <c r="C63" s="64" t="s">
        <v>3855</v>
      </c>
    </row>
    <row r="64" spans="2:3" x14ac:dyDescent="0.3">
      <c r="B64" s="64">
        <v>61</v>
      </c>
      <c r="C64" s="64" t="s">
        <v>3855</v>
      </c>
    </row>
    <row r="65" spans="2:3" x14ac:dyDescent="0.3">
      <c r="B65" s="64">
        <v>62</v>
      </c>
      <c r="C65" s="64" t="s">
        <v>3855</v>
      </c>
    </row>
    <row r="66" spans="2:3" x14ac:dyDescent="0.3">
      <c r="B66" s="64">
        <v>63</v>
      </c>
      <c r="C66" s="64" t="s">
        <v>3855</v>
      </c>
    </row>
    <row r="67" spans="2:3" x14ac:dyDescent="0.3">
      <c r="B67" s="64">
        <v>64</v>
      </c>
      <c r="C67" s="64" t="s">
        <v>3855</v>
      </c>
    </row>
    <row r="68" spans="2:3" x14ac:dyDescent="0.3">
      <c r="B68" s="64">
        <v>65</v>
      </c>
      <c r="C68" s="64" t="s">
        <v>3855</v>
      </c>
    </row>
    <row r="69" spans="2:3" x14ac:dyDescent="0.3">
      <c r="B69" s="64">
        <v>66</v>
      </c>
      <c r="C69" s="64" t="s">
        <v>3855</v>
      </c>
    </row>
    <row r="70" spans="2:3" x14ac:dyDescent="0.3">
      <c r="B70" s="64">
        <v>67</v>
      </c>
      <c r="C70" s="64" t="s">
        <v>3855</v>
      </c>
    </row>
    <row r="71" spans="2:3" x14ac:dyDescent="0.3">
      <c r="B71" s="64">
        <v>68</v>
      </c>
      <c r="C71" s="64" t="s">
        <v>3855</v>
      </c>
    </row>
    <row r="72" spans="2:3" x14ac:dyDescent="0.3">
      <c r="B72" s="64">
        <v>69</v>
      </c>
      <c r="C72" s="64" t="s">
        <v>3855</v>
      </c>
    </row>
    <row r="73" spans="2:3" x14ac:dyDescent="0.3">
      <c r="B73" s="64">
        <v>70</v>
      </c>
      <c r="C73" s="64" t="s">
        <v>3855</v>
      </c>
    </row>
    <row r="74" spans="2:3" x14ac:dyDescent="0.3">
      <c r="B74" s="64">
        <v>71</v>
      </c>
      <c r="C74" s="64" t="s">
        <v>3855</v>
      </c>
    </row>
    <row r="75" spans="2:3" x14ac:dyDescent="0.3">
      <c r="B75" s="64">
        <v>72</v>
      </c>
      <c r="C75" s="64" t="s">
        <v>3855</v>
      </c>
    </row>
    <row r="76" spans="2:3" x14ac:dyDescent="0.3">
      <c r="B76" s="64">
        <v>73</v>
      </c>
      <c r="C76" s="64" t="s">
        <v>3855</v>
      </c>
    </row>
    <row r="77" spans="2:3" x14ac:dyDescent="0.3">
      <c r="B77" s="64">
        <v>74</v>
      </c>
      <c r="C77" s="64" t="s">
        <v>3855</v>
      </c>
    </row>
    <row r="78" spans="2:3" x14ac:dyDescent="0.3">
      <c r="B78" s="64">
        <v>75</v>
      </c>
      <c r="C78" s="64" t="s">
        <v>3855</v>
      </c>
    </row>
    <row r="79" spans="2:3" x14ac:dyDescent="0.3">
      <c r="B79" s="64">
        <v>76</v>
      </c>
      <c r="C79" s="64" t="s">
        <v>3855</v>
      </c>
    </row>
    <row r="80" spans="2:3" x14ac:dyDescent="0.3">
      <c r="B80" s="64">
        <v>77</v>
      </c>
      <c r="C80" s="64" t="s">
        <v>3855</v>
      </c>
    </row>
    <row r="81" spans="2:3" x14ac:dyDescent="0.3">
      <c r="B81" s="64">
        <v>78</v>
      </c>
      <c r="C81" s="64" t="s">
        <v>3855</v>
      </c>
    </row>
    <row r="82" spans="2:3" x14ac:dyDescent="0.3">
      <c r="B82" s="64">
        <v>79</v>
      </c>
      <c r="C82" s="64" t="s">
        <v>3855</v>
      </c>
    </row>
    <row r="83" spans="2:3" x14ac:dyDescent="0.3">
      <c r="B83" s="64">
        <v>80</v>
      </c>
      <c r="C83" s="64" t="s">
        <v>3855</v>
      </c>
    </row>
    <row r="84" spans="2:3" x14ac:dyDescent="0.3">
      <c r="B84" s="64">
        <v>81</v>
      </c>
      <c r="C84" s="64" t="s">
        <v>3855</v>
      </c>
    </row>
    <row r="85" spans="2:3" x14ac:dyDescent="0.3">
      <c r="B85" s="64">
        <v>82</v>
      </c>
      <c r="C85" s="64" t="s">
        <v>3855</v>
      </c>
    </row>
    <row r="86" spans="2:3" x14ac:dyDescent="0.3">
      <c r="B86" s="64">
        <v>83</v>
      </c>
      <c r="C86" s="64" t="s">
        <v>3855</v>
      </c>
    </row>
    <row r="87" spans="2:3" x14ac:dyDescent="0.3">
      <c r="B87" s="64">
        <v>84</v>
      </c>
      <c r="C87" s="64" t="s">
        <v>3855</v>
      </c>
    </row>
    <row r="88" spans="2:3" x14ac:dyDescent="0.3">
      <c r="B88" s="64">
        <v>85</v>
      </c>
      <c r="C88" s="64" t="s">
        <v>3855</v>
      </c>
    </row>
    <row r="89" spans="2:3" x14ac:dyDescent="0.3">
      <c r="B89" s="64">
        <v>86</v>
      </c>
      <c r="C89" s="64" t="s">
        <v>3855</v>
      </c>
    </row>
    <row r="90" spans="2:3" x14ac:dyDescent="0.3">
      <c r="B90" s="64">
        <v>87</v>
      </c>
      <c r="C90" s="64" t="s">
        <v>3855</v>
      </c>
    </row>
    <row r="91" spans="2:3" x14ac:dyDescent="0.3">
      <c r="B91" s="64">
        <v>88</v>
      </c>
      <c r="C91" s="64" t="s">
        <v>3855</v>
      </c>
    </row>
    <row r="92" spans="2:3" x14ac:dyDescent="0.3">
      <c r="B92" s="64">
        <v>89</v>
      </c>
      <c r="C92" s="64" t="s">
        <v>3855</v>
      </c>
    </row>
    <row r="93" spans="2:3" x14ac:dyDescent="0.3">
      <c r="B93" s="64">
        <v>90</v>
      </c>
      <c r="C93" s="64" t="s">
        <v>3855</v>
      </c>
    </row>
    <row r="94" spans="2:3" x14ac:dyDescent="0.3">
      <c r="B94" s="64">
        <v>91</v>
      </c>
      <c r="C94" s="64" t="s">
        <v>3855</v>
      </c>
    </row>
    <row r="95" spans="2:3" x14ac:dyDescent="0.3">
      <c r="B95" s="64">
        <v>92</v>
      </c>
      <c r="C95" s="64" t="s">
        <v>3855</v>
      </c>
    </row>
    <row r="96" spans="2:3" x14ac:dyDescent="0.3">
      <c r="B96" s="64">
        <v>93</v>
      </c>
      <c r="C96" s="64" t="s">
        <v>3855</v>
      </c>
    </row>
    <row r="97" spans="2:3" x14ac:dyDescent="0.3">
      <c r="B97" s="64">
        <v>94</v>
      </c>
      <c r="C97" s="64" t="s">
        <v>3855</v>
      </c>
    </row>
    <row r="98" spans="2:3" x14ac:dyDescent="0.3">
      <c r="B98" s="64">
        <v>95</v>
      </c>
      <c r="C98" s="64" t="s">
        <v>3855</v>
      </c>
    </row>
    <row r="99" spans="2:3" x14ac:dyDescent="0.3">
      <c r="B99" s="64">
        <v>96</v>
      </c>
      <c r="C99" s="64" t="s">
        <v>3855</v>
      </c>
    </row>
    <row r="100" spans="2:3" x14ac:dyDescent="0.3">
      <c r="B100" s="64">
        <v>97</v>
      </c>
      <c r="C100" s="64" t="s">
        <v>3855</v>
      </c>
    </row>
    <row r="101" spans="2:3" x14ac:dyDescent="0.3">
      <c r="B101" s="64">
        <v>98</v>
      </c>
      <c r="C101" s="64" t="s">
        <v>3855</v>
      </c>
    </row>
    <row r="102" spans="2:3" x14ac:dyDescent="0.3">
      <c r="B102" s="64">
        <v>99</v>
      </c>
      <c r="C102" s="64" t="s">
        <v>3855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B30CE-D034-48F1-9E78-6EEF0735A133}">
  <dimension ref="A1:DL4338"/>
  <sheetViews>
    <sheetView zoomScale="130" zoomScaleNormal="130" workbookViewId="0">
      <pane ySplit="1" topLeftCell="A2" activePane="bottomLeft" state="frozen"/>
      <selection pane="bottomLeft" activeCell="I9" sqref="I9"/>
    </sheetView>
  </sheetViews>
  <sheetFormatPr defaultRowHeight="14.4" x14ac:dyDescent="0.3"/>
  <cols>
    <col min="1" max="1" width="7.77734375" style="89" bestFit="1" customWidth="1"/>
    <col min="2" max="2" width="5.77734375" style="89" bestFit="1" customWidth="1"/>
    <col min="3" max="3" width="4.109375" style="88" customWidth="1"/>
    <col min="4" max="4" width="2.44140625" style="89" hidden="1" customWidth="1"/>
    <col min="5" max="5" width="4.109375" style="89" customWidth="1"/>
    <col min="6" max="6" width="3.21875" style="89" hidden="1" customWidth="1"/>
    <col min="7" max="7" width="3.88671875" style="52" customWidth="1"/>
    <col min="8" max="8" width="3.88671875" style="90" customWidth="1"/>
    <col min="9" max="9" width="24.44140625" style="95" customWidth="1"/>
    <col min="10" max="10" width="13.44140625" style="137" customWidth="1"/>
    <col min="11" max="11" width="84.6640625" style="147" customWidth="1"/>
    <col min="12" max="12" width="8.77734375" style="109" bestFit="1" customWidth="1"/>
    <col min="13" max="13" width="6.21875" style="95" customWidth="1"/>
    <col min="14" max="14" width="3.77734375" style="95" bestFit="1" customWidth="1"/>
    <col min="15" max="15" width="4.44140625" style="95" customWidth="1"/>
    <col min="16" max="16" width="3.6640625" style="95" customWidth="1"/>
    <col min="17" max="17" width="3.21875" style="110" customWidth="1"/>
    <col min="18" max="115" width="3.21875" style="95" customWidth="1"/>
    <col min="116" max="116" width="3.21875" style="111" customWidth="1"/>
    <col min="117" max="16384" width="8.88671875" style="95"/>
  </cols>
  <sheetData>
    <row r="1" spans="1:116" ht="76.2" x14ac:dyDescent="0.3">
      <c r="A1" s="89" t="s">
        <v>97</v>
      </c>
      <c r="B1" s="91" t="s">
        <v>98</v>
      </c>
      <c r="C1" s="97" t="s">
        <v>99</v>
      </c>
      <c r="D1" s="92"/>
      <c r="E1" s="97" t="s">
        <v>100</v>
      </c>
      <c r="F1" s="92"/>
      <c r="G1" s="97" t="s">
        <v>101</v>
      </c>
      <c r="H1" s="97" t="s">
        <v>3935</v>
      </c>
      <c r="I1" s="89" t="s">
        <v>102</v>
      </c>
      <c r="J1" s="134" t="s">
        <v>103</v>
      </c>
      <c r="K1" s="142" t="s">
        <v>104</v>
      </c>
      <c r="L1" s="112" t="s">
        <v>105</v>
      </c>
      <c r="M1" s="113" t="s">
        <v>106</v>
      </c>
      <c r="N1" s="113" t="s">
        <v>107</v>
      </c>
      <c r="O1" s="112" t="s">
        <v>108</v>
      </c>
      <c r="P1" s="89"/>
      <c r="Q1" s="114">
        <v>1</v>
      </c>
      <c r="R1" s="115">
        <v>2</v>
      </c>
      <c r="S1" s="115">
        <v>3</v>
      </c>
      <c r="T1" s="115">
        <v>4</v>
      </c>
      <c r="U1" s="115">
        <v>5</v>
      </c>
      <c r="V1" s="115">
        <v>6</v>
      </c>
      <c r="W1" s="115">
        <v>7</v>
      </c>
      <c r="X1" s="115">
        <v>8</v>
      </c>
      <c r="Y1" s="115">
        <v>9</v>
      </c>
      <c r="Z1" s="115">
        <v>10</v>
      </c>
      <c r="AA1" s="115">
        <v>11</v>
      </c>
      <c r="AB1" s="115">
        <v>12</v>
      </c>
      <c r="AC1" s="115">
        <v>13</v>
      </c>
      <c r="AD1" s="115">
        <v>14</v>
      </c>
      <c r="AE1" s="115">
        <v>15</v>
      </c>
      <c r="AF1" s="115">
        <v>16</v>
      </c>
      <c r="AG1" s="115">
        <v>17</v>
      </c>
      <c r="AH1" s="115">
        <v>18</v>
      </c>
      <c r="AI1" s="115">
        <v>19</v>
      </c>
      <c r="AJ1" s="115">
        <v>20</v>
      </c>
      <c r="AK1" s="115">
        <v>21</v>
      </c>
      <c r="AL1" s="115">
        <v>22</v>
      </c>
      <c r="AM1" s="115">
        <v>23</v>
      </c>
      <c r="AN1" s="115">
        <v>24</v>
      </c>
      <c r="AO1" s="115">
        <v>25</v>
      </c>
      <c r="AP1" s="115">
        <v>26</v>
      </c>
      <c r="AQ1" s="115">
        <v>27</v>
      </c>
      <c r="AR1" s="115">
        <v>28</v>
      </c>
      <c r="AS1" s="115">
        <v>29</v>
      </c>
      <c r="AT1" s="115">
        <v>30</v>
      </c>
      <c r="AU1" s="115">
        <v>31</v>
      </c>
      <c r="AV1" s="115">
        <v>32</v>
      </c>
      <c r="AW1" s="115">
        <v>33</v>
      </c>
      <c r="AX1" s="115">
        <v>34</v>
      </c>
      <c r="AY1" s="115">
        <v>35</v>
      </c>
      <c r="AZ1" s="115">
        <v>36</v>
      </c>
      <c r="BA1" s="115">
        <v>37</v>
      </c>
      <c r="BB1" s="115">
        <v>38</v>
      </c>
      <c r="BC1" s="115">
        <v>39</v>
      </c>
      <c r="BD1" s="115">
        <v>40</v>
      </c>
      <c r="BE1" s="115">
        <v>41</v>
      </c>
      <c r="BF1" s="115">
        <v>42</v>
      </c>
      <c r="BG1" s="115">
        <v>43</v>
      </c>
      <c r="BH1" s="115">
        <v>44</v>
      </c>
      <c r="BI1" s="115">
        <v>45</v>
      </c>
      <c r="BJ1" s="115">
        <v>46</v>
      </c>
      <c r="BK1" s="115">
        <v>47</v>
      </c>
      <c r="BL1" s="115">
        <v>48</v>
      </c>
      <c r="BM1" s="115">
        <v>49</v>
      </c>
      <c r="BN1" s="115">
        <v>50</v>
      </c>
      <c r="BO1" s="115">
        <v>51</v>
      </c>
      <c r="BP1" s="115">
        <v>52</v>
      </c>
      <c r="BQ1" s="115">
        <v>53</v>
      </c>
      <c r="BR1" s="115">
        <v>54</v>
      </c>
      <c r="BS1" s="115">
        <v>55</v>
      </c>
      <c r="BT1" s="115">
        <v>56</v>
      </c>
      <c r="BU1" s="115">
        <v>57</v>
      </c>
      <c r="BV1" s="115">
        <v>58</v>
      </c>
      <c r="BW1" s="115">
        <v>59</v>
      </c>
      <c r="BX1" s="115">
        <v>60</v>
      </c>
      <c r="BY1" s="115">
        <v>61</v>
      </c>
      <c r="BZ1" s="115">
        <v>62</v>
      </c>
      <c r="CA1" s="115">
        <v>63</v>
      </c>
      <c r="CB1" s="115">
        <v>64</v>
      </c>
      <c r="CC1" s="115">
        <v>65</v>
      </c>
      <c r="CD1" s="115">
        <v>66</v>
      </c>
      <c r="CE1" s="115">
        <v>67</v>
      </c>
      <c r="CF1" s="115">
        <v>68</v>
      </c>
      <c r="CG1" s="115">
        <v>69</v>
      </c>
      <c r="CH1" s="115">
        <v>70</v>
      </c>
      <c r="CI1" s="115">
        <v>71</v>
      </c>
      <c r="CJ1" s="115">
        <v>72</v>
      </c>
      <c r="CK1" s="115">
        <v>73</v>
      </c>
      <c r="CL1" s="115">
        <v>74</v>
      </c>
      <c r="CM1" s="115">
        <v>75</v>
      </c>
      <c r="CN1" s="115">
        <v>76</v>
      </c>
      <c r="CO1" s="115">
        <v>77</v>
      </c>
      <c r="CP1" s="115">
        <v>78</v>
      </c>
      <c r="CQ1" s="115">
        <v>79</v>
      </c>
      <c r="CR1" s="115">
        <v>80</v>
      </c>
      <c r="CS1" s="115">
        <v>81</v>
      </c>
      <c r="CT1" s="115">
        <v>82</v>
      </c>
      <c r="CU1" s="115">
        <v>83</v>
      </c>
      <c r="CV1" s="115">
        <v>84</v>
      </c>
      <c r="CW1" s="115">
        <v>85</v>
      </c>
      <c r="CX1" s="115">
        <v>86</v>
      </c>
      <c r="CY1" s="115">
        <v>87</v>
      </c>
      <c r="CZ1" s="115">
        <v>88</v>
      </c>
      <c r="DA1" s="115">
        <v>89</v>
      </c>
      <c r="DB1" s="115">
        <v>90</v>
      </c>
      <c r="DC1" s="115">
        <v>91</v>
      </c>
      <c r="DD1" s="115">
        <v>92</v>
      </c>
      <c r="DE1" s="115">
        <v>93</v>
      </c>
      <c r="DF1" s="115">
        <v>94</v>
      </c>
      <c r="DG1" s="115">
        <v>95</v>
      </c>
      <c r="DH1" s="115">
        <v>96</v>
      </c>
      <c r="DI1" s="115">
        <v>97</v>
      </c>
      <c r="DJ1" s="115">
        <v>98</v>
      </c>
      <c r="DK1" s="115">
        <v>99</v>
      </c>
      <c r="DL1" s="116" t="s">
        <v>109</v>
      </c>
    </row>
    <row r="2" spans="1:116" x14ac:dyDescent="0.3">
      <c r="A2" s="89" t="str">
        <f>CONCATENATE(D2,".",F2,"-",G2,".",H2,"")</f>
        <v>1.1-0.0</v>
      </c>
      <c r="B2" s="89" t="str">
        <f>IF(CONCATENATE(I2,Key!F$2)=CONCATENATE(INDEX(Dashboard!J:J,MATCH(I2,Dashboard!J:J,0),1),INDEX(Dashboard!J:K,MATCH(I2,Dashboard!J:J,0),2)),"ON",IF(Dashboard!K$32="ALL","ON","-"))</f>
        <v>-</v>
      </c>
      <c r="C2" s="96" t="s">
        <v>110</v>
      </c>
      <c r="D2" s="89">
        <f>IF(C2="ID",1,(IF(C2="PR",2,(IF(C2="DE",3,(IF(C2="RS",4,(IF(C2="RC",5,0)))))))))</f>
        <v>1</v>
      </c>
      <c r="E2" s="89" t="s">
        <v>111</v>
      </c>
      <c r="F2" s="89">
        <f>IF(E2="AM",1,(IF(E2="BE",2,(IF(E2="GV",3,(IF(E2="RA",4,(IF(E2="RM",5,(IF(E2="AC",1,(IF(E2="AT",2,(IF(E2="DS",3,(IF(E2="IP",4,(IF(E2="MA",5,(IF(E2="PT",6,(IF(E2="AE",1,(IF(E2="CM",2,(IF(E2="DP",3,(IF(E2="AN",1,(IF(E2="CO",2,(IF(E2="IM",3,(IF(E2="MI",4,(IF(E2="RP",5,(IF(E2="SC",6,0)))))))))))))))))))))))))))))))))))))))</f>
        <v>1</v>
      </c>
      <c r="G2" s="52">
        <v>0</v>
      </c>
      <c r="H2" s="90" t="s">
        <v>347</v>
      </c>
      <c r="I2" s="93" t="s">
        <v>2835</v>
      </c>
      <c r="J2" s="153" t="s">
        <v>2836</v>
      </c>
      <c r="K2" s="152" t="s">
        <v>2837</v>
      </c>
      <c r="L2" s="117">
        <f>IF(O2="","",N2*O2*M2)</f>
        <v>0</v>
      </c>
      <c r="M2" s="108">
        <v>1</v>
      </c>
      <c r="N2" s="95">
        <v>1</v>
      </c>
      <c r="O2" s="109">
        <f>IF(Key!D$1="ON",P2,IF(SUM(Q2:DL2)&lt;1,"",SUM(Q2:DL2)/COUNTIF(Q2:DL2,"&gt;0")))</f>
        <v>0</v>
      </c>
      <c r="P2" s="109">
        <f>SUMIFS(Q2:DK2,Q$1:DK$1,Dashboard!$K$31)</f>
        <v>0</v>
      </c>
      <c r="Q2" s="110">
        <v>83</v>
      </c>
      <c r="U2" s="95">
        <v>33</v>
      </c>
    </row>
    <row r="3" spans="1:116" ht="15.6" x14ac:dyDescent="0.3">
      <c r="A3" s="89" t="str">
        <f>CONCATENATE(D3,".",F3,"-",G3,".",H3,"")</f>
        <v>1.1-0.1</v>
      </c>
      <c r="B3" s="89" t="str">
        <f>IF(CONCATENATE(I3,Key!F$2)=CONCATENATE(INDEX(Dashboard!J:J,MATCH(I3,Dashboard!J:J,0),1),INDEX(Dashboard!J:K,MATCH(I3,Dashboard!J:J,0),2)),"ON",IF(Dashboard!K$32="ALL","ON","-"))</f>
        <v>-</v>
      </c>
      <c r="C3" s="96" t="s">
        <v>110</v>
      </c>
      <c r="D3" s="89">
        <f>IF(C3="ID",1,(IF(C3="PR",2,(IF(C3="DE",3,(IF(C3="RS",4,(IF(C3="RC",5,0)))))))))</f>
        <v>1</v>
      </c>
      <c r="E3" s="89" t="s">
        <v>111</v>
      </c>
      <c r="F3" s="89">
        <f>IF(E3="AM",1,(IF(E3="BE",2,(IF(E3="GV",3,(IF(E3="RA",4,(IF(E3="RM",5,(IF(E3="AC",1,(IF(E3="AT",2,(IF(E3="DS",3,(IF(E3="IP",4,(IF(E3="MA",5,(IF(E3="PT",6,(IF(E3="AE",1,(IF(E3="CM",2,(IF(E3="DP",3,(IF(E3="AN",1,(IF(E3="CO",2,(IF(E3="IM",3,(IF(E3="MI",4,(IF(E3="RP",5,(IF(E3="SC",6,0)))))))))))))))))))))))))))))))))))))))</f>
        <v>1</v>
      </c>
      <c r="G3" s="52">
        <v>0</v>
      </c>
      <c r="H3" s="90" t="s">
        <v>115</v>
      </c>
      <c r="I3" s="93" t="s">
        <v>2835</v>
      </c>
      <c r="J3" s="153" t="s">
        <v>2836</v>
      </c>
      <c r="K3" s="152" t="s">
        <v>2838</v>
      </c>
      <c r="L3" s="117">
        <f>IF(O3="","",N3*O3*M3)</f>
        <v>0</v>
      </c>
      <c r="M3" s="108">
        <v>1</v>
      </c>
      <c r="N3" s="95">
        <v>1</v>
      </c>
      <c r="O3" s="109">
        <f>IF(Key!D$1="ON",P3,IF(SUM(Q3:DL3)&lt;1,"",SUM(Q3:DL3)/COUNTIF(Q3:DL3,"&gt;0")))</f>
        <v>0</v>
      </c>
      <c r="P3" s="109">
        <f>SUMIFS(Q3:DK3,Q$1:DK$1,Dashboard!$K$31)</f>
        <v>0</v>
      </c>
      <c r="Q3" s="110">
        <v>83</v>
      </c>
      <c r="U3" s="95">
        <v>33</v>
      </c>
      <c r="AA3" s="95">
        <v>50</v>
      </c>
    </row>
    <row r="4" spans="1:116" x14ac:dyDescent="0.3">
      <c r="A4" s="89" t="str">
        <f>CONCATENATE(D4,".",F4,"-",G4,".",H4,"")</f>
        <v>1.1-1.0</v>
      </c>
      <c r="B4" s="89" t="str">
        <f>IF(CONCATENATE(I4,Key!F$2)=CONCATENATE(INDEX(Dashboard!J:J,MATCH(I4,Dashboard!J:J,0),1),INDEX(Dashboard!J:K,MATCH(I4,Dashboard!J:J,0),2)),"ON",IF(Dashboard!K$32="ALL","ON","-"))</f>
        <v>-</v>
      </c>
      <c r="C4" s="96" t="s">
        <v>110</v>
      </c>
      <c r="D4" s="89">
        <f>IF(C4="ID",1,(IF(C4="PR",2,(IF(C4="DE",3,(IF(C4="RS",4,(IF(C4="RC",5,0)))))))))</f>
        <v>1</v>
      </c>
      <c r="E4" s="89" t="s">
        <v>111</v>
      </c>
      <c r="F4" s="89">
        <f>IF(E4="AM",1,(IF(E4="BE",2,(IF(E4="GV",3,(IF(E4="RA",4,(IF(E4="RM",5,(IF(E4="AC",1,(IF(E4="AT",2,(IF(E4="DS",3,(IF(E4="IP",4,(IF(E4="MA",5,(IF(E4="PT",6,(IF(E4="AE",1,(IF(E4="CM",2,(IF(E4="DP",3,(IF(E4="AN",1,(IF(E4="CO",2,(IF(E4="IM",3,(IF(E4="MI",4,(IF(E4="RP",5,(IF(E4="SC",6,0)))))))))))))))))))))))))))))))))))))))</f>
        <v>1</v>
      </c>
      <c r="G4" s="52">
        <v>1</v>
      </c>
      <c r="H4" s="90" t="s">
        <v>347</v>
      </c>
      <c r="I4" s="93" t="s">
        <v>2835</v>
      </c>
      <c r="J4" s="53" t="s">
        <v>2839</v>
      </c>
      <c r="K4" s="152" t="s">
        <v>2840</v>
      </c>
      <c r="L4" s="117">
        <f>IF(O4="","",N4*O4*M4)</f>
        <v>0</v>
      </c>
      <c r="M4" s="108">
        <v>1</v>
      </c>
      <c r="N4" s="95">
        <v>1</v>
      </c>
      <c r="O4" s="109">
        <f>IF(Key!D$1="ON",P4,IF(SUM(Q4:DL4)&lt;1,"",SUM(Q4:DL4)/COUNTIF(Q4:DL4,"&gt;0")))</f>
        <v>0</v>
      </c>
      <c r="P4" s="109">
        <f>SUMIFS(Q4:DK4,Q$1:DK$1,Dashboard!$K$31)</f>
        <v>0</v>
      </c>
      <c r="U4" s="95">
        <v>33</v>
      </c>
    </row>
    <row r="5" spans="1:116" x14ac:dyDescent="0.3">
      <c r="A5" s="89" t="str">
        <f>CONCATENATE(D5,".",F5,"-",G5,".",H5,"")</f>
        <v>1.1-1.1</v>
      </c>
      <c r="B5" s="89" t="str">
        <f>IF(CONCATENATE(I5,Key!F$2)=CONCATENATE(INDEX(Dashboard!J:J,MATCH(I5,Dashboard!J:J,0),1),INDEX(Dashboard!J:K,MATCH(I5,Dashboard!J:J,0),2)),"ON",IF(Dashboard!K$32="ALL","ON","-"))</f>
        <v>ON</v>
      </c>
      <c r="C5" s="130" t="s">
        <v>110</v>
      </c>
      <c r="D5" s="89">
        <f>IF(C5="ID",1,(IF(C5="PR",2,(IF(C5="DE",3,(IF(C5="RS",4,(IF(C5="RC",5,0)))))))))</f>
        <v>1</v>
      </c>
      <c r="E5" s="95" t="s">
        <v>111</v>
      </c>
      <c r="F5" s="89">
        <f>IF(E5="AM",1,(IF(E5="BE",2,(IF(E5="GV",3,(IF(E5="RA",4,(IF(E5="RM",5,(IF(E5="AC",1,(IF(E5="AT",2,(IF(E5="DS",3,(IF(E5="IP",4,(IF(E5="MA",5,(IF(E5="PT",6,(IF(E5="AE",1,(IF(E5="CM",2,(IF(E5="DP",3,(IF(E5="AN",1,(IF(E5="CO",2,(IF(E5="IM",3,(IF(E5="MI",4,(IF(E5="RP",5,(IF(E5="SC",6,0)))))))))))))))))))))))))))))))))))))))</f>
        <v>1</v>
      </c>
      <c r="G5" s="52">
        <v>1</v>
      </c>
      <c r="H5" s="90" t="s">
        <v>115</v>
      </c>
      <c r="I5" s="93" t="s">
        <v>4107</v>
      </c>
      <c r="J5" s="86" t="s">
        <v>3963</v>
      </c>
      <c r="K5" s="101" t="s">
        <v>4428</v>
      </c>
      <c r="L5" s="117">
        <f>IF(O5="","",N5*O5*M5)</f>
        <v>0</v>
      </c>
      <c r="M5" s="108">
        <v>1</v>
      </c>
      <c r="N5" s="95">
        <v>1</v>
      </c>
      <c r="O5" s="109">
        <f>IF(Key!D$1="ON",P5,IF(SUM(Q5:DL5)&lt;1,"",SUM(Q5:DL5)/COUNTIF(Q5:DL5,"&gt;0")))</f>
        <v>0</v>
      </c>
      <c r="P5" s="109">
        <f>SUMIFS(Q5:DK5,Q$1:DK$1,Dashboard!$K$31)</f>
        <v>0</v>
      </c>
      <c r="U5" s="95">
        <v>33</v>
      </c>
      <c r="AA5" s="95">
        <v>25</v>
      </c>
      <c r="AH5" s="95">
        <v>75</v>
      </c>
    </row>
    <row r="6" spans="1:116" ht="15.6" x14ac:dyDescent="0.3">
      <c r="A6" s="89" t="str">
        <f>CONCATENATE(D6,".",F6,"-",G6,".",H6,"")</f>
        <v>1.1-1.1</v>
      </c>
      <c r="B6" s="89" t="str">
        <f>IF(CONCATENATE(I6,Key!F$2)=CONCATENATE(INDEX(Dashboard!J:J,MATCH(I6,Dashboard!J:J,0),1),INDEX(Dashboard!J:K,MATCH(I6,Dashboard!J:J,0),2)),"ON",IF(Dashboard!K$32="ALL","ON","-"))</f>
        <v>ON</v>
      </c>
      <c r="C6" s="130" t="s">
        <v>110</v>
      </c>
      <c r="D6" s="89">
        <f>IF(C6="ID",1,(IF(C6="PR",2,(IF(C6="DE",3,(IF(C6="RS",4,(IF(C6="RC",5,0)))))))))</f>
        <v>1</v>
      </c>
      <c r="E6" s="95" t="s">
        <v>111</v>
      </c>
      <c r="F6" s="89">
        <f>IF(E6="AM",1,(IF(E6="BE",2,(IF(E6="GV",3,(IF(E6="RA",4,(IF(E6="RM",5,(IF(E6="AC",1,(IF(E6="AT",2,(IF(E6="DS",3,(IF(E6="IP",4,(IF(E6="MA",5,(IF(E6="PT",6,(IF(E6="AE",1,(IF(E6="CM",2,(IF(E6="DP",3,(IF(E6="AN",1,(IF(E6="CO",2,(IF(E6="IM",3,(IF(E6="MI",4,(IF(E6="RP",5,(IF(E6="SC",6,0)))))))))))))))))))))))))))))))))))))))</f>
        <v>1</v>
      </c>
      <c r="G6" s="52">
        <v>1</v>
      </c>
      <c r="H6" s="90" t="s">
        <v>115</v>
      </c>
      <c r="I6" s="93" t="s">
        <v>4107</v>
      </c>
      <c r="J6" s="86" t="s">
        <v>3983</v>
      </c>
      <c r="K6" s="101" t="s">
        <v>4438</v>
      </c>
      <c r="L6" s="117">
        <f>IF(O6="","",N6*O6*M6)</f>
        <v>0</v>
      </c>
      <c r="M6" s="108">
        <v>1</v>
      </c>
      <c r="N6" s="95">
        <v>1</v>
      </c>
      <c r="O6" s="109">
        <f>IF(Key!D$1="ON",P6,IF(SUM(Q6:DL6)&lt;1,"",SUM(Q6:DL6)/COUNTIF(Q6:DL6,"&gt;0")))</f>
        <v>0</v>
      </c>
      <c r="P6" s="109">
        <f>SUMIFS(Q6:DK6,Q$1:DK$1,Dashboard!$K$31)</f>
        <v>0</v>
      </c>
      <c r="U6" s="95">
        <v>33</v>
      </c>
      <c r="AA6" s="95">
        <v>25</v>
      </c>
      <c r="AH6" s="95">
        <v>75</v>
      </c>
    </row>
    <row r="7" spans="1:116" x14ac:dyDescent="0.3">
      <c r="A7" s="89" t="str">
        <f>CONCATENATE(D7,".",F7,"-",G7,".",H7,"")</f>
        <v>1.1-1.1</v>
      </c>
      <c r="B7" s="89" t="str">
        <f>IF(CONCATENATE(I7,Key!F$2)=CONCATENATE(INDEX(Dashboard!J:J,MATCH(I7,Dashboard!J:J,0),1),INDEX(Dashboard!J:K,MATCH(I7,Dashboard!J:J,0),2)),"ON",IF(Dashboard!K$32="ALL","ON","-"))</f>
        <v>-</v>
      </c>
      <c r="C7" s="88" t="s">
        <v>110</v>
      </c>
      <c r="D7" s="89">
        <f>IF(C7="ID",1,(IF(C7="PR",2,(IF(C7="DE",3,(IF(C7="RS",4,(IF(C7="RC",5,0)))))))))</f>
        <v>1</v>
      </c>
      <c r="E7" s="89" t="s">
        <v>111</v>
      </c>
      <c r="F7" s="89">
        <f>IF(E7="AM",1,(IF(E7="BE",2,(IF(E7="GV",3,(IF(E7="RA",4,(IF(E7="RM",5,(IF(E7="AC",1,(IF(E7="AT",2,(IF(E7="DS",3,(IF(E7="IP",4,(IF(E7="MA",5,(IF(E7="PT",6,(IF(E7="AE",1,(IF(E7="CM",2,(IF(E7="DP",3,(IF(E7="AN",1,(IF(E7="CO",2,(IF(E7="IM",3,(IF(E7="MI",4,(IF(E7="RP",5,(IF(E7="SC",6,0)))))))))))))))))))))))))))))))))))))))</f>
        <v>1</v>
      </c>
      <c r="G7" s="52">
        <v>1</v>
      </c>
      <c r="H7" s="99">
        <v>1</v>
      </c>
      <c r="I7" s="93" t="s">
        <v>37</v>
      </c>
      <c r="J7" s="86">
        <v>1</v>
      </c>
      <c r="K7" s="102" t="s">
        <v>3680</v>
      </c>
      <c r="L7" s="117">
        <f>IF(O7="","",N7*O7*M7)</f>
        <v>0</v>
      </c>
      <c r="M7" s="108">
        <v>1</v>
      </c>
      <c r="N7" s="95">
        <v>1</v>
      </c>
      <c r="O7" s="109">
        <f>IF(Key!D$1="ON",P7,IF(SUM(Q7:DL7)&lt;1,"",SUM(Q7:DL7)/COUNTIF(Q7:DL7,"&gt;0")))</f>
        <v>0</v>
      </c>
      <c r="P7" s="109">
        <f>SUMIFS(Q7:DK7,Q$1:DK$1,Dashboard!$K$31)</f>
        <v>0</v>
      </c>
      <c r="U7" s="95">
        <v>33</v>
      </c>
      <c r="AA7" s="95">
        <v>25</v>
      </c>
      <c r="AH7" s="95">
        <v>75</v>
      </c>
    </row>
    <row r="8" spans="1:116" ht="15.6" x14ac:dyDescent="0.3">
      <c r="A8" s="89" t="str">
        <f>CONCATENATE(D8,".",F8,"-",G8,".",H8,"")</f>
        <v>1.1-1.1</v>
      </c>
      <c r="B8" s="89" t="str">
        <f>IF(CONCATENATE(I8,Key!F$2)=CONCATENATE(INDEX(Dashboard!J:J,MATCH(I8,Dashboard!J:J,0),1),INDEX(Dashboard!J:K,MATCH(I8,Dashboard!J:J,0),2)),"ON",IF(Dashboard!K$32="ALL","ON","-"))</f>
        <v>-</v>
      </c>
      <c r="C8" s="88" t="s">
        <v>110</v>
      </c>
      <c r="D8" s="89">
        <f>IF(C8="ID",1,(IF(C8="PR",2,(IF(C8="DE",3,(IF(C8="RS",4,(IF(C8="RC",5,0)))))))))</f>
        <v>1</v>
      </c>
      <c r="E8" s="89" t="s">
        <v>111</v>
      </c>
      <c r="F8" s="89">
        <f>IF(E8="AM",1,(IF(E8="BE",2,(IF(E8="GV",3,(IF(E8="RA",4,(IF(E8="RM",5,(IF(E8="AC",1,(IF(E8="AT",2,(IF(E8="DS",3,(IF(E8="IP",4,(IF(E8="MA",5,(IF(E8="PT",6,(IF(E8="AE",1,(IF(E8="CM",2,(IF(E8="DP",3,(IF(E8="AN",1,(IF(E8="CO",2,(IF(E8="IM",3,(IF(E8="MI",4,(IF(E8="RP",5,(IF(E8="SC",6,0)))))))))))))))))))))))))))))))))))))))</f>
        <v>1</v>
      </c>
      <c r="G8" s="52">
        <v>1</v>
      </c>
      <c r="H8" s="99">
        <v>1</v>
      </c>
      <c r="I8" s="93" t="s">
        <v>37</v>
      </c>
      <c r="J8" s="86">
        <v>1.1000000000000001</v>
      </c>
      <c r="K8" s="102" t="s">
        <v>3681</v>
      </c>
      <c r="L8" s="117">
        <f>IF(O8="","",N8*O8*M8)</f>
        <v>0</v>
      </c>
      <c r="M8" s="108">
        <v>1</v>
      </c>
      <c r="N8" s="95">
        <v>1</v>
      </c>
      <c r="O8" s="109">
        <f>IF(Key!D$1="ON",P8,IF(SUM(Q8:DL8)&lt;1,"",SUM(Q8:DL8)/COUNTIF(Q8:DL8,"&gt;0")))</f>
        <v>0</v>
      </c>
      <c r="P8" s="109">
        <f>SUMIFS(Q8:DK8,Q$1:DK$1,Dashboard!$K$31)</f>
        <v>0</v>
      </c>
      <c r="U8" s="95">
        <v>33</v>
      </c>
      <c r="AA8" s="95">
        <v>25</v>
      </c>
      <c r="AH8" s="95">
        <v>75</v>
      </c>
    </row>
    <row r="9" spans="1:116" x14ac:dyDescent="0.3">
      <c r="A9" s="89" t="str">
        <f>CONCATENATE(D9,".",F9,"-",G9,".",H9,"")</f>
        <v>1.1-1.1</v>
      </c>
      <c r="B9" s="89" t="str">
        <f>IF(CONCATENATE(I9,Key!F$2)=CONCATENATE(INDEX(Dashboard!J:J,MATCH(I9,Dashboard!J:J,0),1),INDEX(Dashboard!J:K,MATCH(I9,Dashboard!J:J,0),2)),"ON",IF(Dashboard!K$32="ALL","ON","-"))</f>
        <v>-</v>
      </c>
      <c r="C9" s="88" t="s">
        <v>110</v>
      </c>
      <c r="D9" s="89">
        <f>IF(C9="ID",1,(IF(C9="PR",2,(IF(C9="DE",3,(IF(C9="RS",4,(IF(C9="RC",5,0)))))))))</f>
        <v>1</v>
      </c>
      <c r="E9" s="89" t="s">
        <v>111</v>
      </c>
      <c r="F9" s="89">
        <f>IF(E9="AM",1,(IF(E9="BE",2,(IF(E9="GV",3,(IF(E9="RA",4,(IF(E9="RM",5,(IF(E9="AC",1,(IF(E9="AT",2,(IF(E9="DS",3,(IF(E9="IP",4,(IF(E9="MA",5,(IF(E9="PT",6,(IF(E9="AE",1,(IF(E9="CM",2,(IF(E9="DP",3,(IF(E9="AN",1,(IF(E9="CO",2,(IF(E9="IM",3,(IF(E9="MI",4,(IF(E9="RP",5,(IF(E9="SC",6,0)))))))))))))))))))))))))))))))))))))))</f>
        <v>1</v>
      </c>
      <c r="G9" s="52">
        <v>1</v>
      </c>
      <c r="H9" s="99">
        <v>1</v>
      </c>
      <c r="I9" s="93" t="s">
        <v>37</v>
      </c>
      <c r="J9" s="86">
        <v>1.2</v>
      </c>
      <c r="K9" s="102" t="s">
        <v>3683</v>
      </c>
      <c r="L9" s="117">
        <f>IF(O9="","",N9*O9*M9)</f>
        <v>0</v>
      </c>
      <c r="M9" s="108">
        <v>1</v>
      </c>
      <c r="N9" s="95">
        <v>1</v>
      </c>
      <c r="O9" s="109">
        <f>IF(Key!D$1="ON",P9,IF(SUM(Q9:DL9)&lt;1,"",SUM(Q9:DL9)/COUNTIF(Q9:DL9,"&gt;0")))</f>
        <v>0</v>
      </c>
      <c r="P9" s="109">
        <f>SUMIFS(Q9:DK9,Q$1:DK$1,Dashboard!$K$31)</f>
        <v>0</v>
      </c>
      <c r="U9" s="95">
        <v>33</v>
      </c>
      <c r="AA9" s="95">
        <v>25</v>
      </c>
      <c r="AH9" s="95">
        <v>75</v>
      </c>
    </row>
    <row r="10" spans="1:116" x14ac:dyDescent="0.3">
      <c r="A10" s="89" t="str">
        <f>CONCATENATE(D10,".",F10,"-",G10,".",H10,"")</f>
        <v>1.1-1.1</v>
      </c>
      <c r="B10" s="89" t="str">
        <f>IF(CONCATENATE(I10,Key!F$2)=CONCATENATE(INDEX(Dashboard!J:J,MATCH(I10,Dashboard!J:J,0),1),INDEX(Dashboard!J:K,MATCH(I10,Dashboard!J:J,0),2)),"ON",IF(Dashboard!K$32="ALL","ON","-"))</f>
        <v>-</v>
      </c>
      <c r="C10" s="88" t="s">
        <v>110</v>
      </c>
      <c r="D10" s="89">
        <f>IF(C10="ID",1,(IF(C10="PR",2,(IF(C10="DE",3,(IF(C10="RS",4,(IF(C10="RC",5,0)))))))))</f>
        <v>1</v>
      </c>
      <c r="E10" s="89" t="s">
        <v>111</v>
      </c>
      <c r="F10" s="89">
        <f>IF(E10="AM",1,(IF(E10="BE",2,(IF(E10="GV",3,(IF(E10="RA",4,(IF(E10="RM",5,(IF(E10="AC",1,(IF(E10="AT",2,(IF(E10="DS",3,(IF(E10="IP",4,(IF(E10="MA",5,(IF(E10="PT",6,(IF(E10="AE",1,(IF(E10="CM",2,(IF(E10="DP",3,(IF(E10="AN",1,(IF(E10="CO",2,(IF(E10="IM",3,(IF(E10="MI",4,(IF(E10="RP",5,(IF(E10="SC",6,0)))))))))))))))))))))))))))))))))))))))</f>
        <v>1</v>
      </c>
      <c r="G10" s="52">
        <v>1</v>
      </c>
      <c r="H10" s="99">
        <v>1</v>
      </c>
      <c r="I10" s="93" t="s">
        <v>37</v>
      </c>
      <c r="J10" s="86">
        <v>1.3</v>
      </c>
      <c r="K10" s="102" t="s">
        <v>3682</v>
      </c>
      <c r="L10" s="117">
        <f>IF(O10="","",N10*O10*M10)</f>
        <v>0</v>
      </c>
      <c r="M10" s="108">
        <v>1</v>
      </c>
      <c r="N10" s="95">
        <v>1</v>
      </c>
      <c r="O10" s="109">
        <f>IF(Key!D$1="ON",P10,IF(SUM(Q10:DL10)&lt;1,"",SUM(Q10:DL10)/COUNTIF(Q10:DL10,"&gt;0")))</f>
        <v>0</v>
      </c>
      <c r="P10" s="109">
        <f>SUMIFS(Q10:DK10,Q$1:DK$1,Dashboard!$K$31)</f>
        <v>0</v>
      </c>
      <c r="U10" s="95">
        <v>33</v>
      </c>
      <c r="AA10" s="95">
        <v>25</v>
      </c>
      <c r="AH10" s="95">
        <v>75</v>
      </c>
    </row>
    <row r="11" spans="1:116" x14ac:dyDescent="0.3">
      <c r="A11" s="89" t="str">
        <f>CONCATENATE(D11,".",F11,"-",G11,".",H11,"")</f>
        <v>1.1-1.1</v>
      </c>
      <c r="B11" s="89" t="str">
        <f>IF(CONCATENATE(I11,Key!F$2)=CONCATENATE(INDEX(Dashboard!J:J,MATCH(I11,Dashboard!J:J,0),1),INDEX(Dashboard!J:K,MATCH(I11,Dashboard!J:J,0),2)),"ON",IF(Dashboard!K$32="ALL","ON","-"))</f>
        <v>-</v>
      </c>
      <c r="C11" s="88" t="s">
        <v>110</v>
      </c>
      <c r="D11" s="89">
        <f>IF(C11="ID",1,(IF(C11="PR",2,(IF(C11="DE",3,(IF(C11="RS",4,(IF(C11="RC",5,0)))))))))</f>
        <v>1</v>
      </c>
      <c r="E11" s="89" t="s">
        <v>111</v>
      </c>
      <c r="F11" s="89">
        <f>IF(E11="AM",1,(IF(E11="BE",2,(IF(E11="GV",3,(IF(E11="RA",4,(IF(E11="RM",5,(IF(E11="AC",1,(IF(E11="AT",2,(IF(E11="DS",3,(IF(E11="IP",4,(IF(E11="MA",5,(IF(E11="PT",6,(IF(E11="AE",1,(IF(E11="CM",2,(IF(E11="DP",3,(IF(E11="AN",1,(IF(E11="CO",2,(IF(E11="IM",3,(IF(E11="MI",4,(IF(E11="RP",5,(IF(E11="SC",6,0)))))))))))))))))))))))))))))))))))))))</f>
        <v>1</v>
      </c>
      <c r="G11" s="52">
        <v>1</v>
      </c>
      <c r="H11" s="99">
        <v>1</v>
      </c>
      <c r="I11" s="93" t="s">
        <v>37</v>
      </c>
      <c r="J11" s="86">
        <v>1.4</v>
      </c>
      <c r="K11" s="102" t="s">
        <v>3684</v>
      </c>
      <c r="L11" s="117">
        <f>IF(O11="","",N11*O11*M11)</f>
        <v>0</v>
      </c>
      <c r="M11" s="108">
        <v>1</v>
      </c>
      <c r="N11" s="95">
        <v>1</v>
      </c>
      <c r="O11" s="109">
        <f>IF(Key!D$1="ON",P11,IF(SUM(Q11:DL11)&lt;1,"",SUM(Q11:DL11)/COUNTIF(Q11:DL11,"&gt;0")))</f>
        <v>0</v>
      </c>
      <c r="P11" s="109">
        <f>SUMIFS(Q11:DK11,Q$1:DK$1,Dashboard!$K$31)</f>
        <v>0</v>
      </c>
      <c r="U11" s="95">
        <v>33</v>
      </c>
      <c r="AA11" s="95">
        <v>25</v>
      </c>
      <c r="AH11" s="95">
        <v>75</v>
      </c>
    </row>
    <row r="12" spans="1:116" x14ac:dyDescent="0.3">
      <c r="A12" s="89" t="str">
        <f>CONCATENATE(D12,".",F12,"-",G12,".",H12,"")</f>
        <v>1.1-1.1</v>
      </c>
      <c r="B12" s="89" t="str">
        <f>IF(CONCATENATE(I12,Key!F$2)=CONCATENATE(INDEX(Dashboard!J:J,MATCH(I12,Dashboard!J:J,0),1),INDEX(Dashboard!J:K,MATCH(I12,Dashboard!J:J,0),2)),"ON",IF(Dashboard!K$32="ALL","ON","-"))</f>
        <v>-</v>
      </c>
      <c r="C12" s="88" t="s">
        <v>110</v>
      </c>
      <c r="D12" s="89">
        <f>IF(C12="ID",1,(IF(C12="PR",2,(IF(C12="DE",3,(IF(C12="RS",4,(IF(C12="RC",5,0)))))))))</f>
        <v>1</v>
      </c>
      <c r="E12" s="89" t="s">
        <v>111</v>
      </c>
      <c r="F12" s="89">
        <f>IF(E12="AM",1,(IF(E12="BE",2,(IF(E12="GV",3,(IF(E12="RA",4,(IF(E12="RM",5,(IF(E12="AC",1,(IF(E12="AT",2,(IF(E12="DS",3,(IF(E12="IP",4,(IF(E12="MA",5,(IF(E12="PT",6,(IF(E12="AE",1,(IF(E12="CM",2,(IF(E12="DP",3,(IF(E12="AN",1,(IF(E12="CO",2,(IF(E12="IM",3,(IF(E12="MI",4,(IF(E12="RP",5,(IF(E12="SC",6,0)))))))))))))))))))))))))))))))))))))))</f>
        <v>1</v>
      </c>
      <c r="G12" s="52">
        <v>1</v>
      </c>
      <c r="H12" s="99">
        <v>1</v>
      </c>
      <c r="I12" s="93" t="s">
        <v>41</v>
      </c>
      <c r="J12" s="86">
        <v>1</v>
      </c>
      <c r="K12" s="103" t="s">
        <v>3451</v>
      </c>
      <c r="L12" s="117">
        <f>IF(O12="","",N12*O12*M12)</f>
        <v>0</v>
      </c>
      <c r="M12" s="108">
        <v>1</v>
      </c>
      <c r="N12" s="95">
        <v>1</v>
      </c>
      <c r="O12" s="109">
        <f>IF(Key!D$1="ON",P12,IF(SUM(Q12:DL12)&lt;1,"",SUM(Q12:DL12)/COUNTIF(Q12:DL12,"&gt;0")))</f>
        <v>0</v>
      </c>
      <c r="P12" s="109">
        <f>SUMIFS(Q12:DK12,Q$1:DK$1,Dashboard!$K$31)</f>
        <v>0</v>
      </c>
      <c r="U12" s="95">
        <v>33</v>
      </c>
      <c r="AA12" s="95">
        <v>25</v>
      </c>
      <c r="AH12" s="95">
        <v>75</v>
      </c>
    </row>
    <row r="13" spans="1:116" x14ac:dyDescent="0.3">
      <c r="A13" s="89" t="str">
        <f>CONCATENATE(D13,".",F13,"-",G13,".",H13,"")</f>
        <v>1.1-1.1</v>
      </c>
      <c r="B13" s="89" t="str">
        <f>IF(CONCATENATE(I13,Key!F$2)=CONCATENATE(INDEX(Dashboard!J:J,MATCH(I13,Dashboard!J:J,0),1),INDEX(Dashboard!J:K,MATCH(I13,Dashboard!J:J,0),2)),"ON",IF(Dashboard!K$32="ALL","ON","-"))</f>
        <v>-</v>
      </c>
      <c r="C13" s="88" t="s">
        <v>110</v>
      </c>
      <c r="D13" s="89">
        <f>IF(C13="ID",1,(IF(C13="PR",2,(IF(C13="DE",3,(IF(C13="RS",4,(IF(C13="RC",5,0)))))))))</f>
        <v>1</v>
      </c>
      <c r="E13" s="89" t="s">
        <v>111</v>
      </c>
      <c r="F13" s="89">
        <f>IF(E13="AM",1,(IF(E13="BE",2,(IF(E13="GV",3,(IF(E13="RA",4,(IF(E13="RM",5,(IF(E13="AC",1,(IF(E13="AT",2,(IF(E13="DS",3,(IF(E13="IP",4,(IF(E13="MA",5,(IF(E13="PT",6,(IF(E13="AE",1,(IF(E13="CM",2,(IF(E13="DP",3,(IF(E13="AN",1,(IF(E13="CO",2,(IF(E13="IM",3,(IF(E13="MI",4,(IF(E13="RP",5,(IF(E13="SC",6,0)))))))))))))))))))))))))))))))))))))))</f>
        <v>1</v>
      </c>
      <c r="G13" s="52">
        <v>1</v>
      </c>
      <c r="H13" s="99">
        <v>1</v>
      </c>
      <c r="I13" s="93" t="s">
        <v>41</v>
      </c>
      <c r="J13" s="86">
        <v>1.1000000000000001</v>
      </c>
      <c r="K13" s="103" t="s">
        <v>3452</v>
      </c>
      <c r="L13" s="117">
        <f>IF(O13="","",N13*O13*M13)</f>
        <v>0</v>
      </c>
      <c r="M13" s="108">
        <v>1</v>
      </c>
      <c r="N13" s="95">
        <v>1</v>
      </c>
      <c r="O13" s="109">
        <f>IF(Key!D$1="ON",P13,IF(SUM(Q13:DL13)&lt;1,"",SUM(Q13:DL13)/COUNTIF(Q13:DL13,"&gt;0")))</f>
        <v>0</v>
      </c>
      <c r="P13" s="109">
        <f>SUMIFS(Q13:DK13,Q$1:DK$1,Dashboard!$K$31)</f>
        <v>0</v>
      </c>
      <c r="U13" s="95">
        <v>33</v>
      </c>
    </row>
    <row r="14" spans="1:116" ht="15.6" x14ac:dyDescent="0.3">
      <c r="A14" s="89" t="str">
        <f>CONCATENATE(D14,".",F14,"-",G14,".",H14,"")</f>
        <v>1.1-1.1</v>
      </c>
      <c r="B14" s="89" t="str">
        <f>IF(CONCATENATE(I14,Key!F$2)=CONCATENATE(INDEX(Dashboard!J:J,MATCH(I14,Dashboard!J:J,0),1),INDEX(Dashboard!J:K,MATCH(I14,Dashboard!J:J,0),2)),"ON",IF(Dashboard!K$32="ALL","ON","-"))</f>
        <v>-</v>
      </c>
      <c r="C14" s="88" t="s">
        <v>110</v>
      </c>
      <c r="D14" s="89">
        <f>IF(C14="ID",1,(IF(C14="PR",2,(IF(C14="DE",3,(IF(C14="RS",4,(IF(C14="RC",5,0)))))))))</f>
        <v>1</v>
      </c>
      <c r="E14" s="89" t="s">
        <v>111</v>
      </c>
      <c r="F14" s="89">
        <f>IF(E14="AM",1,(IF(E14="BE",2,(IF(E14="GV",3,(IF(E14="RA",4,(IF(E14="RM",5,(IF(E14="AC",1,(IF(E14="AT",2,(IF(E14="DS",3,(IF(E14="IP",4,(IF(E14="MA",5,(IF(E14="PT",6,(IF(E14="AE",1,(IF(E14="CM",2,(IF(E14="DP",3,(IF(E14="AN",1,(IF(E14="CO",2,(IF(E14="IM",3,(IF(E14="MI",4,(IF(E14="RP",5,(IF(E14="SC",6,0)))))))))))))))))))))))))))))))))))))))</f>
        <v>1</v>
      </c>
      <c r="G14" s="52">
        <v>1</v>
      </c>
      <c r="H14" s="99">
        <v>1</v>
      </c>
      <c r="I14" s="93" t="s">
        <v>41</v>
      </c>
      <c r="J14" s="86">
        <v>1.2</v>
      </c>
      <c r="K14" s="103" t="s">
        <v>3453</v>
      </c>
      <c r="L14" s="117">
        <f>IF(O14="","",N14*O14*M14)</f>
        <v>0</v>
      </c>
      <c r="M14" s="108">
        <v>1</v>
      </c>
      <c r="N14" s="95">
        <v>1</v>
      </c>
      <c r="O14" s="109">
        <f>IF(Key!D$1="ON",P14,IF(SUM(Q14:DL14)&lt;1,"",SUM(Q14:DL14)/COUNTIF(Q14:DL14,"&gt;0")))</f>
        <v>0</v>
      </c>
      <c r="P14" s="109">
        <f>SUMIFS(Q14:DK14,Q$1:DK$1,Dashboard!$K$31)</f>
        <v>0</v>
      </c>
      <c r="U14" s="95">
        <v>33</v>
      </c>
    </row>
    <row r="15" spans="1:116" ht="15.6" x14ac:dyDescent="0.3">
      <c r="A15" s="89" t="str">
        <f>CONCATENATE(D15,".",F15,"-",G15,".",H15,"")</f>
        <v>1.1-1.1</v>
      </c>
      <c r="B15" s="89" t="str">
        <f>IF(CONCATENATE(I15,Key!F$2)=CONCATENATE(INDEX(Dashboard!J:J,MATCH(I15,Dashboard!J:J,0),1),INDEX(Dashboard!J:K,MATCH(I15,Dashboard!J:J,0),2)),"ON",IF(Dashboard!K$32="ALL","ON","-"))</f>
        <v>-</v>
      </c>
      <c r="C15" s="88" t="s">
        <v>110</v>
      </c>
      <c r="D15" s="89">
        <f>IF(C15="ID",1,(IF(C15="PR",2,(IF(C15="DE",3,(IF(C15="RS",4,(IF(C15="RC",5,0)))))))))</f>
        <v>1</v>
      </c>
      <c r="E15" s="89" t="s">
        <v>111</v>
      </c>
      <c r="F15" s="89">
        <f>IF(E15="AM",1,(IF(E15="BE",2,(IF(E15="GV",3,(IF(E15="RA",4,(IF(E15="RM",5,(IF(E15="AC",1,(IF(E15="AT",2,(IF(E15="DS",3,(IF(E15="IP",4,(IF(E15="MA",5,(IF(E15="PT",6,(IF(E15="AE",1,(IF(E15="CM",2,(IF(E15="DP",3,(IF(E15="AN",1,(IF(E15="CO",2,(IF(E15="IM",3,(IF(E15="MI",4,(IF(E15="RP",5,(IF(E15="SC",6,0)))))))))))))))))))))))))))))))))))))))</f>
        <v>1</v>
      </c>
      <c r="G15" s="52">
        <v>1</v>
      </c>
      <c r="H15" s="99">
        <v>1</v>
      </c>
      <c r="I15" s="93" t="s">
        <v>41</v>
      </c>
      <c r="J15" s="86">
        <v>1.3</v>
      </c>
      <c r="K15" s="103" t="s">
        <v>3454</v>
      </c>
      <c r="L15" s="117">
        <f>IF(O15="","",N15*O15*M15)</f>
        <v>0</v>
      </c>
      <c r="M15" s="108">
        <v>1</v>
      </c>
      <c r="N15" s="95">
        <v>1</v>
      </c>
      <c r="O15" s="109">
        <f>IF(Key!D$1="ON",P15,IF(SUM(Q15:DL15)&lt;1,"",SUM(Q15:DL15)/COUNTIF(Q15:DL15,"&gt;0")))</f>
        <v>0</v>
      </c>
      <c r="P15" s="109">
        <f>SUMIFS(Q15:DK15,Q$1:DK$1,Dashboard!$K$31)</f>
        <v>0</v>
      </c>
      <c r="U15" s="95">
        <v>33</v>
      </c>
    </row>
    <row r="16" spans="1:116" ht="15.6" x14ac:dyDescent="0.3">
      <c r="A16" s="89" t="str">
        <f>CONCATENATE(D16,".",F16,"-",G16,".",H16,"")</f>
        <v>1.1-1.1</v>
      </c>
      <c r="B16" s="89" t="str">
        <f>IF(CONCATENATE(I16,Key!F$2)=CONCATENATE(INDEX(Dashboard!J:J,MATCH(I16,Dashboard!J:J,0),1),INDEX(Dashboard!J:K,MATCH(I16,Dashboard!J:J,0),2)),"ON",IF(Dashboard!K$32="ALL","ON","-"))</f>
        <v>-</v>
      </c>
      <c r="C16" s="88" t="s">
        <v>110</v>
      </c>
      <c r="D16" s="89">
        <f>IF(C16="ID",1,(IF(C16="PR",2,(IF(C16="DE",3,(IF(C16="RS",4,(IF(C16="RC",5,0)))))))))</f>
        <v>1</v>
      </c>
      <c r="E16" s="89" t="s">
        <v>111</v>
      </c>
      <c r="F16" s="89">
        <f>IF(E16="AM",1,(IF(E16="BE",2,(IF(E16="GV",3,(IF(E16="RA",4,(IF(E16="RM",5,(IF(E16="AC",1,(IF(E16="AT",2,(IF(E16="DS",3,(IF(E16="IP",4,(IF(E16="MA",5,(IF(E16="PT",6,(IF(E16="AE",1,(IF(E16="CM",2,(IF(E16="DP",3,(IF(E16="AN",1,(IF(E16="CO",2,(IF(E16="IM",3,(IF(E16="MI",4,(IF(E16="RP",5,(IF(E16="SC",6,0)))))))))))))))))))))))))))))))))))))))</f>
        <v>1</v>
      </c>
      <c r="G16" s="52">
        <v>1</v>
      </c>
      <c r="H16" s="99">
        <v>1</v>
      </c>
      <c r="I16" s="93" t="s">
        <v>41</v>
      </c>
      <c r="J16" s="86">
        <v>1.4</v>
      </c>
      <c r="K16" s="103" t="s">
        <v>3455</v>
      </c>
      <c r="L16" s="117">
        <f>IF(O16="","",N16*O16*M16)</f>
        <v>0</v>
      </c>
      <c r="M16" s="108">
        <v>1</v>
      </c>
      <c r="N16" s="95">
        <v>1</v>
      </c>
      <c r="O16" s="109">
        <f>IF(Key!D$1="ON",P16,IF(SUM(Q16:DL16)&lt;1,"",SUM(Q16:DL16)/COUNTIF(Q16:DL16,"&gt;0")))</f>
        <v>0</v>
      </c>
      <c r="P16" s="109">
        <f>SUMIFS(Q16:DK16,Q$1:DK$1,Dashboard!$K$31)</f>
        <v>0</v>
      </c>
      <c r="U16" s="95">
        <v>33</v>
      </c>
    </row>
    <row r="17" spans="1:34" ht="15.6" x14ac:dyDescent="0.3">
      <c r="A17" s="89" t="str">
        <f>CONCATENATE(D17,".",F17,"-",G17,".",H17,"")</f>
        <v>1.1-1.1</v>
      </c>
      <c r="B17" s="89" t="str">
        <f>IF(CONCATENATE(I17,Key!F$2)=CONCATENATE(INDEX(Dashboard!J:J,MATCH(I17,Dashboard!J:J,0),1),INDEX(Dashboard!J:K,MATCH(I17,Dashboard!J:J,0),2)),"ON",IF(Dashboard!K$32="ALL","ON","-"))</f>
        <v>-</v>
      </c>
      <c r="C17" s="88" t="s">
        <v>110</v>
      </c>
      <c r="D17" s="89">
        <f>IF(C17="ID",1,(IF(C17="PR",2,(IF(C17="DE",3,(IF(C17="RS",4,(IF(C17="RC",5,0)))))))))</f>
        <v>1</v>
      </c>
      <c r="E17" s="89" t="s">
        <v>111</v>
      </c>
      <c r="F17" s="89">
        <f>IF(E17="AM",1,(IF(E17="BE",2,(IF(E17="GV",3,(IF(E17="RA",4,(IF(E17="RM",5,(IF(E17="AC",1,(IF(E17="AT",2,(IF(E17="DS",3,(IF(E17="IP",4,(IF(E17="MA",5,(IF(E17="PT",6,(IF(E17="AE",1,(IF(E17="CM",2,(IF(E17="DP",3,(IF(E17="AN",1,(IF(E17="CO",2,(IF(E17="IM",3,(IF(E17="MI",4,(IF(E17="RP",5,(IF(E17="SC",6,0)))))))))))))))))))))))))))))))))))))))</f>
        <v>1</v>
      </c>
      <c r="G17" s="52">
        <v>1</v>
      </c>
      <c r="H17" s="99">
        <v>1</v>
      </c>
      <c r="I17" s="93" t="s">
        <v>41</v>
      </c>
      <c r="J17" s="86">
        <v>1.5</v>
      </c>
      <c r="K17" s="103" t="s">
        <v>3456</v>
      </c>
      <c r="L17" s="117">
        <f>IF(O17="","",N17*O17*M17)</f>
        <v>0</v>
      </c>
      <c r="M17" s="108">
        <v>1</v>
      </c>
      <c r="N17" s="95">
        <v>1</v>
      </c>
      <c r="O17" s="109">
        <f>IF(Key!D$1="ON",P17,IF(SUM(Q17:DL17)&lt;1,"",SUM(Q17:DL17)/COUNTIF(Q17:DL17,"&gt;0")))</f>
        <v>0</v>
      </c>
      <c r="P17" s="109">
        <f>SUMIFS(Q17:DK17,Q$1:DK$1,Dashboard!$K$31)</f>
        <v>0</v>
      </c>
      <c r="U17" s="95">
        <v>33</v>
      </c>
    </row>
    <row r="18" spans="1:34" ht="15.6" x14ac:dyDescent="0.3">
      <c r="A18" s="89" t="str">
        <f>CONCATENATE(D18,".",F18,"-",G18,".",H18,"")</f>
        <v>1.1-1.1</v>
      </c>
      <c r="B18" s="89" t="str">
        <f>IF(CONCATENATE(I18,Key!F$2)=CONCATENATE(INDEX(Dashboard!J:J,MATCH(I18,Dashboard!J:J,0),1),INDEX(Dashboard!J:K,MATCH(I18,Dashboard!J:J,0),2)),"ON",IF(Dashboard!K$32="ALL","ON","-"))</f>
        <v>-</v>
      </c>
      <c r="C18" s="88" t="s">
        <v>110</v>
      </c>
      <c r="D18" s="89">
        <f>IF(C18="ID",1,(IF(C18="PR",2,(IF(C18="DE",3,(IF(C18="RS",4,(IF(C18="RC",5,0)))))))))</f>
        <v>1</v>
      </c>
      <c r="E18" s="89" t="s">
        <v>111</v>
      </c>
      <c r="F18" s="89">
        <f>IF(E18="AM",1,(IF(E18="BE",2,(IF(E18="GV",3,(IF(E18="RA",4,(IF(E18="RM",5,(IF(E18="AC",1,(IF(E18="AT",2,(IF(E18="DS",3,(IF(E18="IP",4,(IF(E18="MA",5,(IF(E18="PT",6,(IF(E18="AE",1,(IF(E18="CM",2,(IF(E18="DP",3,(IF(E18="AN",1,(IF(E18="CO",2,(IF(E18="IM",3,(IF(E18="MI",4,(IF(E18="RP",5,(IF(E18="SC",6,0)))))))))))))))))))))))))))))))))))))))</f>
        <v>1</v>
      </c>
      <c r="G18" s="98">
        <v>1</v>
      </c>
      <c r="H18" s="99">
        <v>1</v>
      </c>
      <c r="I18" s="93" t="s">
        <v>73</v>
      </c>
      <c r="J18" s="86" t="s">
        <v>211</v>
      </c>
      <c r="K18" s="107" t="s">
        <v>4282</v>
      </c>
      <c r="L18" s="117">
        <f>IF(O18="","",N18*O18*M18)</f>
        <v>0</v>
      </c>
      <c r="M18" s="108">
        <v>1</v>
      </c>
      <c r="N18" s="95">
        <v>1</v>
      </c>
      <c r="O18" s="109">
        <f>IF(Key!D$1="ON",P18,IF(SUM(Q18:DL18)&lt;1,"",SUM(Q18:DL18)/COUNTIF(Q18:DL18,"&gt;0")))</f>
        <v>0</v>
      </c>
      <c r="P18" s="109">
        <f>SUMIFS(Q18:DK18,Q$1:DK$1,Dashboard!$K$31)</f>
        <v>0</v>
      </c>
      <c r="U18" s="95">
        <v>33</v>
      </c>
      <c r="AA18" s="95">
        <v>25</v>
      </c>
      <c r="AH18" s="95">
        <v>75</v>
      </c>
    </row>
    <row r="19" spans="1:34" ht="15.6" x14ac:dyDescent="0.3">
      <c r="A19" s="89" t="str">
        <f>CONCATENATE(D19,".",F19,"-",G19,".",H19,"")</f>
        <v>1.1-1.1</v>
      </c>
      <c r="B19" s="89" t="str">
        <f>IF(CONCATENATE(I19,Key!F$2)=CONCATENATE(INDEX(Dashboard!J:J,MATCH(I19,Dashboard!J:J,0),1),INDEX(Dashboard!J:K,MATCH(I19,Dashboard!J:J,0),2)),"ON",IF(Dashboard!K$32="ALL","ON","-"))</f>
        <v>-</v>
      </c>
      <c r="C19" s="96" t="s">
        <v>110</v>
      </c>
      <c r="D19" s="89">
        <f>IF(C19="ID",1,(IF(C19="PR",2,(IF(C19="DE",3,(IF(C19="RS",4,(IF(C19="RC",5,0)))))))))</f>
        <v>1</v>
      </c>
      <c r="E19" s="89" t="s">
        <v>111</v>
      </c>
      <c r="F19" s="89">
        <f>IF(E19="AM",1,(IF(E19="BE",2,(IF(E19="GV",3,(IF(E19="RA",4,(IF(E19="RM",5,(IF(E19="AC",1,(IF(E19="AT",2,(IF(E19="DS",3,(IF(E19="IP",4,(IF(E19="MA",5,(IF(E19="PT",6,(IF(E19="AE",1,(IF(E19="CM",2,(IF(E19="DP",3,(IF(E19="AN",1,(IF(E19="CO",2,(IF(E19="IM",3,(IF(E19="MI",4,(IF(E19="RP",5,(IF(E19="SC",6,0)))))))))))))))))))))))))))))))))))))))</f>
        <v>1</v>
      </c>
      <c r="G19" s="98">
        <v>1</v>
      </c>
      <c r="H19" s="90" t="s">
        <v>115</v>
      </c>
      <c r="I19" s="93" t="s">
        <v>77</v>
      </c>
      <c r="J19" s="87" t="s">
        <v>918</v>
      </c>
      <c r="K19" s="102" t="s">
        <v>2008</v>
      </c>
      <c r="L19" s="117">
        <f>IF(O19="","",N19*O19*M19)</f>
        <v>0</v>
      </c>
      <c r="M19" s="108">
        <v>1</v>
      </c>
      <c r="N19" s="95">
        <v>1</v>
      </c>
      <c r="O19" s="109">
        <f>IF(Key!D$1="ON",P19,IF(SUM(Q19:DL19)&lt;1,"",SUM(Q19:DL19)/COUNTIF(Q19:DL19,"&gt;0")))</f>
        <v>0</v>
      </c>
      <c r="P19" s="109">
        <f>SUMIFS(Q19:DK19,Q$1:DK$1,Dashboard!$K$31)</f>
        <v>0</v>
      </c>
      <c r="U19" s="95">
        <v>33</v>
      </c>
      <c r="AA19" s="95">
        <v>25</v>
      </c>
      <c r="AH19" s="95">
        <v>75</v>
      </c>
    </row>
    <row r="20" spans="1:34" ht="15.6" x14ac:dyDescent="0.3">
      <c r="A20" s="89" t="str">
        <f>CONCATENATE(D20,".",F20,"-",G20,".",H20,"")</f>
        <v>1.1-1.1</v>
      </c>
      <c r="B20" s="89" t="str">
        <f>IF(CONCATENATE(I20,Key!F$2)=CONCATENATE(INDEX(Dashboard!J:J,MATCH(I20,Dashboard!J:J,0),1),INDEX(Dashboard!J:K,MATCH(I20,Dashboard!J:J,0),2)),"ON",IF(Dashboard!K$32="ALL","ON","-"))</f>
        <v>-</v>
      </c>
      <c r="C20" s="88" t="s">
        <v>110</v>
      </c>
      <c r="D20" s="89">
        <f>IF(C20="ID",1,(IF(C20="PR",2,(IF(C20="DE",3,(IF(C20="RS",4,(IF(C20="RC",5,0)))))))))</f>
        <v>1</v>
      </c>
      <c r="E20" s="89" t="s">
        <v>111</v>
      </c>
      <c r="F20" s="89">
        <f>IF(E20="AM",1,(IF(E20="BE",2,(IF(E20="GV",3,(IF(E20="RA",4,(IF(E20="RM",5,(IF(E20="AC",1,(IF(E20="AT",2,(IF(E20="DS",3,(IF(E20="IP",4,(IF(E20="MA",5,(IF(E20="PT",6,(IF(E20="AE",1,(IF(E20="CM",2,(IF(E20="DP",3,(IF(E20="AN",1,(IF(E20="CO",2,(IF(E20="IM",3,(IF(E20="MI",4,(IF(E20="RP",5,(IF(E20="SC",6,0)))))))))))))))))))))))))))))))))))))))</f>
        <v>1</v>
      </c>
      <c r="G20" s="52">
        <v>1</v>
      </c>
      <c r="H20" s="90" t="s">
        <v>115</v>
      </c>
      <c r="I20" s="93" t="s">
        <v>77</v>
      </c>
      <c r="J20" s="87" t="s">
        <v>920</v>
      </c>
      <c r="K20" s="102" t="s">
        <v>2009</v>
      </c>
      <c r="L20" s="117">
        <f>IF(O20="","",N20*O20*M20)</f>
        <v>0</v>
      </c>
      <c r="M20" s="108">
        <v>1</v>
      </c>
      <c r="N20" s="95">
        <v>1</v>
      </c>
      <c r="O20" s="109">
        <f>IF(Key!D$1="ON",P20,IF(SUM(Q20:DL20)&lt;1,"",SUM(Q20:DL20)/COUNTIF(Q20:DL20,"&gt;0")))</f>
        <v>0</v>
      </c>
      <c r="P20" s="109">
        <f>SUMIFS(Q20:DK20,Q$1:DK$1,Dashboard!$K$31)</f>
        <v>0</v>
      </c>
      <c r="U20" s="95">
        <v>33</v>
      </c>
      <c r="AA20" s="95">
        <v>25</v>
      </c>
      <c r="AH20" s="95">
        <v>75</v>
      </c>
    </row>
    <row r="21" spans="1:34" ht="15.6" x14ac:dyDescent="0.3">
      <c r="A21" s="89" t="str">
        <f>CONCATENATE(D21,".",F21,"-",G21,".",H21,"")</f>
        <v>1.1-1.1</v>
      </c>
      <c r="B21" s="89" t="str">
        <f>IF(CONCATENATE(I21,Key!F$2)=CONCATENATE(INDEX(Dashboard!J:J,MATCH(I21,Dashboard!J:J,0),1),INDEX(Dashboard!J:K,MATCH(I21,Dashboard!J:J,0),2)),"ON",IF(Dashboard!K$32="ALL","ON","-"))</f>
        <v>-</v>
      </c>
      <c r="C21" s="88" t="s">
        <v>110</v>
      </c>
      <c r="D21" s="89">
        <f>IF(C21="ID",1,(IF(C21="PR",2,(IF(C21="DE",3,(IF(C21="RS",4,(IF(C21="RC",5,0)))))))))</f>
        <v>1</v>
      </c>
      <c r="E21" s="89" t="s">
        <v>111</v>
      </c>
      <c r="F21" s="89">
        <f>IF(E21="AM",1,(IF(E21="BE",2,(IF(E21="GV",3,(IF(E21="RA",4,(IF(E21="RM",5,(IF(E21="AC",1,(IF(E21="AT",2,(IF(E21="DS",3,(IF(E21="IP",4,(IF(E21="MA",5,(IF(E21="PT",6,(IF(E21="AE",1,(IF(E21="CM",2,(IF(E21="DP",3,(IF(E21="AN",1,(IF(E21="CO",2,(IF(E21="IM",3,(IF(E21="MI",4,(IF(E21="RP",5,(IF(E21="SC",6,0)))))))))))))))))))))))))))))))))))))))</f>
        <v>1</v>
      </c>
      <c r="G21" s="52">
        <v>1</v>
      </c>
      <c r="H21" s="90" t="s">
        <v>115</v>
      </c>
      <c r="I21" s="93" t="s">
        <v>77</v>
      </c>
      <c r="J21" s="87" t="s">
        <v>921</v>
      </c>
      <c r="K21" s="102" t="s">
        <v>2010</v>
      </c>
      <c r="L21" s="117">
        <f>IF(O21="","",N21*O21*M21)</f>
        <v>0</v>
      </c>
      <c r="M21" s="108">
        <v>1</v>
      </c>
      <c r="N21" s="95">
        <v>1</v>
      </c>
      <c r="O21" s="109">
        <f>IF(Key!D$1="ON",P21,IF(SUM(Q21:DL21)&lt;1,"",SUM(Q21:DL21)/COUNTIF(Q21:DL21,"&gt;0")))</f>
        <v>0</v>
      </c>
      <c r="P21" s="109">
        <f>SUMIFS(Q21:DK21,Q$1:DK$1,Dashboard!$K$31)</f>
        <v>0</v>
      </c>
      <c r="U21" s="95">
        <v>33</v>
      </c>
      <c r="AA21" s="95">
        <v>25</v>
      </c>
      <c r="AH21" s="95">
        <v>75</v>
      </c>
    </row>
    <row r="22" spans="1:34" x14ac:dyDescent="0.3">
      <c r="A22" s="89" t="str">
        <f>CONCATENATE(D22,".",F22,"-",G22,".",H22,"")</f>
        <v>1.1-1.1</v>
      </c>
      <c r="B22" s="89" t="str">
        <f>IF(CONCATENATE(I22,Key!F$2)=CONCATENATE(INDEX(Dashboard!J:J,MATCH(I22,Dashboard!J:J,0),1),INDEX(Dashboard!J:K,MATCH(I22,Dashboard!J:J,0),2)),"ON",IF(Dashboard!K$32="ALL","ON","-"))</f>
        <v>-</v>
      </c>
      <c r="C22" s="88" t="s">
        <v>110</v>
      </c>
      <c r="D22" s="89">
        <f>IF(C22="ID",1,(IF(C22="PR",2,(IF(C22="DE",3,(IF(C22="RS",4,(IF(C22="RC",5,0)))))))))</f>
        <v>1</v>
      </c>
      <c r="E22" s="89" t="s">
        <v>111</v>
      </c>
      <c r="F22" s="89">
        <f>IF(E22="AM",1,(IF(E22="BE",2,(IF(E22="GV",3,(IF(E22="RA",4,(IF(E22="RM",5,(IF(E22="AC",1,(IF(E22="AT",2,(IF(E22="DS",3,(IF(E22="IP",4,(IF(E22="MA",5,(IF(E22="PT",6,(IF(E22="AE",1,(IF(E22="CM",2,(IF(E22="DP",3,(IF(E22="AN",1,(IF(E22="CO",2,(IF(E22="IM",3,(IF(E22="MI",4,(IF(E22="RP",5,(IF(E22="SC",6,0)))))))))))))))))))))))))))))))))))))))</f>
        <v>1</v>
      </c>
      <c r="G22" s="52">
        <v>1</v>
      </c>
      <c r="H22" s="90" t="s">
        <v>115</v>
      </c>
      <c r="I22" s="93" t="s">
        <v>77</v>
      </c>
      <c r="J22" s="87" t="s">
        <v>922</v>
      </c>
      <c r="K22" s="102" t="s">
        <v>2011</v>
      </c>
      <c r="L22" s="117">
        <f>IF(O22="","",N22*O22*M22)</f>
        <v>0</v>
      </c>
      <c r="M22" s="108">
        <v>1</v>
      </c>
      <c r="N22" s="95">
        <v>1</v>
      </c>
      <c r="O22" s="109">
        <f>IF(Key!D$1="ON",P22,IF(SUM(Q22:DL22)&lt;1,"",SUM(Q22:DL22)/COUNTIF(Q22:DL22,"&gt;0")))</f>
        <v>0</v>
      </c>
      <c r="P22" s="109">
        <f>SUMIFS(Q22:DK22,Q$1:DK$1,Dashboard!$K$31)</f>
        <v>0</v>
      </c>
      <c r="U22" s="95">
        <v>33</v>
      </c>
      <c r="AA22" s="95">
        <v>25</v>
      </c>
      <c r="AH22" s="95">
        <v>75</v>
      </c>
    </row>
    <row r="23" spans="1:34" x14ac:dyDescent="0.3">
      <c r="A23" s="89" t="str">
        <f>CONCATENATE(D23,".",F23,"-",G23,".",H23,"")</f>
        <v>1.1-1.1</v>
      </c>
      <c r="B23" s="89" t="str">
        <f>IF(CONCATENATE(I23,Key!F$2)=CONCATENATE(INDEX(Dashboard!J:J,MATCH(I23,Dashboard!J:J,0),1),INDEX(Dashboard!J:K,MATCH(I23,Dashboard!J:J,0),2)),"ON",IF(Dashboard!K$32="ALL","ON","-"))</f>
        <v>-</v>
      </c>
      <c r="C23" s="88" t="s">
        <v>110</v>
      </c>
      <c r="D23" s="89">
        <f>IF(C23="ID",1,(IF(C23="PR",2,(IF(C23="DE",3,(IF(C23="RS",4,(IF(C23="RC",5,0)))))))))</f>
        <v>1</v>
      </c>
      <c r="E23" s="89" t="s">
        <v>111</v>
      </c>
      <c r="F23" s="89">
        <f>IF(E23="AM",1,(IF(E23="BE",2,(IF(E23="GV",3,(IF(E23="RA",4,(IF(E23="RM",5,(IF(E23="AC",1,(IF(E23="AT",2,(IF(E23="DS",3,(IF(E23="IP",4,(IF(E23="MA",5,(IF(E23="PT",6,(IF(E23="AE",1,(IF(E23="CM",2,(IF(E23="DP",3,(IF(E23="AN",1,(IF(E23="CO",2,(IF(E23="IM",3,(IF(E23="MI",4,(IF(E23="RP",5,(IF(E23="SC",6,0)))))))))))))))))))))))))))))))))))))))</f>
        <v>1</v>
      </c>
      <c r="G23" s="52">
        <v>1</v>
      </c>
      <c r="H23" s="90" t="s">
        <v>115</v>
      </c>
      <c r="I23" s="93" t="s">
        <v>77</v>
      </c>
      <c r="J23" s="87" t="s">
        <v>923</v>
      </c>
      <c r="K23" s="102" t="s">
        <v>2012</v>
      </c>
      <c r="L23" s="117">
        <f>IF(O23="","",N23*O23*M23)</f>
        <v>0</v>
      </c>
      <c r="M23" s="108">
        <v>1</v>
      </c>
      <c r="N23" s="95">
        <v>1</v>
      </c>
      <c r="O23" s="109">
        <f>IF(Key!D$1="ON",P23,IF(SUM(Q23:DL23)&lt;1,"",SUM(Q23:DL23)/COUNTIF(Q23:DL23,"&gt;0")))</f>
        <v>0</v>
      </c>
      <c r="P23" s="109">
        <f>SUMIFS(Q23:DK23,Q$1:DK$1,Dashboard!$K$31)</f>
        <v>0</v>
      </c>
      <c r="U23" s="95">
        <v>33</v>
      </c>
      <c r="AA23" s="95">
        <v>25</v>
      </c>
      <c r="AH23" s="95">
        <v>75</v>
      </c>
    </row>
    <row r="24" spans="1:34" x14ac:dyDescent="0.3">
      <c r="A24" s="89" t="str">
        <f>CONCATENATE(D24,".",F24,"-",G24,".",H24,"")</f>
        <v>1.1-1.1</v>
      </c>
      <c r="B24" s="89" t="str">
        <f>IF(CONCATENATE(I24,Key!F$2)=CONCATENATE(INDEX(Dashboard!J:J,MATCH(I24,Dashboard!J:J,0),1),INDEX(Dashboard!J:K,MATCH(I24,Dashboard!J:J,0),2)),"ON",IF(Dashboard!K$32="ALL","ON","-"))</f>
        <v>-</v>
      </c>
      <c r="C24" s="88" t="s">
        <v>110</v>
      </c>
      <c r="D24" s="89">
        <f>IF(C24="ID",1,(IF(C24="PR",2,(IF(C24="DE",3,(IF(C24="RS",4,(IF(C24="RC",5,0)))))))))</f>
        <v>1</v>
      </c>
      <c r="E24" s="89" t="s">
        <v>111</v>
      </c>
      <c r="F24" s="89">
        <f>IF(E24="AM",1,(IF(E24="BE",2,(IF(E24="GV",3,(IF(E24="RA",4,(IF(E24="RM",5,(IF(E24="AC",1,(IF(E24="AT",2,(IF(E24="DS",3,(IF(E24="IP",4,(IF(E24="MA",5,(IF(E24="PT",6,(IF(E24="AE",1,(IF(E24="CM",2,(IF(E24="DP",3,(IF(E24="AN",1,(IF(E24="CO",2,(IF(E24="IM",3,(IF(E24="MI",4,(IF(E24="RP",5,(IF(E24="SC",6,0)))))))))))))))))))))))))))))))))))))))</f>
        <v>1</v>
      </c>
      <c r="G24" s="52">
        <v>1</v>
      </c>
      <c r="H24" s="90" t="s">
        <v>115</v>
      </c>
      <c r="I24" s="93" t="s">
        <v>85</v>
      </c>
      <c r="J24" s="87" t="s">
        <v>922</v>
      </c>
      <c r="K24" s="119" t="s">
        <v>4702</v>
      </c>
      <c r="L24" s="117">
        <f>IF(O24="","",N24*O24*M24)</f>
        <v>0</v>
      </c>
      <c r="M24" s="108">
        <v>1</v>
      </c>
      <c r="N24" s="95">
        <v>1</v>
      </c>
      <c r="O24" s="109">
        <f>IF(Key!D$1="ON",P24,IF(SUM(Q24:DL24)&lt;1,"",SUM(Q24:DL24)/COUNTIF(Q24:DL24,"&gt;0")))</f>
        <v>0</v>
      </c>
      <c r="P24" s="109">
        <f>SUMIFS(Q24:DK24,Q$1:DK$1,Dashboard!$K$31)</f>
        <v>0</v>
      </c>
      <c r="U24" s="95">
        <v>33</v>
      </c>
      <c r="AA24" s="95">
        <v>25</v>
      </c>
      <c r="AH24" s="95">
        <v>75</v>
      </c>
    </row>
    <row r="25" spans="1:34" x14ac:dyDescent="0.3">
      <c r="A25" s="89" t="str">
        <f>CONCATENATE(D25,".",F25,"-",G25,".",H25,"")</f>
        <v>1.1-1.1</v>
      </c>
      <c r="B25" s="89" t="str">
        <f>IF(CONCATENATE(I25,Key!F$2)=CONCATENATE(INDEX(Dashboard!J:J,MATCH(I25,Dashboard!J:J,0),1),INDEX(Dashboard!J:K,MATCH(I25,Dashboard!J:J,0),2)),"ON",IF(Dashboard!K$32="ALL","ON","-"))</f>
        <v>-</v>
      </c>
      <c r="C25" s="88" t="s">
        <v>110</v>
      </c>
      <c r="D25" s="89">
        <f>IF(C25="ID",1,(IF(C25="PR",2,(IF(C25="DE",3,(IF(C25="RS",4,(IF(C25="RC",5,0)))))))))</f>
        <v>1</v>
      </c>
      <c r="E25" s="89" t="s">
        <v>111</v>
      </c>
      <c r="F25" s="89">
        <f>IF(E25="AM",1,(IF(E25="BE",2,(IF(E25="GV",3,(IF(E25="RA",4,(IF(E25="RM",5,(IF(E25="AC",1,(IF(E25="AT",2,(IF(E25="DS",3,(IF(E25="IP",4,(IF(E25="MA",5,(IF(E25="PT",6,(IF(E25="AE",1,(IF(E25="CM",2,(IF(E25="DP",3,(IF(E25="AN",1,(IF(E25="CO",2,(IF(E25="IM",3,(IF(E25="MI",4,(IF(E25="RP",5,(IF(E25="SC",6,0)))))))))))))))))))))))))))))))))))))))</f>
        <v>1</v>
      </c>
      <c r="G25" s="52">
        <v>1</v>
      </c>
      <c r="H25" s="90" t="s">
        <v>115</v>
      </c>
      <c r="I25" s="93" t="s">
        <v>85</v>
      </c>
      <c r="J25" s="87" t="s">
        <v>920</v>
      </c>
      <c r="K25" s="119" t="s">
        <v>4696</v>
      </c>
      <c r="L25" s="117">
        <f>IF(O25="","",N25*O25*M25)</f>
        <v>0</v>
      </c>
      <c r="M25" s="108">
        <v>1</v>
      </c>
      <c r="N25" s="95">
        <v>1</v>
      </c>
      <c r="O25" s="109">
        <f>IF(Key!D$1="ON",P25,IF(SUM(Q25:DL25)&lt;1,"",SUM(Q25:DL25)/COUNTIF(Q25:DL25,"&gt;0")))</f>
        <v>0</v>
      </c>
      <c r="P25" s="109">
        <f>SUMIFS(Q25:DK25,Q$1:DK$1,Dashboard!$K$31)</f>
        <v>0</v>
      </c>
      <c r="U25" s="95">
        <v>33</v>
      </c>
      <c r="AA25" s="95">
        <v>25</v>
      </c>
      <c r="AH25" s="95">
        <v>75</v>
      </c>
    </row>
    <row r="26" spans="1:34" x14ac:dyDescent="0.3">
      <c r="A26" s="89" t="str">
        <f>CONCATENATE(D26,".",F26,"-",G26,".",H26,"")</f>
        <v>1.1-1.1</v>
      </c>
      <c r="B26" s="89" t="str">
        <f>IF(CONCATENATE(I26,Key!F$2)=CONCATENATE(INDEX(Dashboard!J:J,MATCH(I26,Dashboard!J:J,0),1),INDEX(Dashboard!J:K,MATCH(I26,Dashboard!J:J,0),2)),"ON",IF(Dashboard!K$32="ALL","ON","-"))</f>
        <v>-</v>
      </c>
      <c r="C26" s="88" t="s">
        <v>110</v>
      </c>
      <c r="D26" s="89">
        <f>IF(C26="ID",1,(IF(C26="PR",2,(IF(C26="DE",3,(IF(C26="RS",4,(IF(C26="RC",5,0)))))))))</f>
        <v>1</v>
      </c>
      <c r="E26" s="89" t="s">
        <v>111</v>
      </c>
      <c r="F26" s="89">
        <f>IF(E26="AM",1,(IF(E26="BE",2,(IF(E26="GV",3,(IF(E26="RA",4,(IF(E26="RM",5,(IF(E26="AC",1,(IF(E26="AT",2,(IF(E26="DS",3,(IF(E26="IP",4,(IF(E26="MA",5,(IF(E26="PT",6,(IF(E26="AE",1,(IF(E26="CM",2,(IF(E26="DP",3,(IF(E26="AN",1,(IF(E26="CO",2,(IF(E26="IM",3,(IF(E26="MI",4,(IF(E26="RP",5,(IF(E26="SC",6,0)))))))))))))))))))))))))))))))))))))))</f>
        <v>1</v>
      </c>
      <c r="G26" s="52">
        <v>1</v>
      </c>
      <c r="H26" s="90" t="s">
        <v>115</v>
      </c>
      <c r="I26" s="93" t="s">
        <v>85</v>
      </c>
      <c r="J26" s="87" t="s">
        <v>921</v>
      </c>
      <c r="K26" s="119" t="s">
        <v>4700</v>
      </c>
      <c r="L26" s="117">
        <f>IF(O26="","",N26*O26*M26)</f>
        <v>0</v>
      </c>
      <c r="M26" s="108">
        <v>1</v>
      </c>
      <c r="N26" s="95">
        <v>1</v>
      </c>
      <c r="O26" s="109">
        <f>IF(Key!D$1="ON",P26,IF(SUM(Q26:DL26)&lt;1,"",SUM(Q26:DL26)/COUNTIF(Q26:DL26,"&gt;0")))</f>
        <v>0</v>
      </c>
      <c r="P26" s="109">
        <f>SUMIFS(Q26:DK26,Q$1:DK$1,Dashboard!$K$31)</f>
        <v>0</v>
      </c>
      <c r="U26" s="95">
        <v>33</v>
      </c>
      <c r="AA26" s="95">
        <v>25</v>
      </c>
      <c r="AH26" s="95">
        <v>75</v>
      </c>
    </row>
    <row r="27" spans="1:34" x14ac:dyDescent="0.3">
      <c r="A27" s="89" t="str">
        <f>CONCATENATE(D27,".",F27,"-",G27,".",H27,"")</f>
        <v>1.1-1.1</v>
      </c>
      <c r="B27" s="89" t="str">
        <f>IF(CONCATENATE(I27,Key!F$2)=CONCATENATE(INDEX(Dashboard!J:J,MATCH(I27,Dashboard!J:J,0),1),INDEX(Dashboard!J:K,MATCH(I27,Dashboard!J:J,0),2)),"ON",IF(Dashboard!K$32="ALL","ON","-"))</f>
        <v>-</v>
      </c>
      <c r="C27" s="88" t="s">
        <v>110</v>
      </c>
      <c r="D27" s="89">
        <f>IF(C27="ID",1,(IF(C27="PR",2,(IF(C27="DE",3,(IF(C27="RS",4,(IF(C27="RC",5,0)))))))))</f>
        <v>1</v>
      </c>
      <c r="E27" s="89" t="s">
        <v>111</v>
      </c>
      <c r="F27" s="89">
        <f>IF(E27="AM",1,(IF(E27="BE",2,(IF(E27="GV",3,(IF(E27="RA",4,(IF(E27="RM",5,(IF(E27="AC",1,(IF(E27="AT",2,(IF(E27="DS",3,(IF(E27="IP",4,(IF(E27="MA",5,(IF(E27="PT",6,(IF(E27="AE",1,(IF(E27="CM",2,(IF(E27="DP",3,(IF(E27="AN",1,(IF(E27="CO",2,(IF(E27="IM",3,(IF(E27="MI",4,(IF(E27="RP",5,(IF(E27="SC",6,0)))))))))))))))))))))))))))))))))))))))</f>
        <v>1</v>
      </c>
      <c r="G27" s="52">
        <v>1</v>
      </c>
      <c r="H27" s="90" t="s">
        <v>115</v>
      </c>
      <c r="I27" s="93" t="s">
        <v>85</v>
      </c>
      <c r="J27" s="87" t="s">
        <v>918</v>
      </c>
      <c r="K27" s="119" t="s">
        <v>919</v>
      </c>
      <c r="L27" s="117">
        <f>IF(O27="","",N27*O27*M27)</f>
        <v>0</v>
      </c>
      <c r="M27" s="108">
        <v>1</v>
      </c>
      <c r="N27" s="95">
        <v>1</v>
      </c>
      <c r="O27" s="109">
        <f>IF(Key!D$1="ON",P27,IF(SUM(Q27:DL27)&lt;1,"",SUM(Q27:DL27)/COUNTIF(Q27:DL27,"&gt;0")))</f>
        <v>0</v>
      </c>
      <c r="P27" s="109">
        <f>SUMIFS(Q27:DK27,Q$1:DK$1,Dashboard!$K$31)</f>
        <v>0</v>
      </c>
      <c r="U27" s="95">
        <v>33</v>
      </c>
      <c r="AA27" s="95">
        <v>25</v>
      </c>
      <c r="AH27" s="95">
        <v>75</v>
      </c>
    </row>
    <row r="28" spans="1:34" x14ac:dyDescent="0.3">
      <c r="A28" s="89" t="str">
        <f>CONCATENATE(D28,".",F28,"-",G28,".",H28,"")</f>
        <v>1.1-1.1</v>
      </c>
      <c r="B28" s="89" t="str">
        <f>IF(CONCATENATE(I28,Key!F$2)=CONCATENATE(INDEX(Dashboard!J:J,MATCH(I28,Dashboard!J:J,0),1),INDEX(Dashboard!J:K,MATCH(I28,Dashboard!J:J,0),2)),"ON",IF(Dashboard!K$32="ALL","ON","-"))</f>
        <v>-</v>
      </c>
      <c r="C28" s="88" t="s">
        <v>110</v>
      </c>
      <c r="D28" s="89">
        <f>IF(C28="ID",1,(IF(C28="PR",2,(IF(C28="DE",3,(IF(C28="RS",4,(IF(C28="RC",5,0)))))))))</f>
        <v>1</v>
      </c>
      <c r="E28" s="89" t="s">
        <v>111</v>
      </c>
      <c r="F28" s="89">
        <f>IF(E28="AM",1,(IF(E28="BE",2,(IF(E28="GV",3,(IF(E28="RA",4,(IF(E28="RM",5,(IF(E28="AC",1,(IF(E28="AT",2,(IF(E28="DS",3,(IF(E28="IP",4,(IF(E28="MA",5,(IF(E28="PT",6,(IF(E28="AE",1,(IF(E28="CM",2,(IF(E28="DP",3,(IF(E28="AN",1,(IF(E28="CO",2,(IF(E28="IM",3,(IF(E28="MI",4,(IF(E28="RP",5,(IF(E28="SC",6,0)))))))))))))))))))))))))))))))))))))))</f>
        <v>1</v>
      </c>
      <c r="G28" s="52">
        <v>1</v>
      </c>
      <c r="H28" s="90" t="s">
        <v>115</v>
      </c>
      <c r="I28" s="93" t="s">
        <v>85</v>
      </c>
      <c r="J28" s="87" t="s">
        <v>923</v>
      </c>
      <c r="K28" s="119" t="s">
        <v>924</v>
      </c>
      <c r="L28" s="117">
        <f>IF(O28="","",N28*O28*M28)</f>
        <v>0</v>
      </c>
      <c r="M28" s="108">
        <v>1</v>
      </c>
      <c r="N28" s="95">
        <v>1</v>
      </c>
      <c r="O28" s="109">
        <f>IF(Key!D$1="ON",P28,IF(SUM(Q28:DL28)&lt;1,"",SUM(Q28:DL28)/COUNTIF(Q28:DL28,"&gt;0")))</f>
        <v>0</v>
      </c>
      <c r="P28" s="109">
        <f>SUMIFS(Q28:DK28,Q$1:DK$1,Dashboard!$K$31)</f>
        <v>0</v>
      </c>
      <c r="U28" s="95">
        <v>33</v>
      </c>
      <c r="AA28" s="95">
        <v>25</v>
      </c>
      <c r="AH28" s="95">
        <v>75</v>
      </c>
    </row>
    <row r="29" spans="1:34" x14ac:dyDescent="0.3">
      <c r="A29" s="89" t="str">
        <f>CONCATENATE(D29,".",F29,"-",G29,".",H29,"")</f>
        <v>1.1-1.1</v>
      </c>
      <c r="B29" s="89" t="str">
        <f>IF(CONCATENATE(I29,Key!F$2)=CONCATENATE(INDEX(Dashboard!J:J,MATCH(I29,Dashboard!J:J,0),1),INDEX(Dashboard!J:K,MATCH(I29,Dashboard!J:J,0),2)),"ON",IF(Dashboard!K$32="ALL","ON","-"))</f>
        <v>-</v>
      </c>
      <c r="C29" s="88" t="s">
        <v>110</v>
      </c>
      <c r="D29" s="89">
        <f>IF(C29="ID",1,(IF(C29="PR",2,(IF(C29="DE",3,(IF(C29="RS",4,(IF(C29="RC",5,0)))))))))</f>
        <v>1</v>
      </c>
      <c r="E29" s="89" t="s">
        <v>153</v>
      </c>
      <c r="F29" s="89">
        <f>IF(E29="AM",1,(IF(E29="BE",2,(IF(E29="GV",3,(IF(E29="RA",4,(IF(E29="RM",5,(IF(E29="AC",1,(IF(E29="AT",2,(IF(E29="DS",3,(IF(E29="IP",4,(IF(E29="MA",5,(IF(E29="PT",6,(IF(E29="AE",1,(IF(E29="CM",2,(IF(E29="DP",3,(IF(E29="AN",1,(IF(E29="CO",2,(IF(E29="IM",3,(IF(E29="MI",4,(IF(E29="RP",5,(IF(E29="SC",6,0)))))))))))))))))))))))))))))))))))))))</f>
        <v>1</v>
      </c>
      <c r="G29" s="98">
        <v>1</v>
      </c>
      <c r="H29" s="90" t="s">
        <v>115</v>
      </c>
      <c r="I29" s="93" t="s">
        <v>85</v>
      </c>
      <c r="J29" s="86" t="s">
        <v>903</v>
      </c>
      <c r="K29" s="119" t="s">
        <v>5169</v>
      </c>
      <c r="L29" s="117">
        <f>IF(O29="","",N29*O29*M29)</f>
        <v>0</v>
      </c>
      <c r="M29" s="108">
        <v>1</v>
      </c>
      <c r="N29" s="95">
        <v>1</v>
      </c>
      <c r="O29" s="109">
        <f>IF(Key!D$1="ON",P29,IF(SUM(Q29:DL29)&lt;1,"",SUM(Q29:DL29)/COUNTIF(Q29:DL29,"&gt;0")))</f>
        <v>0</v>
      </c>
      <c r="P29" s="109">
        <f>SUMIFS(Q29:DK29,Q$1:DK$1,Dashboard!$K$31)</f>
        <v>0</v>
      </c>
      <c r="U29" s="95">
        <v>33</v>
      </c>
      <c r="AA29" s="95">
        <v>25</v>
      </c>
      <c r="AH29" s="95">
        <v>75</v>
      </c>
    </row>
    <row r="30" spans="1:34" x14ac:dyDescent="0.3">
      <c r="A30" s="89" t="str">
        <f>CONCATENATE(D30,".",F30,"-",G30,".",H30,"")</f>
        <v>1.1-1.2</v>
      </c>
      <c r="B30" s="89" t="str">
        <f>IF(CONCATENATE(I30,Key!F$2)=CONCATENATE(INDEX(Dashboard!J:J,MATCH(I30,Dashboard!J:J,0),1),INDEX(Dashboard!J:K,MATCH(I30,Dashboard!J:J,0),2)),"ON",IF(Dashboard!K$32="ALL","ON","-"))</f>
        <v>-</v>
      </c>
      <c r="C30" s="88" t="s">
        <v>110</v>
      </c>
      <c r="D30" s="89">
        <f>IF(C30="ID",1,(IF(C30="PR",2,(IF(C30="DE",3,(IF(C30="RS",4,(IF(C30="RC",5,0)))))))))</f>
        <v>1</v>
      </c>
      <c r="E30" s="89" t="s">
        <v>111</v>
      </c>
      <c r="F30" s="89">
        <f>IF(E30="AM",1,(IF(E30="BE",2,(IF(E30="GV",3,(IF(E30="RA",4,(IF(E30="RM",5,(IF(E30="AC",1,(IF(E30="AT",2,(IF(E30="DS",3,(IF(E30="IP",4,(IF(E30="MA",5,(IF(E30="PT",6,(IF(E30="AE",1,(IF(E30="CM",2,(IF(E30="DP",3,(IF(E30="AN",1,(IF(E30="CO",2,(IF(E30="IM",3,(IF(E30="MI",4,(IF(E30="RP",5,(IF(E30="SC",6,0)))))))))))))))))))))))))))))))))))))))</f>
        <v>1</v>
      </c>
      <c r="G30" s="52">
        <v>1</v>
      </c>
      <c r="H30" s="90" t="s">
        <v>112</v>
      </c>
      <c r="I30" s="93" t="s">
        <v>92</v>
      </c>
      <c r="J30" s="88">
        <v>2.4</v>
      </c>
      <c r="K30" s="102" t="s">
        <v>5226</v>
      </c>
      <c r="L30" s="117">
        <f>IF(O30="","",N30*O30*M30)</f>
        <v>0</v>
      </c>
      <c r="M30" s="108">
        <v>1</v>
      </c>
      <c r="N30" s="95">
        <v>1</v>
      </c>
      <c r="O30" s="109">
        <f>IF(Key!D$1="ON",P30,IF(SUM(Q30:DL30)&lt;1,"",SUM(Q30:DL30)/COUNTIF(Q30:DL30,"&gt;0")))</f>
        <v>0</v>
      </c>
      <c r="P30" s="109">
        <f>SUMIFS(Q30:DK30,Q$1:DK$1,Dashboard!$K$31)</f>
        <v>0</v>
      </c>
      <c r="U30" s="95">
        <v>33</v>
      </c>
      <c r="AA30" s="95">
        <v>25</v>
      </c>
      <c r="AH30" s="95">
        <v>75</v>
      </c>
    </row>
    <row r="31" spans="1:34" x14ac:dyDescent="0.3">
      <c r="A31" s="89" t="str">
        <f>CONCATENATE(D31,".",F31,"-",G31,".",H31,"")</f>
        <v>1.1-1.2</v>
      </c>
      <c r="B31" s="89" t="str">
        <f>IF(CONCATENATE(I31,Key!F$2)=CONCATENATE(INDEX(Dashboard!J:J,MATCH(I31,Dashboard!J:J,0),1),INDEX(Dashboard!J:K,MATCH(I31,Dashboard!J:J,0),2)),"ON",IF(Dashboard!K$32="ALL","ON","-"))</f>
        <v>-</v>
      </c>
      <c r="C31" s="88" t="s">
        <v>110</v>
      </c>
      <c r="D31" s="89">
        <f>IF(C31="ID",1,(IF(C31="PR",2,(IF(C31="DE",3,(IF(C31="RS",4,(IF(C31="RC",5,0)))))))))</f>
        <v>1</v>
      </c>
      <c r="E31" s="89" t="s">
        <v>111</v>
      </c>
      <c r="F31" s="89">
        <f>IF(E31="AM",1,(IF(E31="BE",2,(IF(E31="GV",3,(IF(E31="RA",4,(IF(E31="RM",5,(IF(E31="AC",1,(IF(E31="AT",2,(IF(E31="DS",3,(IF(E31="IP",4,(IF(E31="MA",5,(IF(E31="PT",6,(IF(E31="AE",1,(IF(E31="CM",2,(IF(E31="DP",3,(IF(E31="AN",1,(IF(E31="CO",2,(IF(E31="IM",3,(IF(E31="MI",4,(IF(E31="RP",5,(IF(E31="SC",6,0)))))))))))))))))))))))))))))))))))))))</f>
        <v>1</v>
      </c>
      <c r="G31" s="52">
        <v>1</v>
      </c>
      <c r="H31" s="90" t="s">
        <v>112</v>
      </c>
      <c r="I31" s="93" t="s">
        <v>92</v>
      </c>
      <c r="J31" s="88" t="s">
        <v>113</v>
      </c>
      <c r="K31" s="102" t="s">
        <v>5226</v>
      </c>
      <c r="L31" s="117">
        <f>IF(O31="","",N31*O31*M31)</f>
        <v>0</v>
      </c>
      <c r="M31" s="108">
        <v>1</v>
      </c>
      <c r="N31" s="95">
        <v>1</v>
      </c>
      <c r="O31" s="109">
        <f>IF(Key!D$1="ON",P31,IF(SUM(Q31:DL31)&lt;1,"",SUM(Q31:DL31)/COUNTIF(Q31:DL31,"&gt;0")))</f>
        <v>0</v>
      </c>
      <c r="P31" s="109">
        <f>SUMIFS(Q31:DK31,Q$1:DK$1,Dashboard!$K$31)</f>
        <v>0</v>
      </c>
      <c r="U31" s="95">
        <v>33</v>
      </c>
      <c r="AA31" s="95">
        <v>25</v>
      </c>
      <c r="AH31" s="95">
        <v>75</v>
      </c>
    </row>
    <row r="32" spans="1:34" x14ac:dyDescent="0.3">
      <c r="A32" s="89" t="str">
        <f>CONCATENATE(D32,".",F32,"-",G32,".",H32,"")</f>
        <v>1.1-1.2</v>
      </c>
      <c r="B32" s="89" t="str">
        <f>IF(CONCATENATE(I32,Key!F$2)=CONCATENATE(INDEX(Dashboard!J:J,MATCH(I32,Dashboard!J:J,0),1),INDEX(Dashboard!J:K,MATCH(I32,Dashboard!J:J,0),2)),"ON",IF(Dashboard!K$32="ALL","ON","-"))</f>
        <v>-</v>
      </c>
      <c r="C32" s="88" t="s">
        <v>110</v>
      </c>
      <c r="D32" s="89">
        <f>IF(C32="ID",1,(IF(C32="PR",2,(IF(C32="DE",3,(IF(C32="RS",4,(IF(C32="RC",5,0)))))))))</f>
        <v>1</v>
      </c>
      <c r="E32" s="89" t="s">
        <v>111</v>
      </c>
      <c r="F32" s="89">
        <f>IF(E32="AM",1,(IF(E32="BE",2,(IF(E32="GV",3,(IF(E32="RA",4,(IF(E32="RM",5,(IF(E32="AC",1,(IF(E32="AT",2,(IF(E32="DS",3,(IF(E32="IP",4,(IF(E32="MA",5,(IF(E32="PT",6,(IF(E32="AE",1,(IF(E32="CM",2,(IF(E32="DP",3,(IF(E32="AN",1,(IF(E32="CO",2,(IF(E32="IM",3,(IF(E32="MI",4,(IF(E32="RP",5,(IF(E32="SC",6,0)))))))))))))))))))))))))))))))))))))))</f>
        <v>1</v>
      </c>
      <c r="G32" s="52">
        <v>1</v>
      </c>
      <c r="H32" s="90" t="s">
        <v>112</v>
      </c>
      <c r="I32" s="93" t="s">
        <v>92</v>
      </c>
      <c r="J32" s="88" t="s">
        <v>114</v>
      </c>
      <c r="K32" s="102" t="s">
        <v>5226</v>
      </c>
      <c r="L32" s="117">
        <f>IF(O32="","",N32*O32*M32)</f>
        <v>0</v>
      </c>
      <c r="M32" s="108">
        <v>1</v>
      </c>
      <c r="N32" s="95">
        <v>1</v>
      </c>
      <c r="O32" s="109">
        <f>IF(Key!D$1="ON",P32,IF(SUM(Q32:DL32)&lt;1,"",SUM(Q32:DL32)/COUNTIF(Q32:DL32,"&gt;0")))</f>
        <v>0</v>
      </c>
      <c r="P32" s="109">
        <f>SUMIFS(Q32:DK32,Q$1:DK$1,Dashboard!$K$31)</f>
        <v>0</v>
      </c>
      <c r="U32" s="95">
        <v>33</v>
      </c>
      <c r="AA32" s="95">
        <v>25</v>
      </c>
      <c r="AH32" s="95">
        <v>75</v>
      </c>
    </row>
    <row r="33" spans="1:34" ht="15.6" x14ac:dyDescent="0.3">
      <c r="A33" s="89" t="str">
        <f>CONCATENATE(D33,".",F33,"-",G33,".",H33,"")</f>
        <v>1.1-1.3</v>
      </c>
      <c r="B33" s="89" t="str">
        <f>IF(CONCATENATE(I33,Key!F$2)=CONCATENATE(INDEX(Dashboard!J:J,MATCH(I33,Dashboard!J:J,0),1),INDEX(Dashboard!J:K,MATCH(I33,Dashboard!J:J,0),2)),"ON",IF(Dashboard!K$32="ALL","ON","-"))</f>
        <v>-</v>
      </c>
      <c r="C33" s="88" t="s">
        <v>110</v>
      </c>
      <c r="D33" s="89">
        <f>IF(C33="ID",1,(IF(C33="PR",2,(IF(C33="DE",3,(IF(C33="RS",4,(IF(C33="RC",5,0)))))))))</f>
        <v>1</v>
      </c>
      <c r="E33" s="89" t="s">
        <v>111</v>
      </c>
      <c r="F33" s="89">
        <f>IF(E33="AM",1,(IF(E33="BE",2,(IF(E33="GV",3,(IF(E33="RA",4,(IF(E33="RM",5,(IF(E33="AC",1,(IF(E33="AT",2,(IF(E33="DS",3,(IF(E33="IP",4,(IF(E33="MA",5,(IF(E33="PT",6,(IF(E33="AE",1,(IF(E33="CM",2,(IF(E33="DP",3,(IF(E33="AN",1,(IF(E33="CO",2,(IF(E33="IM",3,(IF(E33="MI",4,(IF(E33="RP",5,(IF(E33="SC",6,0)))))))))))))))))))))))))))))))))))))))</f>
        <v>1</v>
      </c>
      <c r="G33" s="52">
        <v>1</v>
      </c>
      <c r="H33" s="90" t="s">
        <v>280</v>
      </c>
      <c r="I33" s="93" t="s">
        <v>60</v>
      </c>
      <c r="J33" s="87" t="s">
        <v>3118</v>
      </c>
      <c r="K33" s="51" t="s">
        <v>5231</v>
      </c>
      <c r="L33" s="117">
        <f>IF(O33="","",N33*O33*M33)</f>
        <v>0</v>
      </c>
      <c r="M33" s="108">
        <v>1</v>
      </c>
      <c r="N33" s="95">
        <v>1</v>
      </c>
      <c r="O33" s="109">
        <f>IF(Key!D$1="ON",P33,IF(SUM(Q33:DL33)&lt;1,"",SUM(Q33:DL33)/COUNTIF(Q33:DL33,"&gt;0")))</f>
        <v>0</v>
      </c>
      <c r="P33" s="109">
        <f>SUMIFS(Q33:DK33,Q$1:DK$1,Dashboard!$K$31)</f>
        <v>0</v>
      </c>
      <c r="U33" s="95">
        <v>33</v>
      </c>
      <c r="AA33" s="95">
        <v>25</v>
      </c>
      <c r="AH33" s="95">
        <v>75</v>
      </c>
    </row>
    <row r="34" spans="1:34" x14ac:dyDescent="0.3">
      <c r="A34" s="89" t="str">
        <f>CONCATENATE(D34,".",F34,"-",G34,".",H34,"")</f>
        <v>1.1-1.3</v>
      </c>
      <c r="B34" s="89" t="str">
        <f>IF(CONCATENATE(I34,Key!F$2)=CONCATENATE(INDEX(Dashboard!J:J,MATCH(I34,Dashboard!J:J,0),1),INDEX(Dashboard!J:K,MATCH(I34,Dashboard!J:J,0),2)),"ON",IF(Dashboard!K$32="ALL","ON","-"))</f>
        <v>-</v>
      </c>
      <c r="C34" s="88" t="s">
        <v>110</v>
      </c>
      <c r="D34" s="89">
        <f>IF(C34="ID",1,(IF(C34="PR",2,(IF(C34="DE",3,(IF(C34="RS",4,(IF(C34="RC",5,0)))))))))</f>
        <v>1</v>
      </c>
      <c r="E34" s="89" t="s">
        <v>111</v>
      </c>
      <c r="F34" s="89">
        <f>IF(E34="AM",1,(IF(E34="BE",2,(IF(E34="GV",3,(IF(E34="RA",4,(IF(E34="RM",5,(IF(E34="AC",1,(IF(E34="AT",2,(IF(E34="DS",3,(IF(E34="IP",4,(IF(E34="MA",5,(IF(E34="PT",6,(IF(E34="AE",1,(IF(E34="CM",2,(IF(E34="DP",3,(IF(E34="AN",1,(IF(E34="CO",2,(IF(E34="IM",3,(IF(E34="MI",4,(IF(E34="RP",5,(IF(E34="SC",6,0)))))))))))))))))))))))))))))))))))))))</f>
        <v>1</v>
      </c>
      <c r="G34" s="52">
        <v>1</v>
      </c>
      <c r="H34" s="90" t="s">
        <v>280</v>
      </c>
      <c r="I34" s="93" t="s">
        <v>60</v>
      </c>
      <c r="J34" s="87" t="s">
        <v>3119</v>
      </c>
      <c r="K34" s="51" t="s">
        <v>5232</v>
      </c>
      <c r="L34" s="117">
        <f>IF(O34="","",N34*O34*M34)</f>
        <v>0</v>
      </c>
      <c r="M34" s="108">
        <v>1</v>
      </c>
      <c r="N34" s="95">
        <v>1</v>
      </c>
      <c r="O34" s="109">
        <f>IF(Key!D$1="ON",P34,IF(SUM(Q34:DL34)&lt;1,"",SUM(Q34:DL34)/COUNTIF(Q34:DL34,"&gt;0")))</f>
        <v>0</v>
      </c>
      <c r="P34" s="109">
        <f>SUMIFS(Q34:DK34,Q$1:DK$1,Dashboard!$K$31)</f>
        <v>0</v>
      </c>
      <c r="U34" s="95">
        <v>33</v>
      </c>
      <c r="AA34" s="95">
        <v>25</v>
      </c>
      <c r="AH34" s="95">
        <v>75</v>
      </c>
    </row>
    <row r="35" spans="1:34" ht="15.6" x14ac:dyDescent="0.3">
      <c r="A35" s="89" t="str">
        <f>CONCATENATE(D35,".",F35,"-",G35,".",H35,"")</f>
        <v>1.1-2.0</v>
      </c>
      <c r="B35" s="89" t="str">
        <f>IF(CONCATENATE(I35,Key!F$2)=CONCATENATE(INDEX(Dashboard!J:J,MATCH(I35,Dashboard!J:J,0),1),INDEX(Dashboard!J:K,MATCH(I35,Dashboard!J:J,0),2)),"ON",IF(Dashboard!K$32="ALL","ON","-"))</f>
        <v>-</v>
      </c>
      <c r="C35" s="96" t="s">
        <v>110</v>
      </c>
      <c r="D35" s="89">
        <f>IF(C35="ID",1,(IF(C35="PR",2,(IF(C35="DE",3,(IF(C35="RS",4,(IF(C35="RC",5,0)))))))))</f>
        <v>1</v>
      </c>
      <c r="E35" s="89" t="s">
        <v>111</v>
      </c>
      <c r="F35" s="89">
        <f>IF(E35="AM",1,(IF(E35="BE",2,(IF(E35="GV",3,(IF(E35="RA",4,(IF(E35="RM",5,(IF(E35="AC",1,(IF(E35="AT",2,(IF(E35="DS",3,(IF(E35="IP",4,(IF(E35="MA",5,(IF(E35="PT",6,(IF(E35="AE",1,(IF(E35="CM",2,(IF(E35="DP",3,(IF(E35="AN",1,(IF(E35="CO",2,(IF(E35="IM",3,(IF(E35="MI",4,(IF(E35="RP",5,(IF(E35="SC",6,0)))))))))))))))))))))))))))))))))))))))</f>
        <v>1</v>
      </c>
      <c r="G35" s="52">
        <v>2</v>
      </c>
      <c r="H35" s="90" t="s">
        <v>347</v>
      </c>
      <c r="I35" s="93" t="s">
        <v>2835</v>
      </c>
      <c r="J35" s="53" t="s">
        <v>2841</v>
      </c>
      <c r="K35" s="152" t="s">
        <v>2842</v>
      </c>
      <c r="L35" s="117">
        <f>IF(O35="","",N35*O35*M35)</f>
        <v>0</v>
      </c>
      <c r="M35" s="108">
        <v>1</v>
      </c>
      <c r="N35" s="95">
        <v>1</v>
      </c>
      <c r="O35" s="109">
        <f>IF(Key!D$1="ON",P35,IF(SUM(Q35:DL35)&lt;1,"",SUM(Q35:DL35)/COUNTIF(Q35:DL35,"&gt;0")))</f>
        <v>0</v>
      </c>
      <c r="P35" s="109">
        <f>SUMIFS(Q35:DK35,Q$1:DK$1,Dashboard!$K$31)</f>
        <v>0</v>
      </c>
      <c r="U35" s="95">
        <v>33</v>
      </c>
    </row>
    <row r="36" spans="1:34" x14ac:dyDescent="0.3">
      <c r="A36" s="89" t="str">
        <f>CONCATENATE(D36,".",F36,"-",G36,".",H36,"")</f>
        <v>1.1-2.1</v>
      </c>
      <c r="B36" s="89" t="str">
        <f>IF(CONCATENATE(I36,Key!F$2)=CONCATENATE(INDEX(Dashboard!J:J,MATCH(I36,Dashboard!J:J,0),1),INDEX(Dashboard!J:K,MATCH(I36,Dashboard!J:J,0),2)),"ON",IF(Dashboard!K$32="ALL","ON","-"))</f>
        <v>ON</v>
      </c>
      <c r="C36" s="130" t="s">
        <v>110</v>
      </c>
      <c r="D36" s="89">
        <f>IF(C36="ID",1,(IF(C36="PR",2,(IF(C36="DE",3,(IF(C36="RS",4,(IF(C36="RC",5,0)))))))))</f>
        <v>1</v>
      </c>
      <c r="E36" s="95" t="s">
        <v>111</v>
      </c>
      <c r="F36" s="89">
        <f>IF(E36="AM",1,(IF(E36="BE",2,(IF(E36="GV",3,(IF(E36="RA",4,(IF(E36="RM",5,(IF(E36="AC",1,(IF(E36="AT",2,(IF(E36="DS",3,(IF(E36="IP",4,(IF(E36="MA",5,(IF(E36="PT",6,(IF(E36="AE",1,(IF(E36="CM",2,(IF(E36="DP",3,(IF(E36="AN",1,(IF(E36="CO",2,(IF(E36="IM",3,(IF(E36="MI",4,(IF(E36="RP",5,(IF(E36="SC",6,0)))))))))))))))))))))))))))))))))))))))</f>
        <v>1</v>
      </c>
      <c r="G36" s="52">
        <v>2</v>
      </c>
      <c r="H36" s="90" t="s">
        <v>115</v>
      </c>
      <c r="I36" s="93" t="s">
        <v>4107</v>
      </c>
      <c r="J36" s="86" t="s">
        <v>3963</v>
      </c>
      <c r="K36" s="101" t="s">
        <v>4428</v>
      </c>
      <c r="L36" s="117">
        <f>IF(O36="","",N36*O36*M36)</f>
        <v>0</v>
      </c>
      <c r="M36" s="108">
        <v>1</v>
      </c>
      <c r="N36" s="95">
        <v>1</v>
      </c>
      <c r="O36" s="109">
        <f>IF(Key!D$1="ON",P36,IF(SUM(Q36:DL36)&lt;1,"",SUM(Q36:DL36)/COUNTIF(Q36:DL36,"&gt;0")))</f>
        <v>0</v>
      </c>
      <c r="P36" s="109">
        <f>SUMIFS(Q36:DK36,Q$1:DK$1,Dashboard!$K$31)</f>
        <v>0</v>
      </c>
      <c r="U36" s="95">
        <v>33</v>
      </c>
      <c r="AA36" s="95">
        <v>25</v>
      </c>
      <c r="AH36" s="95">
        <v>75</v>
      </c>
    </row>
    <row r="37" spans="1:34" ht="15.6" x14ac:dyDescent="0.3">
      <c r="A37" s="89" t="str">
        <f>CONCATENATE(D37,".",F37,"-",G37,".",H37,"")</f>
        <v>1.1-2.1</v>
      </c>
      <c r="B37" s="89" t="str">
        <f>IF(CONCATENATE(I37,Key!F$2)=CONCATENATE(INDEX(Dashboard!J:J,MATCH(I37,Dashboard!J:J,0),1),INDEX(Dashboard!J:K,MATCH(I37,Dashboard!J:J,0),2)),"ON",IF(Dashboard!K$32="ALL","ON","-"))</f>
        <v>ON</v>
      </c>
      <c r="C37" s="130" t="s">
        <v>110</v>
      </c>
      <c r="D37" s="89">
        <f>IF(C37="ID",1,(IF(C37="PR",2,(IF(C37="DE",3,(IF(C37="RS",4,(IF(C37="RC",5,0)))))))))</f>
        <v>1</v>
      </c>
      <c r="E37" s="95" t="s">
        <v>111</v>
      </c>
      <c r="F37" s="89">
        <f>IF(E37="AM",1,(IF(E37="BE",2,(IF(E37="GV",3,(IF(E37="RA",4,(IF(E37="RM",5,(IF(E37="AC",1,(IF(E37="AT",2,(IF(E37="DS",3,(IF(E37="IP",4,(IF(E37="MA",5,(IF(E37="PT",6,(IF(E37="AE",1,(IF(E37="CM",2,(IF(E37="DP",3,(IF(E37="AN",1,(IF(E37="CO",2,(IF(E37="IM",3,(IF(E37="MI",4,(IF(E37="RP",5,(IF(E37="SC",6,0)))))))))))))))))))))))))))))))))))))))</f>
        <v>1</v>
      </c>
      <c r="G37" s="52">
        <v>2</v>
      </c>
      <c r="H37" s="90" t="s">
        <v>115</v>
      </c>
      <c r="I37" s="93" t="s">
        <v>4107</v>
      </c>
      <c r="J37" s="86" t="s">
        <v>3983</v>
      </c>
      <c r="K37" s="101" t="s">
        <v>4438</v>
      </c>
      <c r="L37" s="117">
        <f>IF(O37="","",N37*O37*M37)</f>
        <v>0</v>
      </c>
      <c r="M37" s="108">
        <v>1</v>
      </c>
      <c r="N37" s="95">
        <v>1</v>
      </c>
      <c r="O37" s="109">
        <f>IF(Key!D$1="ON",P37,IF(SUM(Q37:DL37)&lt;1,"",SUM(Q37:DL37)/COUNTIF(Q37:DL37,"&gt;0")))</f>
        <v>0</v>
      </c>
      <c r="P37" s="109">
        <f>SUMIFS(Q37:DK37,Q$1:DK$1,Dashboard!$K$31)</f>
        <v>0</v>
      </c>
      <c r="U37" s="95">
        <v>33</v>
      </c>
      <c r="AA37" s="95">
        <v>25</v>
      </c>
      <c r="AH37" s="95">
        <v>75</v>
      </c>
    </row>
    <row r="38" spans="1:34" ht="15.6" x14ac:dyDescent="0.3">
      <c r="A38" s="89" t="str">
        <f>CONCATENATE(D38,".",F38,"-",G38,".",H38,"")</f>
        <v>1.1-2.1</v>
      </c>
      <c r="B38" s="89" t="str">
        <f>IF(CONCATENATE(I38,Key!F$2)=CONCATENATE(INDEX(Dashboard!J:J,MATCH(I38,Dashboard!J:J,0),1),INDEX(Dashboard!J:K,MATCH(I38,Dashboard!J:J,0),2)),"ON",IF(Dashboard!K$32="ALL","ON","-"))</f>
        <v>ON</v>
      </c>
      <c r="C38" s="130" t="s">
        <v>110</v>
      </c>
      <c r="D38" s="89">
        <f>IF(C38="ID",1,(IF(C38="PR",2,(IF(C38="DE",3,(IF(C38="RS",4,(IF(C38="RC",5,0)))))))))</f>
        <v>1</v>
      </c>
      <c r="E38" s="95" t="s">
        <v>111</v>
      </c>
      <c r="F38" s="89">
        <f>IF(E38="AM",1,(IF(E38="BE",2,(IF(E38="GV",3,(IF(E38="RA",4,(IF(E38="RM",5,(IF(E38="AC",1,(IF(E38="AT",2,(IF(E38="DS",3,(IF(E38="IP",4,(IF(E38="MA",5,(IF(E38="PT",6,(IF(E38="AE",1,(IF(E38="CM",2,(IF(E38="DP",3,(IF(E38="AN",1,(IF(E38="CO",2,(IF(E38="IM",3,(IF(E38="MI",4,(IF(E38="RP",5,(IF(E38="SC",6,0)))))))))))))))))))))))))))))))))))))))</f>
        <v>1</v>
      </c>
      <c r="G38" s="52">
        <v>2</v>
      </c>
      <c r="H38" s="90" t="s">
        <v>115</v>
      </c>
      <c r="I38" s="93" t="s">
        <v>4107</v>
      </c>
      <c r="J38" s="86" t="s">
        <v>3986</v>
      </c>
      <c r="K38" s="101" t="s">
        <v>4374</v>
      </c>
      <c r="L38" s="117">
        <f>IF(O38="","",N38*O38*M38)</f>
        <v>0</v>
      </c>
      <c r="M38" s="108">
        <v>1</v>
      </c>
      <c r="N38" s="95">
        <v>1</v>
      </c>
      <c r="O38" s="109">
        <f>IF(Key!D$1="ON",P38,IF(SUM(Q38:DL38)&lt;1,"",SUM(Q38:DL38)/COUNTIF(Q38:DL38,"&gt;0")))</f>
        <v>0</v>
      </c>
      <c r="P38" s="109">
        <f>SUMIFS(Q38:DK38,Q$1:DK$1,Dashboard!$K$31)</f>
        <v>0</v>
      </c>
      <c r="U38" s="95">
        <v>33</v>
      </c>
      <c r="AA38" s="95">
        <v>25</v>
      </c>
      <c r="AH38" s="95">
        <v>75</v>
      </c>
    </row>
    <row r="39" spans="1:34" ht="15.6" x14ac:dyDescent="0.3">
      <c r="A39" s="89" t="str">
        <f>CONCATENATE(D39,".",F39,"-",G39,".",H39,"")</f>
        <v>1.1-2.1</v>
      </c>
      <c r="B39" s="89" t="str">
        <f>IF(CONCATENATE(I39,Key!F$2)=CONCATENATE(INDEX(Dashboard!J:J,MATCH(I39,Dashboard!J:J,0),1),INDEX(Dashboard!J:K,MATCH(I39,Dashboard!J:J,0),2)),"ON",IF(Dashboard!K$32="ALL","ON","-"))</f>
        <v>-</v>
      </c>
      <c r="C39" s="88" t="s">
        <v>110</v>
      </c>
      <c r="D39" s="89">
        <f>IF(C39="ID",1,(IF(C39="PR",2,(IF(C39="DE",3,(IF(C39="RS",4,(IF(C39="RC",5,0)))))))))</f>
        <v>1</v>
      </c>
      <c r="E39" s="89" t="s">
        <v>111</v>
      </c>
      <c r="F39" s="89">
        <f>IF(E39="AM",1,(IF(E39="BE",2,(IF(E39="GV",3,(IF(E39="RA",4,(IF(E39="RM",5,(IF(E39="AC",1,(IF(E39="AT",2,(IF(E39="DS",3,(IF(E39="IP",4,(IF(E39="MA",5,(IF(E39="PT",6,(IF(E39="AE",1,(IF(E39="CM",2,(IF(E39="DP",3,(IF(E39="AN",1,(IF(E39="CO",2,(IF(E39="IM",3,(IF(E39="MI",4,(IF(E39="RP",5,(IF(E39="SC",6,0)))))))))))))))))))))))))))))))))))))))</f>
        <v>1</v>
      </c>
      <c r="G39" s="52">
        <v>2</v>
      </c>
      <c r="H39" s="99">
        <v>1</v>
      </c>
      <c r="I39" s="93" t="s">
        <v>37</v>
      </c>
      <c r="J39" s="86">
        <v>2</v>
      </c>
      <c r="K39" s="102" t="s">
        <v>3685</v>
      </c>
      <c r="L39" s="117">
        <f>IF(O39="","",N39*O39*M39)</f>
        <v>0</v>
      </c>
      <c r="M39" s="108">
        <v>1</v>
      </c>
      <c r="N39" s="95">
        <v>1</v>
      </c>
      <c r="O39" s="109">
        <f>IF(Key!D$1="ON",P39,IF(SUM(Q39:DL39)&lt;1,"",SUM(Q39:DL39)/COUNTIF(Q39:DL39,"&gt;0")))</f>
        <v>0</v>
      </c>
      <c r="P39" s="109">
        <f>SUMIFS(Q39:DK39,Q$1:DK$1,Dashboard!$K$31)</f>
        <v>0</v>
      </c>
      <c r="U39" s="95">
        <v>33</v>
      </c>
      <c r="AA39" s="95">
        <v>25</v>
      </c>
      <c r="AH39" s="95">
        <v>75</v>
      </c>
    </row>
    <row r="40" spans="1:34" ht="15.6" x14ac:dyDescent="0.3">
      <c r="A40" s="89" t="str">
        <f>CONCATENATE(D40,".",F40,"-",G40,".",H40,"")</f>
        <v>1.1-2.1</v>
      </c>
      <c r="B40" s="89" t="str">
        <f>IF(CONCATENATE(I40,Key!F$2)=CONCATENATE(INDEX(Dashboard!J:J,MATCH(I40,Dashboard!J:J,0),1),INDEX(Dashboard!J:K,MATCH(I40,Dashboard!J:J,0),2)),"ON",IF(Dashboard!K$32="ALL","ON","-"))</f>
        <v>-</v>
      </c>
      <c r="C40" s="88" t="s">
        <v>110</v>
      </c>
      <c r="D40" s="89">
        <f>IF(C40="ID",1,(IF(C40="PR",2,(IF(C40="DE",3,(IF(C40="RS",4,(IF(C40="RC",5,0)))))))))</f>
        <v>1</v>
      </c>
      <c r="E40" s="89" t="s">
        <v>111</v>
      </c>
      <c r="F40" s="89">
        <f>IF(E40="AM",1,(IF(E40="BE",2,(IF(E40="GV",3,(IF(E40="RA",4,(IF(E40="RM",5,(IF(E40="AC",1,(IF(E40="AT",2,(IF(E40="DS",3,(IF(E40="IP",4,(IF(E40="MA",5,(IF(E40="PT",6,(IF(E40="AE",1,(IF(E40="CM",2,(IF(E40="DP",3,(IF(E40="AN",1,(IF(E40="CO",2,(IF(E40="IM",3,(IF(E40="MI",4,(IF(E40="RP",5,(IF(E40="SC",6,0)))))))))))))))))))))))))))))))))))))))</f>
        <v>1</v>
      </c>
      <c r="G40" s="52">
        <v>2</v>
      </c>
      <c r="H40" s="99">
        <v>1</v>
      </c>
      <c r="I40" s="93" t="s">
        <v>37</v>
      </c>
      <c r="J40" s="86">
        <v>2.1</v>
      </c>
      <c r="K40" s="102" t="s">
        <v>3688</v>
      </c>
      <c r="L40" s="117">
        <f>IF(O40="","",N40*O40*M40)</f>
        <v>0</v>
      </c>
      <c r="M40" s="108">
        <v>1</v>
      </c>
      <c r="N40" s="95">
        <v>1</v>
      </c>
      <c r="O40" s="109">
        <f>IF(Key!D$1="ON",P40,IF(SUM(Q40:DL40)&lt;1,"",SUM(Q40:DL40)/COUNTIF(Q40:DL40,"&gt;0")))</f>
        <v>0</v>
      </c>
      <c r="P40" s="109">
        <f>SUMIFS(Q40:DK40,Q$1:DK$1,Dashboard!$K$31)</f>
        <v>0</v>
      </c>
      <c r="U40" s="95">
        <v>33</v>
      </c>
      <c r="AA40" s="95">
        <v>25</v>
      </c>
      <c r="AH40" s="95">
        <v>75</v>
      </c>
    </row>
    <row r="41" spans="1:34" ht="15.6" x14ac:dyDescent="0.3">
      <c r="A41" s="89" t="str">
        <f>CONCATENATE(D41,".",F41,"-",G41,".",H41,"")</f>
        <v>1.1-2.1</v>
      </c>
      <c r="B41" s="89" t="str">
        <f>IF(CONCATENATE(I41,Key!F$2)=CONCATENATE(INDEX(Dashboard!J:J,MATCH(I41,Dashboard!J:J,0),1),INDEX(Dashboard!J:K,MATCH(I41,Dashboard!J:J,0),2)),"ON",IF(Dashboard!K$32="ALL","ON","-"))</f>
        <v>-</v>
      </c>
      <c r="C41" s="88" t="s">
        <v>110</v>
      </c>
      <c r="D41" s="89">
        <f>IF(C41="ID",1,(IF(C41="PR",2,(IF(C41="DE",3,(IF(C41="RS",4,(IF(C41="RC",5,0)))))))))</f>
        <v>1</v>
      </c>
      <c r="E41" s="89" t="s">
        <v>111</v>
      </c>
      <c r="F41" s="89">
        <f>IF(E41="AM",1,(IF(E41="BE",2,(IF(E41="GV",3,(IF(E41="RA",4,(IF(E41="RM",5,(IF(E41="AC",1,(IF(E41="AT",2,(IF(E41="DS",3,(IF(E41="IP",4,(IF(E41="MA",5,(IF(E41="PT",6,(IF(E41="AE",1,(IF(E41="CM",2,(IF(E41="DP",3,(IF(E41="AN",1,(IF(E41="CO",2,(IF(E41="IM",3,(IF(E41="MI",4,(IF(E41="RP",5,(IF(E41="SC",6,0)))))))))))))))))))))))))))))))))))))))</f>
        <v>1</v>
      </c>
      <c r="G41" s="52">
        <v>2</v>
      </c>
      <c r="H41" s="99">
        <v>1</v>
      </c>
      <c r="I41" s="93" t="s">
        <v>37</v>
      </c>
      <c r="J41" s="86">
        <v>2.2999999999999998</v>
      </c>
      <c r="K41" s="102" t="s">
        <v>3686</v>
      </c>
      <c r="L41" s="117">
        <f>IF(O41="","",N41*O41*M41)</f>
        <v>0</v>
      </c>
      <c r="M41" s="108">
        <v>1</v>
      </c>
      <c r="N41" s="95">
        <v>1</v>
      </c>
      <c r="O41" s="109">
        <f>IF(Key!D$1="ON",P41,IF(SUM(Q41:DL41)&lt;1,"",SUM(Q41:DL41)/COUNTIF(Q41:DL41,"&gt;0")))</f>
        <v>0</v>
      </c>
      <c r="P41" s="109">
        <f>SUMIFS(Q41:DK41,Q$1:DK$1,Dashboard!$K$31)</f>
        <v>0</v>
      </c>
      <c r="U41" s="95">
        <v>33</v>
      </c>
      <c r="AA41" s="95">
        <v>25</v>
      </c>
      <c r="AH41" s="95">
        <v>75</v>
      </c>
    </row>
    <row r="42" spans="1:34" x14ac:dyDescent="0.3">
      <c r="A42" s="89" t="str">
        <f>CONCATENATE(D42,".",F42,"-",G42,".",H42,"")</f>
        <v>1.1-2.1</v>
      </c>
      <c r="B42" s="89" t="str">
        <f>IF(CONCATENATE(I42,Key!F$2)=CONCATENATE(INDEX(Dashboard!J:J,MATCH(I42,Dashboard!J:J,0),1),INDEX(Dashboard!J:K,MATCH(I42,Dashboard!J:J,0),2)),"ON",IF(Dashboard!K$32="ALL","ON","-"))</f>
        <v>-</v>
      </c>
      <c r="C42" s="88" t="s">
        <v>110</v>
      </c>
      <c r="D42" s="89">
        <f>IF(C42="ID",1,(IF(C42="PR",2,(IF(C42="DE",3,(IF(C42="RS",4,(IF(C42="RC",5,0)))))))))</f>
        <v>1</v>
      </c>
      <c r="E42" s="89" t="s">
        <v>111</v>
      </c>
      <c r="F42" s="89">
        <f>IF(E42="AM",1,(IF(E42="BE",2,(IF(E42="GV",3,(IF(E42="RA",4,(IF(E42="RM",5,(IF(E42="AC",1,(IF(E42="AT",2,(IF(E42="DS",3,(IF(E42="IP",4,(IF(E42="MA",5,(IF(E42="PT",6,(IF(E42="AE",1,(IF(E42="CM",2,(IF(E42="DP",3,(IF(E42="AN",1,(IF(E42="CO",2,(IF(E42="IM",3,(IF(E42="MI",4,(IF(E42="RP",5,(IF(E42="SC",6,0)))))))))))))))))))))))))))))))))))))))</f>
        <v>1</v>
      </c>
      <c r="G42" s="52">
        <v>2</v>
      </c>
      <c r="H42" s="99">
        <v>1</v>
      </c>
      <c r="I42" s="93" t="s">
        <v>37</v>
      </c>
      <c r="J42" s="86">
        <v>4.5</v>
      </c>
      <c r="K42" s="102" t="s">
        <v>3687</v>
      </c>
      <c r="L42" s="117">
        <f>IF(O42="","",N42*O42*M42)</f>
        <v>0</v>
      </c>
      <c r="M42" s="108">
        <v>1</v>
      </c>
      <c r="N42" s="95">
        <v>1</v>
      </c>
      <c r="O42" s="109">
        <f>IF(Key!D$1="ON",P42,IF(SUM(Q42:DL42)&lt;1,"",SUM(Q42:DL42)/COUNTIF(Q42:DL42,"&gt;0")))</f>
        <v>0</v>
      </c>
      <c r="P42" s="109">
        <f>SUMIFS(Q42:DK42,Q$1:DK$1,Dashboard!$K$31)</f>
        <v>0</v>
      </c>
      <c r="U42" s="95">
        <v>33</v>
      </c>
      <c r="AA42" s="95">
        <v>25</v>
      </c>
      <c r="AH42" s="95">
        <v>75</v>
      </c>
    </row>
    <row r="43" spans="1:34" ht="15.6" x14ac:dyDescent="0.3">
      <c r="A43" s="89" t="str">
        <f>CONCATENATE(D43,".",F43,"-",G43,".",H43,"")</f>
        <v>1.1-2.1</v>
      </c>
      <c r="B43" s="89" t="str">
        <f>IF(CONCATENATE(I43,Key!F$2)=CONCATENATE(INDEX(Dashboard!J:J,MATCH(I43,Dashboard!J:J,0),1),INDEX(Dashboard!J:K,MATCH(I43,Dashboard!J:J,0),2)),"ON",IF(Dashboard!K$32="ALL","ON","-"))</f>
        <v>-</v>
      </c>
      <c r="C43" s="88" t="s">
        <v>110</v>
      </c>
      <c r="D43" s="89">
        <f>IF(C43="ID",1,(IF(C43="PR",2,(IF(C43="DE",3,(IF(C43="RS",4,(IF(C43="RC",5,0)))))))))</f>
        <v>1</v>
      </c>
      <c r="E43" s="89" t="s">
        <v>111</v>
      </c>
      <c r="F43" s="89">
        <f>IF(E43="AM",1,(IF(E43="BE",2,(IF(E43="GV",3,(IF(E43="RA",4,(IF(E43="RM",5,(IF(E43="AC",1,(IF(E43="AT",2,(IF(E43="DS",3,(IF(E43="IP",4,(IF(E43="MA",5,(IF(E43="PT",6,(IF(E43="AE",1,(IF(E43="CM",2,(IF(E43="DP",3,(IF(E43="AN",1,(IF(E43="CO",2,(IF(E43="IM",3,(IF(E43="MI",4,(IF(E43="RP",5,(IF(E43="SC",6,0)))))))))))))))))))))))))))))))))))))))</f>
        <v>1</v>
      </c>
      <c r="G43" s="52">
        <v>2</v>
      </c>
      <c r="H43" s="99">
        <v>1</v>
      </c>
      <c r="I43" s="93" t="s">
        <v>41</v>
      </c>
      <c r="J43" s="86">
        <v>2</v>
      </c>
      <c r="K43" s="103" t="s">
        <v>3460</v>
      </c>
      <c r="L43" s="117">
        <f>IF(O43="","",N43*O43*M43)</f>
        <v>0</v>
      </c>
      <c r="M43" s="108">
        <v>1</v>
      </c>
      <c r="N43" s="95">
        <v>1</v>
      </c>
      <c r="O43" s="109">
        <f>IF(Key!D$1="ON",P43,IF(SUM(Q43:DL43)&lt;1,"",SUM(Q43:DL43)/COUNTIF(Q43:DL43,"&gt;0")))</f>
        <v>0</v>
      </c>
      <c r="P43" s="109">
        <f>SUMIFS(Q43:DK43,Q$1:DK$1,Dashboard!$K$31)</f>
        <v>0</v>
      </c>
      <c r="U43" s="95">
        <v>33</v>
      </c>
    </row>
    <row r="44" spans="1:34" x14ac:dyDescent="0.3">
      <c r="A44" s="89" t="str">
        <f>CONCATENATE(D44,".",F44,"-",G44,".",H44,"")</f>
        <v>1.1-2.1</v>
      </c>
      <c r="B44" s="89" t="str">
        <f>IF(CONCATENATE(I44,Key!F$2)=CONCATENATE(INDEX(Dashboard!J:J,MATCH(I44,Dashboard!J:J,0),1),INDEX(Dashboard!J:K,MATCH(I44,Dashboard!J:J,0),2)),"ON",IF(Dashboard!K$32="ALL","ON","-"))</f>
        <v>-</v>
      </c>
      <c r="C44" s="88" t="s">
        <v>110</v>
      </c>
      <c r="D44" s="89">
        <f>IF(C44="ID",1,(IF(C44="PR",2,(IF(C44="DE",3,(IF(C44="RS",4,(IF(C44="RC",5,0)))))))))</f>
        <v>1</v>
      </c>
      <c r="E44" s="89" t="s">
        <v>111</v>
      </c>
      <c r="F44" s="89">
        <f>IF(E44="AM",1,(IF(E44="BE",2,(IF(E44="GV",3,(IF(E44="RA",4,(IF(E44="RM",5,(IF(E44="AC",1,(IF(E44="AT",2,(IF(E44="DS",3,(IF(E44="IP",4,(IF(E44="MA",5,(IF(E44="PT",6,(IF(E44="AE",1,(IF(E44="CM",2,(IF(E44="DP",3,(IF(E44="AN",1,(IF(E44="CO",2,(IF(E44="IM",3,(IF(E44="MI",4,(IF(E44="RP",5,(IF(E44="SC",6,0)))))))))))))))))))))))))))))))))))))))</f>
        <v>1</v>
      </c>
      <c r="G44" s="52">
        <v>2</v>
      </c>
      <c r="H44" s="99">
        <v>1</v>
      </c>
      <c r="I44" s="93" t="s">
        <v>41</v>
      </c>
      <c r="J44" s="86">
        <v>2.1</v>
      </c>
      <c r="K44" s="103" t="s">
        <v>3461</v>
      </c>
      <c r="L44" s="117">
        <f>IF(O44="","",N44*O44*M44)</f>
        <v>0</v>
      </c>
      <c r="M44" s="108">
        <v>1</v>
      </c>
      <c r="N44" s="95">
        <v>1</v>
      </c>
      <c r="O44" s="109">
        <f>IF(Key!D$1="ON",P44,IF(SUM(Q44:DL44)&lt;1,"",SUM(Q44:DL44)/COUNTIF(Q44:DL44,"&gt;0")))</f>
        <v>0</v>
      </c>
      <c r="P44" s="109">
        <f>SUMIFS(Q44:DK44,Q$1:DK$1,Dashboard!$K$31)</f>
        <v>0</v>
      </c>
      <c r="U44" s="95">
        <v>33</v>
      </c>
    </row>
    <row r="45" spans="1:34" ht="15.6" x14ac:dyDescent="0.3">
      <c r="A45" s="89" t="str">
        <f>CONCATENATE(D45,".",F45,"-",G45,".",H45,"")</f>
        <v>1.1-2.1</v>
      </c>
      <c r="B45" s="89" t="str">
        <f>IF(CONCATENATE(I45,Key!F$2)=CONCATENATE(INDEX(Dashboard!J:J,MATCH(I45,Dashboard!J:J,0),1),INDEX(Dashboard!J:K,MATCH(I45,Dashboard!J:J,0),2)),"ON",IF(Dashboard!K$32="ALL","ON","-"))</f>
        <v>-</v>
      </c>
      <c r="C45" s="88" t="s">
        <v>110</v>
      </c>
      <c r="D45" s="89">
        <f>IF(C45="ID",1,(IF(C45="PR",2,(IF(C45="DE",3,(IF(C45="RS",4,(IF(C45="RC",5,0)))))))))</f>
        <v>1</v>
      </c>
      <c r="E45" s="89" t="s">
        <v>111</v>
      </c>
      <c r="F45" s="89">
        <f>IF(E45="AM",1,(IF(E45="BE",2,(IF(E45="GV",3,(IF(E45="RA",4,(IF(E45="RM",5,(IF(E45="AC",1,(IF(E45="AT",2,(IF(E45="DS",3,(IF(E45="IP",4,(IF(E45="MA",5,(IF(E45="PT",6,(IF(E45="AE",1,(IF(E45="CM",2,(IF(E45="DP",3,(IF(E45="AN",1,(IF(E45="CO",2,(IF(E45="IM",3,(IF(E45="MI",4,(IF(E45="RP",5,(IF(E45="SC",6,0)))))))))))))))))))))))))))))))))))))))</f>
        <v>1</v>
      </c>
      <c r="G45" s="52">
        <v>2</v>
      </c>
      <c r="H45" s="99">
        <v>1</v>
      </c>
      <c r="I45" s="93" t="s">
        <v>41</v>
      </c>
      <c r="J45" s="86">
        <v>2.2999999999999998</v>
      </c>
      <c r="K45" s="103" t="s">
        <v>3463</v>
      </c>
      <c r="L45" s="117">
        <f>IF(O45="","",N45*O45*M45)</f>
        <v>0</v>
      </c>
      <c r="M45" s="108">
        <v>1</v>
      </c>
      <c r="N45" s="95">
        <v>1</v>
      </c>
      <c r="O45" s="109">
        <f>IF(Key!D$1="ON",P45,IF(SUM(Q45:DL45)&lt;1,"",SUM(Q45:DL45)/COUNTIF(Q45:DL45,"&gt;0")))</f>
        <v>0</v>
      </c>
      <c r="P45" s="109">
        <f>SUMIFS(Q45:DK45,Q$1:DK$1,Dashboard!$K$31)</f>
        <v>0</v>
      </c>
      <c r="U45" s="95">
        <v>33</v>
      </c>
    </row>
    <row r="46" spans="1:34" ht="15.6" x14ac:dyDescent="0.3">
      <c r="A46" s="89" t="str">
        <f>CONCATENATE(D46,".",F46,"-",G46,".",H46,"")</f>
        <v>1.1-2.1</v>
      </c>
      <c r="B46" s="89" t="str">
        <f>IF(CONCATENATE(I46,Key!F$2)=CONCATENATE(INDEX(Dashboard!J:J,MATCH(I46,Dashboard!J:J,0),1),INDEX(Dashboard!J:K,MATCH(I46,Dashboard!J:J,0),2)),"ON",IF(Dashboard!K$32="ALL","ON","-"))</f>
        <v>-</v>
      </c>
      <c r="C46" s="88" t="s">
        <v>110</v>
      </c>
      <c r="D46" s="89">
        <f>IF(C46="ID",1,(IF(C46="PR",2,(IF(C46="DE",3,(IF(C46="RS",4,(IF(C46="RC",5,0)))))))))</f>
        <v>1</v>
      </c>
      <c r="E46" s="89" t="s">
        <v>111</v>
      </c>
      <c r="F46" s="89">
        <f>IF(E46="AM",1,(IF(E46="BE",2,(IF(E46="GV",3,(IF(E46="RA",4,(IF(E46="RM",5,(IF(E46="AC",1,(IF(E46="AT",2,(IF(E46="DS",3,(IF(E46="IP",4,(IF(E46="MA",5,(IF(E46="PT",6,(IF(E46="AE",1,(IF(E46="CM",2,(IF(E46="DP",3,(IF(E46="AN",1,(IF(E46="CO",2,(IF(E46="IM",3,(IF(E46="MI",4,(IF(E46="RP",5,(IF(E46="SC",6,0)))))))))))))))))))))))))))))))))))))))</f>
        <v>1</v>
      </c>
      <c r="G46" s="52">
        <v>2</v>
      </c>
      <c r="H46" s="99">
        <v>1</v>
      </c>
      <c r="I46" s="93" t="s">
        <v>41</v>
      </c>
      <c r="J46" s="86">
        <v>2.4</v>
      </c>
      <c r="K46" s="103" t="s">
        <v>3464</v>
      </c>
      <c r="L46" s="117">
        <f>IF(O46="","",N46*O46*M46)</f>
        <v>0</v>
      </c>
      <c r="M46" s="108">
        <v>1</v>
      </c>
      <c r="N46" s="95">
        <v>1</v>
      </c>
      <c r="O46" s="109">
        <f>IF(Key!D$1="ON",P46,IF(SUM(Q46:DL46)&lt;1,"",SUM(Q46:DL46)/COUNTIF(Q46:DL46,"&gt;0")))</f>
        <v>0</v>
      </c>
      <c r="P46" s="109">
        <f>SUMIFS(Q46:DK46,Q$1:DK$1,Dashboard!$K$31)</f>
        <v>0</v>
      </c>
      <c r="U46" s="95">
        <v>33</v>
      </c>
    </row>
    <row r="47" spans="1:34" x14ac:dyDescent="0.3">
      <c r="A47" s="89" t="str">
        <f>CONCATENATE(D47,".",F47,"-",G47,".",H47,"")</f>
        <v>1.1-2.1</v>
      </c>
      <c r="B47" s="89" t="str">
        <f>IF(CONCATENATE(I47,Key!F$2)=CONCATENATE(INDEX(Dashboard!J:J,MATCH(I47,Dashboard!J:J,0),1),INDEX(Dashboard!J:K,MATCH(I47,Dashboard!J:J,0),2)),"ON",IF(Dashboard!K$32="ALL","ON","-"))</f>
        <v>-</v>
      </c>
      <c r="C47" s="96" t="s">
        <v>110</v>
      </c>
      <c r="D47" s="89">
        <f>IF(C47="ID",1,(IF(C47="PR",2,(IF(C47="DE",3,(IF(C47="RS",4,(IF(C47="RC",5,0)))))))))</f>
        <v>1</v>
      </c>
      <c r="E47" s="89" t="s">
        <v>111</v>
      </c>
      <c r="F47" s="89">
        <f>IF(E47="AM",1,(IF(E47="BE",2,(IF(E47="GV",3,(IF(E47="RA",4,(IF(E47="RM",5,(IF(E47="AC",1,(IF(E47="AT",2,(IF(E47="DS",3,(IF(E47="IP",4,(IF(E47="MA",5,(IF(E47="PT",6,(IF(E47="AE",1,(IF(E47="CM",2,(IF(E47="DP",3,(IF(E47="AN",1,(IF(E47="CO",2,(IF(E47="IM",3,(IF(E47="MI",4,(IF(E47="RP",5,(IF(E47="SC",6,0)))))))))))))))))))))))))))))))))))))))</f>
        <v>1</v>
      </c>
      <c r="G47" s="52">
        <v>2</v>
      </c>
      <c r="H47" s="99">
        <v>1</v>
      </c>
      <c r="I47" s="93" t="s">
        <v>41</v>
      </c>
      <c r="J47" s="86">
        <v>2.6</v>
      </c>
      <c r="K47" s="103" t="s">
        <v>3466</v>
      </c>
      <c r="L47" s="117">
        <f>IF(O47="","",N47*O47*M47)</f>
        <v>0</v>
      </c>
      <c r="M47" s="108">
        <v>1</v>
      </c>
      <c r="N47" s="95">
        <v>1</v>
      </c>
      <c r="O47" s="109">
        <f>IF(Key!D$1="ON",P47,IF(SUM(Q47:DL47)&lt;1,"",SUM(Q47:DL47)/COUNTIF(Q47:DL47,"&gt;0")))</f>
        <v>0</v>
      </c>
      <c r="P47" s="109">
        <f>SUMIFS(Q47:DK47,Q$1:DK$1,Dashboard!$K$31)</f>
        <v>0</v>
      </c>
      <c r="U47" s="95">
        <v>33</v>
      </c>
    </row>
    <row r="48" spans="1:34" x14ac:dyDescent="0.3">
      <c r="A48" s="89" t="str">
        <f>CONCATENATE(D48,".",F48,"-",G48,".",H48,"")</f>
        <v>1.1-2.1</v>
      </c>
      <c r="B48" s="89" t="str">
        <f>IF(CONCATENATE(I48,Key!F$2)=CONCATENATE(INDEX(Dashboard!J:J,MATCH(I48,Dashboard!J:J,0),1),INDEX(Dashboard!J:K,MATCH(I48,Dashboard!J:J,0),2)),"ON",IF(Dashboard!K$32="ALL","ON","-"))</f>
        <v>-</v>
      </c>
      <c r="C48" s="88" t="s">
        <v>110</v>
      </c>
      <c r="D48" s="89">
        <f>IF(C48="ID",1,(IF(C48="PR",2,(IF(C48="DE",3,(IF(C48="RS",4,(IF(C48="RC",5,0)))))))))</f>
        <v>1</v>
      </c>
      <c r="E48" s="89" t="s">
        <v>111</v>
      </c>
      <c r="F48" s="89">
        <f>IF(E48="AM",1,(IF(E48="BE",2,(IF(E48="GV",3,(IF(E48="RA",4,(IF(E48="RM",5,(IF(E48="AC",1,(IF(E48="AT",2,(IF(E48="DS",3,(IF(E48="IP",4,(IF(E48="MA",5,(IF(E48="PT",6,(IF(E48="AE",1,(IF(E48="CM",2,(IF(E48="DP",3,(IF(E48="AN",1,(IF(E48="CO",2,(IF(E48="IM",3,(IF(E48="MI",4,(IF(E48="RP",5,(IF(E48="SC",6,0)))))))))))))))))))))))))))))))))))))))</f>
        <v>1</v>
      </c>
      <c r="G48" s="52">
        <v>2</v>
      </c>
      <c r="H48" s="99">
        <v>1</v>
      </c>
      <c r="I48" s="93" t="s">
        <v>41</v>
      </c>
      <c r="J48" s="86">
        <v>3.4</v>
      </c>
      <c r="K48" s="103" t="s">
        <v>3473</v>
      </c>
      <c r="L48" s="117">
        <f>IF(O48="","",N48*O48*M48)</f>
        <v>0</v>
      </c>
      <c r="M48" s="108">
        <v>1</v>
      </c>
      <c r="N48" s="95">
        <v>1</v>
      </c>
      <c r="O48" s="109">
        <f>IF(Key!D$1="ON",P48,IF(SUM(Q48:DL48)&lt;1,"",SUM(Q48:DL48)/COUNTIF(Q48:DL48,"&gt;0")))</f>
        <v>0</v>
      </c>
      <c r="P48" s="109">
        <f>SUMIFS(Q48:DK48,Q$1:DK$1,Dashboard!$K$31)</f>
        <v>0</v>
      </c>
      <c r="U48" s="95">
        <v>33</v>
      </c>
    </row>
    <row r="49" spans="1:34" x14ac:dyDescent="0.3">
      <c r="A49" s="89" t="str">
        <f>CONCATENATE(D49,".",F49,"-",G49,".",H49,"")</f>
        <v>1.1-2.1</v>
      </c>
      <c r="B49" s="89" t="str">
        <f>IF(CONCATENATE(I49,Key!F$2)=CONCATENATE(INDEX(Dashboard!J:J,MATCH(I49,Dashboard!J:J,0),1),INDEX(Dashboard!J:K,MATCH(I49,Dashboard!J:J,0),2)),"ON",IF(Dashboard!K$32="ALL","ON","-"))</f>
        <v>-</v>
      </c>
      <c r="C49" s="88" t="s">
        <v>110</v>
      </c>
      <c r="D49" s="89">
        <f>IF(C49="ID",1,(IF(C49="PR",2,(IF(C49="DE",3,(IF(C49="RS",4,(IF(C49="RC",5,0)))))))))</f>
        <v>1</v>
      </c>
      <c r="E49" s="89" t="s">
        <v>111</v>
      </c>
      <c r="F49" s="89">
        <f>IF(E49="AM",1,(IF(E49="BE",2,(IF(E49="GV",3,(IF(E49="RA",4,(IF(E49="RM",5,(IF(E49="AC",1,(IF(E49="AT",2,(IF(E49="DS",3,(IF(E49="IP",4,(IF(E49="MA",5,(IF(E49="PT",6,(IF(E49="AE",1,(IF(E49="CM",2,(IF(E49="DP",3,(IF(E49="AN",1,(IF(E49="CO",2,(IF(E49="IM",3,(IF(E49="MI",4,(IF(E49="RP",5,(IF(E49="SC",6,0)))))))))))))))))))))))))))))))))))))))</f>
        <v>1</v>
      </c>
      <c r="G49" s="52">
        <v>2</v>
      </c>
      <c r="H49" s="99">
        <v>1</v>
      </c>
      <c r="I49" s="93" t="s">
        <v>41</v>
      </c>
      <c r="J49" s="86">
        <v>3.5</v>
      </c>
      <c r="K49" s="103" t="s">
        <v>3474</v>
      </c>
      <c r="L49" s="117">
        <f>IF(O49="","",N49*O49*M49)</f>
        <v>0</v>
      </c>
      <c r="M49" s="108">
        <v>1</v>
      </c>
      <c r="N49" s="95">
        <v>1</v>
      </c>
      <c r="O49" s="109">
        <f>IF(Key!D$1="ON",P49,IF(SUM(Q49:DL49)&lt;1,"",SUM(Q49:DL49)/COUNTIF(Q49:DL49,"&gt;0")))</f>
        <v>0</v>
      </c>
      <c r="P49" s="109">
        <f>SUMIFS(Q49:DK49,Q$1:DK$1,Dashboard!$K$31)</f>
        <v>0</v>
      </c>
      <c r="U49" s="95">
        <v>33</v>
      </c>
    </row>
    <row r="50" spans="1:34" x14ac:dyDescent="0.3">
      <c r="A50" s="89" t="str">
        <f>CONCATENATE(D50,".",F50,"-",G50,".",H50,"")</f>
        <v>1.1-2.1</v>
      </c>
      <c r="B50" s="89" t="str">
        <f>IF(CONCATENATE(I50,Key!F$2)=CONCATENATE(INDEX(Dashboard!J:J,MATCH(I50,Dashboard!J:J,0),1),INDEX(Dashboard!J:K,MATCH(I50,Dashboard!J:J,0),2)),"ON",IF(Dashboard!K$32="ALL","ON","-"))</f>
        <v>-</v>
      </c>
      <c r="C50" s="88" t="s">
        <v>110</v>
      </c>
      <c r="D50" s="89">
        <f>IF(C50="ID",1,(IF(C50="PR",2,(IF(C50="DE",3,(IF(C50="RS",4,(IF(C50="RC",5,0)))))))))</f>
        <v>1</v>
      </c>
      <c r="E50" s="89" t="s">
        <v>111</v>
      </c>
      <c r="F50" s="89">
        <f>IF(E50="AM",1,(IF(E50="BE",2,(IF(E50="GV",3,(IF(E50="RA",4,(IF(E50="RM",5,(IF(E50="AC",1,(IF(E50="AT",2,(IF(E50="DS",3,(IF(E50="IP",4,(IF(E50="MA",5,(IF(E50="PT",6,(IF(E50="AE",1,(IF(E50="CM",2,(IF(E50="DP",3,(IF(E50="AN",1,(IF(E50="CO",2,(IF(E50="IM",3,(IF(E50="MI",4,(IF(E50="RP",5,(IF(E50="SC",6,0)))))))))))))))))))))))))))))))))))))))</f>
        <v>1</v>
      </c>
      <c r="G50" s="52">
        <v>2</v>
      </c>
      <c r="H50" s="90" t="s">
        <v>115</v>
      </c>
      <c r="I50" s="93" t="s">
        <v>60</v>
      </c>
      <c r="J50" s="87" t="s">
        <v>3120</v>
      </c>
      <c r="K50" s="51" t="s">
        <v>5233</v>
      </c>
      <c r="L50" s="117">
        <f>IF(O50="","",N50*O50*M50)</f>
        <v>0</v>
      </c>
      <c r="M50" s="108">
        <v>1</v>
      </c>
      <c r="N50" s="95">
        <v>1</v>
      </c>
      <c r="O50" s="109">
        <f>IF(Key!D$1="ON",P50,IF(SUM(Q50:DL50)&lt;1,"",SUM(Q50:DL50)/COUNTIF(Q50:DL50,"&gt;0")))</f>
        <v>0</v>
      </c>
      <c r="P50" s="109">
        <f>SUMIFS(Q50:DK50,Q$1:DK$1,Dashboard!$K$31)</f>
        <v>0</v>
      </c>
      <c r="U50" s="95">
        <v>33</v>
      </c>
      <c r="AA50" s="95">
        <v>25</v>
      </c>
      <c r="AH50" s="95">
        <v>75</v>
      </c>
    </row>
    <row r="51" spans="1:34" x14ac:dyDescent="0.3">
      <c r="A51" s="89" t="str">
        <f>CONCATENATE(D51,".",F51,"-",G51,".",H51,"")</f>
        <v>1.1-2.1</v>
      </c>
      <c r="B51" s="89" t="str">
        <f>IF(CONCATENATE(I51,Key!F$2)=CONCATENATE(INDEX(Dashboard!J:J,MATCH(I51,Dashboard!J:J,0),1),INDEX(Dashboard!J:K,MATCH(I51,Dashboard!J:J,0),2)),"ON",IF(Dashboard!K$32="ALL","ON","-"))</f>
        <v>-</v>
      </c>
      <c r="C51" s="88" t="s">
        <v>110</v>
      </c>
      <c r="D51" s="89">
        <f>IF(C51="ID",1,(IF(C51="PR",2,(IF(C51="DE",3,(IF(C51="RS",4,(IF(C51="RC",5,0)))))))))</f>
        <v>1</v>
      </c>
      <c r="E51" s="89" t="s">
        <v>111</v>
      </c>
      <c r="F51" s="89">
        <f>IF(E51="AM",1,(IF(E51="BE",2,(IF(E51="GV",3,(IF(E51="RA",4,(IF(E51="RM",5,(IF(E51="AC",1,(IF(E51="AT",2,(IF(E51="DS",3,(IF(E51="IP",4,(IF(E51="MA",5,(IF(E51="PT",6,(IF(E51="AE",1,(IF(E51="CM",2,(IF(E51="DP",3,(IF(E51="AN",1,(IF(E51="CO",2,(IF(E51="IM",3,(IF(E51="MI",4,(IF(E51="RP",5,(IF(E51="SC",6,0)))))))))))))))))))))))))))))))))))))))</f>
        <v>1</v>
      </c>
      <c r="G51" s="52">
        <v>2</v>
      </c>
      <c r="H51" s="90" t="s">
        <v>115</v>
      </c>
      <c r="I51" s="93" t="s">
        <v>60</v>
      </c>
      <c r="J51" s="87" t="s">
        <v>3121</v>
      </c>
      <c r="K51" s="51" t="s">
        <v>5234</v>
      </c>
      <c r="L51" s="117">
        <f>IF(O51="","",N51*O51*M51)</f>
        <v>0</v>
      </c>
      <c r="M51" s="108">
        <v>1</v>
      </c>
      <c r="N51" s="95">
        <v>1</v>
      </c>
      <c r="O51" s="109">
        <f>IF(Key!D$1="ON",P51,IF(SUM(Q51:DL51)&lt;1,"",SUM(Q51:DL51)/COUNTIF(Q51:DL51,"&gt;0")))</f>
        <v>0</v>
      </c>
      <c r="P51" s="109">
        <f>SUMIFS(Q51:DK51,Q$1:DK$1,Dashboard!$K$31)</f>
        <v>0</v>
      </c>
      <c r="U51" s="95">
        <v>33</v>
      </c>
      <c r="AA51" s="95">
        <v>25</v>
      </c>
      <c r="AH51" s="95">
        <v>75</v>
      </c>
    </row>
    <row r="52" spans="1:34" x14ac:dyDescent="0.3">
      <c r="A52" s="89" t="str">
        <f>CONCATENATE(D52,".",F52,"-",G52,".",H52,"")</f>
        <v>1.1-2.1</v>
      </c>
      <c r="B52" s="89" t="str">
        <f>IF(CONCATENATE(I52,Key!F$2)=CONCATENATE(INDEX(Dashboard!J:J,MATCH(I52,Dashboard!J:J,0),1),INDEX(Dashboard!J:K,MATCH(I52,Dashboard!J:J,0),2)),"ON",IF(Dashboard!K$32="ALL","ON","-"))</f>
        <v>-</v>
      </c>
      <c r="C52" s="88" t="s">
        <v>110</v>
      </c>
      <c r="D52" s="89">
        <f>IF(C52="ID",1,(IF(C52="PR",2,(IF(C52="DE",3,(IF(C52="RS",4,(IF(C52="RC",5,0)))))))))</f>
        <v>1</v>
      </c>
      <c r="E52" s="89" t="s">
        <v>111</v>
      </c>
      <c r="F52" s="89">
        <f>IF(E52="AM",1,(IF(E52="BE",2,(IF(E52="GV",3,(IF(E52="RA",4,(IF(E52="RM",5,(IF(E52="AC",1,(IF(E52="AT",2,(IF(E52="DS",3,(IF(E52="IP",4,(IF(E52="MA",5,(IF(E52="PT",6,(IF(E52="AE",1,(IF(E52="CM",2,(IF(E52="DP",3,(IF(E52="AN",1,(IF(E52="CO",2,(IF(E52="IM",3,(IF(E52="MI",4,(IF(E52="RP",5,(IF(E52="SC",6,0)))))))))))))))))))))))))))))))))))))))</f>
        <v>1</v>
      </c>
      <c r="G52" s="52">
        <v>2</v>
      </c>
      <c r="H52" s="90" t="s">
        <v>115</v>
      </c>
      <c r="I52" s="93" t="s">
        <v>73</v>
      </c>
      <c r="J52" s="86" t="s">
        <v>211</v>
      </c>
      <c r="K52" s="101" t="s">
        <v>5178</v>
      </c>
      <c r="L52" s="117">
        <f>IF(O52="","",N52*O52*M52)</f>
        <v>0</v>
      </c>
      <c r="M52" s="108">
        <v>1</v>
      </c>
      <c r="N52" s="95">
        <v>1</v>
      </c>
      <c r="O52" s="109">
        <f>IF(Key!D$1="ON",P52,IF(SUM(Q52:DL52)&lt;1,"",SUM(Q52:DL52)/COUNTIF(Q52:DL52,"&gt;0")))</f>
        <v>0</v>
      </c>
      <c r="P52" s="109">
        <f>SUMIFS(Q52:DK52,Q$1:DK$1,Dashboard!$K$31)</f>
        <v>0</v>
      </c>
      <c r="U52" s="95">
        <v>33</v>
      </c>
      <c r="AA52" s="95">
        <v>25</v>
      </c>
      <c r="AH52" s="95">
        <v>75</v>
      </c>
    </row>
    <row r="53" spans="1:34" ht="15.6" x14ac:dyDescent="0.3">
      <c r="A53" s="89" t="str">
        <f>CONCATENATE(D53,".",F53,"-",G53,".",H53,"")</f>
        <v>1.1-2.1</v>
      </c>
      <c r="B53" s="89" t="str">
        <f>IF(CONCATENATE(I53,Key!F$2)=CONCATENATE(INDEX(Dashboard!J:J,MATCH(I53,Dashboard!J:J,0),1),INDEX(Dashboard!J:K,MATCH(I53,Dashboard!J:J,0),2)),"ON",IF(Dashboard!K$32="ALL","ON","-"))</f>
        <v>-</v>
      </c>
      <c r="C53" s="88" t="s">
        <v>110</v>
      </c>
      <c r="D53" s="89">
        <f>IF(C53="ID",1,(IF(C53="PR",2,(IF(C53="DE",3,(IF(C53="RS",4,(IF(C53="RC",5,0)))))))))</f>
        <v>1</v>
      </c>
      <c r="E53" s="89" t="s">
        <v>111</v>
      </c>
      <c r="F53" s="89">
        <f>IF(E53="AM",1,(IF(E53="BE",2,(IF(E53="GV",3,(IF(E53="RA",4,(IF(E53="RM",5,(IF(E53="AC",1,(IF(E53="AT",2,(IF(E53="DS",3,(IF(E53="IP",4,(IF(E53="MA",5,(IF(E53="PT",6,(IF(E53="AE",1,(IF(E53="CM",2,(IF(E53="DP",3,(IF(E53="AN",1,(IF(E53="CO",2,(IF(E53="IM",3,(IF(E53="MI",4,(IF(E53="RP",5,(IF(E53="SC",6,0)))))))))))))))))))))))))))))))))))))))</f>
        <v>1</v>
      </c>
      <c r="G53" s="52">
        <v>2</v>
      </c>
      <c r="H53" s="90" t="s">
        <v>115</v>
      </c>
      <c r="I53" s="93" t="s">
        <v>77</v>
      </c>
      <c r="J53" s="87" t="s">
        <v>925</v>
      </c>
      <c r="K53" s="102" t="s">
        <v>2013</v>
      </c>
      <c r="L53" s="117">
        <f>IF(O53="","",N53*O53*M53)</f>
        <v>0</v>
      </c>
      <c r="M53" s="108">
        <v>1</v>
      </c>
      <c r="N53" s="95">
        <v>1</v>
      </c>
      <c r="O53" s="109">
        <f>IF(Key!D$1="ON",P53,IF(SUM(Q53:DL53)&lt;1,"",SUM(Q53:DL53)/COUNTIF(Q53:DL53,"&gt;0")))</f>
        <v>0</v>
      </c>
      <c r="P53" s="109">
        <f>SUMIFS(Q53:DK53,Q$1:DK$1,Dashboard!$K$31)</f>
        <v>0</v>
      </c>
      <c r="U53" s="95">
        <v>33</v>
      </c>
      <c r="AA53" s="95">
        <v>25</v>
      </c>
      <c r="AH53" s="95">
        <v>75</v>
      </c>
    </row>
    <row r="54" spans="1:34" ht="15.6" x14ac:dyDescent="0.3">
      <c r="A54" s="89" t="str">
        <f>CONCATENATE(D54,".",F54,"-",G54,".",H54,"")</f>
        <v>1.1-2.1</v>
      </c>
      <c r="B54" s="89" t="str">
        <f>IF(CONCATENATE(I54,Key!F$2)=CONCATENATE(INDEX(Dashboard!J:J,MATCH(I54,Dashboard!J:J,0),1),INDEX(Dashboard!J:K,MATCH(I54,Dashboard!J:J,0),2)),"ON",IF(Dashboard!K$32="ALL","ON","-"))</f>
        <v>-</v>
      </c>
      <c r="C54" s="88" t="s">
        <v>110</v>
      </c>
      <c r="D54" s="89">
        <f>IF(C54="ID",1,(IF(C54="PR",2,(IF(C54="DE",3,(IF(C54="RS",4,(IF(C54="RC",5,0)))))))))</f>
        <v>1</v>
      </c>
      <c r="E54" s="89" t="s">
        <v>111</v>
      </c>
      <c r="F54" s="89">
        <f>IF(E54="AM",1,(IF(E54="BE",2,(IF(E54="GV",3,(IF(E54="RA",4,(IF(E54="RM",5,(IF(E54="AC",1,(IF(E54="AT",2,(IF(E54="DS",3,(IF(E54="IP",4,(IF(E54="MA",5,(IF(E54="PT",6,(IF(E54="AE",1,(IF(E54="CM",2,(IF(E54="DP",3,(IF(E54="AN",1,(IF(E54="CO",2,(IF(E54="IM",3,(IF(E54="MI",4,(IF(E54="RP",5,(IF(E54="SC",6,0)))))))))))))))))))))))))))))))))))))))</f>
        <v>1</v>
      </c>
      <c r="G54" s="52">
        <v>2</v>
      </c>
      <c r="H54" s="90" t="s">
        <v>115</v>
      </c>
      <c r="I54" s="93" t="s">
        <v>77</v>
      </c>
      <c r="J54" s="87" t="s">
        <v>922</v>
      </c>
      <c r="K54" s="102" t="s">
        <v>2011</v>
      </c>
      <c r="L54" s="117">
        <f>IF(O54="","",N54*O54*M54)</f>
        <v>0</v>
      </c>
      <c r="M54" s="108">
        <v>1</v>
      </c>
      <c r="N54" s="95">
        <v>1</v>
      </c>
      <c r="O54" s="109">
        <f>IF(Key!D$1="ON",P54,IF(SUM(Q54:DL54)&lt;1,"",SUM(Q54:DL54)/COUNTIF(Q54:DL54,"&gt;0")))</f>
        <v>0</v>
      </c>
      <c r="P54" s="109">
        <f>SUMIFS(Q54:DK54,Q$1:DK$1,Dashboard!$K$31)</f>
        <v>0</v>
      </c>
      <c r="U54" s="95">
        <v>33</v>
      </c>
      <c r="AA54" s="95">
        <v>25</v>
      </c>
      <c r="AH54" s="95">
        <v>75</v>
      </c>
    </row>
    <row r="55" spans="1:34" ht="15.6" x14ac:dyDescent="0.3">
      <c r="A55" s="89" t="str">
        <f>CONCATENATE(D55,".",F55,"-",G55,".",H55,"")</f>
        <v>1.1-2.1</v>
      </c>
      <c r="B55" s="89" t="str">
        <f>IF(CONCATENATE(I55,Key!F$2)=CONCATENATE(INDEX(Dashboard!J:J,MATCH(I55,Dashboard!J:J,0),1),INDEX(Dashboard!J:K,MATCH(I55,Dashboard!J:J,0),2)),"ON",IF(Dashboard!K$32="ALL","ON","-"))</f>
        <v>-</v>
      </c>
      <c r="C55" s="88" t="s">
        <v>110</v>
      </c>
      <c r="D55" s="89">
        <f>IF(C55="ID",1,(IF(C55="PR",2,(IF(C55="DE",3,(IF(C55="RS",4,(IF(C55="RC",5,0)))))))))</f>
        <v>1</v>
      </c>
      <c r="E55" s="89" t="s">
        <v>111</v>
      </c>
      <c r="F55" s="89">
        <f>IF(E55="AM",1,(IF(E55="BE",2,(IF(E55="GV",3,(IF(E55="RA",4,(IF(E55="RM",5,(IF(E55="AC",1,(IF(E55="AT",2,(IF(E55="DS",3,(IF(E55="IP",4,(IF(E55="MA",5,(IF(E55="PT",6,(IF(E55="AE",1,(IF(E55="CM",2,(IF(E55="DP",3,(IF(E55="AN",1,(IF(E55="CO",2,(IF(E55="IM",3,(IF(E55="MI",4,(IF(E55="RP",5,(IF(E55="SC",6,0)))))))))))))))))))))))))))))))))))))))</f>
        <v>1</v>
      </c>
      <c r="G55" s="52">
        <v>2</v>
      </c>
      <c r="H55" s="90" t="s">
        <v>115</v>
      </c>
      <c r="I55" s="93" t="s">
        <v>85</v>
      </c>
      <c r="J55" s="87" t="s">
        <v>922</v>
      </c>
      <c r="K55" s="119" t="s">
        <v>4702</v>
      </c>
      <c r="L55" s="117">
        <f>IF(O55="","",N55*O55*M55)</f>
        <v>0</v>
      </c>
      <c r="M55" s="108">
        <v>1</v>
      </c>
      <c r="N55" s="95">
        <v>1</v>
      </c>
      <c r="O55" s="109">
        <f>IF(Key!D$1="ON",P55,IF(SUM(Q55:DL55)&lt;1,"",SUM(Q55:DL55)/COUNTIF(Q55:DL55,"&gt;0")))</f>
        <v>0</v>
      </c>
      <c r="P55" s="109">
        <f>SUMIFS(Q55:DK55,Q$1:DK$1,Dashboard!$K$31)</f>
        <v>0</v>
      </c>
      <c r="U55" s="95">
        <v>33</v>
      </c>
      <c r="AA55" s="95">
        <v>25</v>
      </c>
      <c r="AH55" s="95">
        <v>75</v>
      </c>
    </row>
    <row r="56" spans="1:34" ht="15.6" x14ac:dyDescent="0.3">
      <c r="A56" s="89" t="str">
        <f>CONCATENATE(D56,".",F56,"-",G56,".",H56,"")</f>
        <v>1.1-2.1</v>
      </c>
      <c r="B56" s="89" t="str">
        <f>IF(CONCATENATE(I56,Key!F$2)=CONCATENATE(INDEX(Dashboard!J:J,MATCH(I56,Dashboard!J:J,0),1),INDEX(Dashboard!J:K,MATCH(I56,Dashboard!J:J,0),2)),"ON",IF(Dashboard!K$32="ALL","ON","-"))</f>
        <v>-</v>
      </c>
      <c r="C56" s="88" t="s">
        <v>110</v>
      </c>
      <c r="D56" s="89">
        <f>IF(C56="ID",1,(IF(C56="PR",2,(IF(C56="DE",3,(IF(C56="RS",4,(IF(C56="RC",5,0)))))))))</f>
        <v>1</v>
      </c>
      <c r="E56" s="89" t="s">
        <v>111</v>
      </c>
      <c r="F56" s="89">
        <f>IF(E56="AM",1,(IF(E56="BE",2,(IF(E56="GV",3,(IF(E56="RA",4,(IF(E56="RM",5,(IF(E56="AC",1,(IF(E56="AT",2,(IF(E56="DS",3,(IF(E56="IP",4,(IF(E56="MA",5,(IF(E56="PT",6,(IF(E56="AE",1,(IF(E56="CM",2,(IF(E56="DP",3,(IF(E56="AN",1,(IF(E56="CO",2,(IF(E56="IM",3,(IF(E56="MI",4,(IF(E56="RP",5,(IF(E56="SC",6,0)))))))))))))))))))))))))))))))))))))))</f>
        <v>1</v>
      </c>
      <c r="G56" s="52">
        <v>2</v>
      </c>
      <c r="H56" s="90" t="s">
        <v>115</v>
      </c>
      <c r="I56" s="93" t="s">
        <v>85</v>
      </c>
      <c r="J56" s="86" t="s">
        <v>705</v>
      </c>
      <c r="K56" s="119" t="s">
        <v>4820</v>
      </c>
      <c r="L56" s="117">
        <f>IF(O56="","",N56*O56*M56)</f>
        <v>0</v>
      </c>
      <c r="M56" s="108">
        <v>1</v>
      </c>
      <c r="N56" s="95">
        <v>1</v>
      </c>
      <c r="O56" s="109">
        <f>IF(Key!D$1="ON",P56,IF(SUM(Q56:DL56)&lt;1,"",SUM(Q56:DL56)/COUNTIF(Q56:DL56,"&gt;0")))</f>
        <v>0</v>
      </c>
      <c r="P56" s="109">
        <f>SUMIFS(Q56:DK56,Q$1:DK$1,Dashboard!$K$31)</f>
        <v>0</v>
      </c>
      <c r="U56" s="95">
        <v>33</v>
      </c>
      <c r="AA56" s="95">
        <v>25</v>
      </c>
      <c r="AH56" s="95">
        <v>75</v>
      </c>
    </row>
    <row r="57" spans="1:34" ht="15.6" x14ac:dyDescent="0.3">
      <c r="A57" s="89" t="str">
        <f>CONCATENATE(D57,".",F57,"-",G57,".",H57,"")</f>
        <v>1.1-2.1</v>
      </c>
      <c r="B57" s="89" t="str">
        <f>IF(CONCATENATE(I57,Key!F$2)=CONCATENATE(INDEX(Dashboard!J:J,MATCH(I57,Dashboard!J:J,0),1),INDEX(Dashboard!J:K,MATCH(I57,Dashboard!J:J,0),2)),"ON",IF(Dashboard!K$32="ALL","ON","-"))</f>
        <v>-</v>
      </c>
      <c r="C57" s="88" t="s">
        <v>110</v>
      </c>
      <c r="D57" s="89">
        <f>IF(C57="ID",1,(IF(C57="PR",2,(IF(C57="DE",3,(IF(C57="RS",4,(IF(C57="RC",5,0)))))))))</f>
        <v>1</v>
      </c>
      <c r="E57" s="89" t="s">
        <v>111</v>
      </c>
      <c r="F57" s="89">
        <f>IF(E57="AM",1,(IF(E57="BE",2,(IF(E57="GV",3,(IF(E57="RA",4,(IF(E57="RM",5,(IF(E57="AC",1,(IF(E57="AT",2,(IF(E57="DS",3,(IF(E57="IP",4,(IF(E57="MA",5,(IF(E57="PT",6,(IF(E57="AE",1,(IF(E57="CM",2,(IF(E57="DP",3,(IF(E57="AN",1,(IF(E57="CO",2,(IF(E57="IM",3,(IF(E57="MI",4,(IF(E57="RP",5,(IF(E57="SC",6,0)))))))))))))))))))))))))))))))))))))))</f>
        <v>1</v>
      </c>
      <c r="G57" s="52">
        <v>2</v>
      </c>
      <c r="H57" s="90" t="s">
        <v>115</v>
      </c>
      <c r="I57" s="93" t="s">
        <v>85</v>
      </c>
      <c r="J57" s="87" t="s">
        <v>925</v>
      </c>
      <c r="K57" s="119" t="s">
        <v>4695</v>
      </c>
      <c r="L57" s="117">
        <f>IF(O57="","",N57*O57*M57)</f>
        <v>0</v>
      </c>
      <c r="M57" s="108">
        <v>1</v>
      </c>
      <c r="N57" s="95">
        <v>1</v>
      </c>
      <c r="O57" s="109">
        <f>IF(Key!D$1="ON",P57,IF(SUM(Q57:DL57)&lt;1,"",SUM(Q57:DL57)/COUNTIF(Q57:DL57,"&gt;0")))</f>
        <v>0</v>
      </c>
      <c r="P57" s="109">
        <f>SUMIFS(Q57:DK57,Q$1:DK$1,Dashboard!$K$31)</f>
        <v>0</v>
      </c>
      <c r="U57" s="95">
        <v>33</v>
      </c>
      <c r="AA57" s="95">
        <v>25</v>
      </c>
      <c r="AH57" s="95">
        <v>75</v>
      </c>
    </row>
    <row r="58" spans="1:34" ht="15.6" x14ac:dyDescent="0.3">
      <c r="A58" s="89" t="str">
        <f>CONCATENATE(D58,".",F58,"-",G58,".",H58,"")</f>
        <v>1.1-2.1</v>
      </c>
      <c r="B58" s="89" t="str">
        <f>IF(CONCATENATE(I58,Key!F$2)=CONCATENATE(INDEX(Dashboard!J:J,MATCH(I58,Dashboard!J:J,0),1),INDEX(Dashboard!J:K,MATCH(I58,Dashboard!J:J,0),2)),"ON",IF(Dashboard!K$32="ALL","ON","-"))</f>
        <v>-</v>
      </c>
      <c r="C58" s="88" t="s">
        <v>110</v>
      </c>
      <c r="D58" s="89">
        <f>IF(C58="ID",1,(IF(C58="PR",2,(IF(C58="DE",3,(IF(C58="RS",4,(IF(C58="RC",5,0)))))))))</f>
        <v>1</v>
      </c>
      <c r="E58" s="89" t="s">
        <v>111</v>
      </c>
      <c r="F58" s="89">
        <f>IF(E58="AM",1,(IF(E58="BE",2,(IF(E58="GV",3,(IF(E58="RA",4,(IF(E58="RM",5,(IF(E58="AC",1,(IF(E58="AT",2,(IF(E58="DS",3,(IF(E58="IP",4,(IF(E58="MA",5,(IF(E58="PT",6,(IF(E58="AE",1,(IF(E58="CM",2,(IF(E58="DP",3,(IF(E58="AN",1,(IF(E58="CO",2,(IF(E58="IM",3,(IF(E58="MI",4,(IF(E58="RP",5,(IF(E58="SC",6,0)))))))))))))))))))))))))))))))))))))))</f>
        <v>1</v>
      </c>
      <c r="G58" s="52">
        <v>2</v>
      </c>
      <c r="H58" s="90" t="s">
        <v>115</v>
      </c>
      <c r="I58" s="93" t="s">
        <v>92</v>
      </c>
      <c r="J58" s="88" t="s">
        <v>116</v>
      </c>
      <c r="K58" s="102" t="s">
        <v>5226</v>
      </c>
      <c r="L58" s="117">
        <f>IF(O58="","",N58*O58*M58)</f>
        <v>0</v>
      </c>
      <c r="M58" s="108">
        <v>1</v>
      </c>
      <c r="N58" s="95">
        <v>1</v>
      </c>
      <c r="O58" s="109">
        <f>IF(Key!D$1="ON",P58,IF(SUM(Q58:DL58)&lt;1,"",SUM(Q58:DL58)/COUNTIF(Q58:DL58,"&gt;0")))</f>
        <v>0</v>
      </c>
      <c r="P58" s="109">
        <f>SUMIFS(Q58:DK58,Q$1:DK$1,Dashboard!$K$31)</f>
        <v>0</v>
      </c>
      <c r="U58" s="95">
        <v>33</v>
      </c>
      <c r="AA58" s="95">
        <v>25</v>
      </c>
      <c r="AH58" s="95">
        <v>75</v>
      </c>
    </row>
    <row r="59" spans="1:34" ht="15.6" x14ac:dyDescent="0.3">
      <c r="A59" s="89" t="str">
        <f>CONCATENATE(D59,".",F59,"-",G59,".",H59,"")</f>
        <v>1.1-2.2</v>
      </c>
      <c r="B59" s="89" t="str">
        <f>IF(CONCATENATE(I59,Key!F$2)=CONCATENATE(INDEX(Dashboard!J:J,MATCH(I59,Dashboard!J:J,0),1),INDEX(Dashboard!J:K,MATCH(I59,Dashboard!J:J,0),2)),"ON",IF(Dashboard!K$32="ALL","ON","-"))</f>
        <v>-</v>
      </c>
      <c r="C59" s="88" t="s">
        <v>110</v>
      </c>
      <c r="D59" s="89">
        <f>IF(C59="ID",1,(IF(C59="PR",2,(IF(C59="DE",3,(IF(C59="RS",4,(IF(C59="RC",5,0)))))))))</f>
        <v>1</v>
      </c>
      <c r="E59" s="89" t="s">
        <v>111</v>
      </c>
      <c r="F59" s="89">
        <f>IF(E59="AM",1,(IF(E59="BE",2,(IF(E59="GV",3,(IF(E59="RA",4,(IF(E59="RM",5,(IF(E59="AC",1,(IF(E59="AT",2,(IF(E59="DS",3,(IF(E59="IP",4,(IF(E59="MA",5,(IF(E59="PT",6,(IF(E59="AE",1,(IF(E59="CM",2,(IF(E59="DP",3,(IF(E59="AN",1,(IF(E59="CO",2,(IF(E59="IM",3,(IF(E59="MI",4,(IF(E59="RP",5,(IF(E59="SC",6,0)))))))))))))))))))))))))))))))))))))))</f>
        <v>1</v>
      </c>
      <c r="G59" s="52">
        <v>2</v>
      </c>
      <c r="H59" s="90" t="s">
        <v>112</v>
      </c>
      <c r="I59" s="93" t="s">
        <v>60</v>
      </c>
      <c r="J59" s="87" t="s">
        <v>3122</v>
      </c>
      <c r="K59" s="51" t="s">
        <v>5235</v>
      </c>
      <c r="L59" s="117">
        <f>IF(O59="","",N59*O59*M59)</f>
        <v>0</v>
      </c>
      <c r="M59" s="108">
        <v>1</v>
      </c>
      <c r="N59" s="95">
        <v>1</v>
      </c>
      <c r="O59" s="109">
        <f>IF(Key!D$1="ON",P59,IF(SUM(Q59:DL59)&lt;1,"",SUM(Q59:DL59)/COUNTIF(Q59:DL59,"&gt;0")))</f>
        <v>0</v>
      </c>
      <c r="P59" s="109">
        <f>SUMIFS(Q59:DK59,Q$1:DK$1,Dashboard!$K$31)</f>
        <v>0</v>
      </c>
      <c r="U59" s="95">
        <v>33</v>
      </c>
      <c r="AA59" s="95">
        <v>25</v>
      </c>
      <c r="AH59" s="95">
        <v>75</v>
      </c>
    </row>
    <row r="60" spans="1:34" x14ac:dyDescent="0.3">
      <c r="A60" s="89" t="str">
        <f>CONCATENATE(D60,".",F60,"-",G60,".",H60,"")</f>
        <v>1.1-3.0</v>
      </c>
      <c r="B60" s="89" t="str">
        <f>IF(CONCATENATE(I60,Key!F$2)=CONCATENATE(INDEX(Dashboard!J:J,MATCH(I60,Dashboard!J:J,0),1),INDEX(Dashboard!J:K,MATCH(I60,Dashboard!J:J,0),2)),"ON",IF(Dashboard!K$32="ALL","ON","-"))</f>
        <v>-</v>
      </c>
      <c r="C60" s="96" t="s">
        <v>110</v>
      </c>
      <c r="D60" s="89">
        <f>IF(C60="ID",1,(IF(C60="PR",2,(IF(C60="DE",3,(IF(C60="RS",4,(IF(C60="RC",5,0)))))))))</f>
        <v>1</v>
      </c>
      <c r="E60" s="89" t="s">
        <v>111</v>
      </c>
      <c r="F60" s="89">
        <f>IF(E60="AM",1,(IF(E60="BE",2,(IF(E60="GV",3,(IF(E60="RA",4,(IF(E60="RM",5,(IF(E60="AC",1,(IF(E60="AT",2,(IF(E60="DS",3,(IF(E60="IP",4,(IF(E60="MA",5,(IF(E60="PT",6,(IF(E60="AE",1,(IF(E60="CM",2,(IF(E60="DP",3,(IF(E60="AN",1,(IF(E60="CO",2,(IF(E60="IM",3,(IF(E60="MI",4,(IF(E60="RP",5,(IF(E60="SC",6,0)))))))))))))))))))))))))))))))))))))))</f>
        <v>1</v>
      </c>
      <c r="G60" s="52">
        <v>3</v>
      </c>
      <c r="H60" s="90" t="s">
        <v>347</v>
      </c>
      <c r="I60" s="93" t="s">
        <v>2835</v>
      </c>
      <c r="J60" s="53" t="s">
        <v>2843</v>
      </c>
      <c r="K60" s="152" t="s">
        <v>2844</v>
      </c>
      <c r="L60" s="117">
        <f>IF(O60="","",N60*O60*M60)</f>
        <v>0</v>
      </c>
      <c r="M60" s="108">
        <v>1</v>
      </c>
      <c r="N60" s="95">
        <v>1</v>
      </c>
      <c r="O60" s="109">
        <f>IF(Key!D$1="ON",P60,IF(SUM(Q60:DL60)&lt;1,"",SUM(Q60:DL60)/COUNTIF(Q60:DL60,"&gt;0")))</f>
        <v>0</v>
      </c>
      <c r="P60" s="109">
        <f>SUMIFS(Q60:DK60,Q$1:DK$1,Dashboard!$K$31)</f>
        <v>0</v>
      </c>
      <c r="U60" s="95">
        <v>33</v>
      </c>
    </row>
    <row r="61" spans="1:34" ht="15.6" x14ac:dyDescent="0.3">
      <c r="A61" s="89" t="str">
        <f>CONCATENATE(D61,".",F61,"-",G61,".",H61,"")</f>
        <v>1.1-3.1</v>
      </c>
      <c r="B61" s="89" t="str">
        <f>IF(CONCATENATE(I61,Key!F$2)=CONCATENATE(INDEX(Dashboard!J:J,MATCH(I61,Dashboard!J:J,0),1),INDEX(Dashboard!J:K,MATCH(I61,Dashboard!J:J,0),2)),"ON",IF(Dashboard!K$32="ALL","ON","-"))</f>
        <v>ON</v>
      </c>
      <c r="C61" s="130" t="s">
        <v>110</v>
      </c>
      <c r="D61" s="89">
        <f>IF(C61="ID",1,(IF(C61="PR",2,(IF(C61="DE",3,(IF(C61="RS",4,(IF(C61="RC",5,0)))))))))</f>
        <v>1</v>
      </c>
      <c r="E61" s="95" t="s">
        <v>111</v>
      </c>
      <c r="F61" s="89">
        <f>IF(E61="AM",1,(IF(E61="BE",2,(IF(E61="GV",3,(IF(E61="RA",4,(IF(E61="RM",5,(IF(E61="AC",1,(IF(E61="AT",2,(IF(E61="DS",3,(IF(E61="IP",4,(IF(E61="MA",5,(IF(E61="PT",6,(IF(E61="AE",1,(IF(E61="CM",2,(IF(E61="DP",3,(IF(E61="AN",1,(IF(E61="CO",2,(IF(E61="IM",3,(IF(E61="MI",4,(IF(E61="RP",5,(IF(E61="SC",6,0)))))))))))))))))))))))))))))))))))))))</f>
        <v>1</v>
      </c>
      <c r="G61" s="52">
        <v>3</v>
      </c>
      <c r="H61" s="90" t="s">
        <v>115</v>
      </c>
      <c r="I61" s="93" t="s">
        <v>4107</v>
      </c>
      <c r="J61" s="86" t="s">
        <v>3949</v>
      </c>
      <c r="K61" s="101" t="s">
        <v>4115</v>
      </c>
      <c r="L61" s="117">
        <f>IF(O61="","",N61*O61*M61)</f>
        <v>0</v>
      </c>
      <c r="M61" s="108">
        <v>1</v>
      </c>
      <c r="N61" s="95">
        <v>1</v>
      </c>
      <c r="O61" s="109">
        <f>IF(Key!D$1="ON",P61,IF(SUM(Q61:DL61)&lt;1,"",SUM(Q61:DL61)/COUNTIF(Q61:DL61,"&gt;0")))</f>
        <v>0</v>
      </c>
      <c r="P61" s="109">
        <f>SUMIFS(Q61:DK61,Q$1:DK$1,Dashboard!$K$31)</f>
        <v>0</v>
      </c>
      <c r="U61" s="95">
        <v>33</v>
      </c>
      <c r="AA61" s="95">
        <v>25</v>
      </c>
      <c r="AH61" s="95">
        <v>75</v>
      </c>
    </row>
    <row r="62" spans="1:34" ht="15.6" x14ac:dyDescent="0.3">
      <c r="A62" s="89" t="str">
        <f>CONCATENATE(D62,".",F62,"-",G62,".",H62,"")</f>
        <v>1.1-3.1</v>
      </c>
      <c r="B62" s="89" t="str">
        <f>IF(CONCATENATE(I62,Key!F$2)=CONCATENATE(INDEX(Dashboard!J:J,MATCH(I62,Dashboard!J:J,0),1),INDEX(Dashboard!J:K,MATCH(I62,Dashboard!J:J,0),2)),"ON",IF(Dashboard!K$32="ALL","ON","-"))</f>
        <v>ON</v>
      </c>
      <c r="C62" s="130" t="s">
        <v>110</v>
      </c>
      <c r="D62" s="89">
        <f>IF(C62="ID",1,(IF(C62="PR",2,(IF(C62="DE",3,(IF(C62="RS",4,(IF(C62="RC",5,0)))))))))</f>
        <v>1</v>
      </c>
      <c r="E62" s="95" t="s">
        <v>111</v>
      </c>
      <c r="F62" s="89">
        <f>IF(E62="AM",1,(IF(E62="BE",2,(IF(E62="GV",3,(IF(E62="RA",4,(IF(E62="RM",5,(IF(E62="AC",1,(IF(E62="AT",2,(IF(E62="DS",3,(IF(E62="IP",4,(IF(E62="MA",5,(IF(E62="PT",6,(IF(E62="AE",1,(IF(E62="CM",2,(IF(E62="DP",3,(IF(E62="AN",1,(IF(E62="CO",2,(IF(E62="IM",3,(IF(E62="MI",4,(IF(E62="RP",5,(IF(E62="SC",6,0)))))))))))))))))))))))))))))))))))))))</f>
        <v>1</v>
      </c>
      <c r="G62" s="52">
        <v>3</v>
      </c>
      <c r="H62" s="90" t="s">
        <v>115</v>
      </c>
      <c r="I62" s="93" t="s">
        <v>4107</v>
      </c>
      <c r="J62" s="86" t="s">
        <v>3958</v>
      </c>
      <c r="K62" s="101" t="s">
        <v>4360</v>
      </c>
      <c r="L62" s="117">
        <f>IF(O62="","",N62*O62*M62)</f>
        <v>0</v>
      </c>
      <c r="M62" s="108">
        <v>1</v>
      </c>
      <c r="N62" s="95">
        <v>1</v>
      </c>
      <c r="O62" s="109">
        <f>IF(Key!D$1="ON",P62,IF(SUM(Q62:DL62)&lt;1,"",SUM(Q62:DL62)/COUNTIF(Q62:DL62,"&gt;0")))</f>
        <v>0</v>
      </c>
      <c r="P62" s="109">
        <f>SUMIFS(Q62:DK62,Q$1:DK$1,Dashboard!$K$31)</f>
        <v>0</v>
      </c>
      <c r="U62" s="95">
        <v>33</v>
      </c>
      <c r="AA62" s="95">
        <v>25</v>
      </c>
      <c r="AH62" s="95">
        <v>75</v>
      </c>
    </row>
    <row r="63" spans="1:34" ht="15.6" x14ac:dyDescent="0.3">
      <c r="A63" s="89" t="str">
        <f>CONCATENATE(D63,".",F63,"-",G63,".",H63,"")</f>
        <v>1.1-3.1</v>
      </c>
      <c r="B63" s="89" t="str">
        <f>IF(CONCATENATE(I63,Key!F$2)=CONCATENATE(INDEX(Dashboard!J:J,MATCH(I63,Dashboard!J:J,0),1),INDEX(Dashboard!J:K,MATCH(I63,Dashboard!J:J,0),2)),"ON",IF(Dashboard!K$32="ALL","ON","-"))</f>
        <v>-</v>
      </c>
      <c r="C63" s="96" t="s">
        <v>110</v>
      </c>
      <c r="D63" s="89">
        <f>IF(C63="ID",1,(IF(C63="PR",2,(IF(C63="DE",3,(IF(C63="RS",4,(IF(C63="RC",5,0)))))))))</f>
        <v>1</v>
      </c>
      <c r="E63" s="89" t="s">
        <v>111</v>
      </c>
      <c r="F63" s="89">
        <f>IF(E63="AM",1,(IF(E63="BE",2,(IF(E63="GV",3,(IF(E63="RA",4,(IF(E63="RM",5,(IF(E63="AC",1,(IF(E63="AT",2,(IF(E63="DS",3,(IF(E63="IP",4,(IF(E63="MA",5,(IF(E63="PT",6,(IF(E63="AE",1,(IF(E63="CM",2,(IF(E63="DP",3,(IF(E63="AN",1,(IF(E63="CO",2,(IF(E63="IM",3,(IF(E63="MI",4,(IF(E63="RP",5,(IF(E63="SC",6,0)))))))))))))))))))))))))))))))))))))))</f>
        <v>1</v>
      </c>
      <c r="G63" s="52">
        <v>3</v>
      </c>
      <c r="H63" s="99">
        <v>1</v>
      </c>
      <c r="I63" s="93" t="s">
        <v>41</v>
      </c>
      <c r="J63" s="86">
        <v>12.8</v>
      </c>
      <c r="K63" s="103" t="s">
        <v>3550</v>
      </c>
      <c r="L63" s="117">
        <f>IF(O63="","",N63*O63*M63)</f>
        <v>0</v>
      </c>
      <c r="M63" s="108">
        <v>1</v>
      </c>
      <c r="N63" s="95">
        <v>1</v>
      </c>
      <c r="O63" s="109">
        <f>IF(Key!D$1="ON",P63,IF(SUM(Q63:DL63)&lt;1,"",SUM(Q63:DL63)/COUNTIF(Q63:DL63,"&gt;0")))</f>
        <v>0</v>
      </c>
      <c r="P63" s="109">
        <f>SUMIFS(Q63:DK63,Q$1:DK$1,Dashboard!$K$31)</f>
        <v>0</v>
      </c>
      <c r="U63" s="95">
        <v>33</v>
      </c>
    </row>
    <row r="64" spans="1:34" ht="15.6" x14ac:dyDescent="0.3">
      <c r="A64" s="89" t="str">
        <f>CONCATENATE(D64,".",F64,"-",G64,".",H64,"")</f>
        <v>1.1-3.1</v>
      </c>
      <c r="B64" s="89" t="str">
        <f>IF(CONCATENATE(I64,Key!F$2)=CONCATENATE(INDEX(Dashboard!J:J,MATCH(I64,Dashboard!J:J,0),1),INDEX(Dashboard!J:K,MATCH(I64,Dashboard!J:J,0),2)),"ON",IF(Dashboard!K$32="ALL","ON","-"))</f>
        <v>-</v>
      </c>
      <c r="C64" s="96" t="s">
        <v>110</v>
      </c>
      <c r="D64" s="89">
        <f>IF(C64="ID",1,(IF(C64="PR",2,(IF(C64="DE",3,(IF(C64="RS",4,(IF(C64="RC",5,0)))))))))</f>
        <v>1</v>
      </c>
      <c r="E64" s="89" t="s">
        <v>111</v>
      </c>
      <c r="F64" s="89">
        <f>IF(E64="AM",1,(IF(E64="BE",2,(IF(E64="GV",3,(IF(E64="RA",4,(IF(E64="RM",5,(IF(E64="AC",1,(IF(E64="AT",2,(IF(E64="DS",3,(IF(E64="IP",4,(IF(E64="MA",5,(IF(E64="PT",6,(IF(E64="AE",1,(IF(E64="CM",2,(IF(E64="DP",3,(IF(E64="AN",1,(IF(E64="CO",2,(IF(E64="IM",3,(IF(E64="MI",4,(IF(E64="RP",5,(IF(E64="SC",6,0)))))))))))))))))))))))))))))))))))))))</f>
        <v>1</v>
      </c>
      <c r="G64" s="52">
        <v>3</v>
      </c>
      <c r="H64" s="99">
        <v>1</v>
      </c>
      <c r="I64" s="93" t="s">
        <v>41</v>
      </c>
      <c r="J64" s="86">
        <v>16.100000000000001</v>
      </c>
      <c r="K64" s="103" t="s">
        <v>3583</v>
      </c>
      <c r="L64" s="117">
        <f>IF(O64="","",N64*O64*M64)</f>
        <v>0</v>
      </c>
      <c r="M64" s="108">
        <v>1</v>
      </c>
      <c r="N64" s="95">
        <v>1</v>
      </c>
      <c r="O64" s="109">
        <f>IF(Key!D$1="ON",P64,IF(SUM(Q64:DL64)&lt;1,"",SUM(Q64:DL64)/COUNTIF(Q64:DL64,"&gt;0")))</f>
        <v>0</v>
      </c>
      <c r="P64" s="109">
        <f>SUMIFS(Q64:DK64,Q$1:DK$1,Dashboard!$K$31)</f>
        <v>0</v>
      </c>
      <c r="U64" s="95">
        <v>33</v>
      </c>
    </row>
    <row r="65" spans="1:34" ht="15.6" x14ac:dyDescent="0.3">
      <c r="A65" s="89" t="str">
        <f>CONCATENATE(D65,".",F65,"-",G65,".",H65,"")</f>
        <v>1.1-3.1</v>
      </c>
      <c r="B65" s="89" t="str">
        <f>IF(CONCATENATE(I65,Key!F$2)=CONCATENATE(INDEX(Dashboard!J:J,MATCH(I65,Dashboard!J:J,0),1),INDEX(Dashboard!J:K,MATCH(I65,Dashboard!J:J,0),2)),"ON",IF(Dashboard!K$32="ALL","ON","-"))</f>
        <v>-</v>
      </c>
      <c r="C65" s="88" t="s">
        <v>110</v>
      </c>
      <c r="D65" s="89">
        <f>IF(C65="ID",1,(IF(C65="PR",2,(IF(C65="DE",3,(IF(C65="RS",4,(IF(C65="RC",5,0)))))))))</f>
        <v>1</v>
      </c>
      <c r="E65" s="89" t="s">
        <v>111</v>
      </c>
      <c r="F65" s="89">
        <f>IF(E65="AM",1,(IF(E65="BE",2,(IF(E65="GV",3,(IF(E65="RA",4,(IF(E65="RM",5,(IF(E65="AC",1,(IF(E65="AT",2,(IF(E65="DS",3,(IF(E65="IP",4,(IF(E65="MA",5,(IF(E65="PT",6,(IF(E65="AE",1,(IF(E65="CM",2,(IF(E65="DP",3,(IF(E65="AN",1,(IF(E65="CO",2,(IF(E65="IM",3,(IF(E65="MI",4,(IF(E65="RP",5,(IF(E65="SC",6,0)))))))))))))))))))))))))))))))))))))))</f>
        <v>1</v>
      </c>
      <c r="G65" s="52">
        <v>3</v>
      </c>
      <c r="H65" s="90" t="s">
        <v>115</v>
      </c>
      <c r="I65" s="93" t="s">
        <v>60</v>
      </c>
      <c r="J65" s="87" t="s">
        <v>3123</v>
      </c>
      <c r="K65" s="51" t="s">
        <v>5236</v>
      </c>
      <c r="L65" s="117">
        <f>IF(O65="","",N65*O65*M65)</f>
        <v>0</v>
      </c>
      <c r="M65" s="108">
        <v>1</v>
      </c>
      <c r="N65" s="95">
        <v>1</v>
      </c>
      <c r="O65" s="109">
        <f>IF(Key!D$1="ON",P65,IF(SUM(Q65:DL65)&lt;1,"",SUM(Q65:DL65)/COUNTIF(Q65:DL65,"&gt;0")))</f>
        <v>0</v>
      </c>
      <c r="P65" s="109">
        <f>SUMIFS(Q65:DK65,Q$1:DK$1,Dashboard!$K$31)</f>
        <v>0</v>
      </c>
      <c r="U65" s="95">
        <v>33</v>
      </c>
      <c r="AA65" s="95">
        <v>25</v>
      </c>
      <c r="AH65" s="95">
        <v>75</v>
      </c>
    </row>
    <row r="66" spans="1:34" x14ac:dyDescent="0.3">
      <c r="A66" s="89" t="str">
        <f>CONCATENATE(D66,".",F66,"-",G66,".",H66,"")</f>
        <v>1.1-3.1</v>
      </c>
      <c r="B66" s="89" t="str">
        <f>IF(CONCATENATE(I66,Key!F$2)=CONCATENATE(INDEX(Dashboard!J:J,MATCH(I66,Dashboard!J:J,0),1),INDEX(Dashboard!J:K,MATCH(I66,Dashboard!J:J,0),2)),"ON",IF(Dashboard!K$32="ALL","ON","-"))</f>
        <v>-</v>
      </c>
      <c r="C66" s="88" t="s">
        <v>110</v>
      </c>
      <c r="D66" s="89">
        <f>IF(C66="ID",1,(IF(C66="PR",2,(IF(C66="DE",3,(IF(C66="RS",4,(IF(C66="RC",5,0)))))))))</f>
        <v>1</v>
      </c>
      <c r="E66" s="89" t="s">
        <v>111</v>
      </c>
      <c r="F66" s="89">
        <f>IF(E66="AM",1,(IF(E66="BE",2,(IF(E66="GV",3,(IF(E66="RA",4,(IF(E66="RM",5,(IF(E66="AC",1,(IF(E66="AT",2,(IF(E66="DS",3,(IF(E66="IP",4,(IF(E66="MA",5,(IF(E66="PT",6,(IF(E66="AE",1,(IF(E66="CM",2,(IF(E66="DP",3,(IF(E66="AN",1,(IF(E66="CO",2,(IF(E66="IM",3,(IF(E66="MI",4,(IF(E66="RP",5,(IF(E66="SC",6,0)))))))))))))))))))))))))))))))))))))))</f>
        <v>1</v>
      </c>
      <c r="G66" s="98">
        <v>3</v>
      </c>
      <c r="H66" s="99">
        <v>1</v>
      </c>
      <c r="I66" s="93" t="s">
        <v>73</v>
      </c>
      <c r="J66" s="86" t="s">
        <v>4114</v>
      </c>
      <c r="K66" s="107" t="s">
        <v>4252</v>
      </c>
      <c r="L66" s="117">
        <f>IF(O66="","",N66*O66*M66)</f>
        <v>0</v>
      </c>
      <c r="M66" s="108">
        <v>1</v>
      </c>
      <c r="N66" s="95">
        <v>1</v>
      </c>
      <c r="O66" s="109">
        <f>IF(Key!D$1="ON",P66,IF(SUM(Q66:DL66)&lt;1,"",SUM(Q66:DL66)/COUNTIF(Q66:DL66,"&gt;0")))</f>
        <v>0</v>
      </c>
      <c r="P66" s="109">
        <f>SUMIFS(Q66:DK66,Q$1:DK$1,Dashboard!$K$31)</f>
        <v>0</v>
      </c>
      <c r="U66" s="95">
        <v>33</v>
      </c>
      <c r="AA66" s="95">
        <v>25</v>
      </c>
      <c r="AH66" s="95">
        <v>75</v>
      </c>
    </row>
    <row r="67" spans="1:34" x14ac:dyDescent="0.3">
      <c r="A67" s="89" t="str">
        <f>CONCATENATE(D67,".",F67,"-",G67,".",H67,"")</f>
        <v>1.1-3.1</v>
      </c>
      <c r="B67" s="89" t="str">
        <f>IF(CONCATENATE(I67,Key!F$2)=CONCATENATE(INDEX(Dashboard!J:J,MATCH(I67,Dashboard!J:J,0),1),INDEX(Dashboard!J:K,MATCH(I67,Dashboard!J:J,0),2)),"ON",IF(Dashboard!K$32="ALL","ON","-"))</f>
        <v>-</v>
      </c>
      <c r="C67" s="88" t="s">
        <v>110</v>
      </c>
      <c r="D67" s="89">
        <f>IF(C67="ID",1,(IF(C67="PR",2,(IF(C67="DE",3,(IF(C67="RS",4,(IF(C67="RC",5,0)))))))))</f>
        <v>1</v>
      </c>
      <c r="E67" s="89" t="s">
        <v>111</v>
      </c>
      <c r="F67" s="89">
        <f>IF(E67="AM",1,(IF(E67="BE",2,(IF(E67="GV",3,(IF(E67="RA",4,(IF(E67="RM",5,(IF(E67="AC",1,(IF(E67="AT",2,(IF(E67="DS",3,(IF(E67="IP",4,(IF(E67="MA",5,(IF(E67="PT",6,(IF(E67="AE",1,(IF(E67="CM",2,(IF(E67="DP",3,(IF(E67="AN",1,(IF(E67="CO",2,(IF(E67="IM",3,(IF(E67="MI",4,(IF(E67="RP",5,(IF(E67="SC",6,0)))))))))))))))))))))))))))))))))))))))</f>
        <v>1</v>
      </c>
      <c r="G67" s="98">
        <v>3</v>
      </c>
      <c r="H67" s="99">
        <v>1</v>
      </c>
      <c r="I67" s="93" t="s">
        <v>73</v>
      </c>
      <c r="J67" s="86" t="s">
        <v>4216</v>
      </c>
      <c r="K67" s="107" t="s">
        <v>4332</v>
      </c>
      <c r="L67" s="117">
        <f>IF(O67="","",N67*O67*M67)</f>
        <v>0</v>
      </c>
      <c r="M67" s="108">
        <v>1</v>
      </c>
      <c r="N67" s="95">
        <v>1</v>
      </c>
      <c r="O67" s="109">
        <f>IF(Key!D$1="ON",P67,IF(SUM(Q67:DL67)&lt;1,"",SUM(Q67:DL67)/COUNTIF(Q67:DL67,"&gt;0")))</f>
        <v>0</v>
      </c>
      <c r="P67" s="109">
        <f>SUMIFS(Q67:DK67,Q$1:DK$1,Dashboard!$K$31)</f>
        <v>0</v>
      </c>
      <c r="U67" s="95">
        <v>33</v>
      </c>
      <c r="AA67" s="95">
        <v>25</v>
      </c>
      <c r="AH67" s="95">
        <v>75</v>
      </c>
    </row>
    <row r="68" spans="1:34" x14ac:dyDescent="0.3">
      <c r="A68" s="89" t="str">
        <f>CONCATENATE(D68,".",F68,"-",G68,".",H68,"")</f>
        <v>1.1-3.1</v>
      </c>
      <c r="B68" s="89" t="str">
        <f>IF(CONCATENATE(I68,Key!F$2)=CONCATENATE(INDEX(Dashboard!J:J,MATCH(I68,Dashboard!J:J,0),1),INDEX(Dashboard!J:K,MATCH(I68,Dashboard!J:J,0),2)),"ON",IF(Dashboard!K$32="ALL","ON","-"))</f>
        <v>-</v>
      </c>
      <c r="C68" s="88" t="s">
        <v>110</v>
      </c>
      <c r="D68" s="89">
        <f>IF(C68="ID",1,(IF(C68="PR",2,(IF(C68="DE",3,(IF(C68="RS",4,(IF(C68="RC",5,0)))))))))</f>
        <v>1</v>
      </c>
      <c r="E68" s="89" t="s">
        <v>111</v>
      </c>
      <c r="F68" s="89">
        <f>IF(E68="AM",1,(IF(E68="BE",2,(IF(E68="GV",3,(IF(E68="RA",4,(IF(E68="RM",5,(IF(E68="AC",1,(IF(E68="AT",2,(IF(E68="DS",3,(IF(E68="IP",4,(IF(E68="MA",5,(IF(E68="PT",6,(IF(E68="AE",1,(IF(E68="CM",2,(IF(E68="DP",3,(IF(E68="AN",1,(IF(E68="CO",2,(IF(E68="IM",3,(IF(E68="MI",4,(IF(E68="RP",5,(IF(E68="SC",6,0)))))))))))))))))))))))))))))))))))))))</f>
        <v>1</v>
      </c>
      <c r="G68" s="98">
        <v>3</v>
      </c>
      <c r="H68" s="90" t="s">
        <v>115</v>
      </c>
      <c r="I68" s="93" t="s">
        <v>77</v>
      </c>
      <c r="J68" s="87" t="s">
        <v>926</v>
      </c>
      <c r="K68" s="102" t="s">
        <v>2014</v>
      </c>
      <c r="L68" s="117">
        <f>IF(O68="","",N68*O68*M68)</f>
        <v>0</v>
      </c>
      <c r="M68" s="108">
        <v>1</v>
      </c>
      <c r="N68" s="95">
        <v>1</v>
      </c>
      <c r="O68" s="109">
        <f>IF(Key!D$1="ON",P68,IF(SUM(Q68:DL68)&lt;1,"",SUM(Q68:DL68)/COUNTIF(Q68:DL68,"&gt;0")))</f>
        <v>0</v>
      </c>
      <c r="P68" s="109">
        <f>SUMIFS(Q68:DK68,Q$1:DK$1,Dashboard!$K$31)</f>
        <v>0</v>
      </c>
      <c r="U68" s="95">
        <v>33</v>
      </c>
      <c r="AA68" s="95">
        <v>25</v>
      </c>
      <c r="AH68" s="95">
        <v>75</v>
      </c>
    </row>
    <row r="69" spans="1:34" x14ac:dyDescent="0.3">
      <c r="A69" s="89" t="str">
        <f>CONCATENATE(D69,".",F69,"-",G69,".",H69,"")</f>
        <v>1.1-3.1</v>
      </c>
      <c r="B69" s="89" t="str">
        <f>IF(CONCATENATE(I69,Key!F$2)=CONCATENATE(INDEX(Dashboard!J:J,MATCH(I69,Dashboard!J:J,0),1),INDEX(Dashboard!J:K,MATCH(I69,Dashboard!J:J,0),2)),"ON",IF(Dashboard!K$32="ALL","ON","-"))</f>
        <v>-</v>
      </c>
      <c r="C69" s="88" t="s">
        <v>110</v>
      </c>
      <c r="D69" s="89">
        <f>IF(C69="ID",1,(IF(C69="PR",2,(IF(C69="DE",3,(IF(C69="RS",4,(IF(C69="RC",5,0)))))))))</f>
        <v>1</v>
      </c>
      <c r="E69" s="89" t="s">
        <v>111</v>
      </c>
      <c r="F69" s="89">
        <f>IF(E69="AM",1,(IF(E69="BE",2,(IF(E69="GV",3,(IF(E69="RA",4,(IF(E69="RM",5,(IF(E69="AC",1,(IF(E69="AT",2,(IF(E69="DS",3,(IF(E69="IP",4,(IF(E69="MA",5,(IF(E69="PT",6,(IF(E69="AE",1,(IF(E69="CM",2,(IF(E69="DP",3,(IF(E69="AN",1,(IF(E69="CO",2,(IF(E69="IM",3,(IF(E69="MI",4,(IF(E69="RP",5,(IF(E69="SC",6,0)))))))))))))))))))))))))))))))))))))))</f>
        <v>1</v>
      </c>
      <c r="G69" s="98">
        <v>3</v>
      </c>
      <c r="H69" s="90" t="s">
        <v>115</v>
      </c>
      <c r="I69" s="93" t="s">
        <v>77</v>
      </c>
      <c r="J69" s="87" t="s">
        <v>927</v>
      </c>
      <c r="K69" s="102" t="s">
        <v>2015</v>
      </c>
      <c r="L69" s="117">
        <f>IF(O69="","",N69*O69*M69)</f>
        <v>0</v>
      </c>
      <c r="M69" s="108">
        <v>1</v>
      </c>
      <c r="N69" s="95">
        <v>1</v>
      </c>
      <c r="O69" s="109">
        <f>IF(Key!D$1="ON",P69,IF(SUM(Q69:DL69)&lt;1,"",SUM(Q69:DL69)/COUNTIF(Q69:DL69,"&gt;0")))</f>
        <v>0</v>
      </c>
      <c r="P69" s="109">
        <f>SUMIFS(Q69:DK69,Q$1:DK$1,Dashboard!$K$31)</f>
        <v>0</v>
      </c>
      <c r="U69" s="95">
        <v>33</v>
      </c>
      <c r="AA69" s="95">
        <v>25</v>
      </c>
      <c r="AH69" s="95">
        <v>75</v>
      </c>
    </row>
    <row r="70" spans="1:34" x14ac:dyDescent="0.3">
      <c r="A70" s="89" t="str">
        <f>CONCATENATE(D70,".",F70,"-",G70,".",H70,"")</f>
        <v>1.1-3.1</v>
      </c>
      <c r="B70" s="89" t="str">
        <f>IF(CONCATENATE(I70,Key!F$2)=CONCATENATE(INDEX(Dashboard!J:J,MATCH(I70,Dashboard!J:J,0),1),INDEX(Dashboard!J:K,MATCH(I70,Dashboard!J:J,0),2)),"ON",IF(Dashboard!K$32="ALL","ON","-"))</f>
        <v>-</v>
      </c>
      <c r="C70" s="96" t="s">
        <v>110</v>
      </c>
      <c r="D70" s="89">
        <f>IF(C70="ID",1,(IF(C70="PR",2,(IF(C70="DE",3,(IF(C70="RS",4,(IF(C70="RC",5,0)))))))))</f>
        <v>1</v>
      </c>
      <c r="E70" s="89" t="s">
        <v>111</v>
      </c>
      <c r="F70" s="89">
        <f>IF(E70="AM",1,(IF(E70="BE",2,(IF(E70="GV",3,(IF(E70="RA",4,(IF(E70="RM",5,(IF(E70="AC",1,(IF(E70="AT",2,(IF(E70="DS",3,(IF(E70="IP",4,(IF(E70="MA",5,(IF(E70="PT",6,(IF(E70="AE",1,(IF(E70="CM",2,(IF(E70="DP",3,(IF(E70="AN",1,(IF(E70="CO",2,(IF(E70="IM",3,(IF(E70="MI",4,(IF(E70="RP",5,(IF(E70="SC",6,0)))))))))))))))))))))))))))))))))))))))</f>
        <v>1</v>
      </c>
      <c r="G70" s="98">
        <v>3</v>
      </c>
      <c r="H70" s="90" t="s">
        <v>115</v>
      </c>
      <c r="I70" s="93" t="s">
        <v>77</v>
      </c>
      <c r="J70" s="87" t="s">
        <v>928</v>
      </c>
      <c r="K70" s="102" t="s">
        <v>2016</v>
      </c>
      <c r="L70" s="117">
        <f>IF(O70="","",N70*O70*M70)</f>
        <v>0</v>
      </c>
      <c r="M70" s="108">
        <v>1</v>
      </c>
      <c r="N70" s="95">
        <v>1</v>
      </c>
      <c r="O70" s="109">
        <f>IF(Key!D$1="ON",P70,IF(SUM(Q70:DL70)&lt;1,"",SUM(Q70:DL70)/COUNTIF(Q70:DL70,"&gt;0")))</f>
        <v>0</v>
      </c>
      <c r="P70" s="109">
        <f>SUMIFS(Q70:DK70,Q$1:DK$1,Dashboard!$K$31)</f>
        <v>0</v>
      </c>
      <c r="U70" s="95">
        <v>33</v>
      </c>
      <c r="AA70" s="95">
        <v>25</v>
      </c>
      <c r="AH70" s="95">
        <v>75</v>
      </c>
    </row>
    <row r="71" spans="1:34" x14ac:dyDescent="0.3">
      <c r="A71" s="89" t="str">
        <f>CONCATENATE(D71,".",F71,"-",G71,".",H71,"")</f>
        <v>1.1-3.1</v>
      </c>
      <c r="B71" s="89" t="str">
        <f>IF(CONCATENATE(I71,Key!F$2)=CONCATENATE(INDEX(Dashboard!J:J,MATCH(I71,Dashboard!J:J,0),1),INDEX(Dashboard!J:K,MATCH(I71,Dashboard!J:J,0),2)),"ON",IF(Dashboard!K$32="ALL","ON","-"))</f>
        <v>-</v>
      </c>
      <c r="C71" s="88" t="s">
        <v>110</v>
      </c>
      <c r="D71" s="89">
        <f>IF(C71="ID",1,(IF(C71="PR",2,(IF(C71="DE",3,(IF(C71="RS",4,(IF(C71="RC",5,0)))))))))</f>
        <v>1</v>
      </c>
      <c r="E71" s="89" t="s">
        <v>111</v>
      </c>
      <c r="F71" s="89">
        <f>IF(E71="AM",1,(IF(E71="BE",2,(IF(E71="GV",3,(IF(E71="RA",4,(IF(E71="RM",5,(IF(E71="AC",1,(IF(E71="AT",2,(IF(E71="DS",3,(IF(E71="IP",4,(IF(E71="MA",5,(IF(E71="PT",6,(IF(E71="AE",1,(IF(E71="CM",2,(IF(E71="DP",3,(IF(E71="AN",1,(IF(E71="CO",2,(IF(E71="IM",3,(IF(E71="MI",4,(IF(E71="RP",5,(IF(E71="SC",6,0)))))))))))))))))))))))))))))))))))))))</f>
        <v>1</v>
      </c>
      <c r="G71" s="98">
        <v>3</v>
      </c>
      <c r="H71" s="90" t="s">
        <v>115</v>
      </c>
      <c r="I71" s="93" t="s">
        <v>85</v>
      </c>
      <c r="J71" s="87" t="s">
        <v>926</v>
      </c>
      <c r="K71" s="119" t="s">
        <v>4527</v>
      </c>
      <c r="L71" s="117">
        <f>IF(O71="","",N71*O71*M71)</f>
        <v>0</v>
      </c>
      <c r="M71" s="108">
        <v>1</v>
      </c>
      <c r="N71" s="95">
        <v>1</v>
      </c>
      <c r="O71" s="109">
        <f>IF(Key!D$1="ON",P71,IF(SUM(Q71:DL71)&lt;1,"",SUM(Q71:DL71)/COUNTIF(Q71:DL71,"&gt;0")))</f>
        <v>0</v>
      </c>
      <c r="P71" s="109">
        <f>SUMIFS(Q71:DK71,Q$1:DK$1,Dashboard!$K$31)</f>
        <v>0</v>
      </c>
      <c r="U71" s="95">
        <v>33</v>
      </c>
      <c r="AA71" s="95">
        <v>25</v>
      </c>
      <c r="AH71" s="95">
        <v>75</v>
      </c>
    </row>
    <row r="72" spans="1:34" ht="15.6" x14ac:dyDescent="0.3">
      <c r="A72" s="89" t="str">
        <f>CONCATENATE(D72,".",F72,"-",G72,".",H72,"")</f>
        <v>1.1-3.1</v>
      </c>
      <c r="B72" s="89" t="str">
        <f>IF(CONCATENATE(I72,Key!F$2)=CONCATENATE(INDEX(Dashboard!J:J,MATCH(I72,Dashboard!J:J,0),1),INDEX(Dashboard!J:K,MATCH(I72,Dashboard!J:J,0),2)),"ON",IF(Dashboard!K$32="ALL","ON","-"))</f>
        <v>-</v>
      </c>
      <c r="C72" s="88" t="s">
        <v>110</v>
      </c>
      <c r="D72" s="89">
        <f>IF(C72="ID",1,(IF(C72="PR",2,(IF(C72="DE",3,(IF(C72="RS",4,(IF(C72="RC",5,0)))))))))</f>
        <v>1</v>
      </c>
      <c r="E72" s="89" t="s">
        <v>111</v>
      </c>
      <c r="F72" s="89">
        <f>IF(E72="AM",1,(IF(E72="BE",2,(IF(E72="GV",3,(IF(E72="RA",4,(IF(E72="RM",5,(IF(E72="AC",1,(IF(E72="AT",2,(IF(E72="DS",3,(IF(E72="IP",4,(IF(E72="MA",5,(IF(E72="PT",6,(IF(E72="AE",1,(IF(E72="CM",2,(IF(E72="DP",3,(IF(E72="AN",1,(IF(E72="CO",2,(IF(E72="IM",3,(IF(E72="MI",4,(IF(E72="RP",5,(IF(E72="SC",6,0)))))))))))))))))))))))))))))))))))))))</f>
        <v>1</v>
      </c>
      <c r="G72" s="98">
        <v>3</v>
      </c>
      <c r="H72" s="90" t="s">
        <v>115</v>
      </c>
      <c r="I72" s="93" t="s">
        <v>85</v>
      </c>
      <c r="J72" s="87" t="s">
        <v>927</v>
      </c>
      <c r="K72" s="119" t="s">
        <v>4520</v>
      </c>
      <c r="L72" s="117">
        <f>IF(O72="","",N72*O72*M72)</f>
        <v>0</v>
      </c>
      <c r="M72" s="108">
        <v>1</v>
      </c>
      <c r="N72" s="95">
        <v>1</v>
      </c>
      <c r="O72" s="109">
        <f>IF(Key!D$1="ON",P72,IF(SUM(Q72:DL72)&lt;1,"",SUM(Q72:DL72)/COUNTIF(Q72:DL72,"&gt;0")))</f>
        <v>0</v>
      </c>
      <c r="P72" s="109">
        <f>SUMIFS(Q72:DK72,Q$1:DK$1,Dashboard!$K$31)</f>
        <v>0</v>
      </c>
      <c r="U72" s="95">
        <v>33</v>
      </c>
      <c r="AA72" s="95">
        <v>25</v>
      </c>
      <c r="AH72" s="95">
        <v>75</v>
      </c>
    </row>
    <row r="73" spans="1:34" ht="15.6" x14ac:dyDescent="0.3">
      <c r="A73" s="89" t="str">
        <f>CONCATENATE(D73,".",F73,"-",G73,".",H73,"")</f>
        <v>1.1-3.1</v>
      </c>
      <c r="B73" s="89" t="str">
        <f>IF(CONCATENATE(I73,Key!F$2)=CONCATENATE(INDEX(Dashboard!J:J,MATCH(I73,Dashboard!J:J,0),1),INDEX(Dashboard!J:K,MATCH(I73,Dashboard!J:J,0),2)),"ON",IF(Dashboard!K$32="ALL","ON","-"))</f>
        <v>-</v>
      </c>
      <c r="C73" s="96" t="s">
        <v>110</v>
      </c>
      <c r="D73" s="89">
        <f>IF(C73="ID",1,(IF(C73="PR",2,(IF(C73="DE",3,(IF(C73="RS",4,(IF(C73="RC",5,0)))))))))</f>
        <v>1</v>
      </c>
      <c r="E73" s="89" t="s">
        <v>111</v>
      </c>
      <c r="F73" s="89">
        <f>IF(E73="AM",1,(IF(E73="BE",2,(IF(E73="GV",3,(IF(E73="RA",4,(IF(E73="RM",5,(IF(E73="AC",1,(IF(E73="AT",2,(IF(E73="DS",3,(IF(E73="IP",4,(IF(E73="MA",5,(IF(E73="PT",6,(IF(E73="AE",1,(IF(E73="CM",2,(IF(E73="DP",3,(IF(E73="AN",1,(IF(E73="CO",2,(IF(E73="IM",3,(IF(E73="MI",4,(IF(E73="RP",5,(IF(E73="SC",6,0)))))))))))))))))))))))))))))))))))))))</f>
        <v>1</v>
      </c>
      <c r="G73" s="98">
        <v>3</v>
      </c>
      <c r="H73" s="90" t="s">
        <v>115</v>
      </c>
      <c r="I73" s="93" t="s">
        <v>85</v>
      </c>
      <c r="J73" s="87" t="s">
        <v>928</v>
      </c>
      <c r="K73" s="119" t="s">
        <v>929</v>
      </c>
      <c r="L73" s="117">
        <f>IF(O73="","",N73*O73*M73)</f>
        <v>0</v>
      </c>
      <c r="M73" s="108">
        <v>1</v>
      </c>
      <c r="N73" s="95">
        <v>1</v>
      </c>
      <c r="O73" s="109">
        <f>IF(Key!D$1="ON",P73,IF(SUM(Q73:DL73)&lt;1,"",SUM(Q73:DL73)/COUNTIF(Q73:DL73,"&gt;0")))</f>
        <v>0</v>
      </c>
      <c r="P73" s="109">
        <f>SUMIFS(Q73:DK73,Q$1:DK$1,Dashboard!$K$31)</f>
        <v>0</v>
      </c>
      <c r="U73" s="95">
        <v>33</v>
      </c>
      <c r="AA73" s="95">
        <v>25</v>
      </c>
      <c r="AH73" s="95">
        <v>75</v>
      </c>
    </row>
    <row r="74" spans="1:34" ht="15.6" x14ac:dyDescent="0.3">
      <c r="A74" s="89" t="str">
        <f>CONCATENATE(D74,".",F74,"-",G74,".",H74,"")</f>
        <v>1.1-3.1</v>
      </c>
      <c r="B74" s="89" t="str">
        <f>IF(CONCATENATE(I74,Key!F$2)=CONCATENATE(INDEX(Dashboard!J:J,MATCH(I74,Dashboard!J:J,0),1),INDEX(Dashboard!J:K,MATCH(I74,Dashboard!J:J,0),2)),"ON",IF(Dashboard!K$32="ALL","ON","-"))</f>
        <v>-</v>
      </c>
      <c r="C74" s="88" t="s">
        <v>110</v>
      </c>
      <c r="D74" s="89">
        <f>IF(C74="ID",1,(IF(C74="PR",2,(IF(C74="DE",3,(IF(C74="RS",4,(IF(C74="RC",5,0)))))))))</f>
        <v>1</v>
      </c>
      <c r="E74" s="89" t="s">
        <v>111</v>
      </c>
      <c r="F74" s="89">
        <f>IF(E74="AM",1,(IF(E74="BE",2,(IF(E74="GV",3,(IF(E74="RA",4,(IF(E74="RM",5,(IF(E74="AC",1,(IF(E74="AT",2,(IF(E74="DS",3,(IF(E74="IP",4,(IF(E74="MA",5,(IF(E74="PT",6,(IF(E74="AE",1,(IF(E74="CM",2,(IF(E74="DP",3,(IF(E74="AN",1,(IF(E74="CO",2,(IF(E74="IM",3,(IF(E74="MI",4,(IF(E74="RP",5,(IF(E74="SC",6,0)))))))))))))))))))))))))))))))))))))))</f>
        <v>1</v>
      </c>
      <c r="G74" s="52">
        <v>3</v>
      </c>
      <c r="H74" s="90" t="s">
        <v>115</v>
      </c>
      <c r="I74" s="93" t="s">
        <v>92</v>
      </c>
      <c r="J74" s="88" t="s">
        <v>117</v>
      </c>
      <c r="K74" s="102" t="s">
        <v>5226</v>
      </c>
      <c r="L74" s="117">
        <f>IF(O74="","",N74*O74*M74)</f>
        <v>0</v>
      </c>
      <c r="M74" s="108">
        <v>1</v>
      </c>
      <c r="N74" s="95">
        <v>1</v>
      </c>
      <c r="O74" s="109">
        <f>IF(Key!D$1="ON",P74,IF(SUM(Q74:DL74)&lt;1,"",SUM(Q74:DL74)/COUNTIF(Q74:DL74,"&gt;0")))</f>
        <v>0</v>
      </c>
      <c r="P74" s="109">
        <f>SUMIFS(Q74:DK74,Q$1:DK$1,Dashboard!$K$31)</f>
        <v>0</v>
      </c>
      <c r="U74" s="95">
        <v>33</v>
      </c>
      <c r="AA74" s="95">
        <v>25</v>
      </c>
      <c r="AH74" s="95">
        <v>75</v>
      </c>
    </row>
    <row r="75" spans="1:34" ht="15.6" x14ac:dyDescent="0.3">
      <c r="A75" s="89" t="str">
        <f>CONCATENATE(D75,".",F75,"-",G75,".",H75,"")</f>
        <v>1.1-3.1</v>
      </c>
      <c r="B75" s="89" t="str">
        <f>IF(CONCATENATE(I75,Key!F$2)=CONCATENATE(INDEX(Dashboard!J:J,MATCH(I75,Dashboard!J:J,0),1),INDEX(Dashboard!J:K,MATCH(I75,Dashboard!J:J,0),2)),"ON",IF(Dashboard!K$32="ALL","ON","-"))</f>
        <v>-</v>
      </c>
      <c r="C75" s="88" t="s">
        <v>110</v>
      </c>
      <c r="D75" s="89">
        <f>IF(C75="ID",1,(IF(C75="PR",2,(IF(C75="DE",3,(IF(C75="RS",4,(IF(C75="RC",5,0)))))))))</f>
        <v>1</v>
      </c>
      <c r="E75" s="89" t="s">
        <v>111</v>
      </c>
      <c r="F75" s="89">
        <f>IF(E75="AM",1,(IF(E75="BE",2,(IF(E75="GV",3,(IF(E75="RA",4,(IF(E75="RM",5,(IF(E75="AC",1,(IF(E75="AT",2,(IF(E75="DS",3,(IF(E75="IP",4,(IF(E75="MA",5,(IF(E75="PT",6,(IF(E75="AE",1,(IF(E75="CM",2,(IF(E75="DP",3,(IF(E75="AN",1,(IF(E75="CO",2,(IF(E75="IM",3,(IF(E75="MI",4,(IF(E75="RP",5,(IF(E75="SC",6,0)))))))))))))))))))))))))))))))))))))))</f>
        <v>1</v>
      </c>
      <c r="G75" s="52">
        <v>3</v>
      </c>
      <c r="H75" s="90" t="s">
        <v>115</v>
      </c>
      <c r="I75" s="93" t="s">
        <v>92</v>
      </c>
      <c r="J75" s="88" t="s">
        <v>118</v>
      </c>
      <c r="K75" s="102" t="s">
        <v>5226</v>
      </c>
      <c r="L75" s="117">
        <f>IF(O75="","",N75*O75*M75)</f>
        <v>0</v>
      </c>
      <c r="M75" s="108">
        <v>1</v>
      </c>
      <c r="N75" s="95">
        <v>1</v>
      </c>
      <c r="O75" s="109">
        <f>IF(Key!D$1="ON",P75,IF(SUM(Q75:DL75)&lt;1,"",SUM(Q75:DL75)/COUNTIF(Q75:DL75,"&gt;0")))</f>
        <v>0</v>
      </c>
      <c r="P75" s="109">
        <f>SUMIFS(Q75:DK75,Q$1:DK$1,Dashboard!$K$31)</f>
        <v>0</v>
      </c>
      <c r="U75" s="95">
        <v>33</v>
      </c>
      <c r="AA75" s="95">
        <v>25</v>
      </c>
      <c r="AH75" s="95">
        <v>75</v>
      </c>
    </row>
    <row r="76" spans="1:34" ht="15.6" x14ac:dyDescent="0.3">
      <c r="A76" s="89" t="str">
        <f>CONCATENATE(D76,".",F76,"-",G76,".",H76,"")</f>
        <v>1.1-3.1</v>
      </c>
      <c r="B76" s="89" t="str">
        <f>IF(CONCATENATE(I76,Key!F$2)=CONCATENATE(INDEX(Dashboard!J:J,MATCH(I76,Dashboard!J:J,0),1),INDEX(Dashboard!J:K,MATCH(I76,Dashboard!J:J,0),2)),"ON",IF(Dashboard!K$32="ALL","ON","-"))</f>
        <v>-</v>
      </c>
      <c r="C76" s="96" t="s">
        <v>110</v>
      </c>
      <c r="D76" s="89">
        <f>IF(C76="ID",1,(IF(C76="PR",2,(IF(C76="DE",3,(IF(C76="RS",4,(IF(C76="RC",5,0)))))))))</f>
        <v>1</v>
      </c>
      <c r="E76" s="89" t="s">
        <v>111</v>
      </c>
      <c r="F76" s="89">
        <f>IF(E76="AM",1,(IF(E76="BE",2,(IF(E76="GV",3,(IF(E76="RA",4,(IF(E76="RM",5,(IF(E76="AC",1,(IF(E76="AT",2,(IF(E76="DS",3,(IF(E76="IP",4,(IF(E76="MA",5,(IF(E76="PT",6,(IF(E76="AE",1,(IF(E76="CM",2,(IF(E76="DP",3,(IF(E76="AN",1,(IF(E76="CO",2,(IF(E76="IM",3,(IF(E76="MI",4,(IF(E76="RP",5,(IF(E76="SC",6,0)))))))))))))))))))))))))))))))))))))))</f>
        <v>1</v>
      </c>
      <c r="G76" s="98">
        <v>3</v>
      </c>
      <c r="H76" s="90" t="s">
        <v>115</v>
      </c>
      <c r="I76" s="93" t="s">
        <v>92</v>
      </c>
      <c r="J76" s="88" t="s">
        <v>119</v>
      </c>
      <c r="K76" s="102" t="s">
        <v>5226</v>
      </c>
      <c r="L76" s="117">
        <f>IF(O76="","",N76*O76*M76)</f>
        <v>0</v>
      </c>
      <c r="M76" s="108">
        <v>1</v>
      </c>
      <c r="N76" s="95">
        <v>1</v>
      </c>
      <c r="O76" s="109">
        <f>IF(Key!D$1="ON",P76,IF(SUM(Q76:DL76)&lt;1,"",SUM(Q76:DL76)/COUNTIF(Q76:DL76,"&gt;0")))</f>
        <v>0</v>
      </c>
      <c r="P76" s="109">
        <f>SUMIFS(Q76:DK76,Q$1:DK$1,Dashboard!$K$31)</f>
        <v>0</v>
      </c>
      <c r="U76" s="95">
        <v>33</v>
      </c>
      <c r="AA76" s="95">
        <v>25</v>
      </c>
      <c r="AH76" s="95">
        <v>75</v>
      </c>
    </row>
    <row r="77" spans="1:34" ht="15.6" x14ac:dyDescent="0.3">
      <c r="A77" s="89" t="str">
        <f>CONCATENATE(D77,".",F77,"-",G77,".",H77,"")</f>
        <v>1.1-4.0</v>
      </c>
      <c r="B77" s="89" t="str">
        <f>IF(CONCATENATE(I77,Key!F$2)=CONCATENATE(INDEX(Dashboard!J:J,MATCH(I77,Dashboard!J:J,0),1),INDEX(Dashboard!J:K,MATCH(I77,Dashboard!J:J,0),2)),"ON",IF(Dashboard!K$32="ALL","ON","-"))</f>
        <v>-</v>
      </c>
      <c r="C77" s="96" t="s">
        <v>110</v>
      </c>
      <c r="D77" s="89">
        <f>IF(C77="ID",1,(IF(C77="PR",2,(IF(C77="DE",3,(IF(C77="RS",4,(IF(C77="RC",5,0)))))))))</f>
        <v>1</v>
      </c>
      <c r="E77" s="89" t="s">
        <v>111</v>
      </c>
      <c r="F77" s="89">
        <f>IF(E77="AM",1,(IF(E77="BE",2,(IF(E77="GV",3,(IF(E77="RA",4,(IF(E77="RM",5,(IF(E77="AC",1,(IF(E77="AT",2,(IF(E77="DS",3,(IF(E77="IP",4,(IF(E77="MA",5,(IF(E77="PT",6,(IF(E77="AE",1,(IF(E77="CM",2,(IF(E77="DP",3,(IF(E77="AN",1,(IF(E77="CO",2,(IF(E77="IM",3,(IF(E77="MI",4,(IF(E77="RP",5,(IF(E77="SC",6,0)))))))))))))))))))))))))))))))))))))))</f>
        <v>1</v>
      </c>
      <c r="G77" s="52">
        <v>4</v>
      </c>
      <c r="H77" s="90" t="s">
        <v>347</v>
      </c>
      <c r="I77" s="93" t="s">
        <v>2835</v>
      </c>
      <c r="J77" s="53" t="s">
        <v>2845</v>
      </c>
      <c r="K77" s="152" t="s">
        <v>2846</v>
      </c>
      <c r="L77" s="117">
        <f>IF(O77="","",N77*O77*M77)</f>
        <v>0</v>
      </c>
      <c r="M77" s="108">
        <v>1</v>
      </c>
      <c r="N77" s="95">
        <v>1</v>
      </c>
      <c r="O77" s="109">
        <f>IF(Key!D$1="ON",P77,IF(SUM(Q77:DL77)&lt;1,"",SUM(Q77:DL77)/COUNTIF(Q77:DL77,"&gt;0")))</f>
        <v>0</v>
      </c>
      <c r="P77" s="109">
        <f>SUMIFS(Q77:DK77,Q$1:DK$1,Dashboard!$K$31)</f>
        <v>0</v>
      </c>
      <c r="U77" s="95">
        <v>33</v>
      </c>
    </row>
    <row r="78" spans="1:34" ht="15.6" x14ac:dyDescent="0.3">
      <c r="A78" s="89" t="str">
        <f>CONCATENATE(D78,".",F78,"-",G78,".",H78,"")</f>
        <v>1.1-4.1</v>
      </c>
      <c r="B78" s="89" t="str">
        <f>IF(CONCATENATE(I78,Key!F$2)=CONCATENATE(INDEX(Dashboard!J:J,MATCH(I78,Dashboard!J:J,0),1),INDEX(Dashboard!J:K,MATCH(I78,Dashboard!J:J,0),2)),"ON",IF(Dashboard!K$32="ALL","ON","-"))</f>
        <v>ON</v>
      </c>
      <c r="C78" s="130" t="s">
        <v>110</v>
      </c>
      <c r="D78" s="89">
        <f>IF(C78="ID",1,(IF(C78="PR",2,(IF(C78="DE",3,(IF(C78="RS",4,(IF(C78="RC",5,0)))))))))</f>
        <v>1</v>
      </c>
      <c r="E78" s="95" t="s">
        <v>111</v>
      </c>
      <c r="F78" s="89">
        <f>IF(E78="AM",1,(IF(E78="BE",2,(IF(E78="GV",3,(IF(E78="RA",4,(IF(E78="RM",5,(IF(E78="AC",1,(IF(E78="AT",2,(IF(E78="DS",3,(IF(E78="IP",4,(IF(E78="MA",5,(IF(E78="PT",6,(IF(E78="AE",1,(IF(E78="CM",2,(IF(E78="DP",3,(IF(E78="AN",1,(IF(E78="CO",2,(IF(E78="IM",3,(IF(E78="MI",4,(IF(E78="RP",5,(IF(E78="SC",6,0)))))))))))))))))))))))))))))))))))))))</f>
        <v>1</v>
      </c>
      <c r="G78" s="52">
        <v>4</v>
      </c>
      <c r="H78" s="90" t="s">
        <v>115</v>
      </c>
      <c r="I78" s="93" t="s">
        <v>4107</v>
      </c>
      <c r="J78" s="86" t="s">
        <v>3938</v>
      </c>
      <c r="K78" s="101" t="s">
        <v>4142</v>
      </c>
      <c r="L78" s="117">
        <f>IF(O78="","",N78*O78*M78)</f>
        <v>0</v>
      </c>
      <c r="M78" s="108">
        <v>1</v>
      </c>
      <c r="N78" s="95">
        <v>1</v>
      </c>
      <c r="O78" s="109">
        <f>IF(Key!D$1="ON",P78,IF(SUM(Q78:DL78)&lt;1,"",SUM(Q78:DL78)/COUNTIF(Q78:DL78,"&gt;0")))</f>
        <v>0</v>
      </c>
      <c r="P78" s="109">
        <f>SUMIFS(Q78:DK78,Q$1:DK$1,Dashboard!$K$31)</f>
        <v>0</v>
      </c>
      <c r="U78" s="95">
        <v>33</v>
      </c>
      <c r="AA78" s="95">
        <v>25</v>
      </c>
      <c r="AH78" s="95">
        <v>75</v>
      </c>
    </row>
    <row r="79" spans="1:34" ht="15.6" x14ac:dyDescent="0.3">
      <c r="A79" s="89" t="str">
        <f>CONCATENATE(D79,".",F79,"-",G79,".",H79,"")</f>
        <v>1.1-4.1</v>
      </c>
      <c r="B79" s="89" t="str">
        <f>IF(CONCATENATE(I79,Key!F$2)=CONCATENATE(INDEX(Dashboard!J:J,MATCH(I79,Dashboard!J:J,0),1),INDEX(Dashboard!J:K,MATCH(I79,Dashboard!J:J,0),2)),"ON",IF(Dashboard!K$32="ALL","ON","-"))</f>
        <v>ON</v>
      </c>
      <c r="C79" s="130" t="s">
        <v>110</v>
      </c>
      <c r="D79" s="89">
        <f>IF(C79="ID",1,(IF(C79="PR",2,(IF(C79="DE",3,(IF(C79="RS",4,(IF(C79="RC",5,0)))))))))</f>
        <v>1</v>
      </c>
      <c r="E79" s="95" t="s">
        <v>111</v>
      </c>
      <c r="F79" s="89">
        <f>IF(E79="AM",1,(IF(E79="BE",2,(IF(E79="GV",3,(IF(E79="RA",4,(IF(E79="RM",5,(IF(E79="AC",1,(IF(E79="AT",2,(IF(E79="DS",3,(IF(E79="IP",4,(IF(E79="MA",5,(IF(E79="PT",6,(IF(E79="AE",1,(IF(E79="CM",2,(IF(E79="DP",3,(IF(E79="AN",1,(IF(E79="CO",2,(IF(E79="IM",3,(IF(E79="MI",4,(IF(E79="RP",5,(IF(E79="SC",6,0)))))))))))))))))))))))))))))))))))))))</f>
        <v>1</v>
      </c>
      <c r="G79" s="52">
        <v>4</v>
      </c>
      <c r="H79" s="90" t="s">
        <v>115</v>
      </c>
      <c r="I79" s="93" t="s">
        <v>4107</v>
      </c>
      <c r="J79" s="86" t="s">
        <v>3941</v>
      </c>
      <c r="K79" s="101" t="s">
        <v>4355</v>
      </c>
      <c r="L79" s="117">
        <f>IF(O79="","",N79*O79*M79)</f>
        <v>0</v>
      </c>
      <c r="M79" s="108">
        <v>1</v>
      </c>
      <c r="N79" s="95">
        <v>1</v>
      </c>
      <c r="O79" s="109">
        <f>IF(Key!D$1="ON",P79,IF(SUM(Q79:DL79)&lt;1,"",SUM(Q79:DL79)/COUNTIF(Q79:DL79,"&gt;0")))</f>
        <v>0</v>
      </c>
      <c r="P79" s="109">
        <f>SUMIFS(Q79:DK79,Q$1:DK$1,Dashboard!$K$31)</f>
        <v>0</v>
      </c>
      <c r="U79" s="95">
        <v>33</v>
      </c>
      <c r="AA79" s="95">
        <v>25</v>
      </c>
      <c r="AH79" s="95">
        <v>75</v>
      </c>
    </row>
    <row r="80" spans="1:34" ht="15.6" x14ac:dyDescent="0.3">
      <c r="A80" s="89" t="str">
        <f>CONCATENATE(D80,".",F80,"-",G80,".",H80,"")</f>
        <v>1.1-4.1</v>
      </c>
      <c r="B80" s="89" t="str">
        <f>IF(CONCATENATE(I80,Key!F$2)=CONCATENATE(INDEX(Dashboard!J:J,MATCH(I80,Dashboard!J:J,0),1),INDEX(Dashboard!J:K,MATCH(I80,Dashboard!J:J,0),2)),"ON",IF(Dashboard!K$32="ALL","ON","-"))</f>
        <v>-</v>
      </c>
      <c r="C80" s="88" t="s">
        <v>110</v>
      </c>
      <c r="D80" s="89">
        <f>IF(C80="ID",1,(IF(C80="PR",2,(IF(C80="DE",3,(IF(C80="RS",4,(IF(C80="RC",5,0)))))))))</f>
        <v>1</v>
      </c>
      <c r="E80" s="89" t="s">
        <v>111</v>
      </c>
      <c r="F80" s="89">
        <f>IF(E80="AM",1,(IF(E80="BE",2,(IF(E80="GV",3,(IF(E80="RA",4,(IF(E80="RM",5,(IF(E80="AC",1,(IF(E80="AT",2,(IF(E80="DS",3,(IF(E80="IP",4,(IF(E80="MA",5,(IF(E80="PT",6,(IF(E80="AE",1,(IF(E80="CM",2,(IF(E80="DP",3,(IF(E80="AN",1,(IF(E80="CO",2,(IF(E80="IM",3,(IF(E80="MI",4,(IF(E80="RP",5,(IF(E80="SC",6,0)))))))))))))))))))))))))))))))))))))))</f>
        <v>1</v>
      </c>
      <c r="G80" s="52">
        <v>4</v>
      </c>
      <c r="H80" s="90" t="s">
        <v>115</v>
      </c>
      <c r="I80" s="93" t="s">
        <v>64</v>
      </c>
      <c r="J80" s="87" t="s">
        <v>930</v>
      </c>
      <c r="K80" s="102" t="s">
        <v>2017</v>
      </c>
      <c r="L80" s="117">
        <f>IF(O80="","",N80*O80*M80)</f>
        <v>0</v>
      </c>
      <c r="M80" s="108">
        <v>1</v>
      </c>
      <c r="N80" s="95">
        <v>1</v>
      </c>
      <c r="O80" s="109">
        <f>IF(Key!D$1="ON",P80,IF(SUM(Q80:DL80)&lt;1,"",SUM(Q80:DL80)/COUNTIF(Q80:DL80,"&gt;0")))</f>
        <v>0</v>
      </c>
      <c r="P80" s="109">
        <f>SUMIFS(Q80:DK80,Q$1:DK$1,Dashboard!$K$31)</f>
        <v>0</v>
      </c>
      <c r="U80" s="95">
        <v>33</v>
      </c>
      <c r="AA80" s="95">
        <v>25</v>
      </c>
      <c r="AH80" s="95">
        <v>75</v>
      </c>
    </row>
    <row r="81" spans="1:34" ht="15.6" x14ac:dyDescent="0.3">
      <c r="A81" s="89" t="str">
        <f>CONCATENATE(D81,".",F81,"-",G81,".",H81,"")</f>
        <v>1.1-4.1</v>
      </c>
      <c r="B81" s="89" t="str">
        <f>IF(CONCATENATE(I81,Key!F$2)=CONCATENATE(INDEX(Dashboard!J:J,MATCH(I81,Dashboard!J:J,0),1),INDEX(Dashboard!J:K,MATCH(I81,Dashboard!J:J,0),2)),"ON",IF(Dashboard!K$32="ALL","ON","-"))</f>
        <v>-</v>
      </c>
      <c r="C81" s="88" t="s">
        <v>110</v>
      </c>
      <c r="D81" s="89">
        <f>IF(C81="ID",1,(IF(C81="PR",2,(IF(C81="DE",3,(IF(C81="RS",4,(IF(C81="RC",5,0)))))))))</f>
        <v>1</v>
      </c>
      <c r="E81" s="89" t="s">
        <v>111</v>
      </c>
      <c r="F81" s="89">
        <f>IF(E81="AM",1,(IF(E81="BE",2,(IF(E81="GV",3,(IF(E81="RA",4,(IF(E81="RM",5,(IF(E81="AC",1,(IF(E81="AT",2,(IF(E81="DS",3,(IF(E81="IP",4,(IF(E81="MA",5,(IF(E81="PT",6,(IF(E81="AE",1,(IF(E81="CM",2,(IF(E81="DP",3,(IF(E81="AN",1,(IF(E81="CO",2,(IF(E81="IM",3,(IF(E81="MI",4,(IF(E81="RP",5,(IF(E81="SC",6,0)))))))))))))))))))))))))))))))))))))))</f>
        <v>1</v>
      </c>
      <c r="G81" s="98">
        <v>4</v>
      </c>
      <c r="H81" s="99">
        <v>1</v>
      </c>
      <c r="I81" s="93" t="s">
        <v>73</v>
      </c>
      <c r="J81" s="86" t="s">
        <v>4141</v>
      </c>
      <c r="K81" s="107" t="s">
        <v>4268</v>
      </c>
      <c r="L81" s="117">
        <f>IF(O81="","",N81*O81*M81)</f>
        <v>0</v>
      </c>
      <c r="M81" s="108">
        <v>1</v>
      </c>
      <c r="N81" s="95">
        <v>1</v>
      </c>
      <c r="O81" s="109">
        <f>IF(Key!D$1="ON",P81,IF(SUM(Q81:DL81)&lt;1,"",SUM(Q81:DL81)/COUNTIF(Q81:DL81,"&gt;0")))</f>
        <v>0</v>
      </c>
      <c r="P81" s="109">
        <f>SUMIFS(Q81:DK81,Q$1:DK$1,Dashboard!$K$31)</f>
        <v>0</v>
      </c>
      <c r="U81" s="95">
        <v>33</v>
      </c>
      <c r="AA81" s="95">
        <v>25</v>
      </c>
      <c r="AH81" s="95">
        <v>75</v>
      </c>
    </row>
    <row r="82" spans="1:34" ht="15.6" x14ac:dyDescent="0.3">
      <c r="A82" s="89" t="str">
        <f>CONCATENATE(D82,".",F82,"-",G82,".",H82,"")</f>
        <v>1.1-4.1</v>
      </c>
      <c r="B82" s="89" t="str">
        <f>IF(CONCATENATE(I82,Key!F$2)=CONCATENATE(INDEX(Dashboard!J:J,MATCH(I82,Dashboard!J:J,0),1),INDEX(Dashboard!J:K,MATCH(I82,Dashboard!J:J,0),2)),"ON",IF(Dashboard!K$32="ALL","ON","-"))</f>
        <v>-</v>
      </c>
      <c r="C82" s="88" t="s">
        <v>110</v>
      </c>
      <c r="D82" s="89">
        <f>IF(C82="ID",1,(IF(C82="PR",2,(IF(C82="DE",3,(IF(C82="RS",4,(IF(C82="RC",5,0)))))))))</f>
        <v>1</v>
      </c>
      <c r="E82" s="89" t="s">
        <v>111</v>
      </c>
      <c r="F82" s="89">
        <f>IF(E82="AM",1,(IF(E82="BE",2,(IF(E82="GV",3,(IF(E82="RA",4,(IF(E82="RM",5,(IF(E82="AC",1,(IF(E82="AT",2,(IF(E82="DS",3,(IF(E82="IP",4,(IF(E82="MA",5,(IF(E82="PT",6,(IF(E82="AE",1,(IF(E82="CM",2,(IF(E82="DP",3,(IF(E82="AN",1,(IF(E82="CO",2,(IF(E82="IM",3,(IF(E82="MI",4,(IF(E82="RP",5,(IF(E82="SC",6,0)))))))))))))))))))))))))))))))))))))))</f>
        <v>1</v>
      </c>
      <c r="G82" s="52">
        <v>4</v>
      </c>
      <c r="H82" s="90" t="s">
        <v>115</v>
      </c>
      <c r="I82" s="93" t="s">
        <v>73</v>
      </c>
      <c r="J82" s="86" t="s">
        <v>4143</v>
      </c>
      <c r="K82" s="101" t="s">
        <v>5181</v>
      </c>
      <c r="L82" s="117">
        <f>IF(O82="","",N82*O82*M82)</f>
        <v>0</v>
      </c>
      <c r="M82" s="108">
        <v>1</v>
      </c>
      <c r="N82" s="95">
        <v>1</v>
      </c>
      <c r="O82" s="109">
        <f>IF(Key!D$1="ON",P82,IF(SUM(Q82:DL82)&lt;1,"",SUM(Q82:DL82)/COUNTIF(Q82:DL82,"&gt;0")))</f>
        <v>0</v>
      </c>
      <c r="P82" s="109">
        <f>SUMIFS(Q82:DK82,Q$1:DK$1,Dashboard!$K$31)</f>
        <v>0</v>
      </c>
      <c r="U82" s="95">
        <v>33</v>
      </c>
      <c r="AA82" s="95">
        <v>25</v>
      </c>
      <c r="AH82" s="95">
        <v>75</v>
      </c>
    </row>
    <row r="83" spans="1:34" ht="15.6" x14ac:dyDescent="0.3">
      <c r="A83" s="89" t="str">
        <f>CONCATENATE(D83,".",F83,"-",G83,".",H83,"")</f>
        <v>1.1-4.1</v>
      </c>
      <c r="B83" s="89" t="str">
        <f>IF(CONCATENATE(I83,Key!F$2)=CONCATENATE(INDEX(Dashboard!J:J,MATCH(I83,Dashboard!J:J,0),1),INDEX(Dashboard!J:K,MATCH(I83,Dashboard!J:J,0),2)),"ON",IF(Dashboard!K$32="ALL","ON","-"))</f>
        <v>-</v>
      </c>
      <c r="C83" s="88" t="s">
        <v>110</v>
      </c>
      <c r="D83" s="89">
        <f>IF(C83="ID",1,(IF(C83="PR",2,(IF(C83="DE",3,(IF(C83="RS",4,(IF(C83="RC",5,0)))))))))</f>
        <v>1</v>
      </c>
      <c r="E83" s="89" t="s">
        <v>111</v>
      </c>
      <c r="F83" s="89">
        <f>IF(E83="AM",1,(IF(E83="BE",2,(IF(E83="GV",3,(IF(E83="RA",4,(IF(E83="RM",5,(IF(E83="AC",1,(IF(E83="AT",2,(IF(E83="DS",3,(IF(E83="IP",4,(IF(E83="MA",5,(IF(E83="PT",6,(IF(E83="AE",1,(IF(E83="CM",2,(IF(E83="DP",3,(IF(E83="AN",1,(IF(E83="CO",2,(IF(E83="IM",3,(IF(E83="MI",4,(IF(E83="RP",5,(IF(E83="SC",6,0)))))))))))))))))))))))))))))))))))))))</f>
        <v>1</v>
      </c>
      <c r="G83" s="52">
        <v>4</v>
      </c>
      <c r="H83" s="90" t="s">
        <v>115</v>
      </c>
      <c r="I83" s="93" t="s">
        <v>77</v>
      </c>
      <c r="J83" s="87" t="s">
        <v>930</v>
      </c>
      <c r="K83" s="102" t="s">
        <v>2017</v>
      </c>
      <c r="L83" s="117">
        <f>IF(O83="","",N83*O83*M83)</f>
        <v>0</v>
      </c>
      <c r="M83" s="108">
        <v>1</v>
      </c>
      <c r="N83" s="95">
        <v>1</v>
      </c>
      <c r="O83" s="109">
        <f>IF(Key!D$1="ON",P83,IF(SUM(Q83:DL83)&lt;1,"",SUM(Q83:DL83)/COUNTIF(Q83:DL83,"&gt;0")))</f>
        <v>0</v>
      </c>
      <c r="P83" s="109">
        <f>SUMIFS(Q83:DK83,Q$1:DK$1,Dashboard!$K$31)</f>
        <v>0</v>
      </c>
      <c r="U83" s="95">
        <v>33</v>
      </c>
      <c r="AA83" s="95">
        <v>25</v>
      </c>
      <c r="AH83" s="95">
        <v>75</v>
      </c>
    </row>
    <row r="84" spans="1:34" ht="15.6" x14ac:dyDescent="0.3">
      <c r="A84" s="89" t="str">
        <f>CONCATENATE(D84,".",F84,"-",G84,".",H84,"")</f>
        <v>1.1-4.1</v>
      </c>
      <c r="B84" s="89" t="str">
        <f>IF(CONCATENATE(I84,Key!F$2)=CONCATENATE(INDEX(Dashboard!J:J,MATCH(I84,Dashboard!J:J,0),1),INDEX(Dashboard!J:K,MATCH(I84,Dashboard!J:J,0),2)),"ON",IF(Dashboard!K$32="ALL","ON","-"))</f>
        <v>-</v>
      </c>
      <c r="C84" s="88" t="s">
        <v>110</v>
      </c>
      <c r="D84" s="89">
        <f>IF(C84="ID",1,(IF(C84="PR",2,(IF(C84="DE",3,(IF(C84="RS",4,(IF(C84="RC",5,0)))))))))</f>
        <v>1</v>
      </c>
      <c r="E84" s="89" t="s">
        <v>111</v>
      </c>
      <c r="F84" s="89">
        <f>IF(E84="AM",1,(IF(E84="BE",2,(IF(E84="GV",3,(IF(E84="RA",4,(IF(E84="RM",5,(IF(E84="AC",1,(IF(E84="AT",2,(IF(E84="DS",3,(IF(E84="IP",4,(IF(E84="MA",5,(IF(E84="PT",6,(IF(E84="AE",1,(IF(E84="CM",2,(IF(E84="DP",3,(IF(E84="AN",1,(IF(E84="CO",2,(IF(E84="IM",3,(IF(E84="MI",4,(IF(E84="RP",5,(IF(E84="SC",6,0)))))))))))))))))))))))))))))))))))))))</f>
        <v>1</v>
      </c>
      <c r="G84" s="52">
        <v>4</v>
      </c>
      <c r="H84" s="90" t="s">
        <v>115</v>
      </c>
      <c r="I84" s="93" t="s">
        <v>92</v>
      </c>
      <c r="J84" s="88" t="s">
        <v>120</v>
      </c>
      <c r="K84" s="102" t="s">
        <v>5226</v>
      </c>
      <c r="L84" s="117">
        <f>IF(O84="","",N84*O84*M84)</f>
        <v>0</v>
      </c>
      <c r="M84" s="108">
        <v>1</v>
      </c>
      <c r="N84" s="95">
        <v>1</v>
      </c>
      <c r="O84" s="109">
        <f>IF(Key!D$1="ON",P84,IF(SUM(Q84:DL84)&lt;1,"",SUM(Q84:DL84)/COUNTIF(Q84:DL84,"&gt;0")))</f>
        <v>0</v>
      </c>
      <c r="P84" s="109">
        <f>SUMIFS(Q84:DK84,Q$1:DK$1,Dashboard!$K$31)</f>
        <v>0</v>
      </c>
      <c r="U84" s="95">
        <v>33</v>
      </c>
      <c r="AA84" s="95">
        <v>25</v>
      </c>
      <c r="AH84" s="95">
        <v>75</v>
      </c>
    </row>
    <row r="85" spans="1:34" ht="15.6" x14ac:dyDescent="0.3">
      <c r="A85" s="89" t="str">
        <f>CONCATENATE(D85,".",F85,"-",G85,".",H85,"")</f>
        <v>1.1-4.2</v>
      </c>
      <c r="B85" s="89" t="str">
        <f>IF(CONCATENATE(I85,Key!F$2)=CONCATENATE(INDEX(Dashboard!J:J,MATCH(I85,Dashboard!J:J,0),1),INDEX(Dashboard!J:K,MATCH(I85,Dashboard!J:J,0),2)),"ON",IF(Dashboard!K$32="ALL","ON","-"))</f>
        <v>-</v>
      </c>
      <c r="C85" s="88" t="s">
        <v>110</v>
      </c>
      <c r="D85" s="89">
        <f>IF(C85="ID",1,(IF(C85="PR",2,(IF(C85="DE",3,(IF(C85="RS",4,(IF(C85="RC",5,0)))))))))</f>
        <v>1</v>
      </c>
      <c r="E85" s="89" t="s">
        <v>111</v>
      </c>
      <c r="F85" s="89">
        <f>IF(E85="AM",1,(IF(E85="BE",2,(IF(E85="GV",3,(IF(E85="RA",4,(IF(E85="RM",5,(IF(E85="AC",1,(IF(E85="AT",2,(IF(E85="DS",3,(IF(E85="IP",4,(IF(E85="MA",5,(IF(E85="PT",6,(IF(E85="AE",1,(IF(E85="CM",2,(IF(E85="DP",3,(IF(E85="AN",1,(IF(E85="CO",2,(IF(E85="IM",3,(IF(E85="MI",4,(IF(E85="RP",5,(IF(E85="SC",6,0)))))))))))))))))))))))))))))))))))))))</f>
        <v>1</v>
      </c>
      <c r="G85" s="52">
        <v>4</v>
      </c>
      <c r="H85" s="90" t="s">
        <v>112</v>
      </c>
      <c r="I85" s="93" t="s">
        <v>60</v>
      </c>
      <c r="J85" s="87" t="s">
        <v>3124</v>
      </c>
      <c r="K85" s="51" t="s">
        <v>5237</v>
      </c>
      <c r="L85" s="117">
        <f>IF(O85="","",N85*O85*M85)</f>
        <v>0</v>
      </c>
      <c r="M85" s="108">
        <v>1</v>
      </c>
      <c r="N85" s="95">
        <v>1</v>
      </c>
      <c r="O85" s="109">
        <f>IF(Key!D$1="ON",P85,IF(SUM(Q85:DL85)&lt;1,"",SUM(Q85:DL85)/COUNTIF(Q85:DL85,"&gt;0")))</f>
        <v>0</v>
      </c>
      <c r="P85" s="109">
        <f>SUMIFS(Q85:DK85,Q$1:DK$1,Dashboard!$K$31)</f>
        <v>0</v>
      </c>
      <c r="U85" s="95">
        <v>33</v>
      </c>
      <c r="AA85" s="95">
        <v>25</v>
      </c>
      <c r="AH85" s="95">
        <v>75</v>
      </c>
    </row>
    <row r="86" spans="1:34" ht="15.6" x14ac:dyDescent="0.3">
      <c r="A86" s="89" t="str">
        <f>CONCATENATE(D86,".",F86,"-",G86,".",H86,"")</f>
        <v>1.1-4.5</v>
      </c>
      <c r="B86" s="89" t="str">
        <f>IF(CONCATENATE(I86,Key!F$2)=CONCATENATE(INDEX(Dashboard!J:J,MATCH(I86,Dashboard!J:J,0),1),INDEX(Dashboard!J:K,MATCH(I86,Dashboard!J:J,0),2)),"ON",IF(Dashboard!K$32="ALL","ON","-"))</f>
        <v>-</v>
      </c>
      <c r="C86" s="96" t="s">
        <v>110</v>
      </c>
      <c r="D86" s="89">
        <f>IF(C86="ID",1,(IF(C86="PR",2,(IF(C86="DE",3,(IF(C86="RS",4,(IF(C86="RC",5,0)))))))))</f>
        <v>1</v>
      </c>
      <c r="E86" s="89" t="s">
        <v>111</v>
      </c>
      <c r="F86" s="89">
        <f>IF(E86="AM",1,(IF(E86="BE",2,(IF(E86="GV",3,(IF(E86="RA",4,(IF(E86="RM",5,(IF(E86="AC",1,(IF(E86="AT",2,(IF(E86="DS",3,(IF(E86="IP",4,(IF(E86="MA",5,(IF(E86="PT",6,(IF(E86="AE",1,(IF(E86="CM",2,(IF(E86="DP",3,(IF(E86="AN",1,(IF(E86="CO",2,(IF(E86="IM",3,(IF(E86="MI",4,(IF(E86="RP",5,(IF(E86="SC",6,0)))))))))))))))))))))))))))))))))))))))</f>
        <v>1</v>
      </c>
      <c r="G86" s="98">
        <v>4</v>
      </c>
      <c r="H86" s="90" t="s">
        <v>123</v>
      </c>
      <c r="I86" s="93" t="s">
        <v>77</v>
      </c>
      <c r="J86" s="87" t="s">
        <v>1331</v>
      </c>
      <c r="K86" s="102" t="s">
        <v>2018</v>
      </c>
      <c r="L86" s="117">
        <f>IF(O86="","",N86*O86*M86)</f>
        <v>0</v>
      </c>
      <c r="M86" s="108">
        <v>1</v>
      </c>
      <c r="N86" s="95">
        <v>1</v>
      </c>
      <c r="O86" s="109">
        <f>IF(Key!D$1="ON",P86,IF(SUM(Q86:DL86)&lt;1,"",SUM(Q86:DL86)/COUNTIF(Q86:DL86,"&gt;0")))</f>
        <v>0</v>
      </c>
      <c r="P86" s="109">
        <f>SUMIFS(Q86:DK86,Q$1:DK$1,Dashboard!$K$31)</f>
        <v>0</v>
      </c>
      <c r="U86" s="95">
        <v>33</v>
      </c>
      <c r="AA86" s="95">
        <v>25</v>
      </c>
      <c r="AH86" s="95">
        <v>75</v>
      </c>
    </row>
    <row r="87" spans="1:34" ht="15.6" x14ac:dyDescent="0.3">
      <c r="A87" s="89" t="str">
        <f>CONCATENATE(D87,".",F87,"-",G87,".",H87,"")</f>
        <v>1.1-4.5</v>
      </c>
      <c r="B87" s="89" t="str">
        <f>IF(CONCATENATE(I87,Key!F$2)=CONCATENATE(INDEX(Dashboard!J:J,MATCH(I87,Dashboard!J:J,0),1),INDEX(Dashboard!J:K,MATCH(I87,Dashboard!J:J,0),2)),"ON",IF(Dashboard!K$32="ALL","ON","-"))</f>
        <v>-</v>
      </c>
      <c r="C87" s="88" t="s">
        <v>110</v>
      </c>
      <c r="D87" s="89">
        <f>IF(C87="ID",1,(IF(C87="PR",2,(IF(C87="DE",3,(IF(C87="RS",4,(IF(C87="RC",5,0)))))))))</f>
        <v>1</v>
      </c>
      <c r="E87" s="89" t="s">
        <v>111</v>
      </c>
      <c r="F87" s="89">
        <f>IF(E87="AM",1,(IF(E87="BE",2,(IF(E87="GV",3,(IF(E87="RA",4,(IF(E87="RM",5,(IF(E87="AC",1,(IF(E87="AT",2,(IF(E87="DS",3,(IF(E87="IP",4,(IF(E87="MA",5,(IF(E87="PT",6,(IF(E87="AE",1,(IF(E87="CM",2,(IF(E87="DP",3,(IF(E87="AN",1,(IF(E87="CO",2,(IF(E87="IM",3,(IF(E87="MI",4,(IF(E87="RP",5,(IF(E87="SC",6,0)))))))))))))))))))))))))))))))))))))))</f>
        <v>1</v>
      </c>
      <c r="G87" s="52">
        <v>4</v>
      </c>
      <c r="H87" s="90" t="s">
        <v>123</v>
      </c>
      <c r="I87" s="93" t="s">
        <v>77</v>
      </c>
      <c r="J87" s="87" t="s">
        <v>1333</v>
      </c>
      <c r="K87" s="102" t="s">
        <v>2019</v>
      </c>
      <c r="L87" s="117">
        <f>IF(O87="","",N87*O87*M87)</f>
        <v>0</v>
      </c>
      <c r="M87" s="108">
        <v>1</v>
      </c>
      <c r="N87" s="95">
        <v>1</v>
      </c>
      <c r="O87" s="109">
        <f>IF(Key!D$1="ON",P87,IF(SUM(Q87:DL87)&lt;1,"",SUM(Q87:DL87)/COUNTIF(Q87:DL87,"&gt;0")))</f>
        <v>0</v>
      </c>
      <c r="P87" s="109">
        <f>SUMIFS(Q87:DK87,Q$1:DK$1,Dashboard!$K$31)</f>
        <v>0</v>
      </c>
      <c r="U87" s="95">
        <v>33</v>
      </c>
      <c r="AA87" s="95">
        <v>25</v>
      </c>
      <c r="AH87" s="95">
        <v>75</v>
      </c>
    </row>
    <row r="88" spans="1:34" ht="15.6" x14ac:dyDescent="0.3">
      <c r="A88" s="89" t="str">
        <f>CONCATENATE(D88,".",F88,"-",G88,".",H88,"")</f>
        <v>1.1-5.0</v>
      </c>
      <c r="B88" s="89" t="str">
        <f>IF(CONCATENATE(I88,Key!F$2)=CONCATENATE(INDEX(Dashboard!J:J,MATCH(I88,Dashboard!J:J,0),1),INDEX(Dashboard!J:K,MATCH(I88,Dashboard!J:J,0),2)),"ON",IF(Dashboard!K$32="ALL","ON","-"))</f>
        <v>-</v>
      </c>
      <c r="C88" s="96" t="s">
        <v>110</v>
      </c>
      <c r="D88" s="89">
        <f>IF(C88="ID",1,(IF(C88="PR",2,(IF(C88="DE",3,(IF(C88="RS",4,(IF(C88="RC",5,0)))))))))</f>
        <v>1</v>
      </c>
      <c r="E88" s="89" t="s">
        <v>111</v>
      </c>
      <c r="F88" s="89">
        <f>IF(E88="AM",1,(IF(E88="BE",2,(IF(E88="GV",3,(IF(E88="RA",4,(IF(E88="RM",5,(IF(E88="AC",1,(IF(E88="AT",2,(IF(E88="DS",3,(IF(E88="IP",4,(IF(E88="MA",5,(IF(E88="PT",6,(IF(E88="AE",1,(IF(E88="CM",2,(IF(E88="DP",3,(IF(E88="AN",1,(IF(E88="CO",2,(IF(E88="IM",3,(IF(E88="MI",4,(IF(E88="RP",5,(IF(E88="SC",6,0)))))))))))))))))))))))))))))))))))))))</f>
        <v>1</v>
      </c>
      <c r="G88" s="52">
        <v>5</v>
      </c>
      <c r="H88" s="90" t="s">
        <v>347</v>
      </c>
      <c r="I88" s="93" t="s">
        <v>2835</v>
      </c>
      <c r="J88" s="53" t="s">
        <v>2847</v>
      </c>
      <c r="K88" s="152" t="s">
        <v>2848</v>
      </c>
      <c r="L88" s="117">
        <f>IF(O88="","",N88*O88*M88)</f>
        <v>0</v>
      </c>
      <c r="M88" s="108">
        <v>1</v>
      </c>
      <c r="N88" s="95">
        <v>1</v>
      </c>
      <c r="O88" s="109">
        <f>IF(Key!D$1="ON",P88,IF(SUM(Q88:DL88)&lt;1,"",SUM(Q88:DL88)/COUNTIF(Q88:DL88,"&gt;0")))</f>
        <v>0</v>
      </c>
      <c r="P88" s="109">
        <f>SUMIFS(Q88:DK88,Q$1:DK$1,Dashboard!$K$31)</f>
        <v>0</v>
      </c>
      <c r="U88" s="95">
        <v>33</v>
      </c>
    </row>
    <row r="89" spans="1:34" ht="15.6" x14ac:dyDescent="0.3">
      <c r="A89" s="89" t="str">
        <f>CONCATENATE(D89,".",F89,"-",G89,".",H89,"")</f>
        <v>1.1-5.1</v>
      </c>
      <c r="B89" s="89" t="str">
        <f>IF(CONCATENATE(I89,Key!F$2)=CONCATENATE(INDEX(Dashboard!J:J,MATCH(I89,Dashboard!J:J,0),1),INDEX(Dashboard!J:K,MATCH(I89,Dashboard!J:J,0),2)),"ON",IF(Dashboard!K$32="ALL","ON","-"))</f>
        <v>ON</v>
      </c>
      <c r="C89" s="88" t="s">
        <v>110</v>
      </c>
      <c r="D89" s="89">
        <f>IF(C89="ID",1,(IF(C89="PR",2,(IF(C89="DE",3,(IF(C89="RS",4,(IF(C89="RC",5,0)))))))))</f>
        <v>1</v>
      </c>
      <c r="E89" s="89" t="s">
        <v>111</v>
      </c>
      <c r="F89" s="89">
        <f>IF(E89="AM",1,(IF(E89="BE",2,(IF(E89="GV",3,(IF(E89="RA",4,(IF(E89="RM",5,(IF(E89="AC",1,(IF(E89="AT",2,(IF(E89="DS",3,(IF(E89="IP",4,(IF(E89="MA",5,(IF(E89="PT",6,(IF(E89="AE",1,(IF(E89="CM",2,(IF(E89="DP",3,(IF(E89="AN",1,(IF(E89="CO",2,(IF(E89="IM",3,(IF(E89="MI",4,(IF(E89="RP",5,(IF(E89="SC",6,0)))))))))))))))))))))))))))))))))))))))</f>
        <v>1</v>
      </c>
      <c r="G89" s="52">
        <v>5</v>
      </c>
      <c r="H89" s="89">
        <v>1</v>
      </c>
      <c r="I89" s="93" t="s">
        <v>4107</v>
      </c>
      <c r="J89" s="86" t="s">
        <v>3939</v>
      </c>
      <c r="K89" s="101" t="s">
        <v>4145</v>
      </c>
      <c r="L89" s="117">
        <f>IF(O89="","",N89*O89*M89)</f>
        <v>0</v>
      </c>
      <c r="M89" s="108">
        <v>1</v>
      </c>
      <c r="N89" s="95">
        <v>1</v>
      </c>
      <c r="O89" s="109">
        <f>IF(Key!D$1="ON",P89,IF(SUM(Q89:DL89)&lt;1,"",SUM(Q89:DL89)/COUNTIF(Q89:DL89,"&gt;0")))</f>
        <v>0</v>
      </c>
      <c r="P89" s="109">
        <f>SUMIFS(Q89:DK89,Q$1:DK$1,Dashboard!$K$31)</f>
        <v>0</v>
      </c>
      <c r="U89" s="95">
        <v>33</v>
      </c>
      <c r="AA89" s="95">
        <v>25</v>
      </c>
      <c r="AH89" s="95">
        <v>75</v>
      </c>
    </row>
    <row r="90" spans="1:34" ht="15.6" x14ac:dyDescent="0.3">
      <c r="A90" s="89" t="str">
        <f>CONCATENATE(D90,".",F90,"-",G90,".",H90,"")</f>
        <v>1.1-5.1</v>
      </c>
      <c r="B90" s="89" t="str">
        <f>IF(CONCATENATE(I90,Key!F$2)=CONCATENATE(INDEX(Dashboard!J:J,MATCH(I90,Dashboard!J:J,0),1),INDEX(Dashboard!J:K,MATCH(I90,Dashboard!J:J,0),2)),"ON",IF(Dashboard!K$32="ALL","ON","-"))</f>
        <v>-</v>
      </c>
      <c r="C90" s="88" t="s">
        <v>110</v>
      </c>
      <c r="D90" s="89">
        <f>IF(C90="ID",1,(IF(C90="PR",2,(IF(C90="DE",3,(IF(C90="RS",4,(IF(C90="RC",5,0)))))))))</f>
        <v>1</v>
      </c>
      <c r="E90" s="89" t="s">
        <v>111</v>
      </c>
      <c r="F90" s="89">
        <f>IF(E90="AM",1,(IF(E90="BE",2,(IF(E90="GV",3,(IF(E90="RA",4,(IF(E90="RM",5,(IF(E90="AC",1,(IF(E90="AT",2,(IF(E90="DS",3,(IF(E90="IP",4,(IF(E90="MA",5,(IF(E90="PT",6,(IF(E90="AE",1,(IF(E90="CM",2,(IF(E90="DP",3,(IF(E90="AN",1,(IF(E90="CO",2,(IF(E90="IM",3,(IF(E90="MI",4,(IF(E90="RP",5,(IF(E90="SC",6,0)))))))))))))))))))))))))))))))))))))))</f>
        <v>1</v>
      </c>
      <c r="G90" s="52">
        <v>5</v>
      </c>
      <c r="H90" s="99">
        <v>1</v>
      </c>
      <c r="I90" s="93" t="s">
        <v>37</v>
      </c>
      <c r="J90" s="86">
        <v>13.1</v>
      </c>
      <c r="K90" s="102" t="s">
        <v>3689</v>
      </c>
      <c r="L90" s="117">
        <f>IF(O90="","",N90*O90*M90)</f>
        <v>0</v>
      </c>
      <c r="M90" s="108">
        <v>1</v>
      </c>
      <c r="N90" s="95">
        <v>1</v>
      </c>
      <c r="O90" s="109">
        <f>IF(Key!D$1="ON",P90,IF(SUM(Q90:DL90)&lt;1,"",SUM(Q90:DL90)/COUNTIF(Q90:DL90,"&gt;0")))</f>
        <v>0</v>
      </c>
      <c r="P90" s="109">
        <f>SUMIFS(Q90:DK90,Q$1:DK$1,Dashboard!$K$31)</f>
        <v>0</v>
      </c>
      <c r="U90" s="95">
        <v>33</v>
      </c>
      <c r="AA90" s="95">
        <v>25</v>
      </c>
      <c r="AH90" s="95">
        <v>75</v>
      </c>
    </row>
    <row r="91" spans="1:34" ht="15.6" x14ac:dyDescent="0.3">
      <c r="A91" s="89" t="str">
        <f>CONCATENATE(D91,".",F91,"-",G91,".",H91,"")</f>
        <v>1.1-5.1</v>
      </c>
      <c r="B91" s="89" t="str">
        <f>IF(CONCATENATE(I91,Key!F$2)=CONCATENATE(INDEX(Dashboard!J:J,MATCH(I91,Dashboard!J:J,0),1),INDEX(Dashboard!J:K,MATCH(I91,Dashboard!J:J,0),2)),"ON",IF(Dashboard!K$32="ALL","ON","-"))</f>
        <v>-</v>
      </c>
      <c r="C91" s="96" t="s">
        <v>110</v>
      </c>
      <c r="D91" s="89">
        <f>IF(C91="ID",1,(IF(C91="PR",2,(IF(C91="DE",3,(IF(C91="RS",4,(IF(C91="RC",5,0)))))))))</f>
        <v>1</v>
      </c>
      <c r="E91" s="89" t="s">
        <v>111</v>
      </c>
      <c r="F91" s="89">
        <f>IF(E91="AM",1,(IF(E91="BE",2,(IF(E91="GV",3,(IF(E91="RA",4,(IF(E91="RM",5,(IF(E91="AC",1,(IF(E91="AT",2,(IF(E91="DS",3,(IF(E91="IP",4,(IF(E91="MA",5,(IF(E91="PT",6,(IF(E91="AE",1,(IF(E91="CM",2,(IF(E91="DP",3,(IF(E91="AN",1,(IF(E91="CO",2,(IF(E91="IM",3,(IF(E91="MI",4,(IF(E91="RP",5,(IF(E91="SC",6,0)))))))))))))))))))))))))))))))))))))))</f>
        <v>1</v>
      </c>
      <c r="G91" s="52">
        <v>5</v>
      </c>
      <c r="H91" s="99">
        <v>1</v>
      </c>
      <c r="I91" s="93" t="s">
        <v>41</v>
      </c>
      <c r="J91" s="86">
        <v>2.5</v>
      </c>
      <c r="K91" s="103" t="s">
        <v>3465</v>
      </c>
      <c r="L91" s="117">
        <f>IF(O91="","",N91*O91*M91)</f>
        <v>0</v>
      </c>
      <c r="M91" s="108">
        <v>1</v>
      </c>
      <c r="N91" s="95">
        <v>1</v>
      </c>
      <c r="O91" s="109">
        <f>IF(Key!D$1="ON",P91,IF(SUM(Q91:DL91)&lt;1,"",SUM(Q91:DL91)/COUNTIF(Q91:DL91,"&gt;0")))</f>
        <v>0</v>
      </c>
      <c r="P91" s="109">
        <f>SUMIFS(Q91:DK91,Q$1:DK$1,Dashboard!$K$31)</f>
        <v>0</v>
      </c>
      <c r="U91" s="95">
        <v>33</v>
      </c>
    </row>
    <row r="92" spans="1:34" ht="15.6" x14ac:dyDescent="0.3">
      <c r="A92" s="89" t="str">
        <f>CONCATENATE(D92,".",F92,"-",G92,".",H92,"")</f>
        <v>1.1-5.1</v>
      </c>
      <c r="B92" s="89" t="str">
        <f>IF(CONCATENATE(I92,Key!F$2)=CONCATENATE(INDEX(Dashboard!J:J,MATCH(I92,Dashboard!J:J,0),1),INDEX(Dashboard!J:K,MATCH(I92,Dashboard!J:J,0),2)),"ON",IF(Dashboard!K$32="ALL","ON","-"))</f>
        <v>-</v>
      </c>
      <c r="C92" s="96" t="s">
        <v>110</v>
      </c>
      <c r="D92" s="89">
        <f>IF(C92="ID",1,(IF(C92="PR",2,(IF(C92="DE",3,(IF(C92="RS",4,(IF(C92="RC",5,0)))))))))</f>
        <v>1</v>
      </c>
      <c r="E92" s="89" t="s">
        <v>111</v>
      </c>
      <c r="F92" s="89">
        <f>IF(E92="AM",1,(IF(E92="BE",2,(IF(E92="GV",3,(IF(E92="RA",4,(IF(E92="RM",5,(IF(E92="AC",1,(IF(E92="AT",2,(IF(E92="DS",3,(IF(E92="IP",4,(IF(E92="MA",5,(IF(E92="PT",6,(IF(E92="AE",1,(IF(E92="CM",2,(IF(E92="DP",3,(IF(E92="AN",1,(IF(E92="CO",2,(IF(E92="IM",3,(IF(E92="MI",4,(IF(E92="RP",5,(IF(E92="SC",6,0)))))))))))))))))))))))))))))))))))))))</f>
        <v>1</v>
      </c>
      <c r="G92" s="52">
        <v>5</v>
      </c>
      <c r="H92" s="99">
        <v>1</v>
      </c>
      <c r="I92" s="93" t="s">
        <v>41</v>
      </c>
      <c r="J92" s="86">
        <v>9.1</v>
      </c>
      <c r="K92" s="103" t="s">
        <v>3521</v>
      </c>
      <c r="L92" s="117">
        <f>IF(O92="","",N92*O92*M92)</f>
        <v>0</v>
      </c>
      <c r="M92" s="108">
        <v>1</v>
      </c>
      <c r="N92" s="95">
        <v>1</v>
      </c>
      <c r="O92" s="109">
        <f>IF(Key!D$1="ON",P92,IF(SUM(Q92:DL92)&lt;1,"",SUM(Q92:DL92)/COUNTIF(Q92:DL92,"&gt;0")))</f>
        <v>0</v>
      </c>
      <c r="P92" s="109">
        <f>SUMIFS(Q92:DK92,Q$1:DK$1,Dashboard!$K$31)</f>
        <v>0</v>
      </c>
      <c r="U92" s="95">
        <v>33</v>
      </c>
    </row>
    <row r="93" spans="1:34" ht="15.6" x14ac:dyDescent="0.3">
      <c r="A93" s="89" t="str">
        <f>CONCATENATE(D93,".",F93,"-",G93,".",H93,"")</f>
        <v>1.1-5.1</v>
      </c>
      <c r="B93" s="89" t="str">
        <f>IF(CONCATENATE(I93,Key!F$2)=CONCATENATE(INDEX(Dashboard!J:J,MATCH(I93,Dashboard!J:J,0),1),INDEX(Dashboard!J:K,MATCH(I93,Dashboard!J:J,0),2)),"ON",IF(Dashboard!K$32="ALL","ON","-"))</f>
        <v>-</v>
      </c>
      <c r="C93" s="88" t="s">
        <v>110</v>
      </c>
      <c r="D93" s="89">
        <f>IF(C93="ID",1,(IF(C93="PR",2,(IF(C93="DE",3,(IF(C93="RS",4,(IF(C93="RC",5,0)))))))))</f>
        <v>1</v>
      </c>
      <c r="E93" s="89" t="s">
        <v>111</v>
      </c>
      <c r="F93" s="89">
        <f>IF(E93="AM",1,(IF(E93="BE",2,(IF(E93="GV",3,(IF(E93="RA",4,(IF(E93="RM",5,(IF(E93="AC",1,(IF(E93="AT",2,(IF(E93="DS",3,(IF(E93="IP",4,(IF(E93="MA",5,(IF(E93="PT",6,(IF(E93="AE",1,(IF(E93="CM",2,(IF(E93="DP",3,(IF(E93="AN",1,(IF(E93="CO",2,(IF(E93="IM",3,(IF(E93="MI",4,(IF(E93="RP",5,(IF(E93="SC",6,0)))))))))))))))))))))))))))))))))))))))</f>
        <v>1</v>
      </c>
      <c r="G93" s="52">
        <v>5</v>
      </c>
      <c r="H93" s="99">
        <v>1</v>
      </c>
      <c r="I93" s="93" t="s">
        <v>41</v>
      </c>
      <c r="J93" s="86">
        <v>13.1</v>
      </c>
      <c r="K93" s="103" t="s">
        <v>3553</v>
      </c>
      <c r="L93" s="117">
        <f>IF(O93="","",N93*O93*M93)</f>
        <v>0</v>
      </c>
      <c r="M93" s="108">
        <v>1</v>
      </c>
      <c r="N93" s="95">
        <v>1</v>
      </c>
      <c r="O93" s="109">
        <f>IF(Key!D$1="ON",P93,IF(SUM(Q93:DL93)&lt;1,"",SUM(Q93:DL93)/COUNTIF(Q93:DL93,"&gt;0")))</f>
        <v>0</v>
      </c>
      <c r="P93" s="109">
        <f>SUMIFS(Q93:DK93,Q$1:DK$1,Dashboard!$K$31)</f>
        <v>0</v>
      </c>
      <c r="U93" s="95">
        <v>33</v>
      </c>
    </row>
    <row r="94" spans="1:34" ht="15.6" x14ac:dyDescent="0.3">
      <c r="A94" s="89" t="str">
        <f>CONCATENATE(D94,".",F94,"-",G94,".",H94,"")</f>
        <v>1.1-5.1</v>
      </c>
      <c r="B94" s="89" t="str">
        <f>IF(CONCATENATE(I94,Key!F$2)=CONCATENATE(INDEX(Dashboard!J:J,MATCH(I94,Dashboard!J:J,0),1),INDEX(Dashboard!J:K,MATCH(I94,Dashboard!J:J,0),2)),"ON",IF(Dashboard!K$32="ALL","ON","-"))</f>
        <v>-</v>
      </c>
      <c r="C94" s="96" t="s">
        <v>110</v>
      </c>
      <c r="D94" s="89">
        <f>IF(C94="ID",1,(IF(C94="PR",2,(IF(C94="DE",3,(IF(C94="RS",4,(IF(C94="RC",5,0)))))))))</f>
        <v>1</v>
      </c>
      <c r="E94" s="89" t="s">
        <v>111</v>
      </c>
      <c r="F94" s="89">
        <f>IF(E94="AM",1,(IF(E94="BE",2,(IF(E94="GV",3,(IF(E94="RA",4,(IF(E94="RM",5,(IF(E94="AC",1,(IF(E94="AT",2,(IF(E94="DS",3,(IF(E94="IP",4,(IF(E94="MA",5,(IF(E94="PT",6,(IF(E94="AE",1,(IF(E94="CM",2,(IF(E94="DP",3,(IF(E94="AN",1,(IF(E94="CO",2,(IF(E94="IM",3,(IF(E94="MI",4,(IF(E94="RP",5,(IF(E94="SC",6,0)))))))))))))))))))))))))))))))))))))))</f>
        <v>1</v>
      </c>
      <c r="G94" s="52">
        <v>5</v>
      </c>
      <c r="H94" s="99">
        <v>1</v>
      </c>
      <c r="I94" s="93" t="s">
        <v>41</v>
      </c>
      <c r="J94" s="86">
        <v>14.5</v>
      </c>
      <c r="K94" s="103" t="s">
        <v>3567</v>
      </c>
      <c r="L94" s="117">
        <f>IF(O94="","",N94*O94*M94)</f>
        <v>0</v>
      </c>
      <c r="M94" s="108">
        <v>1</v>
      </c>
      <c r="N94" s="95">
        <v>1</v>
      </c>
      <c r="O94" s="109">
        <f>IF(Key!D$1="ON",P94,IF(SUM(Q94:DL94)&lt;1,"",SUM(Q94:DL94)/COUNTIF(Q94:DL94,"&gt;0")))</f>
        <v>0</v>
      </c>
      <c r="P94" s="109">
        <f>SUMIFS(Q94:DK94,Q$1:DK$1,Dashboard!$K$31)</f>
        <v>0</v>
      </c>
      <c r="U94" s="95">
        <v>33</v>
      </c>
    </row>
    <row r="95" spans="1:34" ht="15.6" x14ac:dyDescent="0.3">
      <c r="A95" s="89" t="str">
        <f>CONCATENATE(D95,".",F95,"-",G95,".",H95,"")</f>
        <v>1.1-5.1</v>
      </c>
      <c r="B95" s="89" t="str">
        <f>IF(CONCATENATE(I95,Key!F$2)=CONCATENATE(INDEX(Dashboard!J:J,MATCH(I95,Dashboard!J:J,0),1),INDEX(Dashboard!J:K,MATCH(I95,Dashboard!J:J,0),2)),"ON",IF(Dashboard!K$32="ALL","ON","-"))</f>
        <v>-</v>
      </c>
      <c r="C95" s="96" t="s">
        <v>110</v>
      </c>
      <c r="D95" s="89">
        <f>IF(C95="ID",1,(IF(C95="PR",2,(IF(C95="DE",3,(IF(C95="RS",4,(IF(C95="RC",5,0)))))))))</f>
        <v>1</v>
      </c>
      <c r="E95" s="89" t="s">
        <v>111</v>
      </c>
      <c r="F95" s="89">
        <f>IF(E95="AM",1,(IF(E95="BE",2,(IF(E95="GV",3,(IF(E95="RA",4,(IF(E95="RM",5,(IF(E95="AC",1,(IF(E95="AT",2,(IF(E95="DS",3,(IF(E95="IP",4,(IF(E95="MA",5,(IF(E95="PT",6,(IF(E95="AE",1,(IF(E95="CM",2,(IF(E95="DP",3,(IF(E95="AN",1,(IF(E95="CO",2,(IF(E95="IM",3,(IF(E95="MI",4,(IF(E95="RP",5,(IF(E95="SC",6,0)))))))))))))))))))))))))))))))))))))))</f>
        <v>1</v>
      </c>
      <c r="G95" s="98">
        <v>5</v>
      </c>
      <c r="H95" s="90" t="s">
        <v>115</v>
      </c>
      <c r="I95" s="93" t="s">
        <v>52</v>
      </c>
      <c r="J95" s="88" t="s">
        <v>3282</v>
      </c>
      <c r="K95" s="103" t="s">
        <v>3283</v>
      </c>
      <c r="L95" s="117">
        <f>IF(O95="","",N95*O95*M95)</f>
        <v>0</v>
      </c>
      <c r="M95" s="108">
        <v>1</v>
      </c>
      <c r="N95" s="95">
        <v>1</v>
      </c>
      <c r="O95" s="109">
        <f>IF(Key!D$1="ON",P95,IF(SUM(Q95:DL95)&lt;1,"",SUM(Q95:DL95)/COUNTIF(Q95:DL95,"&gt;0")))</f>
        <v>0</v>
      </c>
      <c r="P95" s="109">
        <f>SUMIFS(Q95:DK95,Q$1:DK$1,Dashboard!$K$31)</f>
        <v>0</v>
      </c>
      <c r="U95" s="95">
        <v>33</v>
      </c>
      <c r="AA95" s="95">
        <v>25</v>
      </c>
      <c r="AH95" s="95">
        <v>75</v>
      </c>
    </row>
    <row r="96" spans="1:34" ht="15.6" x14ac:dyDescent="0.3">
      <c r="A96" s="89" t="str">
        <f>CONCATENATE(D96,".",F96,"-",G96,".",H96,"")</f>
        <v>1.1-5.1</v>
      </c>
      <c r="B96" s="89" t="str">
        <f>IF(CONCATENATE(I96,Key!F$2)=CONCATENATE(INDEX(Dashboard!J:J,MATCH(I96,Dashboard!J:J,0),1),INDEX(Dashboard!J:K,MATCH(I96,Dashboard!J:J,0),2)),"ON",IF(Dashboard!K$32="ALL","ON","-"))</f>
        <v>-</v>
      </c>
      <c r="C96" s="88" t="s">
        <v>110</v>
      </c>
      <c r="D96" s="89">
        <f>IF(C96="ID",1,(IF(C96="PR",2,(IF(C96="DE",3,(IF(C96="RS",4,(IF(C96="RC",5,0)))))))))</f>
        <v>1</v>
      </c>
      <c r="E96" s="89" t="s">
        <v>111</v>
      </c>
      <c r="F96" s="89">
        <f>IF(E96="AM",1,(IF(E96="BE",2,(IF(E96="GV",3,(IF(E96="RA",4,(IF(E96="RM",5,(IF(E96="AC",1,(IF(E96="AT",2,(IF(E96="DS",3,(IF(E96="IP",4,(IF(E96="MA",5,(IF(E96="PT",6,(IF(E96="AE",1,(IF(E96="CM",2,(IF(E96="DP",3,(IF(E96="AN",1,(IF(E96="CO",2,(IF(E96="IM",3,(IF(E96="MI",4,(IF(E96="RP",5,(IF(E96="SC",6,0)))))))))))))))))))))))))))))))))))))))</f>
        <v>1</v>
      </c>
      <c r="G96" s="98">
        <v>5</v>
      </c>
      <c r="H96" s="89">
        <v>1</v>
      </c>
      <c r="I96" s="93" t="s">
        <v>60</v>
      </c>
      <c r="J96" s="88" t="s">
        <v>3125</v>
      </c>
      <c r="K96" s="51" t="s">
        <v>5238</v>
      </c>
      <c r="L96" s="117">
        <f>IF(O96="","",N96*O96*M96)</f>
        <v>0</v>
      </c>
      <c r="M96" s="108">
        <v>1</v>
      </c>
      <c r="N96" s="95">
        <v>1</v>
      </c>
      <c r="O96" s="109">
        <f>IF(Key!D$1="ON",P96,IF(SUM(Q96:DL96)&lt;1,"",SUM(Q96:DL96)/COUNTIF(Q96:DL96,"&gt;0")))</f>
        <v>0</v>
      </c>
      <c r="P96" s="109">
        <f>SUMIFS(Q96:DK96,Q$1:DK$1,Dashboard!$K$31)</f>
        <v>0</v>
      </c>
      <c r="U96" s="95">
        <v>33</v>
      </c>
      <c r="AA96" s="95">
        <v>25</v>
      </c>
      <c r="AH96" s="95">
        <v>75</v>
      </c>
    </row>
    <row r="97" spans="1:34" x14ac:dyDescent="0.3">
      <c r="A97" s="89" t="str">
        <f>CONCATENATE(D97,".",F97,"-",G97,".",H97,"")</f>
        <v>1.1-5.1</v>
      </c>
      <c r="B97" s="89" t="str">
        <f>IF(CONCATENATE(I97,Key!F$2)=CONCATENATE(INDEX(Dashboard!J:J,MATCH(I97,Dashboard!J:J,0),1),INDEX(Dashboard!J:K,MATCH(I97,Dashboard!J:J,0),2)),"ON",IF(Dashboard!K$32="ALL","ON","-"))</f>
        <v>-</v>
      </c>
      <c r="C97" s="88" t="s">
        <v>110</v>
      </c>
      <c r="D97" s="89">
        <f>IF(C97="ID",1,(IF(C97="PR",2,(IF(C97="DE",3,(IF(C97="RS",4,(IF(C97="RC",5,0)))))))))</f>
        <v>1</v>
      </c>
      <c r="E97" s="89" t="s">
        <v>111</v>
      </c>
      <c r="F97" s="89">
        <f>IF(E97="AM",1,(IF(E97="BE",2,(IF(E97="GV",3,(IF(E97="RA",4,(IF(E97="RM",5,(IF(E97="AC",1,(IF(E97="AT",2,(IF(E97="DS",3,(IF(E97="IP",4,(IF(E97="MA",5,(IF(E97="PT",6,(IF(E97="AE",1,(IF(E97="CM",2,(IF(E97="DP",3,(IF(E97="AN",1,(IF(E97="CO",2,(IF(E97="IM",3,(IF(E97="MI",4,(IF(E97="RP",5,(IF(E97="SC",6,0)))))))))))))))))))))))))))))))))))))))</f>
        <v>1</v>
      </c>
      <c r="G97" s="52">
        <v>5</v>
      </c>
      <c r="H97" s="90" t="s">
        <v>115</v>
      </c>
      <c r="I97" s="93" t="s">
        <v>60</v>
      </c>
      <c r="J97" s="87" t="s">
        <v>3126</v>
      </c>
      <c r="K97" s="51" t="s">
        <v>5239</v>
      </c>
      <c r="L97" s="117">
        <f>IF(O97="","",N97*O97*M97)</f>
        <v>0</v>
      </c>
      <c r="M97" s="108">
        <v>1</v>
      </c>
      <c r="N97" s="95">
        <v>1</v>
      </c>
      <c r="O97" s="109">
        <f>IF(Key!D$1="ON",P97,IF(SUM(Q97:DL97)&lt;1,"",SUM(Q97:DL97)/COUNTIF(Q97:DL97,"&gt;0")))</f>
        <v>0</v>
      </c>
      <c r="P97" s="109">
        <f>SUMIFS(Q97:DK97,Q$1:DK$1,Dashboard!$K$31)</f>
        <v>0</v>
      </c>
      <c r="U97" s="95">
        <v>33</v>
      </c>
      <c r="AA97" s="95">
        <v>25</v>
      </c>
      <c r="AH97" s="95">
        <v>75</v>
      </c>
    </row>
    <row r="98" spans="1:34" ht="15.6" x14ac:dyDescent="0.3">
      <c r="A98" s="89" t="str">
        <f>CONCATENATE(D98,".",F98,"-",G98,".",H98,"")</f>
        <v>1.1-5.1</v>
      </c>
      <c r="B98" s="89" t="str">
        <f>IF(CONCATENATE(I98,Key!F$2)=CONCATENATE(INDEX(Dashboard!J:J,MATCH(I98,Dashboard!J:J,0),1),INDEX(Dashboard!J:K,MATCH(I98,Dashboard!J:J,0),2)),"ON",IF(Dashboard!K$32="ALL","ON","-"))</f>
        <v>-</v>
      </c>
      <c r="C98" s="88" t="s">
        <v>110</v>
      </c>
      <c r="D98" s="89">
        <f>IF(C98="ID",1,(IF(C98="PR",2,(IF(C98="DE",3,(IF(C98="RS",4,(IF(C98="RC",5,0)))))))))</f>
        <v>1</v>
      </c>
      <c r="E98" s="89" t="s">
        <v>111</v>
      </c>
      <c r="F98" s="89">
        <f>IF(E98="AM",1,(IF(E98="BE",2,(IF(E98="GV",3,(IF(E98="RA",4,(IF(E98="RM",5,(IF(E98="AC",1,(IF(E98="AT",2,(IF(E98="DS",3,(IF(E98="IP",4,(IF(E98="MA",5,(IF(E98="PT",6,(IF(E98="AE",1,(IF(E98="CM",2,(IF(E98="DP",3,(IF(E98="AN",1,(IF(E98="CO",2,(IF(E98="IM",3,(IF(E98="MI",4,(IF(E98="RP",5,(IF(E98="SC",6,0)))))))))))))))))))))))))))))))))))))))</f>
        <v>1</v>
      </c>
      <c r="G98" s="52">
        <v>5</v>
      </c>
      <c r="H98" s="90" t="s">
        <v>115</v>
      </c>
      <c r="I98" s="93" t="s">
        <v>64</v>
      </c>
      <c r="J98" s="87" t="s">
        <v>936</v>
      </c>
      <c r="K98" s="102" t="s">
        <v>2024</v>
      </c>
      <c r="L98" s="117">
        <f>IF(O98="","",N98*O98*M98)</f>
        <v>0</v>
      </c>
      <c r="M98" s="108">
        <v>1</v>
      </c>
      <c r="N98" s="95">
        <v>1</v>
      </c>
      <c r="O98" s="109">
        <f>IF(Key!D$1="ON",P98,IF(SUM(Q98:DL98)&lt;1,"",SUM(Q98:DL98)/COUNTIF(Q98:DL98,"&gt;0")))</f>
        <v>0</v>
      </c>
      <c r="P98" s="109">
        <f>SUMIFS(Q98:DK98,Q$1:DK$1,Dashboard!$K$31)</f>
        <v>0</v>
      </c>
      <c r="U98" s="95">
        <v>33</v>
      </c>
      <c r="AA98" s="95">
        <v>25</v>
      </c>
      <c r="AH98" s="95">
        <v>75</v>
      </c>
    </row>
    <row r="99" spans="1:34" ht="15.6" x14ac:dyDescent="0.3">
      <c r="A99" s="89" t="str">
        <f>CONCATENATE(D99,".",F99,"-",G99,".",H99,"")</f>
        <v>1.1-5.1</v>
      </c>
      <c r="B99" s="89" t="str">
        <f>IF(CONCATENATE(I99,Key!F$2)=CONCATENATE(INDEX(Dashboard!J:J,MATCH(I99,Dashboard!J:J,0),1),INDEX(Dashboard!J:K,MATCH(I99,Dashboard!J:J,0),2)),"ON",IF(Dashboard!K$32="ALL","ON","-"))</f>
        <v>-</v>
      </c>
      <c r="C99" s="88" t="s">
        <v>110</v>
      </c>
      <c r="D99" s="89">
        <f>IF(C99="ID",1,(IF(C99="PR",2,(IF(C99="DE",3,(IF(C99="RS",4,(IF(C99="RC",5,0)))))))))</f>
        <v>1</v>
      </c>
      <c r="E99" s="89" t="s">
        <v>111</v>
      </c>
      <c r="F99" s="89">
        <f>IF(E99="AM",1,(IF(E99="BE",2,(IF(E99="GV",3,(IF(E99="RA",4,(IF(E99="RM",5,(IF(E99="AC",1,(IF(E99="AT",2,(IF(E99="DS",3,(IF(E99="IP",4,(IF(E99="MA",5,(IF(E99="PT",6,(IF(E99="AE",1,(IF(E99="CM",2,(IF(E99="DP",3,(IF(E99="AN",1,(IF(E99="CO",2,(IF(E99="IM",3,(IF(E99="MI",4,(IF(E99="RP",5,(IF(E99="SC",6,0)))))))))))))))))))))))))))))))))))))))</f>
        <v>1</v>
      </c>
      <c r="G99" s="52">
        <v>5</v>
      </c>
      <c r="H99" s="90" t="s">
        <v>115</v>
      </c>
      <c r="I99" s="93" t="s">
        <v>64</v>
      </c>
      <c r="J99" s="87" t="s">
        <v>942</v>
      </c>
      <c r="K99" s="102" t="s">
        <v>2028</v>
      </c>
      <c r="L99" s="117">
        <f>IF(O99="","",N99*O99*M99)</f>
        <v>0</v>
      </c>
      <c r="M99" s="108">
        <v>1</v>
      </c>
      <c r="N99" s="95">
        <v>1</v>
      </c>
      <c r="O99" s="109">
        <f>IF(Key!D$1="ON",P99,IF(SUM(Q99:DL99)&lt;1,"",SUM(Q99:DL99)/COUNTIF(Q99:DL99,"&gt;0")))</f>
        <v>0</v>
      </c>
      <c r="P99" s="109">
        <f>SUMIFS(Q99:DK99,Q$1:DK$1,Dashboard!$K$31)</f>
        <v>0</v>
      </c>
      <c r="U99" s="95">
        <v>33</v>
      </c>
      <c r="AA99" s="95">
        <v>25</v>
      </c>
      <c r="AH99" s="95">
        <v>75</v>
      </c>
    </row>
    <row r="100" spans="1:34" ht="15.6" x14ac:dyDescent="0.3">
      <c r="A100" s="89" t="str">
        <f>CONCATENATE(D100,".",F100,"-",G100,".",H100,"")</f>
        <v>1.1-5.1</v>
      </c>
      <c r="B100" s="89" t="str">
        <f>IF(CONCATENATE(I100,Key!F$2)=CONCATENATE(INDEX(Dashboard!J:J,MATCH(I100,Dashboard!J:J,0),1),INDEX(Dashboard!J:K,MATCH(I100,Dashboard!J:J,0),2)),"ON",IF(Dashboard!K$32="ALL","ON","-"))</f>
        <v>-</v>
      </c>
      <c r="C100" s="88" t="s">
        <v>110</v>
      </c>
      <c r="D100" s="89">
        <f>IF(C100="ID",1,(IF(C100="PR",2,(IF(C100="DE",3,(IF(C100="RS",4,(IF(C100="RC",5,0)))))))))</f>
        <v>1</v>
      </c>
      <c r="E100" s="89" t="s">
        <v>111</v>
      </c>
      <c r="F100" s="89">
        <f>IF(E100="AM",1,(IF(E100="BE",2,(IF(E100="GV",3,(IF(E100="RA",4,(IF(E100="RM",5,(IF(E100="AC",1,(IF(E100="AT",2,(IF(E100="DS",3,(IF(E100="IP",4,(IF(E100="MA",5,(IF(E100="PT",6,(IF(E100="AE",1,(IF(E100="CM",2,(IF(E100="DP",3,(IF(E100="AN",1,(IF(E100="CO",2,(IF(E100="IM",3,(IF(E100="MI",4,(IF(E100="RP",5,(IF(E100="SC",6,0)))))))))))))))))))))))))))))))))))))))</f>
        <v>1</v>
      </c>
      <c r="G100" s="52">
        <v>5</v>
      </c>
      <c r="H100" s="90" t="s">
        <v>115</v>
      </c>
      <c r="I100" s="93" t="s">
        <v>77</v>
      </c>
      <c r="J100" s="87" t="s">
        <v>931</v>
      </c>
      <c r="K100" s="102" t="s">
        <v>2020</v>
      </c>
      <c r="L100" s="117">
        <f>IF(O100="","",N100*O100*M100)</f>
        <v>0</v>
      </c>
      <c r="M100" s="108">
        <v>1</v>
      </c>
      <c r="N100" s="95">
        <v>1</v>
      </c>
      <c r="O100" s="109">
        <f>IF(Key!D$1="ON",P100,IF(SUM(Q100:DL100)&lt;1,"",SUM(Q100:DL100)/COUNTIF(Q100:DL100,"&gt;0")))</f>
        <v>0</v>
      </c>
      <c r="P100" s="109">
        <f>SUMIFS(Q100:DK100,Q$1:DK$1,Dashboard!$K$31)</f>
        <v>0</v>
      </c>
      <c r="U100" s="95">
        <v>33</v>
      </c>
      <c r="AA100" s="95">
        <v>25</v>
      </c>
      <c r="AH100" s="95">
        <v>75</v>
      </c>
    </row>
    <row r="101" spans="1:34" ht="15.6" x14ac:dyDescent="0.3">
      <c r="A101" s="89" t="str">
        <f>CONCATENATE(D101,".",F101,"-",G101,".",H101,"")</f>
        <v>1.1-5.1</v>
      </c>
      <c r="B101" s="89" t="str">
        <f>IF(CONCATENATE(I101,Key!F$2)=CONCATENATE(INDEX(Dashboard!J:J,MATCH(I101,Dashboard!J:J,0),1),INDEX(Dashboard!J:K,MATCH(I101,Dashboard!J:J,0),2)),"ON",IF(Dashboard!K$32="ALL","ON","-"))</f>
        <v>-</v>
      </c>
      <c r="C101" s="88" t="s">
        <v>110</v>
      </c>
      <c r="D101" s="89">
        <f>IF(C101="ID",1,(IF(C101="PR",2,(IF(C101="DE",3,(IF(C101="RS",4,(IF(C101="RC",5,0)))))))))</f>
        <v>1</v>
      </c>
      <c r="E101" s="89" t="s">
        <v>111</v>
      </c>
      <c r="F101" s="89">
        <f>IF(E101="AM",1,(IF(E101="BE",2,(IF(E101="GV",3,(IF(E101="RA",4,(IF(E101="RM",5,(IF(E101="AC",1,(IF(E101="AT",2,(IF(E101="DS",3,(IF(E101="IP",4,(IF(E101="MA",5,(IF(E101="PT",6,(IF(E101="AE",1,(IF(E101="CM",2,(IF(E101="DP",3,(IF(E101="AN",1,(IF(E101="CO",2,(IF(E101="IM",3,(IF(E101="MI",4,(IF(E101="RP",5,(IF(E101="SC",6,0)))))))))))))))))))))))))))))))))))))))</f>
        <v>1</v>
      </c>
      <c r="G101" s="52">
        <v>5</v>
      </c>
      <c r="H101" s="90" t="s">
        <v>115</v>
      </c>
      <c r="I101" s="93" t="s">
        <v>77</v>
      </c>
      <c r="J101" s="87" t="s">
        <v>933</v>
      </c>
      <c r="K101" s="102" t="s">
        <v>2021</v>
      </c>
      <c r="L101" s="117">
        <f>IF(O101="","",N101*O101*M101)</f>
        <v>0</v>
      </c>
      <c r="M101" s="108">
        <v>1</v>
      </c>
      <c r="N101" s="95">
        <v>1</v>
      </c>
      <c r="O101" s="109">
        <f>IF(Key!D$1="ON",P101,IF(SUM(Q101:DL101)&lt;1,"",SUM(Q101:DL101)/COUNTIF(Q101:DL101,"&gt;0")))</f>
        <v>0</v>
      </c>
      <c r="P101" s="109">
        <f>SUMIFS(Q101:DK101,Q$1:DK$1,Dashboard!$K$31)</f>
        <v>0</v>
      </c>
      <c r="U101" s="95">
        <v>33</v>
      </c>
      <c r="AA101" s="95">
        <v>25</v>
      </c>
      <c r="AH101" s="95">
        <v>75</v>
      </c>
    </row>
    <row r="102" spans="1:34" x14ac:dyDescent="0.3">
      <c r="A102" s="89" t="str">
        <f>CONCATENATE(D102,".",F102,"-",G102,".",H102,"")</f>
        <v>1.1-5.1</v>
      </c>
      <c r="B102" s="89" t="str">
        <f>IF(CONCATENATE(I102,Key!F$2)=CONCATENATE(INDEX(Dashboard!J:J,MATCH(I102,Dashboard!J:J,0),1),INDEX(Dashboard!J:K,MATCH(I102,Dashboard!J:J,0),2)),"ON",IF(Dashboard!K$32="ALL","ON","-"))</f>
        <v>-</v>
      </c>
      <c r="C102" s="88" t="s">
        <v>110</v>
      </c>
      <c r="D102" s="89">
        <f>IF(C102="ID",1,(IF(C102="PR",2,(IF(C102="DE",3,(IF(C102="RS",4,(IF(C102="RC",5,0)))))))))</f>
        <v>1</v>
      </c>
      <c r="E102" s="89" t="s">
        <v>111</v>
      </c>
      <c r="F102" s="89">
        <f>IF(E102="AM",1,(IF(E102="BE",2,(IF(E102="GV",3,(IF(E102="RA",4,(IF(E102="RM",5,(IF(E102="AC",1,(IF(E102="AT",2,(IF(E102="DS",3,(IF(E102="IP",4,(IF(E102="MA",5,(IF(E102="PT",6,(IF(E102="AE",1,(IF(E102="CM",2,(IF(E102="DP",3,(IF(E102="AN",1,(IF(E102="CO",2,(IF(E102="IM",3,(IF(E102="MI",4,(IF(E102="RP",5,(IF(E102="SC",6,0)))))))))))))))))))))))))))))))))))))))</f>
        <v>1</v>
      </c>
      <c r="G102" s="52">
        <v>5</v>
      </c>
      <c r="H102" s="90" t="s">
        <v>115</v>
      </c>
      <c r="I102" s="93" t="s">
        <v>77</v>
      </c>
      <c r="J102" s="87" t="s">
        <v>934</v>
      </c>
      <c r="K102" s="102" t="s">
        <v>2022</v>
      </c>
      <c r="L102" s="117">
        <f>IF(O102="","",N102*O102*M102)</f>
        <v>0</v>
      </c>
      <c r="M102" s="108">
        <v>1</v>
      </c>
      <c r="N102" s="95">
        <v>1</v>
      </c>
      <c r="O102" s="109">
        <f>IF(Key!D$1="ON",P102,IF(SUM(Q102:DL102)&lt;1,"",SUM(Q102:DL102)/COUNTIF(Q102:DL102,"&gt;0")))</f>
        <v>0</v>
      </c>
      <c r="P102" s="109">
        <f>SUMIFS(Q102:DK102,Q$1:DK$1,Dashboard!$K$31)</f>
        <v>0</v>
      </c>
      <c r="U102" s="95">
        <v>33</v>
      </c>
      <c r="AA102" s="95">
        <v>25</v>
      </c>
      <c r="AH102" s="95">
        <v>75</v>
      </c>
    </row>
    <row r="103" spans="1:34" ht="15.6" x14ac:dyDescent="0.3">
      <c r="A103" s="89" t="str">
        <f>CONCATENATE(D103,".",F103,"-",G103,".",H103,"")</f>
        <v>1.1-5.1</v>
      </c>
      <c r="B103" s="89" t="str">
        <f>IF(CONCATENATE(I103,Key!F$2)=CONCATENATE(INDEX(Dashboard!J:J,MATCH(I103,Dashboard!J:J,0),1),INDEX(Dashboard!J:K,MATCH(I103,Dashboard!J:J,0),2)),"ON",IF(Dashboard!K$32="ALL","ON","-"))</f>
        <v>-</v>
      </c>
      <c r="C103" s="88" t="s">
        <v>110</v>
      </c>
      <c r="D103" s="89">
        <f>IF(C103="ID",1,(IF(C103="PR",2,(IF(C103="DE",3,(IF(C103="RS",4,(IF(C103="RC",5,0)))))))))</f>
        <v>1</v>
      </c>
      <c r="E103" s="89" t="s">
        <v>111</v>
      </c>
      <c r="F103" s="89">
        <f>IF(E103="AM",1,(IF(E103="BE",2,(IF(E103="GV",3,(IF(E103="RA",4,(IF(E103="RM",5,(IF(E103="AC",1,(IF(E103="AT",2,(IF(E103="DS",3,(IF(E103="IP",4,(IF(E103="MA",5,(IF(E103="PT",6,(IF(E103="AE",1,(IF(E103="CM",2,(IF(E103="DP",3,(IF(E103="AN",1,(IF(E103="CO",2,(IF(E103="IM",3,(IF(E103="MI",4,(IF(E103="RP",5,(IF(E103="SC",6,0)))))))))))))))))))))))))))))))))))))))</f>
        <v>1</v>
      </c>
      <c r="G103" s="52">
        <v>5</v>
      </c>
      <c r="H103" s="90" t="s">
        <v>115</v>
      </c>
      <c r="I103" s="93" t="s">
        <v>77</v>
      </c>
      <c r="J103" s="87" t="s">
        <v>935</v>
      </c>
      <c r="K103" s="102" t="s">
        <v>2023</v>
      </c>
      <c r="L103" s="117">
        <f>IF(O103="","",N103*O103*M103)</f>
        <v>0</v>
      </c>
      <c r="M103" s="108">
        <v>1</v>
      </c>
      <c r="N103" s="95">
        <v>1</v>
      </c>
      <c r="O103" s="109">
        <f>IF(Key!D$1="ON",P103,IF(SUM(Q103:DL103)&lt;1,"",SUM(Q103:DL103)/COUNTIF(Q103:DL103,"&gt;0")))</f>
        <v>0</v>
      </c>
      <c r="P103" s="109">
        <f>SUMIFS(Q103:DK103,Q$1:DK$1,Dashboard!$K$31)</f>
        <v>0</v>
      </c>
      <c r="U103" s="95">
        <v>33</v>
      </c>
      <c r="AA103" s="95">
        <v>25</v>
      </c>
      <c r="AH103" s="95">
        <v>75</v>
      </c>
    </row>
    <row r="104" spans="1:34" ht="15.6" x14ac:dyDescent="0.3">
      <c r="A104" s="89" t="str">
        <f>CONCATENATE(D104,".",F104,"-",G104,".",H104,"")</f>
        <v>1.1-5.1</v>
      </c>
      <c r="B104" s="89" t="str">
        <f>IF(CONCATENATE(I104,Key!F$2)=CONCATENATE(INDEX(Dashboard!J:J,MATCH(I104,Dashboard!J:J,0),1),INDEX(Dashboard!J:K,MATCH(I104,Dashboard!J:J,0),2)),"ON",IF(Dashboard!K$32="ALL","ON","-"))</f>
        <v>-</v>
      </c>
      <c r="C104" s="88" t="s">
        <v>110</v>
      </c>
      <c r="D104" s="89">
        <f>IF(C104="ID",1,(IF(C104="PR",2,(IF(C104="DE",3,(IF(C104="RS",4,(IF(C104="RC",5,0)))))))))</f>
        <v>1</v>
      </c>
      <c r="E104" s="89" t="s">
        <v>111</v>
      </c>
      <c r="F104" s="89">
        <f>IF(E104="AM",1,(IF(E104="BE",2,(IF(E104="GV",3,(IF(E104="RA",4,(IF(E104="RM",5,(IF(E104="AC",1,(IF(E104="AT",2,(IF(E104="DS",3,(IF(E104="IP",4,(IF(E104="MA",5,(IF(E104="PT",6,(IF(E104="AE",1,(IF(E104="CM",2,(IF(E104="DP",3,(IF(E104="AN",1,(IF(E104="CO",2,(IF(E104="IM",3,(IF(E104="MI",4,(IF(E104="RP",5,(IF(E104="SC",6,0)))))))))))))))))))))))))))))))))))))))</f>
        <v>1</v>
      </c>
      <c r="G104" s="52">
        <v>5</v>
      </c>
      <c r="H104" s="90" t="s">
        <v>115</v>
      </c>
      <c r="I104" s="93" t="s">
        <v>77</v>
      </c>
      <c r="J104" s="87" t="s">
        <v>936</v>
      </c>
      <c r="K104" s="102" t="s">
        <v>2024</v>
      </c>
      <c r="L104" s="117">
        <f>IF(O104="","",N104*O104*M104)</f>
        <v>0</v>
      </c>
      <c r="M104" s="108">
        <v>1</v>
      </c>
      <c r="N104" s="95">
        <v>1</v>
      </c>
      <c r="O104" s="109">
        <f>IF(Key!D$1="ON",P104,IF(SUM(Q104:DL104)&lt;1,"",SUM(Q104:DL104)/COUNTIF(Q104:DL104,"&gt;0")))</f>
        <v>0</v>
      </c>
      <c r="P104" s="109">
        <f>SUMIFS(Q104:DK104,Q$1:DK$1,Dashboard!$K$31)</f>
        <v>0</v>
      </c>
      <c r="U104" s="95">
        <v>33</v>
      </c>
      <c r="AA104" s="95">
        <v>25</v>
      </c>
      <c r="AH104" s="95">
        <v>75</v>
      </c>
    </row>
    <row r="105" spans="1:34" ht="15.6" x14ac:dyDescent="0.3">
      <c r="A105" s="89" t="str">
        <f>CONCATENATE(D105,".",F105,"-",G105,".",H105,"")</f>
        <v>1.1-5.1</v>
      </c>
      <c r="B105" s="89" t="str">
        <f>IF(CONCATENATE(I105,Key!F$2)=CONCATENATE(INDEX(Dashboard!J:J,MATCH(I105,Dashboard!J:J,0),1),INDEX(Dashboard!J:K,MATCH(I105,Dashboard!J:J,0),2)),"ON",IF(Dashboard!K$32="ALL","ON","-"))</f>
        <v>-</v>
      </c>
      <c r="C105" s="96" t="s">
        <v>110</v>
      </c>
      <c r="D105" s="89">
        <f>IF(C105="ID",1,(IF(C105="PR",2,(IF(C105="DE",3,(IF(C105="RS",4,(IF(C105="RC",5,0)))))))))</f>
        <v>1</v>
      </c>
      <c r="E105" s="89" t="s">
        <v>111</v>
      </c>
      <c r="F105" s="89">
        <f>IF(E105="AM",1,(IF(E105="BE",2,(IF(E105="GV",3,(IF(E105="RA",4,(IF(E105="RM",5,(IF(E105="AC",1,(IF(E105="AT",2,(IF(E105="DS",3,(IF(E105="IP",4,(IF(E105="MA",5,(IF(E105="PT",6,(IF(E105="AE",1,(IF(E105="CM",2,(IF(E105="DP",3,(IF(E105="AN",1,(IF(E105="CO",2,(IF(E105="IM",3,(IF(E105="MI",4,(IF(E105="RP",5,(IF(E105="SC",6,0)))))))))))))))))))))))))))))))))))))))</f>
        <v>1</v>
      </c>
      <c r="G105" s="98">
        <v>5</v>
      </c>
      <c r="H105" s="90" t="s">
        <v>115</v>
      </c>
      <c r="I105" s="93" t="s">
        <v>77</v>
      </c>
      <c r="J105" s="87" t="s">
        <v>937</v>
      </c>
      <c r="K105" s="102" t="s">
        <v>2025</v>
      </c>
      <c r="L105" s="117">
        <f>IF(O105="","",N105*O105*M105)</f>
        <v>0</v>
      </c>
      <c r="M105" s="108">
        <v>1</v>
      </c>
      <c r="N105" s="95">
        <v>1</v>
      </c>
      <c r="O105" s="109">
        <f>IF(Key!D$1="ON",P105,IF(SUM(Q105:DL105)&lt;1,"",SUM(Q105:DL105)/COUNTIF(Q105:DL105,"&gt;0")))</f>
        <v>0</v>
      </c>
      <c r="P105" s="109">
        <f>SUMIFS(Q105:DK105,Q$1:DK$1,Dashboard!$K$31)</f>
        <v>0</v>
      </c>
      <c r="U105" s="95">
        <v>33</v>
      </c>
      <c r="AA105" s="95">
        <v>25</v>
      </c>
      <c r="AH105" s="95">
        <v>75</v>
      </c>
    </row>
    <row r="106" spans="1:34" ht="15.6" x14ac:dyDescent="0.3">
      <c r="A106" s="89" t="str">
        <f>CONCATENATE(D106,".",F106,"-",G106,".",H106,"")</f>
        <v>1.1-5.1</v>
      </c>
      <c r="B106" s="89" t="str">
        <f>IF(CONCATENATE(I106,Key!F$2)=CONCATENATE(INDEX(Dashboard!J:J,MATCH(I106,Dashboard!J:J,0),1),INDEX(Dashboard!J:K,MATCH(I106,Dashboard!J:J,0),2)),"ON",IF(Dashboard!K$32="ALL","ON","-"))</f>
        <v>-</v>
      </c>
      <c r="C106" s="88" t="s">
        <v>110</v>
      </c>
      <c r="D106" s="89">
        <f>IF(C106="ID",1,(IF(C106="PR",2,(IF(C106="DE",3,(IF(C106="RS",4,(IF(C106="RC",5,0)))))))))</f>
        <v>1</v>
      </c>
      <c r="E106" s="89" t="s">
        <v>111</v>
      </c>
      <c r="F106" s="89">
        <f>IF(E106="AM",1,(IF(E106="BE",2,(IF(E106="GV",3,(IF(E106="RA",4,(IF(E106="RM",5,(IF(E106="AC",1,(IF(E106="AT",2,(IF(E106="DS",3,(IF(E106="IP",4,(IF(E106="MA",5,(IF(E106="PT",6,(IF(E106="AE",1,(IF(E106="CM",2,(IF(E106="DP",3,(IF(E106="AN",1,(IF(E106="CO",2,(IF(E106="IM",3,(IF(E106="MI",4,(IF(E106="RP",5,(IF(E106="SC",6,0)))))))))))))))))))))))))))))))))))))))</f>
        <v>1</v>
      </c>
      <c r="G106" s="52">
        <v>5</v>
      </c>
      <c r="H106" s="90" t="s">
        <v>115</v>
      </c>
      <c r="I106" s="93" t="s">
        <v>77</v>
      </c>
      <c r="J106" s="87" t="s">
        <v>939</v>
      </c>
      <c r="K106" s="102" t="s">
        <v>2026</v>
      </c>
      <c r="L106" s="117">
        <f>IF(O106="","",N106*O106*M106)</f>
        <v>0</v>
      </c>
      <c r="M106" s="108">
        <v>1</v>
      </c>
      <c r="N106" s="95">
        <v>1</v>
      </c>
      <c r="O106" s="109">
        <f>IF(Key!D$1="ON",P106,IF(SUM(Q106:DL106)&lt;1,"",SUM(Q106:DL106)/COUNTIF(Q106:DL106,"&gt;0")))</f>
        <v>0</v>
      </c>
      <c r="P106" s="109">
        <f>SUMIFS(Q106:DK106,Q$1:DK$1,Dashboard!$K$31)</f>
        <v>0</v>
      </c>
      <c r="U106" s="95">
        <v>33</v>
      </c>
      <c r="AA106" s="95">
        <v>25</v>
      </c>
      <c r="AH106" s="95">
        <v>75</v>
      </c>
    </row>
    <row r="107" spans="1:34" ht="15.6" x14ac:dyDescent="0.3">
      <c r="A107" s="89" t="str">
        <f>CONCATENATE(D107,".",F107,"-",G107,".",H107,"")</f>
        <v>1.1-5.1</v>
      </c>
      <c r="B107" s="89" t="str">
        <f>IF(CONCATENATE(I107,Key!F$2)=CONCATENATE(INDEX(Dashboard!J:J,MATCH(I107,Dashboard!J:J,0),1),INDEX(Dashboard!J:K,MATCH(I107,Dashboard!J:J,0),2)),"ON",IF(Dashboard!K$32="ALL","ON","-"))</f>
        <v>-</v>
      </c>
      <c r="C107" s="88" t="s">
        <v>110</v>
      </c>
      <c r="D107" s="89">
        <f>IF(C107="ID",1,(IF(C107="PR",2,(IF(C107="DE",3,(IF(C107="RS",4,(IF(C107="RC",5,0)))))))))</f>
        <v>1</v>
      </c>
      <c r="E107" s="89" t="s">
        <v>111</v>
      </c>
      <c r="F107" s="89">
        <f>IF(E107="AM",1,(IF(E107="BE",2,(IF(E107="GV",3,(IF(E107="RA",4,(IF(E107="RM",5,(IF(E107="AC",1,(IF(E107="AT",2,(IF(E107="DS",3,(IF(E107="IP",4,(IF(E107="MA",5,(IF(E107="PT",6,(IF(E107="AE",1,(IF(E107="CM",2,(IF(E107="DP",3,(IF(E107="AN",1,(IF(E107="CO",2,(IF(E107="IM",3,(IF(E107="MI",4,(IF(E107="RP",5,(IF(E107="SC",6,0)))))))))))))))))))))))))))))))))))))))</f>
        <v>1</v>
      </c>
      <c r="G107" s="98">
        <v>5</v>
      </c>
      <c r="H107" s="90" t="s">
        <v>115</v>
      </c>
      <c r="I107" s="93" t="s">
        <v>77</v>
      </c>
      <c r="J107" s="87" t="s">
        <v>941</v>
      </c>
      <c r="K107" s="102" t="s">
        <v>2027</v>
      </c>
      <c r="L107" s="117">
        <f>IF(O107="","",N107*O107*M107)</f>
        <v>0</v>
      </c>
      <c r="M107" s="108">
        <v>1</v>
      </c>
      <c r="N107" s="95">
        <v>1</v>
      </c>
      <c r="O107" s="109">
        <f>IF(Key!D$1="ON",P107,IF(SUM(Q107:DL107)&lt;1,"",SUM(Q107:DL107)/COUNTIF(Q107:DL107,"&gt;0")))</f>
        <v>0</v>
      </c>
      <c r="P107" s="109">
        <f>SUMIFS(Q107:DK107,Q$1:DK$1,Dashboard!$K$31)</f>
        <v>0</v>
      </c>
      <c r="U107" s="95">
        <v>33</v>
      </c>
      <c r="AA107" s="95">
        <v>25</v>
      </c>
      <c r="AH107" s="95">
        <v>75</v>
      </c>
    </row>
    <row r="108" spans="1:34" ht="15.6" x14ac:dyDescent="0.3">
      <c r="A108" s="89" t="str">
        <f>CONCATENATE(D108,".",F108,"-",G108,".",H108,"")</f>
        <v>1.1-5.1</v>
      </c>
      <c r="B108" s="89" t="str">
        <f>IF(CONCATENATE(I108,Key!F$2)=CONCATENATE(INDEX(Dashboard!J:J,MATCH(I108,Dashboard!J:J,0),1),INDEX(Dashboard!J:K,MATCH(I108,Dashboard!J:J,0),2)),"ON",IF(Dashboard!K$32="ALL","ON","-"))</f>
        <v>-</v>
      </c>
      <c r="C108" s="88" t="s">
        <v>110</v>
      </c>
      <c r="D108" s="89">
        <f>IF(C108="ID",1,(IF(C108="PR",2,(IF(C108="DE",3,(IF(C108="RS",4,(IF(C108="RC",5,0)))))))))</f>
        <v>1</v>
      </c>
      <c r="E108" s="89" t="s">
        <v>111</v>
      </c>
      <c r="F108" s="89">
        <f>IF(E108="AM",1,(IF(E108="BE",2,(IF(E108="GV",3,(IF(E108="RA",4,(IF(E108="RM",5,(IF(E108="AC",1,(IF(E108="AT",2,(IF(E108="DS",3,(IF(E108="IP",4,(IF(E108="MA",5,(IF(E108="PT",6,(IF(E108="AE",1,(IF(E108="CM",2,(IF(E108="DP",3,(IF(E108="AN",1,(IF(E108="CO",2,(IF(E108="IM",3,(IF(E108="MI",4,(IF(E108="RP",5,(IF(E108="SC",6,0)))))))))))))))))))))))))))))))))))))))</f>
        <v>1</v>
      </c>
      <c r="G108" s="52">
        <v>5</v>
      </c>
      <c r="H108" s="90" t="s">
        <v>115</v>
      </c>
      <c r="I108" s="93" t="s">
        <v>77</v>
      </c>
      <c r="J108" s="87" t="s">
        <v>942</v>
      </c>
      <c r="K108" s="102" t="s">
        <v>2028</v>
      </c>
      <c r="L108" s="117">
        <f>IF(O108="","",N108*O108*M108)</f>
        <v>0</v>
      </c>
      <c r="M108" s="108">
        <v>1</v>
      </c>
      <c r="N108" s="95">
        <v>1</v>
      </c>
      <c r="O108" s="109">
        <f>IF(Key!D$1="ON",P108,IF(SUM(Q108:DL108)&lt;1,"",SUM(Q108:DL108)/COUNTIF(Q108:DL108,"&gt;0")))</f>
        <v>0</v>
      </c>
      <c r="P108" s="109">
        <f>SUMIFS(Q108:DK108,Q$1:DK$1,Dashboard!$K$31)</f>
        <v>0</v>
      </c>
      <c r="U108" s="95">
        <v>33</v>
      </c>
      <c r="AA108" s="95">
        <v>25</v>
      </c>
      <c r="AH108" s="95">
        <v>75</v>
      </c>
    </row>
    <row r="109" spans="1:34" ht="15.6" x14ac:dyDescent="0.3">
      <c r="A109" s="89" t="str">
        <f>CONCATENATE(D109,".",F109,"-",G109,".",H109,"")</f>
        <v>1.1-5.1</v>
      </c>
      <c r="B109" s="89" t="str">
        <f>IF(CONCATENATE(I109,Key!F$2)=CONCATENATE(INDEX(Dashboard!J:J,MATCH(I109,Dashboard!J:J,0),1),INDEX(Dashboard!J:K,MATCH(I109,Dashboard!J:J,0),2)),"ON",IF(Dashboard!K$32="ALL","ON","-"))</f>
        <v>-</v>
      </c>
      <c r="C109" s="96" t="s">
        <v>110</v>
      </c>
      <c r="D109" s="89">
        <f>IF(C109="ID",1,(IF(C109="PR",2,(IF(C109="DE",3,(IF(C109="RS",4,(IF(C109="RC",5,0)))))))))</f>
        <v>1</v>
      </c>
      <c r="E109" s="89" t="s">
        <v>111</v>
      </c>
      <c r="F109" s="89">
        <f>IF(E109="AM",1,(IF(E109="BE",2,(IF(E109="GV",3,(IF(E109="RA",4,(IF(E109="RM",5,(IF(E109="AC",1,(IF(E109="AT",2,(IF(E109="DS",3,(IF(E109="IP",4,(IF(E109="MA",5,(IF(E109="PT",6,(IF(E109="AE",1,(IF(E109="CM",2,(IF(E109="DP",3,(IF(E109="AN",1,(IF(E109="CO",2,(IF(E109="IM",3,(IF(E109="MI",4,(IF(E109="RP",5,(IF(E109="SC",6,0)))))))))))))))))))))))))))))))))))))))</f>
        <v>1</v>
      </c>
      <c r="G109" s="98">
        <v>5</v>
      </c>
      <c r="H109" s="90" t="s">
        <v>115</v>
      </c>
      <c r="I109" s="93" t="s">
        <v>77</v>
      </c>
      <c r="J109" s="87" t="s">
        <v>943</v>
      </c>
      <c r="K109" s="102" t="s">
        <v>2029</v>
      </c>
      <c r="L109" s="117">
        <f>IF(O109="","",N109*O109*M109)</f>
        <v>0</v>
      </c>
      <c r="M109" s="108">
        <v>1</v>
      </c>
      <c r="N109" s="95">
        <v>1</v>
      </c>
      <c r="O109" s="109">
        <f>IF(Key!D$1="ON",P109,IF(SUM(Q109:DL109)&lt;1,"",SUM(Q109:DL109)/COUNTIF(Q109:DL109,"&gt;0")))</f>
        <v>0</v>
      </c>
      <c r="P109" s="109">
        <f>SUMIFS(Q109:DK109,Q$1:DK$1,Dashboard!$K$31)</f>
        <v>0</v>
      </c>
      <c r="U109" s="95">
        <v>33</v>
      </c>
      <c r="AA109" s="95">
        <v>25</v>
      </c>
      <c r="AH109" s="95">
        <v>75</v>
      </c>
    </row>
    <row r="110" spans="1:34" ht="15.6" x14ac:dyDescent="0.3">
      <c r="A110" s="89" t="str">
        <f>CONCATENATE(D110,".",F110,"-",G110,".",H110,"")</f>
        <v>1.1-5.1</v>
      </c>
      <c r="B110" s="89" t="str">
        <f>IF(CONCATENATE(I110,Key!F$2)=CONCATENATE(INDEX(Dashboard!J:J,MATCH(I110,Dashboard!J:J,0),1),INDEX(Dashboard!J:K,MATCH(I110,Dashboard!J:J,0),2)),"ON",IF(Dashboard!K$32="ALL","ON","-"))</f>
        <v>-</v>
      </c>
      <c r="C110" s="88" t="s">
        <v>110</v>
      </c>
      <c r="D110" s="89">
        <f>IF(C110="ID",1,(IF(C110="PR",2,(IF(C110="DE",3,(IF(C110="RS",4,(IF(C110="RC",5,0)))))))))</f>
        <v>1</v>
      </c>
      <c r="E110" s="89" t="s">
        <v>111</v>
      </c>
      <c r="F110" s="89">
        <f>IF(E110="AM",1,(IF(E110="BE",2,(IF(E110="GV",3,(IF(E110="RA",4,(IF(E110="RM",5,(IF(E110="AC",1,(IF(E110="AT",2,(IF(E110="DS",3,(IF(E110="IP",4,(IF(E110="MA",5,(IF(E110="PT",6,(IF(E110="AE",1,(IF(E110="CM",2,(IF(E110="DP",3,(IF(E110="AN",1,(IF(E110="CO",2,(IF(E110="IM",3,(IF(E110="MI",4,(IF(E110="RP",5,(IF(E110="SC",6,0)))))))))))))))))))))))))))))))))))))))</f>
        <v>1</v>
      </c>
      <c r="G110" s="98">
        <v>5</v>
      </c>
      <c r="H110" s="90" t="s">
        <v>115</v>
      </c>
      <c r="I110" s="93" t="s">
        <v>77</v>
      </c>
      <c r="J110" s="87" t="s">
        <v>945</v>
      </c>
      <c r="K110" s="102" t="s">
        <v>2030</v>
      </c>
      <c r="L110" s="117">
        <f>IF(O110="","",N110*O110*M110)</f>
        <v>0</v>
      </c>
      <c r="M110" s="108">
        <v>1</v>
      </c>
      <c r="N110" s="95">
        <v>1</v>
      </c>
      <c r="O110" s="109">
        <f>IF(Key!D$1="ON",P110,IF(SUM(Q110:DL110)&lt;1,"",SUM(Q110:DL110)/COUNTIF(Q110:DL110,"&gt;0")))</f>
        <v>0</v>
      </c>
      <c r="P110" s="109">
        <f>SUMIFS(Q110:DK110,Q$1:DK$1,Dashboard!$K$31)</f>
        <v>0</v>
      </c>
      <c r="U110" s="95">
        <v>33</v>
      </c>
      <c r="AA110" s="95">
        <v>25</v>
      </c>
      <c r="AH110" s="95">
        <v>75</v>
      </c>
    </row>
    <row r="111" spans="1:34" ht="15.6" x14ac:dyDescent="0.3">
      <c r="A111" s="89" t="str">
        <f>CONCATENATE(D111,".",F111,"-",G111,".",H111,"")</f>
        <v>1.1-5.1</v>
      </c>
      <c r="B111" s="89" t="str">
        <f>IF(CONCATENATE(I111,Key!F$2)=CONCATENATE(INDEX(Dashboard!J:J,MATCH(I111,Dashboard!J:J,0),1),INDEX(Dashboard!J:K,MATCH(I111,Dashboard!J:J,0),2)),"ON",IF(Dashboard!K$32="ALL","ON","-"))</f>
        <v>-</v>
      </c>
      <c r="C111" s="88" t="s">
        <v>110</v>
      </c>
      <c r="D111" s="89">
        <f>IF(C111="ID",1,(IF(C111="PR",2,(IF(C111="DE",3,(IF(C111="RS",4,(IF(C111="RC",5,0)))))))))</f>
        <v>1</v>
      </c>
      <c r="E111" s="89" t="s">
        <v>111</v>
      </c>
      <c r="F111" s="89">
        <f>IF(E111="AM",1,(IF(E111="BE",2,(IF(E111="GV",3,(IF(E111="RA",4,(IF(E111="RM",5,(IF(E111="AC",1,(IF(E111="AT",2,(IF(E111="DS",3,(IF(E111="IP",4,(IF(E111="MA",5,(IF(E111="PT",6,(IF(E111="AE",1,(IF(E111="CM",2,(IF(E111="DP",3,(IF(E111="AN",1,(IF(E111="CO",2,(IF(E111="IM",3,(IF(E111="MI",4,(IF(E111="RP",5,(IF(E111="SC",6,0)))))))))))))))))))))))))))))))))))))))</f>
        <v>1</v>
      </c>
      <c r="G111" s="52">
        <v>5</v>
      </c>
      <c r="H111" s="90" t="s">
        <v>115</v>
      </c>
      <c r="I111" s="93" t="s">
        <v>77</v>
      </c>
      <c r="J111" s="87" t="s">
        <v>947</v>
      </c>
      <c r="K111" s="102" t="s">
        <v>2031</v>
      </c>
      <c r="L111" s="117">
        <f>IF(O111="","",N111*O111*M111)</f>
        <v>0</v>
      </c>
      <c r="M111" s="108">
        <v>1</v>
      </c>
      <c r="N111" s="95">
        <v>1</v>
      </c>
      <c r="O111" s="109">
        <f>IF(Key!D$1="ON",P111,IF(SUM(Q111:DL111)&lt;1,"",SUM(Q111:DL111)/COUNTIF(Q111:DL111,"&gt;0")))</f>
        <v>0</v>
      </c>
      <c r="P111" s="109">
        <f>SUMIFS(Q111:DK111,Q$1:DK$1,Dashboard!$K$31)</f>
        <v>0</v>
      </c>
      <c r="U111" s="95">
        <v>33</v>
      </c>
      <c r="AA111" s="95">
        <v>25</v>
      </c>
      <c r="AH111" s="95">
        <v>75</v>
      </c>
    </row>
    <row r="112" spans="1:34" x14ac:dyDescent="0.3">
      <c r="A112" s="89" t="str">
        <f>CONCATENATE(D112,".",F112,"-",G112,".",H112,"")</f>
        <v>1.1-5.1</v>
      </c>
      <c r="B112" s="89" t="str">
        <f>IF(CONCATENATE(I112,Key!F$2)=CONCATENATE(INDEX(Dashboard!J:J,MATCH(I112,Dashboard!J:J,0),1),INDEX(Dashboard!J:K,MATCH(I112,Dashboard!J:J,0),2)),"ON",IF(Dashboard!K$32="ALL","ON","-"))</f>
        <v>-</v>
      </c>
      <c r="C112" s="88" t="s">
        <v>110</v>
      </c>
      <c r="D112" s="89">
        <f>IF(C112="ID",1,(IF(C112="PR",2,(IF(C112="DE",3,(IF(C112="RS",4,(IF(C112="RC",5,0)))))))))</f>
        <v>1</v>
      </c>
      <c r="E112" s="89" t="s">
        <v>111</v>
      </c>
      <c r="F112" s="89">
        <f>IF(E112="AM",1,(IF(E112="BE",2,(IF(E112="GV",3,(IF(E112="RA",4,(IF(E112="RM",5,(IF(E112="AC",1,(IF(E112="AT",2,(IF(E112="DS",3,(IF(E112="IP",4,(IF(E112="MA",5,(IF(E112="PT",6,(IF(E112="AE",1,(IF(E112="CM",2,(IF(E112="DP",3,(IF(E112="AN",1,(IF(E112="CO",2,(IF(E112="IM",3,(IF(E112="MI",4,(IF(E112="RP",5,(IF(E112="SC",6,0)))))))))))))))))))))))))))))))))))))))</f>
        <v>1</v>
      </c>
      <c r="G112" s="98">
        <v>5</v>
      </c>
      <c r="H112" s="90" t="s">
        <v>115</v>
      </c>
      <c r="I112" s="93" t="s">
        <v>81</v>
      </c>
      <c r="J112" s="129" t="s">
        <v>1990</v>
      </c>
      <c r="K112" s="103" t="s">
        <v>1991</v>
      </c>
      <c r="L112" s="117">
        <f>IF(O112="","",N112*O112*M112)</f>
        <v>0</v>
      </c>
      <c r="M112" s="108">
        <v>1</v>
      </c>
      <c r="N112" s="95">
        <v>1</v>
      </c>
      <c r="O112" s="109">
        <f>IF(Key!D$1="ON",P112,IF(SUM(Q112:DL112)&lt;1,"",SUM(Q112:DL112)/COUNTIF(Q112:DL112,"&gt;0")))</f>
        <v>0</v>
      </c>
      <c r="P112" s="109">
        <f>SUMIFS(Q112:DK112,Q$1:DK$1,Dashboard!$K$31)</f>
        <v>0</v>
      </c>
      <c r="U112" s="95">
        <v>33</v>
      </c>
      <c r="AA112" s="95">
        <v>25</v>
      </c>
      <c r="AH112" s="95">
        <v>75</v>
      </c>
    </row>
    <row r="113" spans="1:34" ht="15.6" x14ac:dyDescent="0.3">
      <c r="A113" s="89" t="str">
        <f>CONCATENATE(D113,".",F113,"-",G113,".",H113,"")</f>
        <v>1.1-5.1</v>
      </c>
      <c r="B113" s="89" t="str">
        <f>IF(CONCATENATE(I113,Key!F$2)=CONCATENATE(INDEX(Dashboard!J:J,MATCH(I113,Dashboard!J:J,0),1),INDEX(Dashboard!J:K,MATCH(I113,Dashboard!J:J,0),2)),"ON",IF(Dashboard!K$32="ALL","ON","-"))</f>
        <v>-</v>
      </c>
      <c r="C113" s="88" t="s">
        <v>110</v>
      </c>
      <c r="D113" s="89">
        <f>IF(C113="ID",1,(IF(C113="PR",2,(IF(C113="DE",3,(IF(C113="RS",4,(IF(C113="RC",5,0)))))))))</f>
        <v>1</v>
      </c>
      <c r="E113" s="89" t="s">
        <v>111</v>
      </c>
      <c r="F113" s="89">
        <f>IF(E113="AM",1,(IF(E113="BE",2,(IF(E113="GV",3,(IF(E113="RA",4,(IF(E113="RM",5,(IF(E113="AC",1,(IF(E113="AT",2,(IF(E113="DS",3,(IF(E113="IP",4,(IF(E113="MA",5,(IF(E113="PT",6,(IF(E113="AE",1,(IF(E113="CM",2,(IF(E113="DP",3,(IF(E113="AN",1,(IF(E113="CO",2,(IF(E113="IM",3,(IF(E113="MI",4,(IF(E113="RP",5,(IF(E113="SC",6,0)))))))))))))))))))))))))))))))))))))))</f>
        <v>1</v>
      </c>
      <c r="G113" s="98">
        <v>5</v>
      </c>
      <c r="H113" s="90" t="s">
        <v>115</v>
      </c>
      <c r="I113" s="93" t="s">
        <v>85</v>
      </c>
      <c r="J113" s="87" t="s">
        <v>945</v>
      </c>
      <c r="K113" s="119" t="s">
        <v>946</v>
      </c>
      <c r="L113" s="117">
        <f>IF(O113="","",N113*O113*M113)</f>
        <v>0</v>
      </c>
      <c r="M113" s="108">
        <v>1</v>
      </c>
      <c r="N113" s="95">
        <v>1</v>
      </c>
      <c r="O113" s="109">
        <f>IF(Key!D$1="ON",P113,IF(SUM(Q113:DL113)&lt;1,"",SUM(Q113:DL113)/COUNTIF(Q113:DL113,"&gt;0")))</f>
        <v>0</v>
      </c>
      <c r="P113" s="109">
        <f>SUMIFS(Q113:DK113,Q$1:DK$1,Dashboard!$K$31)</f>
        <v>0</v>
      </c>
      <c r="U113" s="95">
        <v>33</v>
      </c>
      <c r="AA113" s="95">
        <v>25</v>
      </c>
      <c r="AH113" s="95">
        <v>75</v>
      </c>
    </row>
    <row r="114" spans="1:34" x14ac:dyDescent="0.3">
      <c r="A114" s="89" t="str">
        <f>CONCATENATE(D114,".",F114,"-",G114,".",H114,"")</f>
        <v>1.1-5.1</v>
      </c>
      <c r="B114" s="89" t="str">
        <f>IF(CONCATENATE(I114,Key!F$2)=CONCATENATE(INDEX(Dashboard!J:J,MATCH(I114,Dashboard!J:J,0),1),INDEX(Dashboard!J:K,MATCH(I114,Dashboard!J:J,0),2)),"ON",IF(Dashboard!K$32="ALL","ON","-"))</f>
        <v>-</v>
      </c>
      <c r="C114" s="88" t="s">
        <v>110</v>
      </c>
      <c r="D114" s="89">
        <f>IF(C114="ID",1,(IF(C114="PR",2,(IF(C114="DE",3,(IF(C114="RS",4,(IF(C114="RC",5,0)))))))))</f>
        <v>1</v>
      </c>
      <c r="E114" s="89" t="s">
        <v>111</v>
      </c>
      <c r="F114" s="89">
        <f>IF(E114="AM",1,(IF(E114="BE",2,(IF(E114="GV",3,(IF(E114="RA",4,(IF(E114="RM",5,(IF(E114="AC",1,(IF(E114="AT",2,(IF(E114="DS",3,(IF(E114="IP",4,(IF(E114="MA",5,(IF(E114="PT",6,(IF(E114="AE",1,(IF(E114="CM",2,(IF(E114="DP",3,(IF(E114="AN",1,(IF(E114="CO",2,(IF(E114="IM",3,(IF(E114="MI",4,(IF(E114="RP",5,(IF(E114="SC",6,0)))))))))))))))))))))))))))))))))))))))</f>
        <v>1</v>
      </c>
      <c r="G114" s="52">
        <v>5</v>
      </c>
      <c r="H114" s="90" t="s">
        <v>115</v>
      </c>
      <c r="I114" s="93" t="s">
        <v>85</v>
      </c>
      <c r="J114" s="87" t="s">
        <v>935</v>
      </c>
      <c r="K114" s="119" t="s">
        <v>4571</v>
      </c>
      <c r="L114" s="117">
        <f>IF(O114="","",N114*O114*M114)</f>
        <v>0</v>
      </c>
      <c r="M114" s="108">
        <v>1</v>
      </c>
      <c r="N114" s="95">
        <v>1</v>
      </c>
      <c r="O114" s="109">
        <f>IF(Key!D$1="ON",P114,IF(SUM(Q114:DL114)&lt;1,"",SUM(Q114:DL114)/COUNTIF(Q114:DL114,"&gt;0")))</f>
        <v>0</v>
      </c>
      <c r="P114" s="109">
        <f>SUMIFS(Q114:DK114,Q$1:DK$1,Dashboard!$K$31)</f>
        <v>0</v>
      </c>
      <c r="U114" s="95">
        <v>33</v>
      </c>
      <c r="AA114" s="95">
        <v>25</v>
      </c>
      <c r="AH114" s="95">
        <v>75</v>
      </c>
    </row>
    <row r="115" spans="1:34" x14ac:dyDescent="0.3">
      <c r="A115" s="89" t="str">
        <f>CONCATENATE(D115,".",F115,"-",G115,".",H115,"")</f>
        <v>1.1-5.1</v>
      </c>
      <c r="B115" s="89" t="str">
        <f>IF(CONCATENATE(I115,Key!F$2)=CONCATENATE(INDEX(Dashboard!J:J,MATCH(I115,Dashboard!J:J,0),1),INDEX(Dashboard!J:K,MATCH(I115,Dashboard!J:J,0),2)),"ON",IF(Dashboard!K$32="ALL","ON","-"))</f>
        <v>-</v>
      </c>
      <c r="C115" s="88" t="s">
        <v>110</v>
      </c>
      <c r="D115" s="89">
        <f>IF(C115="ID",1,(IF(C115="PR",2,(IF(C115="DE",3,(IF(C115="RS",4,(IF(C115="RC",5,0)))))))))</f>
        <v>1</v>
      </c>
      <c r="E115" s="89" t="s">
        <v>111</v>
      </c>
      <c r="F115" s="89">
        <f>IF(E115="AM",1,(IF(E115="BE",2,(IF(E115="GV",3,(IF(E115="RA",4,(IF(E115="RM",5,(IF(E115="AC",1,(IF(E115="AT",2,(IF(E115="DS",3,(IF(E115="IP",4,(IF(E115="MA",5,(IF(E115="PT",6,(IF(E115="AE",1,(IF(E115="CM",2,(IF(E115="DP",3,(IF(E115="AN",1,(IF(E115="CO",2,(IF(E115="IM",3,(IF(E115="MI",4,(IF(E115="RP",5,(IF(E115="SC",6,0)))))))))))))))))))))))))))))))))))))))</f>
        <v>1</v>
      </c>
      <c r="G115" s="52">
        <v>5</v>
      </c>
      <c r="H115" s="90" t="s">
        <v>115</v>
      </c>
      <c r="I115" s="93" t="s">
        <v>85</v>
      </c>
      <c r="J115" s="87" t="s">
        <v>942</v>
      </c>
      <c r="K115" s="119" t="s">
        <v>4715</v>
      </c>
      <c r="L115" s="117">
        <f>IF(O115="","",N115*O115*M115)</f>
        <v>0</v>
      </c>
      <c r="M115" s="108">
        <v>1</v>
      </c>
      <c r="N115" s="95">
        <v>1</v>
      </c>
      <c r="O115" s="109">
        <f>IF(Key!D$1="ON",P115,IF(SUM(Q115:DL115)&lt;1,"",SUM(Q115:DL115)/COUNTIF(Q115:DL115,"&gt;0")))</f>
        <v>0</v>
      </c>
      <c r="P115" s="109">
        <f>SUMIFS(Q115:DK115,Q$1:DK$1,Dashboard!$K$31)</f>
        <v>0</v>
      </c>
      <c r="U115" s="95">
        <v>33</v>
      </c>
      <c r="AA115" s="95">
        <v>25</v>
      </c>
      <c r="AH115" s="95">
        <v>75</v>
      </c>
    </row>
    <row r="116" spans="1:34" x14ac:dyDescent="0.3">
      <c r="A116" s="89" t="str">
        <f>CONCATENATE(D116,".",F116,"-",G116,".",H116,"")</f>
        <v>1.1-5.1</v>
      </c>
      <c r="B116" s="89" t="str">
        <f>IF(CONCATENATE(I116,Key!F$2)=CONCATENATE(INDEX(Dashboard!J:J,MATCH(I116,Dashboard!J:J,0),1),INDEX(Dashboard!J:K,MATCH(I116,Dashboard!J:J,0),2)),"ON",IF(Dashboard!K$32="ALL","ON","-"))</f>
        <v>-</v>
      </c>
      <c r="C116" s="88" t="s">
        <v>110</v>
      </c>
      <c r="D116" s="89">
        <f>IF(C116="ID",1,(IF(C116="PR",2,(IF(C116="DE",3,(IF(C116="RS",4,(IF(C116="RC",5,0)))))))))</f>
        <v>1</v>
      </c>
      <c r="E116" s="89" t="s">
        <v>111</v>
      </c>
      <c r="F116" s="89">
        <f>IF(E116="AM",1,(IF(E116="BE",2,(IF(E116="GV",3,(IF(E116="RA",4,(IF(E116="RM",5,(IF(E116="AC",1,(IF(E116="AT",2,(IF(E116="DS",3,(IF(E116="IP",4,(IF(E116="MA",5,(IF(E116="PT",6,(IF(E116="AE",1,(IF(E116="CM",2,(IF(E116="DP",3,(IF(E116="AN",1,(IF(E116="CO",2,(IF(E116="IM",3,(IF(E116="MI",4,(IF(E116="RP",5,(IF(E116="SC",6,0)))))))))))))))))))))))))))))))))))))))</f>
        <v>1</v>
      </c>
      <c r="G116" s="52">
        <v>5</v>
      </c>
      <c r="H116" s="90" t="s">
        <v>115</v>
      </c>
      <c r="I116" s="93" t="s">
        <v>85</v>
      </c>
      <c r="J116" s="87" t="s">
        <v>937</v>
      </c>
      <c r="K116" s="119" t="s">
        <v>938</v>
      </c>
      <c r="L116" s="117">
        <f>IF(O116="","",N116*O116*M116)</f>
        <v>0</v>
      </c>
      <c r="M116" s="108">
        <v>1</v>
      </c>
      <c r="N116" s="95">
        <v>1</v>
      </c>
      <c r="O116" s="109">
        <f>IF(Key!D$1="ON",P116,IF(SUM(Q116:DL116)&lt;1,"",SUM(Q116:DL116)/COUNTIF(Q116:DL116,"&gt;0")))</f>
        <v>0</v>
      </c>
      <c r="P116" s="109">
        <f>SUMIFS(Q116:DK116,Q$1:DK$1,Dashboard!$K$31)</f>
        <v>0</v>
      </c>
      <c r="U116" s="95">
        <v>33</v>
      </c>
      <c r="AA116" s="95">
        <v>25</v>
      </c>
      <c r="AH116" s="95">
        <v>75</v>
      </c>
    </row>
    <row r="117" spans="1:34" ht="15.6" x14ac:dyDescent="0.3">
      <c r="A117" s="89" t="str">
        <f>CONCATENATE(D117,".",F117,"-",G117,".",H117,"")</f>
        <v>1.1-5.1</v>
      </c>
      <c r="B117" s="89" t="str">
        <f>IF(CONCATENATE(I117,Key!F$2)=CONCATENATE(INDEX(Dashboard!J:J,MATCH(I117,Dashboard!J:J,0),1),INDEX(Dashboard!J:K,MATCH(I117,Dashboard!J:J,0),2)),"ON",IF(Dashboard!K$32="ALL","ON","-"))</f>
        <v>-</v>
      </c>
      <c r="C117" s="96" t="s">
        <v>110</v>
      </c>
      <c r="D117" s="89">
        <f>IF(C117="ID",1,(IF(C117="PR",2,(IF(C117="DE",3,(IF(C117="RS",4,(IF(C117="RC",5,0)))))))))</f>
        <v>1</v>
      </c>
      <c r="E117" s="89" t="s">
        <v>111</v>
      </c>
      <c r="F117" s="89">
        <f>IF(E117="AM",1,(IF(E117="BE",2,(IF(E117="GV",3,(IF(E117="RA",4,(IF(E117="RM",5,(IF(E117="AC",1,(IF(E117="AT",2,(IF(E117="DS",3,(IF(E117="IP",4,(IF(E117="MA",5,(IF(E117="PT",6,(IF(E117="AE",1,(IF(E117="CM",2,(IF(E117="DP",3,(IF(E117="AN",1,(IF(E117="CO",2,(IF(E117="IM",3,(IF(E117="MI",4,(IF(E117="RP",5,(IF(E117="SC",6,0)))))))))))))))))))))))))))))))))))))))</f>
        <v>1</v>
      </c>
      <c r="G117" s="52">
        <v>5</v>
      </c>
      <c r="H117" s="90" t="s">
        <v>115</v>
      </c>
      <c r="I117" s="93" t="s">
        <v>85</v>
      </c>
      <c r="J117" s="86" t="s">
        <v>738</v>
      </c>
      <c r="K117" s="119" t="s">
        <v>1991</v>
      </c>
      <c r="L117" s="117">
        <f>IF(O117="","",N117*O117*M117)</f>
        <v>0</v>
      </c>
      <c r="M117" s="108">
        <v>1</v>
      </c>
      <c r="N117" s="95">
        <v>1</v>
      </c>
      <c r="O117" s="109">
        <f>IF(Key!D$1="ON",P117,IF(SUM(Q117:DL117)&lt;1,"",SUM(Q117:DL117)/COUNTIF(Q117:DL117,"&gt;0")))</f>
        <v>0</v>
      </c>
      <c r="P117" s="109">
        <f>SUMIFS(Q117:DK117,Q$1:DK$1,Dashboard!$K$31)</f>
        <v>0</v>
      </c>
      <c r="U117" s="95">
        <v>33</v>
      </c>
      <c r="AA117" s="95">
        <v>25</v>
      </c>
      <c r="AH117" s="95">
        <v>75</v>
      </c>
    </row>
    <row r="118" spans="1:34" ht="15.6" x14ac:dyDescent="0.3">
      <c r="A118" s="89" t="str">
        <f>CONCATENATE(D118,".",F118,"-",G118,".",H118,"")</f>
        <v>1.1-5.1</v>
      </c>
      <c r="B118" s="89" t="str">
        <f>IF(CONCATENATE(I118,Key!F$2)=CONCATENATE(INDEX(Dashboard!J:J,MATCH(I118,Dashboard!J:J,0),1),INDEX(Dashboard!J:K,MATCH(I118,Dashboard!J:J,0),2)),"ON",IF(Dashboard!K$32="ALL","ON","-"))</f>
        <v>-</v>
      </c>
      <c r="C118" s="88" t="s">
        <v>110</v>
      </c>
      <c r="D118" s="89">
        <f>IF(C118="ID",1,(IF(C118="PR",2,(IF(C118="DE",3,(IF(C118="RS",4,(IF(C118="RC",5,0)))))))))</f>
        <v>1</v>
      </c>
      <c r="E118" s="89" t="s">
        <v>111</v>
      </c>
      <c r="F118" s="89">
        <f>IF(E118="AM",1,(IF(E118="BE",2,(IF(E118="GV",3,(IF(E118="RA",4,(IF(E118="RM",5,(IF(E118="AC",1,(IF(E118="AT",2,(IF(E118="DS",3,(IF(E118="IP",4,(IF(E118="MA",5,(IF(E118="PT",6,(IF(E118="AE",1,(IF(E118="CM",2,(IF(E118="DP",3,(IF(E118="AN",1,(IF(E118="CO",2,(IF(E118="IM",3,(IF(E118="MI",4,(IF(E118="RP",5,(IF(E118="SC",6,0)))))))))))))))))))))))))))))))))))))))</f>
        <v>1</v>
      </c>
      <c r="G118" s="52">
        <v>5</v>
      </c>
      <c r="H118" s="90" t="s">
        <v>115</v>
      </c>
      <c r="I118" s="93" t="s">
        <v>85</v>
      </c>
      <c r="J118" s="86" t="s">
        <v>934</v>
      </c>
      <c r="K118" s="119" t="s">
        <v>4569</v>
      </c>
      <c r="L118" s="117">
        <f>IF(O118="","",N118*O118*M118)</f>
        <v>0</v>
      </c>
      <c r="M118" s="108">
        <v>1</v>
      </c>
      <c r="N118" s="95">
        <v>1</v>
      </c>
      <c r="O118" s="109">
        <f>IF(Key!D$1="ON",P118,IF(SUM(Q118:DL118)&lt;1,"",SUM(Q118:DL118)/COUNTIF(Q118:DL118,"&gt;0")))</f>
        <v>0</v>
      </c>
      <c r="P118" s="109">
        <f>SUMIFS(Q118:DK118,Q$1:DK$1,Dashboard!$K$31)</f>
        <v>0</v>
      </c>
      <c r="U118" s="95">
        <v>33</v>
      </c>
      <c r="AA118" s="95">
        <v>25</v>
      </c>
      <c r="AH118" s="95">
        <v>75</v>
      </c>
    </row>
    <row r="119" spans="1:34" x14ac:dyDescent="0.3">
      <c r="A119" s="89" t="str">
        <f>CONCATENATE(D119,".",F119,"-",G119,".",H119,"")</f>
        <v>1.1-5.1</v>
      </c>
      <c r="B119" s="89" t="str">
        <f>IF(CONCATENATE(I119,Key!F$2)=CONCATENATE(INDEX(Dashboard!J:J,MATCH(I119,Dashboard!J:J,0),1),INDEX(Dashboard!J:K,MATCH(I119,Dashboard!J:J,0),2)),"ON",IF(Dashboard!K$32="ALL","ON","-"))</f>
        <v>-</v>
      </c>
      <c r="C119" s="88" t="s">
        <v>110</v>
      </c>
      <c r="D119" s="89">
        <f>IF(C119="ID",1,(IF(C119="PR",2,(IF(C119="DE",3,(IF(C119="RS",4,(IF(C119="RC",5,0)))))))))</f>
        <v>1</v>
      </c>
      <c r="E119" s="89" t="s">
        <v>111</v>
      </c>
      <c r="F119" s="89">
        <f>IF(E119="AM",1,(IF(E119="BE",2,(IF(E119="GV",3,(IF(E119="RA",4,(IF(E119="RM",5,(IF(E119="AC",1,(IF(E119="AT",2,(IF(E119="DS",3,(IF(E119="IP",4,(IF(E119="MA",5,(IF(E119="PT",6,(IF(E119="AE",1,(IF(E119="CM",2,(IF(E119="DP",3,(IF(E119="AN",1,(IF(E119="CO",2,(IF(E119="IM",3,(IF(E119="MI",4,(IF(E119="RP",5,(IF(E119="SC",6,0)))))))))))))))))))))))))))))))))))))))</f>
        <v>1</v>
      </c>
      <c r="G119" s="52">
        <v>5</v>
      </c>
      <c r="H119" s="90" t="s">
        <v>115</v>
      </c>
      <c r="I119" s="93" t="s">
        <v>85</v>
      </c>
      <c r="J119" s="87" t="s">
        <v>933</v>
      </c>
      <c r="K119" s="119" t="s">
        <v>4566</v>
      </c>
      <c r="L119" s="117">
        <f>IF(O119="","",N119*O119*M119)</f>
        <v>0</v>
      </c>
      <c r="M119" s="108">
        <v>1</v>
      </c>
      <c r="N119" s="95">
        <v>1</v>
      </c>
      <c r="O119" s="109">
        <f>IF(Key!D$1="ON",P119,IF(SUM(Q119:DL119)&lt;1,"",SUM(Q119:DL119)/COUNTIF(Q119:DL119,"&gt;0")))</f>
        <v>0</v>
      </c>
      <c r="P119" s="109">
        <f>SUMIFS(Q119:DK119,Q$1:DK$1,Dashboard!$K$31)</f>
        <v>0</v>
      </c>
      <c r="U119" s="95">
        <v>33</v>
      </c>
      <c r="AA119" s="95">
        <v>25</v>
      </c>
      <c r="AH119" s="95">
        <v>75</v>
      </c>
    </row>
    <row r="120" spans="1:34" ht="15.6" x14ac:dyDescent="0.3">
      <c r="A120" s="89" t="str">
        <f>CONCATENATE(D120,".",F120,"-",G120,".",H120,"")</f>
        <v>1.1-5.1</v>
      </c>
      <c r="B120" s="89" t="str">
        <f>IF(CONCATENATE(I120,Key!F$2)=CONCATENATE(INDEX(Dashboard!J:J,MATCH(I120,Dashboard!J:J,0),1),INDEX(Dashboard!J:K,MATCH(I120,Dashboard!J:J,0),2)),"ON",IF(Dashboard!K$32="ALL","ON","-"))</f>
        <v>-</v>
      </c>
      <c r="C120" s="88" t="s">
        <v>110</v>
      </c>
      <c r="D120" s="89">
        <f>IF(C120="ID",1,(IF(C120="PR",2,(IF(C120="DE",3,(IF(C120="RS",4,(IF(C120="RC",5,0)))))))))</f>
        <v>1</v>
      </c>
      <c r="E120" s="89" t="s">
        <v>111</v>
      </c>
      <c r="F120" s="89">
        <f>IF(E120="AM",1,(IF(E120="BE",2,(IF(E120="GV",3,(IF(E120="RA",4,(IF(E120="RM",5,(IF(E120="AC",1,(IF(E120="AT",2,(IF(E120="DS",3,(IF(E120="IP",4,(IF(E120="MA",5,(IF(E120="PT",6,(IF(E120="AE",1,(IF(E120="CM",2,(IF(E120="DP",3,(IF(E120="AN",1,(IF(E120="CO",2,(IF(E120="IM",3,(IF(E120="MI",4,(IF(E120="RP",5,(IF(E120="SC",6,0)))))))))))))))))))))))))))))))))))))))</f>
        <v>1</v>
      </c>
      <c r="G120" s="52">
        <v>5</v>
      </c>
      <c r="H120" s="90" t="s">
        <v>115</v>
      </c>
      <c r="I120" s="93" t="s">
        <v>85</v>
      </c>
      <c r="J120" s="87" t="s">
        <v>939</v>
      </c>
      <c r="K120" s="119" t="s">
        <v>940</v>
      </c>
      <c r="L120" s="117">
        <f>IF(O120="","",N120*O120*M120)</f>
        <v>0</v>
      </c>
      <c r="M120" s="108">
        <v>1</v>
      </c>
      <c r="N120" s="95">
        <v>1</v>
      </c>
      <c r="O120" s="109">
        <f>IF(Key!D$1="ON",P120,IF(SUM(Q120:DL120)&lt;1,"",SUM(Q120:DL120)/COUNTIF(Q120:DL120,"&gt;0")))</f>
        <v>0</v>
      </c>
      <c r="P120" s="109">
        <f>SUMIFS(Q120:DK120,Q$1:DK$1,Dashboard!$K$31)</f>
        <v>0</v>
      </c>
      <c r="U120" s="95">
        <v>33</v>
      </c>
      <c r="AA120" s="95">
        <v>25</v>
      </c>
      <c r="AH120" s="95">
        <v>75</v>
      </c>
    </row>
    <row r="121" spans="1:34" x14ac:dyDescent="0.3">
      <c r="A121" s="89" t="str">
        <f>CONCATENATE(D121,".",F121,"-",G121,".",H121,"")</f>
        <v>1.1-5.1</v>
      </c>
      <c r="B121" s="89" t="str">
        <f>IF(CONCATENATE(I121,Key!F$2)=CONCATENATE(INDEX(Dashboard!J:J,MATCH(I121,Dashboard!J:J,0),1),INDEX(Dashboard!J:K,MATCH(I121,Dashboard!J:J,0),2)),"ON",IF(Dashboard!K$32="ALL","ON","-"))</f>
        <v>-</v>
      </c>
      <c r="C121" s="88" t="s">
        <v>110</v>
      </c>
      <c r="D121" s="89">
        <f>IF(C121="ID",1,(IF(C121="PR",2,(IF(C121="DE",3,(IF(C121="RS",4,(IF(C121="RC",5,0)))))))))</f>
        <v>1</v>
      </c>
      <c r="E121" s="89" t="s">
        <v>111</v>
      </c>
      <c r="F121" s="89">
        <f>IF(E121="AM",1,(IF(E121="BE",2,(IF(E121="GV",3,(IF(E121="RA",4,(IF(E121="RM",5,(IF(E121="AC",1,(IF(E121="AT",2,(IF(E121="DS",3,(IF(E121="IP",4,(IF(E121="MA",5,(IF(E121="PT",6,(IF(E121="AE",1,(IF(E121="CM",2,(IF(E121="DP",3,(IF(E121="AN",1,(IF(E121="CO",2,(IF(E121="IM",3,(IF(E121="MI",4,(IF(E121="RP",5,(IF(E121="SC",6,0)))))))))))))))))))))))))))))))))))))))</f>
        <v>1</v>
      </c>
      <c r="G121" s="52">
        <v>5</v>
      </c>
      <c r="H121" s="90" t="s">
        <v>115</v>
      </c>
      <c r="I121" s="93" t="s">
        <v>85</v>
      </c>
      <c r="J121" s="87" t="s">
        <v>936</v>
      </c>
      <c r="K121" s="119" t="s">
        <v>4585</v>
      </c>
      <c r="L121" s="117">
        <f>IF(O121="","",N121*O121*M121)</f>
        <v>0</v>
      </c>
      <c r="M121" s="108">
        <v>1</v>
      </c>
      <c r="N121" s="95">
        <v>1</v>
      </c>
      <c r="O121" s="109">
        <f>IF(Key!D$1="ON",P121,IF(SUM(Q121:DL121)&lt;1,"",SUM(Q121:DL121)/COUNTIF(Q121:DL121,"&gt;0")))</f>
        <v>0</v>
      </c>
      <c r="P121" s="109">
        <f>SUMIFS(Q121:DK121,Q$1:DK$1,Dashboard!$K$31)</f>
        <v>0</v>
      </c>
      <c r="U121" s="95">
        <v>33</v>
      </c>
      <c r="AA121" s="95">
        <v>25</v>
      </c>
      <c r="AH121" s="95">
        <v>75</v>
      </c>
    </row>
    <row r="122" spans="1:34" ht="15.6" x14ac:dyDescent="0.3">
      <c r="A122" s="89" t="str">
        <f>CONCATENATE(D122,".",F122,"-",G122,".",H122,"")</f>
        <v>1.1-5.1</v>
      </c>
      <c r="B122" s="89" t="str">
        <f>IF(CONCATENATE(I122,Key!F$2)=CONCATENATE(INDEX(Dashboard!J:J,MATCH(I122,Dashboard!J:J,0),1),INDEX(Dashboard!J:K,MATCH(I122,Dashboard!J:J,0),2)),"ON",IF(Dashboard!K$32="ALL","ON","-"))</f>
        <v>-</v>
      </c>
      <c r="C122" s="88" t="s">
        <v>110</v>
      </c>
      <c r="D122" s="89">
        <f>IF(C122="ID",1,(IF(C122="PR",2,(IF(C122="DE",3,(IF(C122="RS",4,(IF(C122="RC",5,0)))))))))</f>
        <v>1</v>
      </c>
      <c r="E122" s="89" t="s">
        <v>111</v>
      </c>
      <c r="F122" s="89">
        <f>IF(E122="AM",1,(IF(E122="BE",2,(IF(E122="GV",3,(IF(E122="RA",4,(IF(E122="RM",5,(IF(E122="AC",1,(IF(E122="AT",2,(IF(E122="DS",3,(IF(E122="IP",4,(IF(E122="MA",5,(IF(E122="PT",6,(IF(E122="AE",1,(IF(E122="CM",2,(IF(E122="DP",3,(IF(E122="AN",1,(IF(E122="CO",2,(IF(E122="IM",3,(IF(E122="MI",4,(IF(E122="RP",5,(IF(E122="SC",6,0)))))))))))))))))))))))))))))))))))))))</f>
        <v>1</v>
      </c>
      <c r="G122" s="52">
        <v>5</v>
      </c>
      <c r="H122" s="90" t="s">
        <v>115</v>
      </c>
      <c r="I122" s="93" t="s">
        <v>85</v>
      </c>
      <c r="J122" s="87" t="s">
        <v>931</v>
      </c>
      <c r="K122" s="119" t="s">
        <v>932</v>
      </c>
      <c r="L122" s="117">
        <f>IF(O122="","",N122*O122*M122)</f>
        <v>0</v>
      </c>
      <c r="M122" s="108">
        <v>1</v>
      </c>
      <c r="N122" s="95">
        <v>1</v>
      </c>
      <c r="O122" s="109">
        <f>IF(Key!D$1="ON",P122,IF(SUM(Q122:DL122)&lt;1,"",SUM(Q122:DL122)/COUNTIF(Q122:DL122,"&gt;0")))</f>
        <v>0</v>
      </c>
      <c r="P122" s="109">
        <f>SUMIFS(Q122:DK122,Q$1:DK$1,Dashboard!$K$31)</f>
        <v>0</v>
      </c>
      <c r="U122" s="95">
        <v>33</v>
      </c>
      <c r="AA122" s="95">
        <v>25</v>
      </c>
      <c r="AH122" s="95">
        <v>75</v>
      </c>
    </row>
    <row r="123" spans="1:34" ht="15.6" x14ac:dyDescent="0.3">
      <c r="A123" s="89" t="str">
        <f>CONCATENATE(D123,".",F123,"-",G123,".",H123,"")</f>
        <v>1.1-5.1</v>
      </c>
      <c r="B123" s="89" t="str">
        <f>IF(CONCATENATE(I123,Key!F$2)=CONCATENATE(INDEX(Dashboard!J:J,MATCH(I123,Dashboard!J:J,0),1),INDEX(Dashboard!J:K,MATCH(I123,Dashboard!J:J,0),2)),"ON",IF(Dashboard!K$32="ALL","ON","-"))</f>
        <v>-</v>
      </c>
      <c r="C123" s="88" t="s">
        <v>110</v>
      </c>
      <c r="D123" s="89">
        <f>IF(C123="ID",1,(IF(C123="PR",2,(IF(C123="DE",3,(IF(C123="RS",4,(IF(C123="RC",5,0)))))))))</f>
        <v>1</v>
      </c>
      <c r="E123" s="89" t="s">
        <v>111</v>
      </c>
      <c r="F123" s="89">
        <f>IF(E123="AM",1,(IF(E123="BE",2,(IF(E123="GV",3,(IF(E123="RA",4,(IF(E123="RM",5,(IF(E123="AC",1,(IF(E123="AT",2,(IF(E123="DS",3,(IF(E123="IP",4,(IF(E123="MA",5,(IF(E123="PT",6,(IF(E123="AE",1,(IF(E123="CM",2,(IF(E123="DP",3,(IF(E123="AN",1,(IF(E123="CO",2,(IF(E123="IM",3,(IF(E123="MI",4,(IF(E123="RP",5,(IF(E123="SC",6,0)))))))))))))))))))))))))))))))))))))))</f>
        <v>1</v>
      </c>
      <c r="G123" s="52">
        <v>5</v>
      </c>
      <c r="H123" s="90" t="s">
        <v>115</v>
      </c>
      <c r="I123" s="93" t="s">
        <v>85</v>
      </c>
      <c r="J123" s="87" t="s">
        <v>943</v>
      </c>
      <c r="K123" s="119" t="s">
        <v>944</v>
      </c>
      <c r="L123" s="117">
        <f>IF(O123="","",N123*O123*M123)</f>
        <v>0</v>
      </c>
      <c r="M123" s="108">
        <v>1</v>
      </c>
      <c r="N123" s="95">
        <v>1</v>
      </c>
      <c r="O123" s="109">
        <f>IF(Key!D$1="ON",P123,IF(SUM(Q123:DL123)&lt;1,"",SUM(Q123:DL123)/COUNTIF(Q123:DL123,"&gt;0")))</f>
        <v>0</v>
      </c>
      <c r="P123" s="109">
        <f>SUMIFS(Q123:DK123,Q$1:DK$1,Dashboard!$K$31)</f>
        <v>0</v>
      </c>
      <c r="U123" s="95">
        <v>33</v>
      </c>
      <c r="AA123" s="95">
        <v>25</v>
      </c>
      <c r="AH123" s="95">
        <v>75</v>
      </c>
    </row>
    <row r="124" spans="1:34" ht="15.6" x14ac:dyDescent="0.3">
      <c r="A124" s="89" t="str">
        <f>CONCATENATE(D124,".",F124,"-",G124,".",H124,"")</f>
        <v>1.1-5.1</v>
      </c>
      <c r="B124" s="89" t="str">
        <f>IF(CONCATENATE(I124,Key!F$2)=CONCATENATE(INDEX(Dashboard!J:J,MATCH(I124,Dashboard!J:J,0),1),INDEX(Dashboard!J:K,MATCH(I124,Dashboard!J:J,0),2)),"ON",IF(Dashboard!K$32="ALL","ON","-"))</f>
        <v>-</v>
      </c>
      <c r="C124" s="88" t="s">
        <v>110</v>
      </c>
      <c r="D124" s="89">
        <f>IF(C124="ID",1,(IF(C124="PR",2,(IF(C124="DE",3,(IF(C124="RS",4,(IF(C124="RC",5,0)))))))))</f>
        <v>1</v>
      </c>
      <c r="E124" s="89" t="s">
        <v>111</v>
      </c>
      <c r="F124" s="89">
        <f>IF(E124="AM",1,(IF(E124="BE",2,(IF(E124="GV",3,(IF(E124="RA",4,(IF(E124="RM",5,(IF(E124="AC",1,(IF(E124="AT",2,(IF(E124="DS",3,(IF(E124="IP",4,(IF(E124="MA",5,(IF(E124="PT",6,(IF(E124="AE",1,(IF(E124="CM",2,(IF(E124="DP",3,(IF(E124="AN",1,(IF(E124="CO",2,(IF(E124="IM",3,(IF(E124="MI",4,(IF(E124="RP",5,(IF(E124="SC",6,0)))))))))))))))))))))))))))))))))))))))</f>
        <v>1</v>
      </c>
      <c r="G124" s="52">
        <v>5</v>
      </c>
      <c r="H124" s="90" t="s">
        <v>115</v>
      </c>
      <c r="I124" s="93" t="s">
        <v>85</v>
      </c>
      <c r="J124" s="87" t="s">
        <v>947</v>
      </c>
      <c r="K124" s="119" t="s">
        <v>948</v>
      </c>
      <c r="L124" s="117">
        <f>IF(O124="","",N124*O124*M124)</f>
        <v>0</v>
      </c>
      <c r="M124" s="108">
        <v>1</v>
      </c>
      <c r="N124" s="95">
        <v>1</v>
      </c>
      <c r="O124" s="109">
        <f>IF(Key!D$1="ON",P124,IF(SUM(Q124:DL124)&lt;1,"",SUM(Q124:DL124)/COUNTIF(Q124:DL124,"&gt;0")))</f>
        <v>0</v>
      </c>
      <c r="P124" s="109">
        <f>SUMIFS(Q124:DK124,Q$1:DK$1,Dashboard!$K$31)</f>
        <v>0</v>
      </c>
      <c r="U124" s="95">
        <v>33</v>
      </c>
      <c r="AA124" s="95">
        <v>25</v>
      </c>
      <c r="AH124" s="95">
        <v>75</v>
      </c>
    </row>
    <row r="125" spans="1:34" ht="15.6" x14ac:dyDescent="0.3">
      <c r="A125" s="89" t="str">
        <f>CONCATENATE(D125,".",F125,"-",G125,".",H125,"")</f>
        <v>1.1-5.1</v>
      </c>
      <c r="B125" s="89" t="str">
        <f>IF(CONCATENATE(I125,Key!F$2)=CONCATENATE(INDEX(Dashboard!J:J,MATCH(I125,Dashboard!J:J,0),1),INDEX(Dashboard!J:K,MATCH(I125,Dashboard!J:J,0),2)),"ON",IF(Dashboard!K$32="ALL","ON","-"))</f>
        <v>-</v>
      </c>
      <c r="C125" s="88" t="s">
        <v>110</v>
      </c>
      <c r="D125" s="89">
        <f>IF(C125="ID",1,(IF(C125="PR",2,(IF(C125="DE",3,(IF(C125="RS",4,(IF(C125="RC",5,0)))))))))</f>
        <v>1</v>
      </c>
      <c r="E125" s="89" t="s">
        <v>111</v>
      </c>
      <c r="F125" s="89">
        <f>IF(E125="AM",1,(IF(E125="BE",2,(IF(E125="GV",3,(IF(E125="RA",4,(IF(E125="RM",5,(IF(E125="AC",1,(IF(E125="AT",2,(IF(E125="DS",3,(IF(E125="IP",4,(IF(E125="MA",5,(IF(E125="PT",6,(IF(E125="AE",1,(IF(E125="CM",2,(IF(E125="DP",3,(IF(E125="AN",1,(IF(E125="CO",2,(IF(E125="IM",3,(IF(E125="MI",4,(IF(E125="RP",5,(IF(E125="SC",6,0)))))))))))))))))))))))))))))))))))))))</f>
        <v>1</v>
      </c>
      <c r="G125" s="52">
        <v>5</v>
      </c>
      <c r="H125" s="89">
        <v>1</v>
      </c>
      <c r="I125" s="93" t="s">
        <v>85</v>
      </c>
      <c r="J125" s="135" t="s">
        <v>710</v>
      </c>
      <c r="K125" s="143" t="s">
        <v>711</v>
      </c>
      <c r="L125" s="117">
        <f>IF(O125="","",N125*O125*M125)</f>
        <v>0</v>
      </c>
      <c r="M125" s="108">
        <v>1</v>
      </c>
      <c r="N125" s="95">
        <v>1</v>
      </c>
      <c r="O125" s="109">
        <f>IF(Key!D$1="ON",P125,IF(SUM(Q125:DL125)&lt;1,"",SUM(Q125:DL125)/COUNTIF(Q125:DL125,"&gt;0")))</f>
        <v>0</v>
      </c>
      <c r="P125" s="109">
        <f>SUMIFS(Q125:DK125,Q$1:DK$1,Dashboard!$K$31)</f>
        <v>0</v>
      </c>
      <c r="U125" s="95">
        <v>33</v>
      </c>
      <c r="AA125" s="95">
        <v>25</v>
      </c>
      <c r="AH125" s="95">
        <v>75</v>
      </c>
    </row>
    <row r="126" spans="1:34" x14ac:dyDescent="0.3">
      <c r="A126" s="89" t="str">
        <f>CONCATENATE(D126,".",F126,"-",G126,".",H126,"")</f>
        <v>1.1-5.1</v>
      </c>
      <c r="B126" s="89" t="str">
        <f>IF(CONCATENATE(I126,Key!F$2)=CONCATENATE(INDEX(Dashboard!J:J,MATCH(I126,Dashboard!J:J,0),1),INDEX(Dashboard!J:K,MATCH(I126,Dashboard!J:J,0),2)),"ON",IF(Dashboard!K$32="ALL","ON","-"))</f>
        <v>-</v>
      </c>
      <c r="C126" s="96" t="s">
        <v>110</v>
      </c>
      <c r="D126" s="89">
        <f>IF(C126="ID",1,(IF(C126="PR",2,(IF(C126="DE",3,(IF(C126="RS",4,(IF(C126="RC",5,0)))))))))</f>
        <v>1</v>
      </c>
      <c r="E126" s="89" t="s">
        <v>111</v>
      </c>
      <c r="F126" s="89">
        <f>IF(E126="AM",1,(IF(E126="BE",2,(IF(E126="GV",3,(IF(E126="RA",4,(IF(E126="RM",5,(IF(E126="AC",1,(IF(E126="AT",2,(IF(E126="DS",3,(IF(E126="IP",4,(IF(E126="MA",5,(IF(E126="PT",6,(IF(E126="AE",1,(IF(E126="CM",2,(IF(E126="DP",3,(IF(E126="AN",1,(IF(E126="CO",2,(IF(E126="IM",3,(IF(E126="MI",4,(IF(E126="RP",5,(IF(E126="SC",6,0)))))))))))))))))))))))))))))))))))))))</f>
        <v>1</v>
      </c>
      <c r="G126" s="52">
        <v>5</v>
      </c>
      <c r="H126" s="90" t="s">
        <v>115</v>
      </c>
      <c r="I126" s="93" t="s">
        <v>92</v>
      </c>
      <c r="J126" s="88" t="s">
        <v>121</v>
      </c>
      <c r="K126" s="102" t="s">
        <v>5226</v>
      </c>
      <c r="L126" s="117">
        <f>IF(O126="","",N126*O126*M126)</f>
        <v>0</v>
      </c>
      <c r="M126" s="108">
        <v>1</v>
      </c>
      <c r="N126" s="95">
        <v>1</v>
      </c>
      <c r="O126" s="109">
        <f>IF(Key!D$1="ON",P126,IF(SUM(Q126:DL126)&lt;1,"",SUM(Q126:DL126)/COUNTIF(Q126:DL126,"&gt;0")))</f>
        <v>0</v>
      </c>
      <c r="P126" s="109">
        <f>SUMIFS(Q126:DK126,Q$1:DK$1,Dashboard!$K$31)</f>
        <v>0</v>
      </c>
      <c r="U126" s="95">
        <v>33</v>
      </c>
      <c r="AA126" s="95">
        <v>25</v>
      </c>
      <c r="AH126" s="95">
        <v>75</v>
      </c>
    </row>
    <row r="127" spans="1:34" x14ac:dyDescent="0.3">
      <c r="A127" s="89" t="str">
        <f>CONCATENATE(D127,".",F127,"-",G127,".",H127,"")</f>
        <v>1.1-5.1</v>
      </c>
      <c r="B127" s="89" t="str">
        <f>IF(CONCATENATE(I127,Key!F$2)=CONCATENATE(INDEX(Dashboard!J:J,MATCH(I127,Dashboard!J:J,0),1),INDEX(Dashboard!J:K,MATCH(I127,Dashboard!J:J,0),2)),"ON",IF(Dashboard!K$32="ALL","ON","-"))</f>
        <v>-</v>
      </c>
      <c r="C127" s="96" t="s">
        <v>110</v>
      </c>
      <c r="D127" s="89">
        <f>IF(C127="ID",1,(IF(C127="PR",2,(IF(C127="DE",3,(IF(C127="RS",4,(IF(C127="RC",5,0)))))))))</f>
        <v>1</v>
      </c>
      <c r="E127" s="89" t="s">
        <v>111</v>
      </c>
      <c r="F127" s="89">
        <f>IF(E127="AM",1,(IF(E127="BE",2,(IF(E127="GV",3,(IF(E127="RA",4,(IF(E127="RM",5,(IF(E127="AC",1,(IF(E127="AT",2,(IF(E127="DS",3,(IF(E127="IP",4,(IF(E127="MA",5,(IF(E127="PT",6,(IF(E127="AE",1,(IF(E127="CM",2,(IF(E127="DP",3,(IF(E127="AN",1,(IF(E127="CO",2,(IF(E127="IM",3,(IF(E127="MI",4,(IF(E127="RP",5,(IF(E127="SC",6,0)))))))))))))))))))))))))))))))))))))))</f>
        <v>1</v>
      </c>
      <c r="G127" s="52">
        <v>5</v>
      </c>
      <c r="H127" s="90" t="s">
        <v>115</v>
      </c>
      <c r="I127" s="93" t="s">
        <v>92</v>
      </c>
      <c r="J127" s="88" t="s">
        <v>122</v>
      </c>
      <c r="K127" s="102" t="s">
        <v>5226</v>
      </c>
      <c r="L127" s="117">
        <f>IF(O127="","",N127*O127*M127)</f>
        <v>0</v>
      </c>
      <c r="M127" s="108">
        <v>1</v>
      </c>
      <c r="N127" s="95">
        <v>1</v>
      </c>
      <c r="O127" s="109">
        <f>IF(Key!D$1="ON",P127,IF(SUM(Q127:DL127)&lt;1,"",SUM(Q127:DL127)/COUNTIF(Q127:DL127,"&gt;0")))</f>
        <v>0</v>
      </c>
      <c r="P127" s="109">
        <f>SUMIFS(Q127:DK127,Q$1:DK$1,Dashboard!$K$31)</f>
        <v>0</v>
      </c>
      <c r="U127" s="95">
        <v>33</v>
      </c>
      <c r="AA127" s="95">
        <v>25</v>
      </c>
      <c r="AH127" s="95">
        <v>75</v>
      </c>
    </row>
    <row r="128" spans="1:34" x14ac:dyDescent="0.3">
      <c r="A128" s="89" t="str">
        <f>CONCATENATE(D128,".",F128,"-",G128,".",H128,"")</f>
        <v>1.1-5.2</v>
      </c>
      <c r="B128" s="89" t="str">
        <f>IF(CONCATENATE(I128,Key!F$2)=CONCATENATE(INDEX(Dashboard!J:J,MATCH(I128,Dashboard!J:J,0),1),INDEX(Dashboard!J:K,MATCH(I128,Dashboard!J:J,0),2)),"ON",IF(Dashboard!K$32="ALL","ON","-"))</f>
        <v>-</v>
      </c>
      <c r="C128" s="88" t="s">
        <v>110</v>
      </c>
      <c r="D128" s="89">
        <f>IF(C128="ID",1,(IF(C128="PR",2,(IF(C128="DE",3,(IF(C128="RS",4,(IF(C128="RC",5,0)))))))))</f>
        <v>1</v>
      </c>
      <c r="E128" s="89" t="s">
        <v>111</v>
      </c>
      <c r="F128" s="89">
        <f>IF(E128="AM",1,(IF(E128="BE",2,(IF(E128="GV",3,(IF(E128="RA",4,(IF(E128="RM",5,(IF(E128="AC",1,(IF(E128="AT",2,(IF(E128="DS",3,(IF(E128="IP",4,(IF(E128="MA",5,(IF(E128="PT",6,(IF(E128="AE",1,(IF(E128="CM",2,(IF(E128="DP",3,(IF(E128="AN",1,(IF(E128="CO",2,(IF(E128="IM",3,(IF(E128="MI",4,(IF(E128="RP",5,(IF(E128="SC",6,0)))))))))))))))))))))))))))))))))))))))</f>
        <v>1</v>
      </c>
      <c r="G128" s="52">
        <v>5</v>
      </c>
      <c r="H128" s="89">
        <v>2</v>
      </c>
      <c r="I128" s="93" t="s">
        <v>60</v>
      </c>
      <c r="J128" s="88" t="s">
        <v>3127</v>
      </c>
      <c r="K128" s="51" t="s">
        <v>5240</v>
      </c>
      <c r="L128" s="117">
        <f>IF(O128="","",N128*O128*M128)</f>
        <v>0</v>
      </c>
      <c r="M128" s="108">
        <v>1</v>
      </c>
      <c r="N128" s="95">
        <v>1</v>
      </c>
      <c r="O128" s="109">
        <f>IF(Key!D$1="ON",P128,IF(SUM(Q128:DL128)&lt;1,"",SUM(Q128:DL128)/COUNTIF(Q128:DL128,"&gt;0")))</f>
        <v>0</v>
      </c>
      <c r="P128" s="109">
        <f>SUMIFS(Q128:DK128,Q$1:DK$1,Dashboard!$K$31)</f>
        <v>0</v>
      </c>
      <c r="U128" s="95">
        <v>33</v>
      </c>
      <c r="AA128" s="95">
        <v>25</v>
      </c>
      <c r="AH128" s="95">
        <v>75</v>
      </c>
    </row>
    <row r="129" spans="1:34" ht="15.6" x14ac:dyDescent="0.3">
      <c r="A129" s="89" t="str">
        <f>CONCATENATE(D129,".",F129,"-",G129,".",H129,"")</f>
        <v>1.1-5.2</v>
      </c>
      <c r="B129" s="89" t="str">
        <f>IF(CONCATENATE(I129,Key!F$2)=CONCATENATE(INDEX(Dashboard!J:J,MATCH(I129,Dashboard!J:J,0),1),INDEX(Dashboard!J:K,MATCH(I129,Dashboard!J:J,0),2)),"ON",IF(Dashboard!K$32="ALL","ON","-"))</f>
        <v>-</v>
      </c>
      <c r="C129" s="88" t="s">
        <v>110</v>
      </c>
      <c r="D129" s="89">
        <f>IF(C129="ID",1,(IF(C129="PR",2,(IF(C129="DE",3,(IF(C129="RS",4,(IF(C129="RC",5,0)))))))))</f>
        <v>1</v>
      </c>
      <c r="E129" s="89" t="s">
        <v>111</v>
      </c>
      <c r="F129" s="89">
        <f>IF(E129="AM",1,(IF(E129="BE",2,(IF(E129="GV",3,(IF(E129="RA",4,(IF(E129="RM",5,(IF(E129="AC",1,(IF(E129="AT",2,(IF(E129="DS",3,(IF(E129="IP",4,(IF(E129="MA",5,(IF(E129="PT",6,(IF(E129="AE",1,(IF(E129="CM",2,(IF(E129="DP",3,(IF(E129="AN",1,(IF(E129="CO",2,(IF(E129="IM",3,(IF(E129="MI",4,(IF(E129="RP",5,(IF(E129="SC",6,0)))))))))))))))))))))))))))))))))))))))</f>
        <v>1</v>
      </c>
      <c r="G129" s="52">
        <v>5</v>
      </c>
      <c r="H129" s="90" t="s">
        <v>112</v>
      </c>
      <c r="I129" s="93" t="s">
        <v>64</v>
      </c>
      <c r="J129" s="87" t="s">
        <v>942</v>
      </c>
      <c r="K129" s="102" t="s">
        <v>2028</v>
      </c>
      <c r="L129" s="117">
        <f>IF(O129="","",N129*O129*M129)</f>
        <v>0</v>
      </c>
      <c r="M129" s="108">
        <v>1</v>
      </c>
      <c r="N129" s="95">
        <v>1</v>
      </c>
      <c r="O129" s="109">
        <f>IF(Key!D$1="ON",P129,IF(SUM(Q129:DL129)&lt;1,"",SUM(Q129:DL129)/COUNTIF(Q129:DL129,"&gt;0")))</f>
        <v>0</v>
      </c>
      <c r="P129" s="109">
        <f>SUMIFS(Q129:DK129,Q$1:DK$1,Dashboard!$K$31)</f>
        <v>0</v>
      </c>
      <c r="U129" s="95">
        <v>33</v>
      </c>
      <c r="AA129" s="95">
        <v>25</v>
      </c>
      <c r="AH129" s="95">
        <v>75</v>
      </c>
    </row>
    <row r="130" spans="1:34" ht="15.6" x14ac:dyDescent="0.3">
      <c r="A130" s="89" t="str">
        <f>CONCATENATE(D130,".",F130,"-",G130,".",H130,"")</f>
        <v>1.1-5.2</v>
      </c>
      <c r="B130" s="89" t="str">
        <f>IF(CONCATENATE(I130,Key!F$2)=CONCATENATE(INDEX(Dashboard!J:J,MATCH(I130,Dashboard!J:J,0),1),INDEX(Dashboard!J:K,MATCH(I130,Dashboard!J:J,0),2)),"ON",IF(Dashboard!K$32="ALL","ON","-"))</f>
        <v>-</v>
      </c>
      <c r="C130" s="88" t="s">
        <v>110</v>
      </c>
      <c r="D130" s="89">
        <f>IF(C130="ID",1,(IF(C130="PR",2,(IF(C130="DE",3,(IF(C130="RS",4,(IF(C130="RC",5,0)))))))))</f>
        <v>1</v>
      </c>
      <c r="E130" s="89" t="s">
        <v>111</v>
      </c>
      <c r="F130" s="89">
        <f>IF(E130="AM",1,(IF(E130="BE",2,(IF(E130="GV",3,(IF(E130="RA",4,(IF(E130="RM",5,(IF(E130="AC",1,(IF(E130="AT",2,(IF(E130="DS",3,(IF(E130="IP",4,(IF(E130="MA",5,(IF(E130="PT",6,(IF(E130="AE",1,(IF(E130="CM",2,(IF(E130="DP",3,(IF(E130="AN",1,(IF(E130="CO",2,(IF(E130="IM",3,(IF(E130="MI",4,(IF(E130="RP",5,(IF(E130="SC",6,0)))))))))))))))))))))))))))))))))))))))</f>
        <v>1</v>
      </c>
      <c r="G130" s="52">
        <v>5</v>
      </c>
      <c r="H130" s="90" t="s">
        <v>112</v>
      </c>
      <c r="I130" s="93" t="s">
        <v>77</v>
      </c>
      <c r="J130" s="87" t="s">
        <v>942</v>
      </c>
      <c r="K130" s="102" t="s">
        <v>2028</v>
      </c>
      <c r="L130" s="117">
        <f>IF(O130="","",N130*O130*M130)</f>
        <v>0</v>
      </c>
      <c r="M130" s="108">
        <v>1</v>
      </c>
      <c r="N130" s="95">
        <v>1</v>
      </c>
      <c r="O130" s="109">
        <f>IF(Key!D$1="ON",P130,IF(SUM(Q130:DL130)&lt;1,"",SUM(Q130:DL130)/COUNTIF(Q130:DL130,"&gt;0")))</f>
        <v>0</v>
      </c>
      <c r="P130" s="109">
        <f>SUMIFS(Q130:DK130,Q$1:DK$1,Dashboard!$K$31)</f>
        <v>0</v>
      </c>
      <c r="U130" s="95">
        <v>33</v>
      </c>
      <c r="AA130" s="95">
        <v>25</v>
      </c>
      <c r="AH130" s="95">
        <v>75</v>
      </c>
    </row>
    <row r="131" spans="1:34" x14ac:dyDescent="0.3">
      <c r="A131" s="89" t="str">
        <f>CONCATENATE(D131,".",F131,"-",G131,".",H131,"")</f>
        <v>1.1-5.2</v>
      </c>
      <c r="B131" s="89" t="str">
        <f>IF(CONCATENATE(I131,Key!F$2)=CONCATENATE(INDEX(Dashboard!J:J,MATCH(I131,Dashboard!J:J,0),1),INDEX(Dashboard!J:K,MATCH(I131,Dashboard!J:J,0),2)),"ON",IF(Dashboard!K$32="ALL","ON","-"))</f>
        <v>-</v>
      </c>
      <c r="C131" s="88" t="s">
        <v>110</v>
      </c>
      <c r="D131" s="89">
        <f>IF(C131="ID",1,(IF(C131="PR",2,(IF(C131="DE",3,(IF(C131="RS",4,(IF(C131="RC",5,0)))))))))</f>
        <v>1</v>
      </c>
      <c r="E131" s="89" t="s">
        <v>111</v>
      </c>
      <c r="F131" s="89">
        <f>IF(E131="AM",1,(IF(E131="BE",2,(IF(E131="GV",3,(IF(E131="RA",4,(IF(E131="RM",5,(IF(E131="AC",1,(IF(E131="AT",2,(IF(E131="DS",3,(IF(E131="IP",4,(IF(E131="MA",5,(IF(E131="PT",6,(IF(E131="AE",1,(IF(E131="CM",2,(IF(E131="DP",3,(IF(E131="AN",1,(IF(E131="CO",2,(IF(E131="IM",3,(IF(E131="MI",4,(IF(E131="RP",5,(IF(E131="SC",6,0)))))))))))))))))))))))))))))))))))))))</f>
        <v>1</v>
      </c>
      <c r="G131" s="52">
        <v>5</v>
      </c>
      <c r="H131" s="90" t="s">
        <v>112</v>
      </c>
      <c r="I131" s="93" t="s">
        <v>85</v>
      </c>
      <c r="J131" s="87" t="s">
        <v>942</v>
      </c>
      <c r="K131" s="119" t="s">
        <v>4715</v>
      </c>
      <c r="L131" s="117">
        <f>IF(O131="","",N131*O131*M131)</f>
        <v>0</v>
      </c>
      <c r="M131" s="108">
        <v>1</v>
      </c>
      <c r="N131" s="95">
        <v>1</v>
      </c>
      <c r="O131" s="109">
        <f>IF(Key!D$1="ON",P131,IF(SUM(Q131:DL131)&lt;1,"",SUM(Q131:DL131)/COUNTIF(Q131:DL131,"&gt;0")))</f>
        <v>0</v>
      </c>
      <c r="P131" s="109">
        <f>SUMIFS(Q131:DK131,Q$1:DK$1,Dashboard!$K$31)</f>
        <v>0</v>
      </c>
      <c r="U131" s="95">
        <v>33</v>
      </c>
      <c r="AA131" s="95">
        <v>25</v>
      </c>
      <c r="AH131" s="95">
        <v>75</v>
      </c>
    </row>
    <row r="132" spans="1:34" x14ac:dyDescent="0.3">
      <c r="A132" s="89" t="str">
        <f>CONCATENATE(D132,".",F132,"-",G132,".",H132,"")</f>
        <v>1.1-5.5</v>
      </c>
      <c r="B132" s="89" t="str">
        <f>IF(CONCATENATE(I132,Key!F$2)=CONCATENATE(INDEX(Dashboard!J:J,MATCH(I132,Dashboard!J:J,0),1),INDEX(Dashboard!J:K,MATCH(I132,Dashboard!J:J,0),2)),"ON",IF(Dashboard!K$32="ALL","ON","-"))</f>
        <v>-</v>
      </c>
      <c r="C132" s="88" t="s">
        <v>110</v>
      </c>
      <c r="D132" s="89">
        <f>IF(C132="ID",1,(IF(C132="PR",2,(IF(C132="DE",3,(IF(C132="RS",4,(IF(C132="RC",5,0)))))))))</f>
        <v>1</v>
      </c>
      <c r="E132" s="89" t="s">
        <v>111</v>
      </c>
      <c r="F132" s="89">
        <f>IF(E132="AM",1,(IF(E132="BE",2,(IF(E132="GV",3,(IF(E132="RA",4,(IF(E132="RM",5,(IF(E132="AC",1,(IF(E132="AT",2,(IF(E132="DS",3,(IF(E132="IP",4,(IF(E132="MA",5,(IF(E132="PT",6,(IF(E132="AE",1,(IF(E132="CM",2,(IF(E132="DP",3,(IF(E132="AN",1,(IF(E132="CO",2,(IF(E132="IM",3,(IF(E132="MI",4,(IF(E132="RP",5,(IF(E132="SC",6,0)))))))))))))))))))))))))))))))))))))))</f>
        <v>1</v>
      </c>
      <c r="G132" s="52">
        <v>5</v>
      </c>
      <c r="H132" s="90" t="s">
        <v>123</v>
      </c>
      <c r="I132" s="93" t="s">
        <v>92</v>
      </c>
      <c r="J132" s="88" t="s">
        <v>124</v>
      </c>
      <c r="K132" s="102" t="s">
        <v>5226</v>
      </c>
      <c r="L132" s="117">
        <f>IF(O132="","",N132*O132*M132)</f>
        <v>0</v>
      </c>
      <c r="M132" s="108">
        <v>1</v>
      </c>
      <c r="N132" s="95">
        <v>1</v>
      </c>
      <c r="O132" s="109">
        <f>IF(Key!D$1="ON",P132,IF(SUM(Q132:DL132)&lt;1,"",SUM(Q132:DL132)/COUNTIF(Q132:DL132,"&gt;0")))</f>
        <v>0</v>
      </c>
      <c r="P132" s="109">
        <f>SUMIFS(Q132:DK132,Q$1:DK$1,Dashboard!$K$31)</f>
        <v>0</v>
      </c>
      <c r="U132" s="95">
        <v>33</v>
      </c>
      <c r="AA132" s="95">
        <v>25</v>
      </c>
      <c r="AH132" s="95">
        <v>75</v>
      </c>
    </row>
    <row r="133" spans="1:34" ht="15.6" x14ac:dyDescent="0.3">
      <c r="A133" s="89" t="str">
        <f>CONCATENATE(D133,".",F133,"-",G133,".",H133,"")</f>
        <v>1.1-6.0</v>
      </c>
      <c r="B133" s="89" t="str">
        <f>IF(CONCATENATE(I133,Key!F$2)=CONCATENATE(INDEX(Dashboard!J:J,MATCH(I133,Dashboard!J:J,0),1),INDEX(Dashboard!J:K,MATCH(I133,Dashboard!J:J,0),2)),"ON",IF(Dashboard!K$32="ALL","ON","-"))</f>
        <v>-</v>
      </c>
      <c r="C133" s="96" t="s">
        <v>110</v>
      </c>
      <c r="D133" s="89">
        <f>IF(C133="ID",1,(IF(C133="PR",2,(IF(C133="DE",3,(IF(C133="RS",4,(IF(C133="RC",5,0)))))))))</f>
        <v>1</v>
      </c>
      <c r="E133" s="89" t="s">
        <v>111</v>
      </c>
      <c r="F133" s="89">
        <f>IF(E133="AM",1,(IF(E133="BE",2,(IF(E133="GV",3,(IF(E133="RA",4,(IF(E133="RM",5,(IF(E133="AC",1,(IF(E133="AT",2,(IF(E133="DS",3,(IF(E133="IP",4,(IF(E133="MA",5,(IF(E133="PT",6,(IF(E133="AE",1,(IF(E133="CM",2,(IF(E133="DP",3,(IF(E133="AN",1,(IF(E133="CO",2,(IF(E133="IM",3,(IF(E133="MI",4,(IF(E133="RP",5,(IF(E133="SC",6,0)))))))))))))))))))))))))))))))))))))))</f>
        <v>1</v>
      </c>
      <c r="G133" s="52">
        <v>6</v>
      </c>
      <c r="H133" s="90" t="s">
        <v>347</v>
      </c>
      <c r="I133" s="93" t="s">
        <v>2835</v>
      </c>
      <c r="J133" s="53" t="s">
        <v>2849</v>
      </c>
      <c r="K133" s="152" t="s">
        <v>2850</v>
      </c>
      <c r="L133" s="117">
        <f>IF(O133="","",N133*O133*M133)</f>
        <v>0</v>
      </c>
      <c r="M133" s="108">
        <v>1</v>
      </c>
      <c r="N133" s="95">
        <v>1</v>
      </c>
      <c r="O133" s="109">
        <f>IF(Key!D$1="ON",P133,IF(SUM(Q133:DL133)&lt;1,"",SUM(Q133:DL133)/COUNTIF(Q133:DL133,"&gt;0")))</f>
        <v>0</v>
      </c>
      <c r="P133" s="109">
        <f>SUMIFS(Q133:DK133,Q$1:DK$1,Dashboard!$K$31)</f>
        <v>0</v>
      </c>
      <c r="U133" s="95">
        <v>33</v>
      </c>
    </row>
    <row r="134" spans="1:34" x14ac:dyDescent="0.3">
      <c r="A134" s="89" t="str">
        <f>CONCATENATE(D134,".",F134,"-",G134,".",H134,"")</f>
        <v>1.1-6.1</v>
      </c>
      <c r="B134" s="89" t="str">
        <f>IF(CONCATENATE(I134,Key!F$2)=CONCATENATE(INDEX(Dashboard!J:J,MATCH(I134,Dashboard!J:J,0),1),INDEX(Dashboard!J:K,MATCH(I134,Dashboard!J:J,0),2)),"ON",IF(Dashboard!K$32="ALL","ON","-"))</f>
        <v>-</v>
      </c>
      <c r="C134" s="96" t="s">
        <v>110</v>
      </c>
      <c r="D134" s="89">
        <f>IF(C134="ID",1,(IF(C134="PR",2,(IF(C134="DE",3,(IF(C134="RS",4,(IF(C134="RC",5,0)))))))))</f>
        <v>1</v>
      </c>
      <c r="E134" s="89" t="s">
        <v>111</v>
      </c>
      <c r="F134" s="89">
        <f>IF(E134="AM",1,(IF(E134="BE",2,(IF(E134="GV",3,(IF(E134="RA",4,(IF(E134="RM",5,(IF(E134="AC",1,(IF(E134="AT",2,(IF(E134="DS",3,(IF(E134="IP",4,(IF(E134="MA",5,(IF(E134="PT",6,(IF(E134="AE",1,(IF(E134="CM",2,(IF(E134="DP",3,(IF(E134="AN",1,(IF(E134="CO",2,(IF(E134="IM",3,(IF(E134="MI",4,(IF(E134="RP",5,(IF(E134="SC",6,0)))))))))))))))))))))))))))))))))))))))</f>
        <v>1</v>
      </c>
      <c r="G134" s="98">
        <v>6</v>
      </c>
      <c r="H134" s="90" t="s">
        <v>115</v>
      </c>
      <c r="I134" s="93" t="s">
        <v>52</v>
      </c>
      <c r="J134" s="88" t="s">
        <v>3284</v>
      </c>
      <c r="K134" s="103" t="s">
        <v>3285</v>
      </c>
      <c r="L134" s="117">
        <f>IF(O134="","",N134*O134*M134)</f>
        <v>0</v>
      </c>
      <c r="M134" s="108">
        <v>1</v>
      </c>
      <c r="N134" s="95">
        <v>1</v>
      </c>
      <c r="O134" s="109">
        <f>IF(Key!D$1="ON",P134,IF(SUM(Q134:DL134)&lt;1,"",SUM(Q134:DL134)/COUNTIF(Q134:DL134,"&gt;0")))</f>
        <v>0</v>
      </c>
      <c r="P134" s="109">
        <f>SUMIFS(Q134:DK134,Q$1:DK$1,Dashboard!$K$31)</f>
        <v>0</v>
      </c>
      <c r="U134" s="95">
        <v>33</v>
      </c>
      <c r="AA134" s="95">
        <v>25</v>
      </c>
      <c r="AH134" s="95">
        <v>75</v>
      </c>
    </row>
    <row r="135" spans="1:34" ht="15.6" x14ac:dyDescent="0.3">
      <c r="A135" s="89" t="str">
        <f>CONCATENATE(D135,".",F135,"-",G135,".",H135,"")</f>
        <v>1.1-6.1</v>
      </c>
      <c r="B135" s="89" t="str">
        <f>IF(CONCATENATE(I135,Key!F$2)=CONCATENATE(INDEX(Dashboard!J:J,MATCH(I135,Dashboard!J:J,0),1),INDEX(Dashboard!J:K,MATCH(I135,Dashboard!J:J,0),2)),"ON",IF(Dashboard!K$32="ALL","ON","-"))</f>
        <v>-</v>
      </c>
      <c r="C135" s="96" t="s">
        <v>110</v>
      </c>
      <c r="D135" s="89">
        <f>IF(C135="ID",1,(IF(C135="PR",2,(IF(C135="DE",3,(IF(C135="RS",4,(IF(C135="RC",5,0)))))))))</f>
        <v>1</v>
      </c>
      <c r="E135" s="89" t="s">
        <v>111</v>
      </c>
      <c r="F135" s="89">
        <f>IF(E135="AM",1,(IF(E135="BE",2,(IF(E135="GV",3,(IF(E135="RA",4,(IF(E135="RM",5,(IF(E135="AC",1,(IF(E135="AT",2,(IF(E135="DS",3,(IF(E135="IP",4,(IF(E135="MA",5,(IF(E135="PT",6,(IF(E135="AE",1,(IF(E135="CM",2,(IF(E135="DP",3,(IF(E135="AN",1,(IF(E135="CO",2,(IF(E135="IM",3,(IF(E135="MI",4,(IF(E135="RP",5,(IF(E135="SC",6,0)))))))))))))))))))))))))))))))))))))))</f>
        <v>1</v>
      </c>
      <c r="G135" s="98">
        <v>6</v>
      </c>
      <c r="H135" s="90" t="s">
        <v>115</v>
      </c>
      <c r="I135" s="93" t="s">
        <v>52</v>
      </c>
      <c r="J135" s="88" t="s">
        <v>3286</v>
      </c>
      <c r="K135" s="103" t="s">
        <v>3287</v>
      </c>
      <c r="L135" s="117">
        <f>IF(O135="","",N135*O135*M135)</f>
        <v>0</v>
      </c>
      <c r="M135" s="108">
        <v>1</v>
      </c>
      <c r="N135" s="95">
        <v>1</v>
      </c>
      <c r="O135" s="109">
        <f>IF(Key!D$1="ON",P135,IF(SUM(Q135:DL135)&lt;1,"",SUM(Q135:DL135)/COUNTIF(Q135:DL135,"&gt;0")))</f>
        <v>0</v>
      </c>
      <c r="P135" s="109">
        <f>SUMIFS(Q135:DK135,Q$1:DK$1,Dashboard!$K$31)</f>
        <v>0</v>
      </c>
      <c r="U135" s="95">
        <v>33</v>
      </c>
      <c r="AA135" s="95">
        <v>25</v>
      </c>
      <c r="AH135" s="95">
        <v>75</v>
      </c>
    </row>
    <row r="136" spans="1:34" x14ac:dyDescent="0.3">
      <c r="A136" s="89" t="str">
        <f>CONCATENATE(D136,".",F136,"-",G136,".",H136,"")</f>
        <v>1.1-6.1</v>
      </c>
      <c r="B136" s="89" t="str">
        <f>IF(CONCATENATE(I136,Key!F$2)=CONCATENATE(INDEX(Dashboard!J:J,MATCH(I136,Dashboard!J:J,0),1),INDEX(Dashboard!J:K,MATCH(I136,Dashboard!J:J,0),2)),"ON",IF(Dashboard!K$32="ALL","ON","-"))</f>
        <v>-</v>
      </c>
      <c r="C136" s="88" t="s">
        <v>110</v>
      </c>
      <c r="D136" s="89">
        <f>IF(C136="ID",1,(IF(C136="PR",2,(IF(C136="DE",3,(IF(C136="RS",4,(IF(C136="RC",5,0)))))))))</f>
        <v>1</v>
      </c>
      <c r="E136" s="89" t="s">
        <v>111</v>
      </c>
      <c r="F136" s="89">
        <f>IF(E136="AM",1,(IF(E136="BE",2,(IF(E136="GV",3,(IF(E136="RA",4,(IF(E136="RM",5,(IF(E136="AC",1,(IF(E136="AT",2,(IF(E136="DS",3,(IF(E136="IP",4,(IF(E136="MA",5,(IF(E136="PT",6,(IF(E136="AE",1,(IF(E136="CM",2,(IF(E136="DP",3,(IF(E136="AN",1,(IF(E136="CO",2,(IF(E136="IM",3,(IF(E136="MI",4,(IF(E136="RP",5,(IF(E136="SC",6,0)))))))))))))))))))))))))))))))))))))))</f>
        <v>1</v>
      </c>
      <c r="G136" s="52">
        <v>6</v>
      </c>
      <c r="H136" s="90" t="s">
        <v>115</v>
      </c>
      <c r="I136" s="93" t="s">
        <v>60</v>
      </c>
      <c r="J136" s="87" t="s">
        <v>3128</v>
      </c>
      <c r="K136" s="51" t="s">
        <v>5241</v>
      </c>
      <c r="L136" s="117">
        <f>IF(O136="","",N136*O136*M136)</f>
        <v>0</v>
      </c>
      <c r="M136" s="108">
        <v>1</v>
      </c>
      <c r="N136" s="95">
        <v>1</v>
      </c>
      <c r="O136" s="109">
        <f>IF(Key!D$1="ON",P136,IF(SUM(Q136:DL136)&lt;1,"",SUM(Q136:DL136)/COUNTIF(Q136:DL136,"&gt;0")))</f>
        <v>0</v>
      </c>
      <c r="P136" s="109">
        <f>SUMIFS(Q136:DK136,Q$1:DK$1,Dashboard!$K$31)</f>
        <v>0</v>
      </c>
      <c r="U136" s="95">
        <v>33</v>
      </c>
      <c r="AA136" s="95">
        <v>25</v>
      </c>
      <c r="AH136" s="95">
        <v>75</v>
      </c>
    </row>
    <row r="137" spans="1:34" ht="15.6" x14ac:dyDescent="0.3">
      <c r="A137" s="89" t="str">
        <f>CONCATENATE(D137,".",F137,"-",G137,".",H137,"")</f>
        <v>1.1-6.1</v>
      </c>
      <c r="B137" s="89" t="str">
        <f>IF(CONCATENATE(I137,Key!F$2)=CONCATENATE(INDEX(Dashboard!J:J,MATCH(I137,Dashboard!J:J,0),1),INDEX(Dashboard!J:K,MATCH(I137,Dashboard!J:J,0),2)),"ON",IF(Dashboard!K$32="ALL","ON","-"))</f>
        <v>-</v>
      </c>
      <c r="C137" s="88" t="s">
        <v>110</v>
      </c>
      <c r="D137" s="89">
        <f>IF(C137="ID",1,(IF(C137="PR",2,(IF(C137="DE",3,(IF(C137="RS",4,(IF(C137="RC",5,0)))))))))</f>
        <v>1</v>
      </c>
      <c r="E137" s="89" t="s">
        <v>111</v>
      </c>
      <c r="F137" s="89">
        <f>IF(E137="AM",1,(IF(E137="BE",2,(IF(E137="GV",3,(IF(E137="RA",4,(IF(E137="RM",5,(IF(E137="AC",1,(IF(E137="AT",2,(IF(E137="DS",3,(IF(E137="IP",4,(IF(E137="MA",5,(IF(E137="PT",6,(IF(E137="AE",1,(IF(E137="CM",2,(IF(E137="DP",3,(IF(E137="AN",1,(IF(E137="CO",2,(IF(E137="IM",3,(IF(E137="MI",4,(IF(E137="RP",5,(IF(E137="SC",6,0)))))))))))))))))))))))))))))))))))))))</f>
        <v>1</v>
      </c>
      <c r="G137" s="52">
        <v>6</v>
      </c>
      <c r="H137" s="90" t="s">
        <v>115</v>
      </c>
      <c r="I137" s="93" t="s">
        <v>77</v>
      </c>
      <c r="J137" s="87" t="s">
        <v>949</v>
      </c>
      <c r="K137" s="102" t="s">
        <v>2032</v>
      </c>
      <c r="L137" s="117">
        <f>IF(O137="","",N137*O137*M137)</f>
        <v>0</v>
      </c>
      <c r="M137" s="108">
        <v>1</v>
      </c>
      <c r="N137" s="95">
        <v>1</v>
      </c>
      <c r="O137" s="109">
        <f>IF(Key!D$1="ON",P137,IF(SUM(Q137:DL137)&lt;1,"",SUM(Q137:DL137)/COUNTIF(Q137:DL137,"&gt;0")))</f>
        <v>0</v>
      </c>
      <c r="P137" s="109">
        <f>SUMIFS(Q137:DK137,Q$1:DK$1,Dashboard!$K$31)</f>
        <v>0</v>
      </c>
      <c r="U137" s="95">
        <v>33</v>
      </c>
      <c r="AA137" s="95">
        <v>25</v>
      </c>
      <c r="AH137" s="95">
        <v>75</v>
      </c>
    </row>
    <row r="138" spans="1:34" ht="15.6" x14ac:dyDescent="0.3">
      <c r="A138" s="89" t="str">
        <f>CONCATENATE(D138,".",F138,"-",G138,".",H138,"")</f>
        <v>1.1-6.1</v>
      </c>
      <c r="B138" s="89" t="str">
        <f>IF(CONCATENATE(I138,Key!F$2)=CONCATENATE(INDEX(Dashboard!J:J,MATCH(I138,Dashboard!J:J,0),1),INDEX(Dashboard!J:K,MATCH(I138,Dashboard!J:J,0),2)),"ON",IF(Dashboard!K$32="ALL","ON","-"))</f>
        <v>-</v>
      </c>
      <c r="C138" s="88" t="s">
        <v>110</v>
      </c>
      <c r="D138" s="89">
        <f>IF(C138="ID",1,(IF(C138="PR",2,(IF(C138="DE",3,(IF(C138="RS",4,(IF(C138="RC",5,0)))))))))</f>
        <v>1</v>
      </c>
      <c r="E138" s="89" t="s">
        <v>111</v>
      </c>
      <c r="F138" s="89">
        <f>IF(E138="AM",1,(IF(E138="BE",2,(IF(E138="GV",3,(IF(E138="RA",4,(IF(E138="RM",5,(IF(E138="AC",1,(IF(E138="AT",2,(IF(E138="DS",3,(IF(E138="IP",4,(IF(E138="MA",5,(IF(E138="PT",6,(IF(E138="AE",1,(IF(E138="CM",2,(IF(E138="DP",3,(IF(E138="AN",1,(IF(E138="CO",2,(IF(E138="IM",3,(IF(E138="MI",4,(IF(E138="RP",5,(IF(E138="SC",6,0)))))))))))))))))))))))))))))))))))))))</f>
        <v>1</v>
      </c>
      <c r="G138" s="98">
        <v>6</v>
      </c>
      <c r="H138" s="90" t="s">
        <v>115</v>
      </c>
      <c r="I138" s="93" t="s">
        <v>81</v>
      </c>
      <c r="J138" s="129" t="s">
        <v>2006</v>
      </c>
      <c r="K138" s="103" t="s">
        <v>2007</v>
      </c>
      <c r="L138" s="117">
        <f>IF(O138="","",N138*O138*M138)</f>
        <v>0</v>
      </c>
      <c r="M138" s="108">
        <v>1</v>
      </c>
      <c r="N138" s="95">
        <v>1</v>
      </c>
      <c r="O138" s="109">
        <f>IF(Key!D$1="ON",P138,IF(SUM(Q138:DL138)&lt;1,"",SUM(Q138:DL138)/COUNTIF(Q138:DL138,"&gt;0")))</f>
        <v>0</v>
      </c>
      <c r="P138" s="109">
        <f>SUMIFS(Q138:DK138,Q$1:DK$1,Dashboard!$K$31)</f>
        <v>0</v>
      </c>
      <c r="U138" s="95">
        <v>33</v>
      </c>
      <c r="AA138" s="95">
        <v>25</v>
      </c>
      <c r="AH138" s="95">
        <v>75</v>
      </c>
    </row>
    <row r="139" spans="1:34" x14ac:dyDescent="0.3">
      <c r="A139" s="89" t="str">
        <f>CONCATENATE(D139,".",F139,"-",G139,".",H139,"")</f>
        <v>1.1-6.1</v>
      </c>
      <c r="B139" s="89" t="str">
        <f>IF(CONCATENATE(I139,Key!F$2)=CONCATENATE(INDEX(Dashboard!J:J,MATCH(I139,Dashboard!J:J,0),1),INDEX(Dashboard!J:K,MATCH(I139,Dashboard!J:J,0),2)),"ON",IF(Dashboard!K$32="ALL","ON","-"))</f>
        <v>-</v>
      </c>
      <c r="C139" s="88" t="s">
        <v>110</v>
      </c>
      <c r="D139" s="89">
        <f>IF(C139="ID",1,(IF(C139="PR",2,(IF(C139="DE",3,(IF(C139="RS",4,(IF(C139="RC",5,0)))))))))</f>
        <v>1</v>
      </c>
      <c r="E139" s="89" t="s">
        <v>111</v>
      </c>
      <c r="F139" s="89">
        <f>IF(E139="AM",1,(IF(E139="BE",2,(IF(E139="GV",3,(IF(E139="RA",4,(IF(E139="RM",5,(IF(E139="AC",1,(IF(E139="AT",2,(IF(E139="DS",3,(IF(E139="IP",4,(IF(E139="MA",5,(IF(E139="PT",6,(IF(E139="AE",1,(IF(E139="CM",2,(IF(E139="DP",3,(IF(E139="AN",1,(IF(E139="CO",2,(IF(E139="IM",3,(IF(E139="MI",4,(IF(E139="RP",5,(IF(E139="SC",6,0)))))))))))))))))))))))))))))))))))))))</f>
        <v>1</v>
      </c>
      <c r="G139" s="52">
        <v>6</v>
      </c>
      <c r="H139" s="90" t="s">
        <v>115</v>
      </c>
      <c r="I139" s="93" t="s">
        <v>85</v>
      </c>
      <c r="J139" s="87" t="s">
        <v>949</v>
      </c>
      <c r="K139" s="119" t="s">
        <v>4698</v>
      </c>
      <c r="L139" s="117">
        <f>IF(O139="","",N139*O139*M139)</f>
        <v>0</v>
      </c>
      <c r="M139" s="108">
        <v>1</v>
      </c>
      <c r="N139" s="95">
        <v>1</v>
      </c>
      <c r="O139" s="109">
        <f>IF(Key!D$1="ON",P139,IF(SUM(Q139:DL139)&lt;1,"",SUM(Q139:DL139)/COUNTIF(Q139:DL139,"&gt;0")))</f>
        <v>0</v>
      </c>
      <c r="P139" s="109">
        <f>SUMIFS(Q139:DK139,Q$1:DK$1,Dashboard!$K$31)</f>
        <v>0</v>
      </c>
      <c r="U139" s="95">
        <v>33</v>
      </c>
      <c r="AA139" s="95">
        <v>25</v>
      </c>
      <c r="AH139" s="95">
        <v>75</v>
      </c>
    </row>
    <row r="140" spans="1:34" x14ac:dyDescent="0.3">
      <c r="A140" s="89" t="str">
        <f>CONCATENATE(D140,".",F140,"-",G140,".",H140,"")</f>
        <v>1.1-6.1</v>
      </c>
      <c r="B140" s="89" t="str">
        <f>IF(CONCATENATE(I140,Key!F$2)=CONCATENATE(INDEX(Dashboard!J:J,MATCH(I140,Dashboard!J:J,0),1),INDEX(Dashboard!J:K,MATCH(I140,Dashboard!J:J,0),2)),"ON",IF(Dashboard!K$32="ALL","ON","-"))</f>
        <v>-</v>
      </c>
      <c r="C140" s="88" t="s">
        <v>110</v>
      </c>
      <c r="D140" s="89">
        <f>IF(C140="ID",1,(IF(C140="PR",2,(IF(C140="DE",3,(IF(C140="RS",4,(IF(C140="RC",5,0)))))))))</f>
        <v>1</v>
      </c>
      <c r="E140" s="89" t="s">
        <v>111</v>
      </c>
      <c r="F140" s="89">
        <f>IF(E140="AM",1,(IF(E140="BE",2,(IF(E140="GV",3,(IF(E140="RA",4,(IF(E140="RM",5,(IF(E140="AC",1,(IF(E140="AT",2,(IF(E140="DS",3,(IF(E140="IP",4,(IF(E140="MA",5,(IF(E140="PT",6,(IF(E140="AE",1,(IF(E140="CM",2,(IF(E140="DP",3,(IF(E140="AN",1,(IF(E140="CO",2,(IF(E140="IM",3,(IF(E140="MI",4,(IF(E140="RP",5,(IF(E140="SC",6,0)))))))))))))))))))))))))))))))))))))))</f>
        <v>1</v>
      </c>
      <c r="G140" s="98">
        <v>6</v>
      </c>
      <c r="H140" s="90" t="s">
        <v>115</v>
      </c>
      <c r="I140" s="93" t="s">
        <v>85</v>
      </c>
      <c r="J140" s="87" t="s">
        <v>899</v>
      </c>
      <c r="K140" s="119" t="s">
        <v>4978</v>
      </c>
      <c r="L140" s="117">
        <f>IF(O140="","",N140*O140*M140)</f>
        <v>0</v>
      </c>
      <c r="M140" s="108">
        <v>1</v>
      </c>
      <c r="N140" s="95">
        <v>1</v>
      </c>
      <c r="O140" s="109">
        <f>IF(Key!D$1="ON",P140,IF(SUM(Q140:DL140)&lt;1,"",SUM(Q140:DL140)/COUNTIF(Q140:DL140,"&gt;0")))</f>
        <v>0</v>
      </c>
      <c r="P140" s="109">
        <f>SUMIFS(Q140:DK140,Q$1:DK$1,Dashboard!$K$31)</f>
        <v>0</v>
      </c>
      <c r="U140" s="95">
        <v>33</v>
      </c>
      <c r="AA140" s="95">
        <v>25</v>
      </c>
      <c r="AH140" s="95">
        <v>75</v>
      </c>
    </row>
    <row r="141" spans="1:34" ht="15.6" x14ac:dyDescent="0.3">
      <c r="A141" s="89" t="str">
        <f>CONCATENATE(D141,".",F141,"-",G141,".",H141,"")</f>
        <v>1.1-6.1</v>
      </c>
      <c r="B141" s="89" t="str">
        <f>IF(CONCATENATE(I141,Key!F$2)=CONCATENATE(INDEX(Dashboard!J:J,MATCH(I141,Dashboard!J:J,0),1),INDEX(Dashboard!J:K,MATCH(I141,Dashboard!J:J,0),2)),"ON",IF(Dashboard!K$32="ALL","ON","-"))</f>
        <v>-</v>
      </c>
      <c r="C141" s="96" t="s">
        <v>110</v>
      </c>
      <c r="D141" s="89">
        <f>IF(C141="ID",1,(IF(C141="PR",2,(IF(C141="DE",3,(IF(C141="RS",4,(IF(C141="RC",5,0)))))))))</f>
        <v>1</v>
      </c>
      <c r="E141" s="89" t="s">
        <v>111</v>
      </c>
      <c r="F141" s="89">
        <f>IF(E141="AM",1,(IF(E141="BE",2,(IF(E141="GV",3,(IF(E141="RA",4,(IF(E141="RM",5,(IF(E141="AC",1,(IF(E141="AT",2,(IF(E141="DS",3,(IF(E141="IP",4,(IF(E141="MA",5,(IF(E141="PT",6,(IF(E141="AE",1,(IF(E141="CM",2,(IF(E141="DP",3,(IF(E141="AN",1,(IF(E141="CO",2,(IF(E141="IM",3,(IF(E141="MI",4,(IF(E141="RP",5,(IF(E141="SC",6,0)))))))))))))))))))))))))))))))))))))))</f>
        <v>1</v>
      </c>
      <c r="G141" s="98">
        <v>6</v>
      </c>
      <c r="H141" s="90" t="s">
        <v>115</v>
      </c>
      <c r="I141" s="93" t="s">
        <v>92</v>
      </c>
      <c r="J141" s="88" t="s">
        <v>125</v>
      </c>
      <c r="K141" s="102" t="s">
        <v>5226</v>
      </c>
      <c r="L141" s="117">
        <f>IF(O141="","",N141*O141*M141)</f>
        <v>0</v>
      </c>
      <c r="M141" s="108">
        <v>1</v>
      </c>
      <c r="N141" s="95">
        <v>1</v>
      </c>
      <c r="O141" s="109">
        <f>IF(Key!D$1="ON",P141,IF(SUM(Q141:DL141)&lt;1,"",SUM(Q141:DL141)/COUNTIF(Q141:DL141,"&gt;0")))</f>
        <v>0</v>
      </c>
      <c r="P141" s="109">
        <f>SUMIFS(Q141:DK141,Q$1:DK$1,Dashboard!$K$31)</f>
        <v>0</v>
      </c>
      <c r="U141" s="95">
        <v>33</v>
      </c>
      <c r="AA141" s="95">
        <v>25</v>
      </c>
      <c r="AH141" s="95">
        <v>75</v>
      </c>
    </row>
    <row r="142" spans="1:34" x14ac:dyDescent="0.3">
      <c r="A142" s="89" t="str">
        <f>CONCATENATE(D142,".",F142,"-",G142,".",H142,"")</f>
        <v>1.1-6.1</v>
      </c>
      <c r="B142" s="89" t="str">
        <f>IF(CONCATENATE(I142,Key!F$2)=CONCATENATE(INDEX(Dashboard!J:J,MATCH(I142,Dashboard!J:J,0),1),INDEX(Dashboard!J:K,MATCH(I142,Dashboard!J:J,0),2)),"ON",IF(Dashboard!K$32="ALL","ON","-"))</f>
        <v>-</v>
      </c>
      <c r="C142" s="96" t="s">
        <v>110</v>
      </c>
      <c r="D142" s="89">
        <f>IF(C142="ID",1,(IF(C142="PR",2,(IF(C142="DE",3,(IF(C142="RS",4,(IF(C142="RC",5,0)))))))))</f>
        <v>1</v>
      </c>
      <c r="E142" s="89" t="s">
        <v>111</v>
      </c>
      <c r="F142" s="89">
        <f>IF(E142="AM",1,(IF(E142="BE",2,(IF(E142="GV",3,(IF(E142="RA",4,(IF(E142="RM",5,(IF(E142="AC",1,(IF(E142="AT",2,(IF(E142="DS",3,(IF(E142="IP",4,(IF(E142="MA",5,(IF(E142="PT",6,(IF(E142="AE",1,(IF(E142="CM",2,(IF(E142="DP",3,(IF(E142="AN",1,(IF(E142="CO",2,(IF(E142="IM",3,(IF(E142="MI",4,(IF(E142="RP",5,(IF(E142="SC",6,0)))))))))))))))))))))))))))))))))))))))</f>
        <v>1</v>
      </c>
      <c r="G142" s="98">
        <v>6</v>
      </c>
      <c r="H142" s="90" t="s">
        <v>115</v>
      </c>
      <c r="I142" s="93" t="s">
        <v>92</v>
      </c>
      <c r="J142" s="88" t="s">
        <v>126</v>
      </c>
      <c r="K142" s="102" t="s">
        <v>5226</v>
      </c>
      <c r="L142" s="117">
        <f>IF(O142="","",N142*O142*M142)</f>
        <v>0</v>
      </c>
      <c r="M142" s="108">
        <v>1</v>
      </c>
      <c r="N142" s="95">
        <v>1</v>
      </c>
      <c r="O142" s="109">
        <f>IF(Key!D$1="ON",P142,IF(SUM(Q142:DL142)&lt;1,"",SUM(Q142:DL142)/COUNTIF(Q142:DL142,"&gt;0")))</f>
        <v>0</v>
      </c>
      <c r="P142" s="109">
        <f>SUMIFS(Q142:DK142,Q$1:DK$1,Dashboard!$K$31)</f>
        <v>0</v>
      </c>
      <c r="U142" s="95">
        <v>33</v>
      </c>
      <c r="AA142" s="95">
        <v>25</v>
      </c>
      <c r="AH142" s="95">
        <v>75</v>
      </c>
    </row>
    <row r="143" spans="1:34" ht="15.6" x14ac:dyDescent="0.3">
      <c r="A143" s="89" t="str">
        <f>CONCATENATE(D143,".",F143,"-",G143,".",H143,"")</f>
        <v>1.1-6.1</v>
      </c>
      <c r="B143" s="89" t="str">
        <f>IF(CONCATENATE(I143,Key!F$2)=CONCATENATE(INDEX(Dashboard!J:J,MATCH(I143,Dashboard!J:J,0),1),INDEX(Dashboard!J:K,MATCH(I143,Dashboard!J:J,0),2)),"ON",IF(Dashboard!K$32="ALL","ON","-"))</f>
        <v>-</v>
      </c>
      <c r="C143" s="96" t="s">
        <v>110</v>
      </c>
      <c r="D143" s="89">
        <f>IF(C143="ID",1,(IF(C143="PR",2,(IF(C143="DE",3,(IF(C143="RS",4,(IF(C143="RC",5,0)))))))))</f>
        <v>1</v>
      </c>
      <c r="E143" s="89" t="s">
        <v>111</v>
      </c>
      <c r="F143" s="89">
        <f>IF(E143="AM",1,(IF(E143="BE",2,(IF(E143="GV",3,(IF(E143="RA",4,(IF(E143="RM",5,(IF(E143="AC",1,(IF(E143="AT",2,(IF(E143="DS",3,(IF(E143="IP",4,(IF(E143="MA",5,(IF(E143="PT",6,(IF(E143="AE",1,(IF(E143="CM",2,(IF(E143="DP",3,(IF(E143="AN",1,(IF(E143="CO",2,(IF(E143="IM",3,(IF(E143="MI",4,(IF(E143="RP",5,(IF(E143="SC",6,0)))))))))))))))))))))))))))))))))))))))</f>
        <v>1</v>
      </c>
      <c r="G143" s="98">
        <v>6</v>
      </c>
      <c r="H143" s="90" t="s">
        <v>115</v>
      </c>
      <c r="I143" s="93" t="s">
        <v>92</v>
      </c>
      <c r="J143" s="87" t="s">
        <v>127</v>
      </c>
      <c r="K143" s="102" t="s">
        <v>5226</v>
      </c>
      <c r="L143" s="117">
        <f>IF(O143="","",N143*O143*M143)</f>
        <v>0</v>
      </c>
      <c r="M143" s="108">
        <v>1</v>
      </c>
      <c r="N143" s="95">
        <v>1</v>
      </c>
      <c r="O143" s="109">
        <f>IF(Key!D$1="ON",P143,IF(SUM(Q143:DL143)&lt;1,"",SUM(Q143:DL143)/COUNTIF(Q143:DL143,"&gt;0")))</f>
        <v>0</v>
      </c>
      <c r="P143" s="109">
        <f>SUMIFS(Q143:DK143,Q$1:DK$1,Dashboard!$K$31)</f>
        <v>0</v>
      </c>
      <c r="U143" s="95">
        <v>33</v>
      </c>
      <c r="AA143" s="95">
        <v>25</v>
      </c>
      <c r="AH143" s="95">
        <v>75</v>
      </c>
    </row>
    <row r="144" spans="1:34" x14ac:dyDescent="0.3">
      <c r="A144" s="89" t="str">
        <f>CONCATENATE(D144,".",F144,"-",G144,".",H144,"")</f>
        <v>1.1-6.1</v>
      </c>
      <c r="B144" s="89" t="str">
        <f>IF(CONCATENATE(I144,Key!F$2)=CONCATENATE(INDEX(Dashboard!J:J,MATCH(I144,Dashboard!J:J,0),1),INDEX(Dashboard!J:K,MATCH(I144,Dashboard!J:J,0),2)),"ON",IF(Dashboard!K$32="ALL","ON","-"))</f>
        <v>-</v>
      </c>
      <c r="C144" s="96" t="s">
        <v>110</v>
      </c>
      <c r="D144" s="89">
        <f>IF(C144="ID",1,(IF(C144="PR",2,(IF(C144="DE",3,(IF(C144="RS",4,(IF(C144="RC",5,0)))))))))</f>
        <v>1</v>
      </c>
      <c r="E144" s="89" t="s">
        <v>111</v>
      </c>
      <c r="F144" s="89">
        <f>IF(E144="AM",1,(IF(E144="BE",2,(IF(E144="GV",3,(IF(E144="RA",4,(IF(E144="RM",5,(IF(E144="AC",1,(IF(E144="AT",2,(IF(E144="DS",3,(IF(E144="IP",4,(IF(E144="MA",5,(IF(E144="PT",6,(IF(E144="AE",1,(IF(E144="CM",2,(IF(E144="DP",3,(IF(E144="AN",1,(IF(E144="CO",2,(IF(E144="IM",3,(IF(E144="MI",4,(IF(E144="RP",5,(IF(E144="SC",6,0)))))))))))))))))))))))))))))))))))))))</f>
        <v>1</v>
      </c>
      <c r="G144" s="98">
        <v>6</v>
      </c>
      <c r="H144" s="90" t="s">
        <v>115</v>
      </c>
      <c r="I144" s="93" t="s">
        <v>92</v>
      </c>
      <c r="J144" s="87" t="s">
        <v>128</v>
      </c>
      <c r="K144" s="102" t="s">
        <v>5226</v>
      </c>
      <c r="L144" s="117">
        <f>IF(O144="","",N144*O144*M144)</f>
        <v>0</v>
      </c>
      <c r="M144" s="108">
        <v>1</v>
      </c>
      <c r="N144" s="95">
        <v>1</v>
      </c>
      <c r="O144" s="109">
        <f>IF(Key!D$1="ON",P144,IF(SUM(Q144:DL144)&lt;1,"",SUM(Q144:DL144)/COUNTIF(Q144:DL144,"&gt;0")))</f>
        <v>0</v>
      </c>
      <c r="P144" s="109">
        <f>SUMIFS(Q144:DK144,Q$1:DK$1,Dashboard!$K$31)</f>
        <v>0</v>
      </c>
      <c r="U144" s="95">
        <v>33</v>
      </c>
      <c r="AA144" s="95">
        <v>25</v>
      </c>
      <c r="AH144" s="95">
        <v>75</v>
      </c>
    </row>
    <row r="145" spans="1:34" x14ac:dyDescent="0.3">
      <c r="A145" s="89" t="str">
        <f>CONCATENATE(D145,".",F145,"-",G145,".",H145,"")</f>
        <v>1.1-6.1</v>
      </c>
      <c r="B145" s="89" t="str">
        <f>IF(CONCATENATE(I145,Key!F$2)=CONCATENATE(INDEX(Dashboard!J:J,MATCH(I145,Dashboard!J:J,0),1),INDEX(Dashboard!J:K,MATCH(I145,Dashboard!J:J,0),2)),"ON",IF(Dashboard!K$32="ALL","ON","-"))</f>
        <v>-</v>
      </c>
      <c r="C145" s="96" t="s">
        <v>110</v>
      </c>
      <c r="D145" s="89">
        <f>IF(C145="ID",1,(IF(C145="PR",2,(IF(C145="DE",3,(IF(C145="RS",4,(IF(C145="RC",5,0)))))))))</f>
        <v>1</v>
      </c>
      <c r="E145" s="89" t="s">
        <v>111</v>
      </c>
      <c r="F145" s="89">
        <f>IF(E145="AM",1,(IF(E145="BE",2,(IF(E145="GV",3,(IF(E145="RA",4,(IF(E145="RM",5,(IF(E145="AC",1,(IF(E145="AT",2,(IF(E145="DS",3,(IF(E145="IP",4,(IF(E145="MA",5,(IF(E145="PT",6,(IF(E145="AE",1,(IF(E145="CM",2,(IF(E145="DP",3,(IF(E145="AN",1,(IF(E145="CO",2,(IF(E145="IM",3,(IF(E145="MI",4,(IF(E145="RP",5,(IF(E145="SC",6,0)))))))))))))))))))))))))))))))))))))))</f>
        <v>1</v>
      </c>
      <c r="G145" s="52">
        <v>6</v>
      </c>
      <c r="H145" s="90" t="s">
        <v>115</v>
      </c>
      <c r="I145" s="93" t="s">
        <v>92</v>
      </c>
      <c r="J145" s="88" t="s">
        <v>129</v>
      </c>
      <c r="K145" s="102" t="s">
        <v>5226</v>
      </c>
      <c r="L145" s="117">
        <f>IF(O145="","",N145*O145*M145)</f>
        <v>0</v>
      </c>
      <c r="M145" s="108">
        <v>1</v>
      </c>
      <c r="N145" s="95">
        <v>1</v>
      </c>
      <c r="O145" s="109">
        <f>IF(Key!D$1="ON",P145,IF(SUM(Q145:DL145)&lt;1,"",SUM(Q145:DL145)/COUNTIF(Q145:DL145,"&gt;0")))</f>
        <v>0</v>
      </c>
      <c r="P145" s="109">
        <f>SUMIFS(Q145:DK145,Q$1:DK$1,Dashboard!$K$31)</f>
        <v>0</v>
      </c>
      <c r="U145" s="95">
        <v>33</v>
      </c>
      <c r="AA145" s="95">
        <v>25</v>
      </c>
      <c r="AH145" s="95">
        <v>75</v>
      </c>
    </row>
    <row r="146" spans="1:34" x14ac:dyDescent="0.3">
      <c r="A146" s="89" t="str">
        <f>CONCATENATE(D146,".",F146,"-",G146,".",H146,"")</f>
        <v>1.1-6.2</v>
      </c>
      <c r="B146" s="89" t="str">
        <f>IF(CONCATENATE(I146,Key!F$2)=CONCATENATE(INDEX(Dashboard!J:J,MATCH(I146,Dashboard!J:J,0),1),INDEX(Dashboard!J:K,MATCH(I146,Dashboard!J:J,0),2)),"ON",IF(Dashboard!K$32="ALL","ON","-"))</f>
        <v>-</v>
      </c>
      <c r="C146" s="88" t="s">
        <v>110</v>
      </c>
      <c r="D146" s="89">
        <f>IF(C146="ID",1,(IF(C146="PR",2,(IF(C146="DE",3,(IF(C146="RS",4,(IF(C146="RC",5,0)))))))))</f>
        <v>1</v>
      </c>
      <c r="E146" s="89" t="s">
        <v>111</v>
      </c>
      <c r="F146" s="89">
        <f>IF(E146="AM",1,(IF(E146="BE",2,(IF(E146="GV",3,(IF(E146="RA",4,(IF(E146="RM",5,(IF(E146="AC",1,(IF(E146="AT",2,(IF(E146="DS",3,(IF(E146="IP",4,(IF(E146="MA",5,(IF(E146="PT",6,(IF(E146="AE",1,(IF(E146="CM",2,(IF(E146="DP",3,(IF(E146="AN",1,(IF(E146="CO",2,(IF(E146="IM",3,(IF(E146="MI",4,(IF(E146="RP",5,(IF(E146="SC",6,0)))))))))))))))))))))))))))))))))))))))</f>
        <v>1</v>
      </c>
      <c r="G146" s="52">
        <v>6</v>
      </c>
      <c r="H146" s="90" t="s">
        <v>112</v>
      </c>
      <c r="I146" s="93" t="s">
        <v>60</v>
      </c>
      <c r="J146" s="87" t="s">
        <v>3129</v>
      </c>
      <c r="K146" s="51" t="s">
        <v>5242</v>
      </c>
      <c r="L146" s="117">
        <f>IF(O146="","",N146*O146*M146)</f>
        <v>0</v>
      </c>
      <c r="M146" s="108">
        <v>1</v>
      </c>
      <c r="N146" s="95">
        <v>1</v>
      </c>
      <c r="O146" s="109">
        <f>IF(Key!D$1="ON",P146,IF(SUM(Q146:DL146)&lt;1,"",SUM(Q146:DL146)/COUNTIF(Q146:DL146,"&gt;0")))</f>
        <v>0</v>
      </c>
      <c r="P146" s="109">
        <f>SUMIFS(Q146:DK146,Q$1:DK$1,Dashboard!$K$31)</f>
        <v>0</v>
      </c>
      <c r="U146" s="95">
        <v>33</v>
      </c>
      <c r="AA146" s="95">
        <v>25</v>
      </c>
      <c r="AH146" s="95">
        <v>75</v>
      </c>
    </row>
    <row r="147" spans="1:34" x14ac:dyDescent="0.3">
      <c r="A147" s="89" t="str">
        <f>CONCATENATE(D147,".",F147,"-",G147,".",H147,"")</f>
        <v>1.1-6.2</v>
      </c>
      <c r="B147" s="89" t="str">
        <f>IF(CONCATENATE(I147,Key!F$2)=CONCATENATE(INDEX(Dashboard!J:J,MATCH(I147,Dashboard!J:J,0),1),INDEX(Dashboard!J:K,MATCH(I147,Dashboard!J:J,0),2)),"ON",IF(Dashboard!K$32="ALL","ON","-"))</f>
        <v>-</v>
      </c>
      <c r="C147" s="88" t="s">
        <v>110</v>
      </c>
      <c r="D147" s="89">
        <f>IF(C147="ID",1,(IF(C147="PR",2,(IF(C147="DE",3,(IF(C147="RS",4,(IF(C147="RC",5,0)))))))))</f>
        <v>1</v>
      </c>
      <c r="E147" s="89" t="s">
        <v>111</v>
      </c>
      <c r="F147" s="89">
        <f>IF(E147="AM",1,(IF(E147="BE",2,(IF(E147="GV",3,(IF(E147="RA",4,(IF(E147="RM",5,(IF(E147="AC",1,(IF(E147="AT",2,(IF(E147="DS",3,(IF(E147="IP",4,(IF(E147="MA",5,(IF(E147="PT",6,(IF(E147="AE",1,(IF(E147="CM",2,(IF(E147="DP",3,(IF(E147="AN",1,(IF(E147="CO",2,(IF(E147="IM",3,(IF(E147="MI",4,(IF(E147="RP",5,(IF(E147="SC",6,0)))))))))))))))))))))))))))))))))))))))</f>
        <v>1</v>
      </c>
      <c r="G147" s="52">
        <v>6</v>
      </c>
      <c r="H147" s="90" t="s">
        <v>112</v>
      </c>
      <c r="I147" s="93" t="s">
        <v>60</v>
      </c>
      <c r="J147" s="87" t="s">
        <v>3130</v>
      </c>
      <c r="K147" s="51" t="s">
        <v>5243</v>
      </c>
      <c r="L147" s="117">
        <f>IF(O147="","",N147*O147*M147)</f>
        <v>0</v>
      </c>
      <c r="M147" s="108">
        <v>1</v>
      </c>
      <c r="N147" s="95">
        <v>1</v>
      </c>
      <c r="O147" s="109">
        <f>IF(Key!D$1="ON",P147,IF(SUM(Q147:DL147)&lt;1,"",SUM(Q147:DL147)/COUNTIF(Q147:DL147,"&gt;0")))</f>
        <v>0</v>
      </c>
      <c r="P147" s="109">
        <f>SUMIFS(Q147:DK147,Q$1:DK$1,Dashboard!$K$31)</f>
        <v>0</v>
      </c>
      <c r="U147" s="95">
        <v>33</v>
      </c>
      <c r="AA147" s="95">
        <v>25</v>
      </c>
      <c r="AH147" s="95">
        <v>75</v>
      </c>
    </row>
    <row r="148" spans="1:34" ht="15.6" x14ac:dyDescent="0.3">
      <c r="A148" s="89" t="str">
        <f>CONCATENATE(D148,".",F148,"-",G148,".",H148,"")</f>
        <v>1.1-6.5</v>
      </c>
      <c r="B148" s="89" t="str">
        <f>IF(CONCATENATE(I148,Key!F$2)=CONCATENATE(INDEX(Dashboard!J:J,MATCH(I148,Dashboard!J:J,0),1),INDEX(Dashboard!J:K,MATCH(I148,Dashboard!J:J,0),2)),"ON",IF(Dashboard!K$32="ALL","ON","-"))</f>
        <v>-</v>
      </c>
      <c r="C148" s="88" t="s">
        <v>110</v>
      </c>
      <c r="D148" s="89">
        <f>IF(C148="ID",1,(IF(C148="PR",2,(IF(C148="DE",3,(IF(C148="RS",4,(IF(C148="RC",5,0)))))))))</f>
        <v>1</v>
      </c>
      <c r="E148" s="89" t="s">
        <v>111</v>
      </c>
      <c r="F148" s="89">
        <f>IF(E148="AM",1,(IF(E148="BE",2,(IF(E148="GV",3,(IF(E148="RA",4,(IF(E148="RM",5,(IF(E148="AC",1,(IF(E148="AT",2,(IF(E148="DS",3,(IF(E148="IP",4,(IF(E148="MA",5,(IF(E148="PT",6,(IF(E148="AE",1,(IF(E148="CM",2,(IF(E148="DP",3,(IF(E148="AN",1,(IF(E148="CO",2,(IF(E148="IM",3,(IF(E148="MI",4,(IF(E148="RP",5,(IF(E148="SC",6,0)))))))))))))))))))))))))))))))))))))))</f>
        <v>1</v>
      </c>
      <c r="G148" s="52">
        <v>6</v>
      </c>
      <c r="H148" s="90" t="s">
        <v>123</v>
      </c>
      <c r="I148" s="93" t="s">
        <v>64</v>
      </c>
      <c r="J148" s="87" t="s">
        <v>950</v>
      </c>
      <c r="K148" s="102" t="s">
        <v>2033</v>
      </c>
      <c r="L148" s="117">
        <f>IF(O148="","",N148*O148*M148)</f>
        <v>0</v>
      </c>
      <c r="M148" s="108">
        <v>1</v>
      </c>
      <c r="N148" s="95">
        <v>1</v>
      </c>
      <c r="O148" s="109">
        <f>IF(Key!D$1="ON",P148,IF(SUM(Q148:DL148)&lt;1,"",SUM(Q148:DL148)/COUNTIF(Q148:DL148,"&gt;0")))</f>
        <v>0</v>
      </c>
      <c r="P148" s="109">
        <f>SUMIFS(Q148:DK148,Q$1:DK$1,Dashboard!$K$31)</f>
        <v>0</v>
      </c>
      <c r="U148" s="95">
        <v>33</v>
      </c>
      <c r="AA148" s="95">
        <v>25</v>
      </c>
      <c r="AH148" s="95">
        <v>75</v>
      </c>
    </row>
    <row r="149" spans="1:34" ht="15.6" x14ac:dyDescent="0.3">
      <c r="A149" s="89" t="str">
        <f>CONCATENATE(D149,".",F149,"-",G149,".",H149,"")</f>
        <v>1.1-6.5</v>
      </c>
      <c r="B149" s="89" t="str">
        <f>IF(CONCATENATE(I149,Key!F$2)=CONCATENATE(INDEX(Dashboard!J:J,MATCH(I149,Dashboard!J:J,0),1),INDEX(Dashboard!J:K,MATCH(I149,Dashboard!J:J,0),2)),"ON",IF(Dashboard!K$32="ALL","ON","-"))</f>
        <v>-</v>
      </c>
      <c r="C149" s="88" t="s">
        <v>110</v>
      </c>
      <c r="D149" s="89">
        <f>IF(C149="ID",1,(IF(C149="PR",2,(IF(C149="DE",3,(IF(C149="RS",4,(IF(C149="RC",5,0)))))))))</f>
        <v>1</v>
      </c>
      <c r="E149" s="89" t="s">
        <v>111</v>
      </c>
      <c r="F149" s="89">
        <f>IF(E149="AM",1,(IF(E149="BE",2,(IF(E149="GV",3,(IF(E149="RA",4,(IF(E149="RM",5,(IF(E149="AC",1,(IF(E149="AT",2,(IF(E149="DS",3,(IF(E149="IP",4,(IF(E149="MA",5,(IF(E149="PT",6,(IF(E149="AE",1,(IF(E149="CM",2,(IF(E149="DP",3,(IF(E149="AN",1,(IF(E149="CO",2,(IF(E149="IM",3,(IF(E149="MI",4,(IF(E149="RP",5,(IF(E149="SC",6,0)))))))))))))))))))))))))))))))))))))))</f>
        <v>1</v>
      </c>
      <c r="G149" s="52">
        <v>6</v>
      </c>
      <c r="H149" s="90" t="s">
        <v>123</v>
      </c>
      <c r="I149" s="93" t="s">
        <v>77</v>
      </c>
      <c r="J149" s="87" t="s">
        <v>950</v>
      </c>
      <c r="K149" s="102" t="s">
        <v>2033</v>
      </c>
      <c r="L149" s="117">
        <f>IF(O149="","",N149*O149*M149)</f>
        <v>0</v>
      </c>
      <c r="M149" s="108">
        <v>1</v>
      </c>
      <c r="N149" s="95">
        <v>1</v>
      </c>
      <c r="O149" s="109">
        <f>IF(Key!D$1="ON",P149,IF(SUM(Q149:DL149)&lt;1,"",SUM(Q149:DL149)/COUNTIF(Q149:DL149,"&gt;0")))</f>
        <v>0</v>
      </c>
      <c r="P149" s="109">
        <f>SUMIFS(Q149:DK149,Q$1:DK$1,Dashboard!$K$31)</f>
        <v>0</v>
      </c>
      <c r="U149" s="95">
        <v>33</v>
      </c>
      <c r="AA149" s="95">
        <v>25</v>
      </c>
      <c r="AH149" s="95">
        <v>75</v>
      </c>
    </row>
    <row r="150" spans="1:34" ht="15.6" x14ac:dyDescent="0.3">
      <c r="A150" s="89" t="str">
        <f>CONCATENATE(D150,".",F150,"-",G150,".",H150,"")</f>
        <v>1.1-6.5</v>
      </c>
      <c r="B150" s="89" t="str">
        <f>IF(CONCATENATE(I150,Key!F$2)=CONCATENATE(INDEX(Dashboard!J:J,MATCH(I150,Dashboard!J:J,0),1),INDEX(Dashboard!J:K,MATCH(I150,Dashboard!J:J,0),2)),"ON",IF(Dashboard!K$32="ALL","ON","-"))</f>
        <v>-</v>
      </c>
      <c r="C150" s="96" t="s">
        <v>110</v>
      </c>
      <c r="D150" s="89">
        <f>IF(C150="ID",1,(IF(C150="PR",2,(IF(C150="DE",3,(IF(C150="RS",4,(IF(C150="RC",5,0)))))))))</f>
        <v>1</v>
      </c>
      <c r="E150" s="89" t="s">
        <v>111</v>
      </c>
      <c r="F150" s="89">
        <f>IF(E150="AM",1,(IF(E150="BE",2,(IF(E150="GV",3,(IF(E150="RA",4,(IF(E150="RM",5,(IF(E150="AC",1,(IF(E150="AT",2,(IF(E150="DS",3,(IF(E150="IP",4,(IF(E150="MA",5,(IF(E150="PT",6,(IF(E150="AE",1,(IF(E150="CM",2,(IF(E150="DP",3,(IF(E150="AN",1,(IF(E150="CO",2,(IF(E150="IM",3,(IF(E150="MI",4,(IF(E150="RP",5,(IF(E150="SC",6,0)))))))))))))))))))))))))))))))))))))))</f>
        <v>1</v>
      </c>
      <c r="G150" s="98">
        <v>6</v>
      </c>
      <c r="H150" s="90" t="s">
        <v>123</v>
      </c>
      <c r="I150" s="93" t="s">
        <v>77</v>
      </c>
      <c r="J150" s="87" t="s">
        <v>1022</v>
      </c>
      <c r="K150" s="102" t="s">
        <v>2034</v>
      </c>
      <c r="L150" s="117">
        <f>IF(O150="","",N150*O150*M150)</f>
        <v>0</v>
      </c>
      <c r="M150" s="108">
        <v>1</v>
      </c>
      <c r="N150" s="95">
        <v>1</v>
      </c>
      <c r="O150" s="109">
        <f>IF(Key!D$1="ON",P150,IF(SUM(Q150:DL150)&lt;1,"",SUM(Q150:DL150)/COUNTIF(Q150:DL150,"&gt;0")))</f>
        <v>0</v>
      </c>
      <c r="P150" s="109">
        <f>SUMIFS(Q150:DK150,Q$1:DK$1,Dashboard!$K$31)</f>
        <v>0</v>
      </c>
      <c r="U150" s="95">
        <v>33</v>
      </c>
      <c r="AA150" s="95">
        <v>25</v>
      </c>
      <c r="AH150" s="95">
        <v>75</v>
      </c>
    </row>
    <row r="151" spans="1:34" ht="15.6" x14ac:dyDescent="0.3">
      <c r="A151" s="89" t="str">
        <f>CONCATENATE(D151,".",F151,"-",G151,".",H151,"")</f>
        <v>1.1-6.5</v>
      </c>
      <c r="B151" s="89" t="str">
        <f>IF(CONCATENATE(I151,Key!F$2)=CONCATENATE(INDEX(Dashboard!J:J,MATCH(I151,Dashboard!J:J,0),1),INDEX(Dashboard!J:K,MATCH(I151,Dashboard!J:J,0),2)),"ON",IF(Dashboard!K$32="ALL","ON","-"))</f>
        <v>-</v>
      </c>
      <c r="C151" s="88" t="s">
        <v>110</v>
      </c>
      <c r="D151" s="89">
        <f>IF(C151="ID",1,(IF(C151="PR",2,(IF(C151="DE",3,(IF(C151="RS",4,(IF(C151="RC",5,0)))))))))</f>
        <v>1</v>
      </c>
      <c r="E151" s="89" t="s">
        <v>111</v>
      </c>
      <c r="F151" s="89">
        <f>IF(E151="AM",1,(IF(E151="BE",2,(IF(E151="GV",3,(IF(E151="RA",4,(IF(E151="RM",5,(IF(E151="AC",1,(IF(E151="AT",2,(IF(E151="DS",3,(IF(E151="IP",4,(IF(E151="MA",5,(IF(E151="PT",6,(IF(E151="AE",1,(IF(E151="CM",2,(IF(E151="DP",3,(IF(E151="AN",1,(IF(E151="CO",2,(IF(E151="IM",3,(IF(E151="MI",4,(IF(E151="RP",5,(IF(E151="SC",6,0)))))))))))))))))))))))))))))))))))))))</f>
        <v>1</v>
      </c>
      <c r="G151" s="52">
        <v>6</v>
      </c>
      <c r="H151" s="90" t="s">
        <v>123</v>
      </c>
      <c r="I151" s="93" t="s">
        <v>85</v>
      </c>
      <c r="J151" s="87" t="s">
        <v>977</v>
      </c>
      <c r="K151" s="119" t="s">
        <v>4711</v>
      </c>
      <c r="L151" s="117">
        <f>IF(O151="","",N151*O151*M151)</f>
        <v>0</v>
      </c>
      <c r="M151" s="108">
        <v>1</v>
      </c>
      <c r="N151" s="95">
        <v>1</v>
      </c>
      <c r="O151" s="109">
        <f>IF(Key!D$1="ON",P151,IF(SUM(Q151:DL151)&lt;1,"",SUM(Q151:DL151)/COUNTIF(Q151:DL151,"&gt;0")))</f>
        <v>0</v>
      </c>
      <c r="P151" s="109">
        <f>SUMIFS(Q151:DK151,Q$1:DK$1,Dashboard!$K$31)</f>
        <v>0</v>
      </c>
      <c r="U151" s="95">
        <v>33</v>
      </c>
      <c r="AA151" s="95">
        <v>25</v>
      </c>
      <c r="AH151" s="95">
        <v>75</v>
      </c>
    </row>
    <row r="152" spans="1:34" ht="15.6" x14ac:dyDescent="0.3">
      <c r="A152" s="89" t="str">
        <f>CONCATENATE(D152,".",F152,"-",G152,".",H152,"")</f>
        <v>1.2-0.0</v>
      </c>
      <c r="B152" s="89" t="str">
        <f>IF(CONCATENATE(I152,Key!F$2)=CONCATENATE(INDEX(Dashboard!J:J,MATCH(I152,Dashboard!J:J,0),1),INDEX(Dashboard!J:K,MATCH(I152,Dashboard!J:J,0),2)),"ON",IF(Dashboard!K$32="ALL","ON","-"))</f>
        <v>-</v>
      </c>
      <c r="C152" s="96" t="s">
        <v>110</v>
      </c>
      <c r="D152" s="89">
        <f>IF(C152="ID",1,(IF(C152="PR",2,(IF(C152="DE",3,(IF(C152="RS",4,(IF(C152="RC",5,0)))))))))</f>
        <v>1</v>
      </c>
      <c r="E152" s="89" t="s">
        <v>130</v>
      </c>
      <c r="F152" s="89">
        <f>IF(E152="AM",1,(IF(E152="BE",2,(IF(E152="GV",3,(IF(E152="RA",4,(IF(E152="RM",5,(IF(E152="AC",1,(IF(E152="AT",2,(IF(E152="DS",3,(IF(E152="IP",4,(IF(E152="MA",5,(IF(E152="PT",6,(IF(E152="AE",1,(IF(E152="CM",2,(IF(E152="DP",3,(IF(E152="AN",1,(IF(E152="CO",2,(IF(E152="IM",3,(IF(E152="MI",4,(IF(E152="RP",5,(IF(E152="SC",6,0)))))))))))))))))))))))))))))))))))))))</f>
        <v>2</v>
      </c>
      <c r="G152" s="52">
        <v>0</v>
      </c>
      <c r="H152" s="90" t="s">
        <v>347</v>
      </c>
      <c r="I152" s="93" t="s">
        <v>2835</v>
      </c>
      <c r="J152" s="153" t="s">
        <v>2851</v>
      </c>
      <c r="K152" s="152" t="s">
        <v>2852</v>
      </c>
      <c r="L152" s="117">
        <f>IF(O152="","",N152*O152*M152)</f>
        <v>0</v>
      </c>
      <c r="M152" s="108">
        <v>1</v>
      </c>
      <c r="N152" s="95">
        <v>1</v>
      </c>
      <c r="O152" s="109">
        <f>IF(Key!D$1="ON",P152,IF(SUM(Q152:DL152)&lt;1,"",SUM(Q152:DL152)/COUNTIF(Q152:DL152,"&gt;0")))</f>
        <v>0</v>
      </c>
      <c r="P152" s="109">
        <f>SUMIFS(Q152:DK152,Q$1:DK$1,Dashboard!$K$31)</f>
        <v>0</v>
      </c>
      <c r="Q152" s="110">
        <v>83</v>
      </c>
      <c r="U152" s="95">
        <v>33</v>
      </c>
    </row>
    <row r="153" spans="1:34" ht="15.6" x14ac:dyDescent="0.3">
      <c r="A153" s="89" t="str">
        <f>CONCATENATE(D153,".",F153,"-",G153,".",H153,"")</f>
        <v>1.2-0.1</v>
      </c>
      <c r="B153" s="89" t="str">
        <f>IF(CONCATENATE(I153,Key!F$2)=CONCATENATE(INDEX(Dashboard!J:J,MATCH(I153,Dashboard!J:J,0),1),INDEX(Dashboard!J:K,MATCH(I153,Dashboard!J:J,0),2)),"ON",IF(Dashboard!K$32="ALL","ON","-"))</f>
        <v>-</v>
      </c>
      <c r="C153" s="96" t="s">
        <v>110</v>
      </c>
      <c r="D153" s="89">
        <f>IF(C153="ID",1,(IF(C153="PR",2,(IF(C153="DE",3,(IF(C153="RS",4,(IF(C153="RC",5,0)))))))))</f>
        <v>1</v>
      </c>
      <c r="E153" s="89" t="s">
        <v>130</v>
      </c>
      <c r="F153" s="89">
        <f>IF(E153="AM",1,(IF(E153="BE",2,(IF(E153="GV",3,(IF(E153="RA",4,(IF(E153="RM",5,(IF(E153="AC",1,(IF(E153="AT",2,(IF(E153="DS",3,(IF(E153="IP",4,(IF(E153="MA",5,(IF(E153="PT",6,(IF(E153="AE",1,(IF(E153="CM",2,(IF(E153="DP",3,(IF(E153="AN",1,(IF(E153="CO",2,(IF(E153="IM",3,(IF(E153="MI",4,(IF(E153="RP",5,(IF(E153="SC",6,0)))))))))))))))))))))))))))))))))))))))</f>
        <v>2</v>
      </c>
      <c r="G153" s="52">
        <v>0</v>
      </c>
      <c r="H153" s="90" t="s">
        <v>115</v>
      </c>
      <c r="I153" s="93" t="s">
        <v>2835</v>
      </c>
      <c r="J153" s="153" t="s">
        <v>2851</v>
      </c>
      <c r="K153" s="152" t="s">
        <v>2853</v>
      </c>
      <c r="L153" s="117">
        <f>IF(O153="","",N153*O153*M153)</f>
        <v>0</v>
      </c>
      <c r="M153" s="108">
        <v>1</v>
      </c>
      <c r="N153" s="95">
        <v>1</v>
      </c>
      <c r="O153" s="109">
        <f>IF(Key!D$1="ON",P153,IF(SUM(Q153:DL153)&lt;1,"",SUM(Q153:DL153)/COUNTIF(Q153:DL153,"&gt;0")))</f>
        <v>0</v>
      </c>
      <c r="P153" s="109">
        <f>SUMIFS(Q153:DK153,Q$1:DK$1,Dashboard!$K$31)</f>
        <v>0</v>
      </c>
      <c r="Q153" s="110">
        <v>83</v>
      </c>
      <c r="U153" s="95">
        <v>33</v>
      </c>
      <c r="AA153" s="95">
        <v>50</v>
      </c>
    </row>
    <row r="154" spans="1:34" ht="15.6" x14ac:dyDescent="0.3">
      <c r="A154" s="89" t="str">
        <f>CONCATENATE(D154,".",F154,"-",G154,".",H154,"")</f>
        <v>1.2-1.0</v>
      </c>
      <c r="B154" s="89" t="str">
        <f>IF(CONCATENATE(I154,Key!F$2)=CONCATENATE(INDEX(Dashboard!J:J,MATCH(I154,Dashboard!J:J,0),1),INDEX(Dashboard!J:K,MATCH(I154,Dashboard!J:J,0),2)),"ON",IF(Dashboard!K$32="ALL","ON","-"))</f>
        <v>-</v>
      </c>
      <c r="C154" s="96" t="s">
        <v>110</v>
      </c>
      <c r="D154" s="89">
        <f>IF(C154="ID",1,(IF(C154="PR",2,(IF(C154="DE",3,(IF(C154="RS",4,(IF(C154="RC",5,0)))))))))</f>
        <v>1</v>
      </c>
      <c r="E154" s="89" t="s">
        <v>130</v>
      </c>
      <c r="F154" s="89">
        <f>IF(E154="AM",1,(IF(E154="BE",2,(IF(E154="GV",3,(IF(E154="RA",4,(IF(E154="RM",5,(IF(E154="AC",1,(IF(E154="AT",2,(IF(E154="DS",3,(IF(E154="IP",4,(IF(E154="MA",5,(IF(E154="PT",6,(IF(E154="AE",1,(IF(E154="CM",2,(IF(E154="DP",3,(IF(E154="AN",1,(IF(E154="CO",2,(IF(E154="IM",3,(IF(E154="MI",4,(IF(E154="RP",5,(IF(E154="SC",6,0)))))))))))))))))))))))))))))))))))))))</f>
        <v>2</v>
      </c>
      <c r="G154" s="52">
        <v>1</v>
      </c>
      <c r="H154" s="90" t="s">
        <v>347</v>
      </c>
      <c r="I154" s="93" t="s">
        <v>2835</v>
      </c>
      <c r="J154" s="53" t="s">
        <v>2854</v>
      </c>
      <c r="K154" s="152" t="s">
        <v>2855</v>
      </c>
      <c r="L154" s="117">
        <f>IF(O154="","",N154*O154*M154)</f>
        <v>0</v>
      </c>
      <c r="M154" s="108">
        <v>1</v>
      </c>
      <c r="N154" s="95">
        <v>1</v>
      </c>
      <c r="O154" s="109">
        <f>IF(Key!D$1="ON",P154,IF(SUM(Q154:DL154)&lt;1,"",SUM(Q154:DL154)/COUNTIF(Q154:DL154,"&gt;0")))</f>
        <v>0</v>
      </c>
      <c r="P154" s="109">
        <f>SUMIFS(Q154:DK154,Q$1:DK$1,Dashboard!$K$31)</f>
        <v>0</v>
      </c>
      <c r="U154" s="95">
        <v>33</v>
      </c>
    </row>
    <row r="155" spans="1:34" x14ac:dyDescent="0.3">
      <c r="A155" s="89" t="str">
        <f>CONCATENATE(D155,".",F155,"-",G155,".",H155,"")</f>
        <v>1.2-1.1</v>
      </c>
      <c r="B155" s="89" t="str">
        <f>IF(CONCATENATE(I155,Key!F$2)=CONCATENATE(INDEX(Dashboard!J:J,MATCH(I155,Dashboard!J:J,0),1),INDEX(Dashboard!J:K,MATCH(I155,Dashboard!J:J,0),2)),"ON",IF(Dashboard!K$32="ALL","ON","-"))</f>
        <v>-</v>
      </c>
      <c r="C155" s="96" t="s">
        <v>110</v>
      </c>
      <c r="D155" s="89">
        <f>IF(C155="ID",1,(IF(C155="PR",2,(IF(C155="DE",3,(IF(C155="RS",4,(IF(C155="RC",5,0)))))))))</f>
        <v>1</v>
      </c>
      <c r="E155" s="89" t="s">
        <v>130</v>
      </c>
      <c r="F155" s="89">
        <f>IF(E155="AM",1,(IF(E155="BE",2,(IF(E155="GV",3,(IF(E155="RA",4,(IF(E155="RM",5,(IF(E155="AC",1,(IF(E155="AT",2,(IF(E155="DS",3,(IF(E155="IP",4,(IF(E155="MA",5,(IF(E155="PT",6,(IF(E155="AE",1,(IF(E155="CM",2,(IF(E155="DP",3,(IF(E155="AN",1,(IF(E155="CO",2,(IF(E155="IM",3,(IF(E155="MI",4,(IF(E155="RP",5,(IF(E155="SC",6,0)))))))))))))))))))))))))))))))))))))))</f>
        <v>2</v>
      </c>
      <c r="G155" s="98">
        <v>1</v>
      </c>
      <c r="H155" s="90" t="s">
        <v>115</v>
      </c>
      <c r="I155" s="93" t="s">
        <v>52</v>
      </c>
      <c r="J155" s="88" t="s">
        <v>3288</v>
      </c>
      <c r="K155" s="102" t="s">
        <v>3289</v>
      </c>
      <c r="L155" s="117">
        <f>IF(O155="","",N155*O155*M155)</f>
        <v>0</v>
      </c>
      <c r="M155" s="108">
        <v>1</v>
      </c>
      <c r="N155" s="95">
        <v>1</v>
      </c>
      <c r="O155" s="109">
        <f>IF(Key!D$1="ON",P155,IF(SUM(Q155:DL155)&lt;1,"",SUM(Q155:DL155)/COUNTIF(Q155:DL155,"&gt;0")))</f>
        <v>0</v>
      </c>
      <c r="P155" s="109">
        <f>SUMIFS(Q155:DK155,Q$1:DK$1,Dashboard!$K$31)</f>
        <v>0</v>
      </c>
      <c r="U155" s="95">
        <v>33</v>
      </c>
      <c r="AA155" s="95">
        <v>25</v>
      </c>
      <c r="AH155" s="95">
        <v>75</v>
      </c>
    </row>
    <row r="156" spans="1:34" x14ac:dyDescent="0.3">
      <c r="A156" s="89" t="str">
        <f>CONCATENATE(D156,".",F156,"-",G156,".",H156,"")</f>
        <v>1.2-1.1</v>
      </c>
      <c r="B156" s="89" t="str">
        <f>IF(CONCATENATE(I156,Key!F$2)=CONCATENATE(INDEX(Dashboard!J:J,MATCH(I156,Dashboard!J:J,0),1),INDEX(Dashboard!J:K,MATCH(I156,Dashboard!J:J,0),2)),"ON",IF(Dashboard!K$32="ALL","ON","-"))</f>
        <v>-</v>
      </c>
      <c r="C156" s="96" t="s">
        <v>110</v>
      </c>
      <c r="D156" s="89">
        <f>IF(C156="ID",1,(IF(C156="PR",2,(IF(C156="DE",3,(IF(C156="RS",4,(IF(C156="RC",5,0)))))))))</f>
        <v>1</v>
      </c>
      <c r="E156" s="89" t="s">
        <v>130</v>
      </c>
      <c r="F156" s="89">
        <f>IF(E156="AM",1,(IF(E156="BE",2,(IF(E156="GV",3,(IF(E156="RA",4,(IF(E156="RM",5,(IF(E156="AC",1,(IF(E156="AT",2,(IF(E156="DS",3,(IF(E156="IP",4,(IF(E156="MA",5,(IF(E156="PT",6,(IF(E156="AE",1,(IF(E156="CM",2,(IF(E156="DP",3,(IF(E156="AN",1,(IF(E156="CO",2,(IF(E156="IM",3,(IF(E156="MI",4,(IF(E156="RP",5,(IF(E156="SC",6,0)))))))))))))))))))))))))))))))))))))))</f>
        <v>2</v>
      </c>
      <c r="G156" s="98">
        <v>1</v>
      </c>
      <c r="H156" s="90" t="s">
        <v>115</v>
      </c>
      <c r="I156" s="93" t="s">
        <v>52</v>
      </c>
      <c r="J156" s="88" t="s">
        <v>3290</v>
      </c>
      <c r="K156" s="103" t="s">
        <v>3291</v>
      </c>
      <c r="L156" s="117">
        <f>IF(O156="","",N156*O156*M156)</f>
        <v>0</v>
      </c>
      <c r="M156" s="108">
        <v>1</v>
      </c>
      <c r="N156" s="95">
        <v>1</v>
      </c>
      <c r="O156" s="109">
        <f>IF(Key!D$1="ON",P156,IF(SUM(Q156:DL156)&lt;1,"",SUM(Q156:DL156)/COUNTIF(Q156:DL156,"&gt;0")))</f>
        <v>0</v>
      </c>
      <c r="P156" s="109">
        <f>SUMIFS(Q156:DK156,Q$1:DK$1,Dashboard!$K$31)</f>
        <v>0</v>
      </c>
      <c r="U156" s="95">
        <v>33</v>
      </c>
      <c r="AA156" s="95">
        <v>25</v>
      </c>
      <c r="AH156" s="95">
        <v>75</v>
      </c>
    </row>
    <row r="157" spans="1:34" x14ac:dyDescent="0.3">
      <c r="A157" s="89" t="str">
        <f>CONCATENATE(D157,".",F157,"-",G157,".",H157,"")</f>
        <v>1.2-1.1</v>
      </c>
      <c r="B157" s="89" t="str">
        <f>IF(CONCATENATE(I157,Key!F$2)=CONCATENATE(INDEX(Dashboard!J:J,MATCH(I157,Dashboard!J:J,0),1),INDEX(Dashboard!J:K,MATCH(I157,Dashboard!J:J,0),2)),"ON",IF(Dashboard!K$32="ALL","ON","-"))</f>
        <v>-</v>
      </c>
      <c r="C157" s="96" t="s">
        <v>110</v>
      </c>
      <c r="D157" s="89">
        <f>IF(C157="ID",1,(IF(C157="PR",2,(IF(C157="DE",3,(IF(C157="RS",4,(IF(C157="RC",5,0)))))))))</f>
        <v>1</v>
      </c>
      <c r="E157" s="89" t="s">
        <v>130</v>
      </c>
      <c r="F157" s="89">
        <f>IF(E157="AM",1,(IF(E157="BE",2,(IF(E157="GV",3,(IF(E157="RA",4,(IF(E157="RM",5,(IF(E157="AC",1,(IF(E157="AT",2,(IF(E157="DS",3,(IF(E157="IP",4,(IF(E157="MA",5,(IF(E157="PT",6,(IF(E157="AE",1,(IF(E157="CM",2,(IF(E157="DP",3,(IF(E157="AN",1,(IF(E157="CO",2,(IF(E157="IM",3,(IF(E157="MI",4,(IF(E157="RP",5,(IF(E157="SC",6,0)))))))))))))))))))))))))))))))))))))))</f>
        <v>2</v>
      </c>
      <c r="G157" s="98">
        <v>1</v>
      </c>
      <c r="H157" s="90" t="s">
        <v>115</v>
      </c>
      <c r="I157" s="93" t="s">
        <v>52</v>
      </c>
      <c r="J157" s="88" t="s">
        <v>3282</v>
      </c>
      <c r="K157" s="103" t="s">
        <v>3283</v>
      </c>
      <c r="L157" s="117">
        <f>IF(O157="","",N157*O157*M157)</f>
        <v>0</v>
      </c>
      <c r="M157" s="108">
        <v>1</v>
      </c>
      <c r="N157" s="95">
        <v>1</v>
      </c>
      <c r="O157" s="109">
        <f>IF(Key!D$1="ON",P157,IF(SUM(Q157:DL157)&lt;1,"",SUM(Q157:DL157)/COUNTIF(Q157:DL157,"&gt;0")))</f>
        <v>0</v>
      </c>
      <c r="P157" s="109">
        <f>SUMIFS(Q157:DK157,Q$1:DK$1,Dashboard!$K$31)</f>
        <v>0</v>
      </c>
      <c r="U157" s="95">
        <v>33</v>
      </c>
      <c r="AA157" s="95">
        <v>25</v>
      </c>
      <c r="AH157" s="95">
        <v>75</v>
      </c>
    </row>
    <row r="158" spans="1:34" x14ac:dyDescent="0.3">
      <c r="A158" s="89" t="str">
        <f>CONCATENATE(D158,".",F158,"-",G158,".",H158,"")</f>
        <v>1.2-1.1</v>
      </c>
      <c r="B158" s="89" t="str">
        <f>IF(CONCATENATE(I158,Key!F$2)=CONCATENATE(INDEX(Dashboard!J:J,MATCH(I158,Dashboard!J:J,0),1),INDEX(Dashboard!J:K,MATCH(I158,Dashboard!J:J,0),2)),"ON",IF(Dashboard!K$32="ALL","ON","-"))</f>
        <v>-</v>
      </c>
      <c r="C158" s="96" t="s">
        <v>110</v>
      </c>
      <c r="D158" s="89">
        <f>IF(C158="ID",1,(IF(C158="PR",2,(IF(C158="DE",3,(IF(C158="RS",4,(IF(C158="RC",5,0)))))))))</f>
        <v>1</v>
      </c>
      <c r="E158" s="89" t="s">
        <v>130</v>
      </c>
      <c r="F158" s="89">
        <f>IF(E158="AM",1,(IF(E158="BE",2,(IF(E158="GV",3,(IF(E158="RA",4,(IF(E158="RM",5,(IF(E158="AC",1,(IF(E158="AT",2,(IF(E158="DS",3,(IF(E158="IP",4,(IF(E158="MA",5,(IF(E158="PT",6,(IF(E158="AE",1,(IF(E158="CM",2,(IF(E158="DP",3,(IF(E158="AN",1,(IF(E158="CO",2,(IF(E158="IM",3,(IF(E158="MI",4,(IF(E158="RP",5,(IF(E158="SC",6,0)))))))))))))))))))))))))))))))))))))))</f>
        <v>2</v>
      </c>
      <c r="G158" s="98">
        <v>1</v>
      </c>
      <c r="H158" s="90" t="s">
        <v>115</v>
      </c>
      <c r="I158" s="93" t="s">
        <v>52</v>
      </c>
      <c r="J158" s="88" t="s">
        <v>3292</v>
      </c>
      <c r="K158" s="103" t="s">
        <v>3293</v>
      </c>
      <c r="L158" s="117">
        <f>IF(O158="","",N158*O158*M158)</f>
        <v>0</v>
      </c>
      <c r="M158" s="108">
        <v>1</v>
      </c>
      <c r="N158" s="95">
        <v>1</v>
      </c>
      <c r="O158" s="109">
        <f>IF(Key!D$1="ON",P158,IF(SUM(Q158:DL158)&lt;1,"",SUM(Q158:DL158)/COUNTIF(Q158:DL158,"&gt;0")))</f>
        <v>0</v>
      </c>
      <c r="P158" s="109">
        <f>SUMIFS(Q158:DK158,Q$1:DK$1,Dashboard!$K$31)</f>
        <v>0</v>
      </c>
      <c r="U158" s="95">
        <v>33</v>
      </c>
      <c r="AA158" s="95">
        <v>25</v>
      </c>
      <c r="AH158" s="95">
        <v>75</v>
      </c>
    </row>
    <row r="159" spans="1:34" ht="15.6" x14ac:dyDescent="0.3">
      <c r="A159" s="89" t="str">
        <f>CONCATENATE(D159,".",F159,"-",G159,".",H159,"")</f>
        <v>1.2-2.0</v>
      </c>
      <c r="B159" s="89" t="str">
        <f>IF(CONCATENATE(I159,Key!F$2)=CONCATENATE(INDEX(Dashboard!J:J,MATCH(I159,Dashboard!J:J,0),1),INDEX(Dashboard!J:K,MATCH(I159,Dashboard!J:J,0),2)),"ON",IF(Dashboard!K$32="ALL","ON","-"))</f>
        <v>-</v>
      </c>
      <c r="C159" s="96" t="s">
        <v>110</v>
      </c>
      <c r="D159" s="89">
        <f>IF(C159="ID",1,(IF(C159="PR",2,(IF(C159="DE",3,(IF(C159="RS",4,(IF(C159="RC",5,0)))))))))</f>
        <v>1</v>
      </c>
      <c r="E159" s="89" t="s">
        <v>130</v>
      </c>
      <c r="F159" s="89">
        <f>IF(E159="AM",1,(IF(E159="BE",2,(IF(E159="GV",3,(IF(E159="RA",4,(IF(E159="RM",5,(IF(E159="AC",1,(IF(E159="AT",2,(IF(E159="DS",3,(IF(E159="IP",4,(IF(E159="MA",5,(IF(E159="PT",6,(IF(E159="AE",1,(IF(E159="CM",2,(IF(E159="DP",3,(IF(E159="AN",1,(IF(E159="CO",2,(IF(E159="IM",3,(IF(E159="MI",4,(IF(E159="RP",5,(IF(E159="SC",6,0)))))))))))))))))))))))))))))))))))))))</f>
        <v>2</v>
      </c>
      <c r="G159" s="52">
        <v>2</v>
      </c>
      <c r="H159" s="90" t="s">
        <v>347</v>
      </c>
      <c r="I159" s="93" t="s">
        <v>2835</v>
      </c>
      <c r="J159" s="53" t="s">
        <v>2856</v>
      </c>
      <c r="K159" s="152" t="s">
        <v>2857</v>
      </c>
      <c r="L159" s="117">
        <f>IF(O159="","",N159*O159*M159)</f>
        <v>0</v>
      </c>
      <c r="M159" s="108">
        <v>1</v>
      </c>
      <c r="N159" s="95">
        <v>1</v>
      </c>
      <c r="O159" s="109">
        <f>IF(Key!D$1="ON",P159,IF(SUM(Q159:DL159)&lt;1,"",SUM(Q159:DL159)/COUNTIF(Q159:DL159,"&gt;0")))</f>
        <v>0</v>
      </c>
      <c r="P159" s="109">
        <f>SUMIFS(Q159:DK159,Q$1:DK$1,Dashboard!$K$31)</f>
        <v>0</v>
      </c>
      <c r="U159" s="95">
        <v>33</v>
      </c>
    </row>
    <row r="160" spans="1:34" x14ac:dyDescent="0.3">
      <c r="A160" s="89" t="str">
        <f>CONCATENATE(D160,".",F160,"-",G160,".",H160,"")</f>
        <v>1.2-2.1</v>
      </c>
      <c r="B160" s="89" t="str">
        <f>IF(CONCATENATE(I160,Key!F$2)=CONCATENATE(INDEX(Dashboard!J:J,MATCH(I160,Dashboard!J:J,0),1),INDEX(Dashboard!J:K,MATCH(I160,Dashboard!J:J,0),2)),"ON",IF(Dashboard!K$32="ALL","ON","-"))</f>
        <v>-</v>
      </c>
      <c r="C160" s="96" t="s">
        <v>110</v>
      </c>
      <c r="D160" s="89">
        <f>IF(C160="ID",1,(IF(C160="PR",2,(IF(C160="DE",3,(IF(C160="RS",4,(IF(C160="RC",5,0)))))))))</f>
        <v>1</v>
      </c>
      <c r="E160" s="89" t="s">
        <v>130</v>
      </c>
      <c r="F160" s="89">
        <f>IF(E160="AM",1,(IF(E160="BE",2,(IF(E160="GV",3,(IF(E160="RA",4,(IF(E160="RM",5,(IF(E160="AC",1,(IF(E160="AT",2,(IF(E160="DS",3,(IF(E160="IP",4,(IF(E160="MA",5,(IF(E160="PT",6,(IF(E160="AE",1,(IF(E160="CM",2,(IF(E160="DP",3,(IF(E160="AN",1,(IF(E160="CO",2,(IF(E160="IM",3,(IF(E160="MI",4,(IF(E160="RP",5,(IF(E160="SC",6,0)))))))))))))))))))))))))))))))))))))))</f>
        <v>2</v>
      </c>
      <c r="G160" s="98">
        <v>2</v>
      </c>
      <c r="H160" s="90" t="s">
        <v>115</v>
      </c>
      <c r="I160" s="93" t="s">
        <v>52</v>
      </c>
      <c r="J160" s="88">
        <v>164.31399999999999</v>
      </c>
      <c r="K160" s="103" t="s">
        <v>3294</v>
      </c>
      <c r="L160" s="117">
        <f>IF(O160="","",N160*O160*M160)</f>
        <v>0</v>
      </c>
      <c r="M160" s="108">
        <v>1</v>
      </c>
      <c r="N160" s="95">
        <v>1</v>
      </c>
      <c r="O160" s="109">
        <f>IF(Key!D$1="ON",P160,IF(SUM(Q160:DL160)&lt;1,"",SUM(Q160:DL160)/COUNTIF(Q160:DL160,"&gt;0")))</f>
        <v>0</v>
      </c>
      <c r="P160" s="109">
        <f>SUMIFS(Q160:DK160,Q$1:DK$1,Dashboard!$K$31)</f>
        <v>0</v>
      </c>
      <c r="U160" s="95">
        <v>33</v>
      </c>
      <c r="AA160" s="95">
        <v>25</v>
      </c>
      <c r="AH160" s="95">
        <v>75</v>
      </c>
    </row>
    <row r="161" spans="1:34" ht="15.6" x14ac:dyDescent="0.3">
      <c r="A161" s="89" t="str">
        <f>CONCATENATE(D161,".",F161,"-",G161,".",H161,"")</f>
        <v>1.2-2.1</v>
      </c>
      <c r="B161" s="89" t="str">
        <f>IF(CONCATENATE(I161,Key!F$2)=CONCATENATE(INDEX(Dashboard!J:J,MATCH(I161,Dashboard!J:J,0),1),INDEX(Dashboard!J:K,MATCH(I161,Dashboard!J:J,0),2)),"ON",IF(Dashboard!K$32="ALL","ON","-"))</f>
        <v>-</v>
      </c>
      <c r="C161" s="96" t="s">
        <v>110</v>
      </c>
      <c r="D161" s="89">
        <f>IF(C161="ID",1,(IF(C161="PR",2,(IF(C161="DE",3,(IF(C161="RS",4,(IF(C161="RC",5,0)))))))))</f>
        <v>1</v>
      </c>
      <c r="E161" s="89" t="s">
        <v>130</v>
      </c>
      <c r="F161" s="89">
        <f>IF(E161="AM",1,(IF(E161="BE",2,(IF(E161="GV",3,(IF(E161="RA",4,(IF(E161="RM",5,(IF(E161="AC",1,(IF(E161="AT",2,(IF(E161="DS",3,(IF(E161="IP",4,(IF(E161="MA",5,(IF(E161="PT",6,(IF(E161="AE",1,(IF(E161="CM",2,(IF(E161="DP",3,(IF(E161="AN",1,(IF(E161="CO",2,(IF(E161="IM",3,(IF(E161="MI",4,(IF(E161="RP",5,(IF(E161="SC",6,0)))))))))))))))))))))))))))))))))))))))</f>
        <v>2</v>
      </c>
      <c r="G161" s="98">
        <v>2</v>
      </c>
      <c r="H161" s="90" t="s">
        <v>115</v>
      </c>
      <c r="I161" s="93" t="s">
        <v>52</v>
      </c>
      <c r="J161" s="88" t="s">
        <v>3290</v>
      </c>
      <c r="K161" s="103" t="s">
        <v>3291</v>
      </c>
      <c r="L161" s="117">
        <f>IF(O161="","",N161*O161*M161)</f>
        <v>0</v>
      </c>
      <c r="M161" s="108">
        <v>1</v>
      </c>
      <c r="N161" s="95">
        <v>1</v>
      </c>
      <c r="O161" s="109">
        <f>IF(Key!D$1="ON",P161,IF(SUM(Q161:DL161)&lt;1,"",SUM(Q161:DL161)/COUNTIF(Q161:DL161,"&gt;0")))</f>
        <v>0</v>
      </c>
      <c r="P161" s="109">
        <f>SUMIFS(Q161:DK161,Q$1:DK$1,Dashboard!$K$31)</f>
        <v>0</v>
      </c>
      <c r="U161" s="95">
        <v>33</v>
      </c>
      <c r="AA161" s="95">
        <v>25</v>
      </c>
      <c r="AH161" s="95">
        <v>75</v>
      </c>
    </row>
    <row r="162" spans="1:34" ht="15.6" x14ac:dyDescent="0.3">
      <c r="A162" s="89" t="str">
        <f>CONCATENATE(D162,".",F162,"-",G162,".",H162,"")</f>
        <v>1.2-2.1</v>
      </c>
      <c r="B162" s="89" t="str">
        <f>IF(CONCATENATE(I162,Key!F$2)=CONCATENATE(INDEX(Dashboard!J:J,MATCH(I162,Dashboard!J:J,0),1),INDEX(Dashboard!J:K,MATCH(I162,Dashboard!J:J,0),2)),"ON",IF(Dashboard!K$32="ALL","ON","-"))</f>
        <v>-</v>
      </c>
      <c r="C162" s="96" t="s">
        <v>110</v>
      </c>
      <c r="D162" s="89">
        <f>IF(C162="ID",1,(IF(C162="PR",2,(IF(C162="DE",3,(IF(C162="RS",4,(IF(C162="RC",5,0)))))))))</f>
        <v>1</v>
      </c>
      <c r="E162" s="89" t="s">
        <v>130</v>
      </c>
      <c r="F162" s="89">
        <f>IF(E162="AM",1,(IF(E162="BE",2,(IF(E162="GV",3,(IF(E162="RA",4,(IF(E162="RM",5,(IF(E162="AC",1,(IF(E162="AT",2,(IF(E162="DS",3,(IF(E162="IP",4,(IF(E162="MA",5,(IF(E162="PT",6,(IF(E162="AE",1,(IF(E162="CM",2,(IF(E162="DP",3,(IF(E162="AN",1,(IF(E162="CO",2,(IF(E162="IM",3,(IF(E162="MI",4,(IF(E162="RP",5,(IF(E162="SC",6,0)))))))))))))))))))))))))))))))))))))))</f>
        <v>2</v>
      </c>
      <c r="G162" s="98">
        <v>2</v>
      </c>
      <c r="H162" s="90" t="s">
        <v>115</v>
      </c>
      <c r="I162" s="93" t="s">
        <v>52</v>
      </c>
      <c r="J162" s="88" t="s">
        <v>3282</v>
      </c>
      <c r="K162" s="103" t="s">
        <v>3283</v>
      </c>
      <c r="L162" s="117">
        <f>IF(O162="","",N162*O162*M162)</f>
        <v>0</v>
      </c>
      <c r="M162" s="108">
        <v>1</v>
      </c>
      <c r="N162" s="95">
        <v>1</v>
      </c>
      <c r="O162" s="109">
        <f>IF(Key!D$1="ON",P162,IF(SUM(Q162:DL162)&lt;1,"",SUM(Q162:DL162)/COUNTIF(Q162:DL162,"&gt;0")))</f>
        <v>0</v>
      </c>
      <c r="P162" s="109">
        <f>SUMIFS(Q162:DK162,Q$1:DK$1,Dashboard!$K$31)</f>
        <v>0</v>
      </c>
      <c r="U162" s="95">
        <v>33</v>
      </c>
      <c r="AA162" s="95">
        <v>25</v>
      </c>
      <c r="AH162" s="95">
        <v>75</v>
      </c>
    </row>
    <row r="163" spans="1:34" x14ac:dyDescent="0.3">
      <c r="A163" s="89" t="str">
        <f>CONCATENATE(D163,".",F163,"-",G163,".",H163,"")</f>
        <v>1.2-2.1</v>
      </c>
      <c r="B163" s="89" t="str">
        <f>IF(CONCATENATE(I163,Key!F$2)=CONCATENATE(INDEX(Dashboard!J:J,MATCH(I163,Dashboard!J:J,0),1),INDEX(Dashboard!J:K,MATCH(I163,Dashboard!J:J,0),2)),"ON",IF(Dashboard!K$32="ALL","ON","-"))</f>
        <v>-</v>
      </c>
      <c r="C163" s="96" t="s">
        <v>110</v>
      </c>
      <c r="D163" s="89">
        <f>IF(C163="ID",1,(IF(C163="PR",2,(IF(C163="DE",3,(IF(C163="RS",4,(IF(C163="RC",5,0)))))))))</f>
        <v>1</v>
      </c>
      <c r="E163" s="89" t="s">
        <v>130</v>
      </c>
      <c r="F163" s="89">
        <f>IF(E163="AM",1,(IF(E163="BE",2,(IF(E163="GV",3,(IF(E163="RA",4,(IF(E163="RM",5,(IF(E163="AC",1,(IF(E163="AT",2,(IF(E163="DS",3,(IF(E163="IP",4,(IF(E163="MA",5,(IF(E163="PT",6,(IF(E163="AE",1,(IF(E163="CM",2,(IF(E163="DP",3,(IF(E163="AN",1,(IF(E163="CO",2,(IF(E163="IM",3,(IF(E163="MI",4,(IF(E163="RP",5,(IF(E163="SC",6,0)))))))))))))))))))))))))))))))))))))))</f>
        <v>2</v>
      </c>
      <c r="G163" s="98">
        <v>2</v>
      </c>
      <c r="H163" s="90" t="s">
        <v>115</v>
      </c>
      <c r="I163" s="93" t="s">
        <v>52</v>
      </c>
      <c r="J163" s="88" t="s">
        <v>3292</v>
      </c>
      <c r="K163" s="103" t="s">
        <v>3293</v>
      </c>
      <c r="L163" s="117">
        <f>IF(O163="","",N163*O163*M163)</f>
        <v>0</v>
      </c>
      <c r="M163" s="108">
        <v>1</v>
      </c>
      <c r="N163" s="95">
        <v>1</v>
      </c>
      <c r="O163" s="109">
        <f>IF(Key!D$1="ON",P163,IF(SUM(Q163:DL163)&lt;1,"",SUM(Q163:DL163)/COUNTIF(Q163:DL163,"&gt;0")))</f>
        <v>0</v>
      </c>
      <c r="P163" s="109">
        <f>SUMIFS(Q163:DK163,Q$1:DK$1,Dashboard!$K$31)</f>
        <v>0</v>
      </c>
      <c r="U163" s="95">
        <v>33</v>
      </c>
      <c r="AA163" s="95">
        <v>25</v>
      </c>
      <c r="AH163" s="95">
        <v>75</v>
      </c>
    </row>
    <row r="164" spans="1:34" x14ac:dyDescent="0.3">
      <c r="A164" s="89" t="str">
        <f>CONCATENATE(D164,".",F164,"-",G164,".",H164,"")</f>
        <v>1.2-2.1</v>
      </c>
      <c r="B164" s="89" t="str">
        <f>IF(CONCATENATE(I164,Key!F$2)=CONCATENATE(INDEX(Dashboard!J:J,MATCH(I164,Dashboard!J:J,0),1),INDEX(Dashboard!J:K,MATCH(I164,Dashboard!J:J,0),2)),"ON",IF(Dashboard!K$32="ALL","ON","-"))</f>
        <v>-</v>
      </c>
      <c r="C164" s="96" t="s">
        <v>110</v>
      </c>
      <c r="D164" s="89">
        <f>IF(C164="ID",1,(IF(C164="PR",2,(IF(C164="DE",3,(IF(C164="RS",4,(IF(C164="RC",5,0)))))))))</f>
        <v>1</v>
      </c>
      <c r="E164" s="89" t="s">
        <v>130</v>
      </c>
      <c r="F164" s="89">
        <f>IF(E164="AM",1,(IF(E164="BE",2,(IF(E164="GV",3,(IF(E164="RA",4,(IF(E164="RM",5,(IF(E164="AC",1,(IF(E164="AT",2,(IF(E164="DS",3,(IF(E164="IP",4,(IF(E164="MA",5,(IF(E164="PT",6,(IF(E164="AE",1,(IF(E164="CM",2,(IF(E164="DP",3,(IF(E164="AN",1,(IF(E164="CO",2,(IF(E164="IM",3,(IF(E164="MI",4,(IF(E164="RP",5,(IF(E164="SC",6,0)))))))))))))))))))))))))))))))))))))))</f>
        <v>2</v>
      </c>
      <c r="G164" s="98">
        <v>2</v>
      </c>
      <c r="H164" s="90" t="s">
        <v>115</v>
      </c>
      <c r="I164" s="93" t="s">
        <v>52</v>
      </c>
      <c r="J164" s="88" t="s">
        <v>3295</v>
      </c>
      <c r="K164" s="103" t="s">
        <v>3296</v>
      </c>
      <c r="L164" s="117">
        <f>IF(O164="","",N164*O164*M164)</f>
        <v>0</v>
      </c>
      <c r="M164" s="108">
        <v>1</v>
      </c>
      <c r="N164" s="95">
        <v>1</v>
      </c>
      <c r="O164" s="109">
        <f>IF(Key!D$1="ON",P164,IF(SUM(Q164:DL164)&lt;1,"",SUM(Q164:DL164)/COUNTIF(Q164:DL164,"&gt;0")))</f>
        <v>0</v>
      </c>
      <c r="P164" s="109">
        <f>SUMIFS(Q164:DK164,Q$1:DK$1,Dashboard!$K$31)</f>
        <v>0</v>
      </c>
      <c r="U164" s="95">
        <v>33</v>
      </c>
      <c r="AA164" s="95">
        <v>25</v>
      </c>
      <c r="AH164" s="95">
        <v>75</v>
      </c>
    </row>
    <row r="165" spans="1:34" x14ac:dyDescent="0.3">
      <c r="A165" s="89" t="str">
        <f>CONCATENATE(D165,".",F165,"-",G165,".",H165,"")</f>
        <v>1.2-2.1</v>
      </c>
      <c r="B165" s="89" t="str">
        <f>IF(CONCATENATE(I165,Key!F$2)=CONCATENATE(INDEX(Dashboard!J:J,MATCH(I165,Dashboard!J:J,0),1),INDEX(Dashboard!J:K,MATCH(I165,Dashboard!J:J,0),2)),"ON",IF(Dashboard!K$32="ALL","ON","-"))</f>
        <v>-</v>
      </c>
      <c r="C165" s="96" t="s">
        <v>110</v>
      </c>
      <c r="D165" s="89">
        <f>IF(C165="ID",1,(IF(C165="PR",2,(IF(C165="DE",3,(IF(C165="RS",4,(IF(C165="RC",5,0)))))))))</f>
        <v>1</v>
      </c>
      <c r="E165" s="89" t="s">
        <v>130</v>
      </c>
      <c r="F165" s="89">
        <f>IF(E165="AM",1,(IF(E165="BE",2,(IF(E165="GV",3,(IF(E165="RA",4,(IF(E165="RM",5,(IF(E165="AC",1,(IF(E165="AT",2,(IF(E165="DS",3,(IF(E165="IP",4,(IF(E165="MA",5,(IF(E165="PT",6,(IF(E165="AE",1,(IF(E165="CM",2,(IF(E165="DP",3,(IF(E165="AN",1,(IF(E165="CO",2,(IF(E165="IM",3,(IF(E165="MI",4,(IF(E165="RP",5,(IF(E165="SC",6,0)))))))))))))))))))))))))))))))))))))))</f>
        <v>2</v>
      </c>
      <c r="G165" s="98">
        <v>2</v>
      </c>
      <c r="H165" s="90" t="s">
        <v>115</v>
      </c>
      <c r="I165" s="93" t="s">
        <v>52</v>
      </c>
      <c r="J165" s="88" t="s">
        <v>3297</v>
      </c>
      <c r="K165" s="103" t="s">
        <v>3298</v>
      </c>
      <c r="L165" s="117">
        <f>IF(O165="","",N165*O165*M165)</f>
        <v>0</v>
      </c>
      <c r="M165" s="108">
        <v>1</v>
      </c>
      <c r="N165" s="95">
        <v>1</v>
      </c>
      <c r="O165" s="109">
        <f>IF(Key!D$1="ON",P165,IF(SUM(Q165:DL165)&lt;1,"",SUM(Q165:DL165)/COUNTIF(Q165:DL165,"&gt;0")))</f>
        <v>0</v>
      </c>
      <c r="P165" s="109">
        <f>SUMIFS(Q165:DK165,Q$1:DK$1,Dashboard!$K$31)</f>
        <v>0</v>
      </c>
      <c r="U165" s="95">
        <v>33</v>
      </c>
      <c r="AA165" s="95">
        <v>25</v>
      </c>
      <c r="AH165" s="95">
        <v>75</v>
      </c>
    </row>
    <row r="166" spans="1:34" x14ac:dyDescent="0.3">
      <c r="A166" s="89" t="str">
        <f>CONCATENATE(D166,".",F166,"-",G166,".",H166,"")</f>
        <v>1.2-2.1</v>
      </c>
      <c r="B166" s="89" t="str">
        <f>IF(CONCATENATE(I166,Key!F$2)=CONCATENATE(INDEX(Dashboard!J:J,MATCH(I166,Dashboard!J:J,0),1),INDEX(Dashboard!J:K,MATCH(I166,Dashboard!J:J,0),2)),"ON",IF(Dashboard!K$32="ALL","ON","-"))</f>
        <v>-</v>
      </c>
      <c r="C166" s="88" t="s">
        <v>110</v>
      </c>
      <c r="D166" s="89">
        <f>IF(C166="ID",1,(IF(C166="PR",2,(IF(C166="DE",3,(IF(C166="RS",4,(IF(C166="RC",5,0)))))))))</f>
        <v>1</v>
      </c>
      <c r="E166" s="89" t="s">
        <v>130</v>
      </c>
      <c r="F166" s="89">
        <f>IF(E166="AM",1,(IF(E166="BE",2,(IF(E166="GV",3,(IF(E166="RA",4,(IF(E166="RM",5,(IF(E166="AC",1,(IF(E166="AT",2,(IF(E166="DS",3,(IF(E166="IP",4,(IF(E166="MA",5,(IF(E166="PT",6,(IF(E166="AE",1,(IF(E166="CM",2,(IF(E166="DP",3,(IF(E166="AN",1,(IF(E166="CO",2,(IF(E166="IM",3,(IF(E166="MI",4,(IF(E166="RP",5,(IF(E166="SC",6,0)))))))))))))))))))))))))))))))))))))))</f>
        <v>2</v>
      </c>
      <c r="G166" s="52">
        <v>2</v>
      </c>
      <c r="H166" s="90" t="s">
        <v>115</v>
      </c>
      <c r="I166" s="93" t="s">
        <v>64</v>
      </c>
      <c r="J166" s="87" t="s">
        <v>951</v>
      </c>
      <c r="K166" s="102" t="s">
        <v>2035</v>
      </c>
      <c r="L166" s="117">
        <f>IF(O166="","",N166*O166*M166)</f>
        <v>0</v>
      </c>
      <c r="M166" s="108">
        <v>1</v>
      </c>
      <c r="N166" s="95">
        <v>1</v>
      </c>
      <c r="O166" s="109">
        <f>IF(Key!D$1="ON",P166,IF(SUM(Q166:DL166)&lt;1,"",SUM(Q166:DL166)/COUNTIF(Q166:DL166,"&gt;0")))</f>
        <v>0</v>
      </c>
      <c r="P166" s="109">
        <f>SUMIFS(Q166:DK166,Q$1:DK$1,Dashboard!$K$31)</f>
        <v>0</v>
      </c>
      <c r="U166" s="95">
        <v>33</v>
      </c>
      <c r="AA166" s="95">
        <v>25</v>
      </c>
      <c r="AH166" s="95">
        <v>75</v>
      </c>
    </row>
    <row r="167" spans="1:34" x14ac:dyDescent="0.3">
      <c r="A167" s="89" t="str">
        <f>CONCATENATE(D167,".",F167,"-",G167,".",H167,"")</f>
        <v>1.2-2.1</v>
      </c>
      <c r="B167" s="89" t="str">
        <f>IF(CONCATENATE(I167,Key!F$2)=CONCATENATE(INDEX(Dashboard!J:J,MATCH(I167,Dashboard!J:J,0),1),INDEX(Dashboard!J:K,MATCH(I167,Dashboard!J:J,0),2)),"ON",IF(Dashboard!K$32="ALL","ON","-"))</f>
        <v>-</v>
      </c>
      <c r="C167" s="88" t="s">
        <v>110</v>
      </c>
      <c r="D167" s="89">
        <f>IF(C167="ID",1,(IF(C167="PR",2,(IF(C167="DE",3,(IF(C167="RS",4,(IF(C167="RC",5,0)))))))))</f>
        <v>1</v>
      </c>
      <c r="E167" s="89" t="s">
        <v>130</v>
      </c>
      <c r="F167" s="89">
        <f>IF(E167="AM",1,(IF(E167="BE",2,(IF(E167="GV",3,(IF(E167="RA",4,(IF(E167="RM",5,(IF(E167="AC",1,(IF(E167="AT",2,(IF(E167="DS",3,(IF(E167="IP",4,(IF(E167="MA",5,(IF(E167="PT",6,(IF(E167="AE",1,(IF(E167="CM",2,(IF(E167="DP",3,(IF(E167="AN",1,(IF(E167="CO",2,(IF(E167="IM",3,(IF(E167="MI",4,(IF(E167="RP",5,(IF(E167="SC",6,0)))))))))))))))))))))))))))))))))))))))</f>
        <v>2</v>
      </c>
      <c r="G167" s="52">
        <v>2</v>
      </c>
      <c r="H167" s="90" t="s">
        <v>115</v>
      </c>
      <c r="I167" s="93" t="s">
        <v>77</v>
      </c>
      <c r="J167" s="87" t="s">
        <v>951</v>
      </c>
      <c r="K167" s="102" t="s">
        <v>2035</v>
      </c>
      <c r="L167" s="117">
        <f>IF(O167="","",N167*O167*M167)</f>
        <v>0</v>
      </c>
      <c r="M167" s="108">
        <v>1</v>
      </c>
      <c r="N167" s="95">
        <v>1</v>
      </c>
      <c r="O167" s="109">
        <f>IF(Key!D$1="ON",P167,IF(SUM(Q167:DL167)&lt;1,"",SUM(Q167:DL167)/COUNTIF(Q167:DL167,"&gt;0")))</f>
        <v>0</v>
      </c>
      <c r="P167" s="109">
        <f>SUMIFS(Q167:DK167,Q$1:DK$1,Dashboard!$K$31)</f>
        <v>0</v>
      </c>
      <c r="U167" s="95">
        <v>33</v>
      </c>
      <c r="AA167" s="95">
        <v>25</v>
      </c>
      <c r="AH167" s="95">
        <v>75</v>
      </c>
    </row>
    <row r="168" spans="1:34" x14ac:dyDescent="0.3">
      <c r="A168" s="89" t="str">
        <f>CONCATENATE(D168,".",F168,"-",G168,".",H168,"")</f>
        <v>1.2-2.1</v>
      </c>
      <c r="B168" s="89" t="str">
        <f>IF(CONCATENATE(I168,Key!F$2)=CONCATENATE(INDEX(Dashboard!J:J,MATCH(I168,Dashboard!J:J,0),1),INDEX(Dashboard!J:K,MATCH(I168,Dashboard!J:J,0),2)),"ON",IF(Dashboard!K$32="ALL","ON","-"))</f>
        <v>-</v>
      </c>
      <c r="C168" s="96" t="s">
        <v>110</v>
      </c>
      <c r="D168" s="89">
        <f>IF(C168="ID",1,(IF(C168="PR",2,(IF(C168="DE",3,(IF(C168="RS",4,(IF(C168="RC",5,0)))))))))</f>
        <v>1</v>
      </c>
      <c r="E168" s="89" t="s">
        <v>130</v>
      </c>
      <c r="F168" s="89">
        <f>IF(E168="AM",1,(IF(E168="BE",2,(IF(E168="GV",3,(IF(E168="RA",4,(IF(E168="RM",5,(IF(E168="AC",1,(IF(E168="AT",2,(IF(E168="DS",3,(IF(E168="IP",4,(IF(E168="MA",5,(IF(E168="PT",6,(IF(E168="AE",1,(IF(E168="CM",2,(IF(E168="DP",3,(IF(E168="AN",1,(IF(E168="CO",2,(IF(E168="IM",3,(IF(E168="MI",4,(IF(E168="RP",5,(IF(E168="SC",6,0)))))))))))))))))))))))))))))))))))))))</f>
        <v>2</v>
      </c>
      <c r="G168" s="98">
        <v>2</v>
      </c>
      <c r="H168" s="90" t="s">
        <v>115</v>
      </c>
      <c r="I168" s="93" t="s">
        <v>77</v>
      </c>
      <c r="J168" s="87" t="s">
        <v>952</v>
      </c>
      <c r="K168" s="102" t="s">
        <v>2036</v>
      </c>
      <c r="L168" s="117">
        <f>IF(O168="","",N168*O168*M168)</f>
        <v>0</v>
      </c>
      <c r="M168" s="108">
        <v>1</v>
      </c>
      <c r="N168" s="95">
        <v>1</v>
      </c>
      <c r="O168" s="109">
        <f>IF(Key!D$1="ON",P168,IF(SUM(Q168:DL168)&lt;1,"",SUM(Q168:DL168)/COUNTIF(Q168:DL168,"&gt;0")))</f>
        <v>0</v>
      </c>
      <c r="P168" s="109">
        <f>SUMIFS(Q168:DK168,Q$1:DK$1,Dashboard!$K$31)</f>
        <v>0</v>
      </c>
      <c r="U168" s="95">
        <v>33</v>
      </c>
      <c r="AA168" s="95">
        <v>25</v>
      </c>
      <c r="AH168" s="95">
        <v>75</v>
      </c>
    </row>
    <row r="169" spans="1:34" x14ac:dyDescent="0.3">
      <c r="A169" s="89" t="str">
        <f>CONCATENATE(D169,".",F169,"-",G169,".",H169,"")</f>
        <v>1.2-2.1</v>
      </c>
      <c r="B169" s="89" t="str">
        <f>IF(CONCATENATE(I169,Key!F$2)=CONCATENATE(INDEX(Dashboard!J:J,MATCH(I169,Dashboard!J:J,0),1),INDEX(Dashboard!J:K,MATCH(I169,Dashboard!J:J,0),2)),"ON",IF(Dashboard!K$32="ALL","ON","-"))</f>
        <v>-</v>
      </c>
      <c r="C169" s="96" t="s">
        <v>110</v>
      </c>
      <c r="D169" s="89">
        <f>IF(C169="ID",1,(IF(C169="PR",2,(IF(C169="DE",3,(IF(C169="RS",4,(IF(C169="RC",5,0)))))))))</f>
        <v>1</v>
      </c>
      <c r="E169" s="89" t="s">
        <v>130</v>
      </c>
      <c r="F169" s="89">
        <f>IF(E169="AM",1,(IF(E169="BE",2,(IF(E169="GV",3,(IF(E169="RA",4,(IF(E169="RM",5,(IF(E169="AC",1,(IF(E169="AT",2,(IF(E169="DS",3,(IF(E169="IP",4,(IF(E169="MA",5,(IF(E169="PT",6,(IF(E169="AE",1,(IF(E169="CM",2,(IF(E169="DP",3,(IF(E169="AN",1,(IF(E169="CO",2,(IF(E169="IM",3,(IF(E169="MI",4,(IF(E169="RP",5,(IF(E169="SC",6,0)))))))))))))))))))))))))))))))))))))))</f>
        <v>2</v>
      </c>
      <c r="G169" s="98">
        <v>2</v>
      </c>
      <c r="H169" s="90" t="s">
        <v>115</v>
      </c>
      <c r="I169" s="93" t="s">
        <v>77</v>
      </c>
      <c r="J169" s="87" t="s">
        <v>954</v>
      </c>
      <c r="K169" s="102" t="s">
        <v>2037</v>
      </c>
      <c r="L169" s="117">
        <f>IF(O169="","",N169*O169*M169)</f>
        <v>0</v>
      </c>
      <c r="M169" s="108">
        <v>1</v>
      </c>
      <c r="N169" s="95">
        <v>1</v>
      </c>
      <c r="O169" s="109">
        <f>IF(Key!D$1="ON",P169,IF(SUM(Q169:DL169)&lt;1,"",SUM(Q169:DL169)/COUNTIF(Q169:DL169,"&gt;0")))</f>
        <v>0</v>
      </c>
      <c r="P169" s="109">
        <f>SUMIFS(Q169:DK169,Q$1:DK$1,Dashboard!$K$31)</f>
        <v>0</v>
      </c>
      <c r="U169" s="95">
        <v>33</v>
      </c>
      <c r="AA169" s="95">
        <v>25</v>
      </c>
      <c r="AH169" s="95">
        <v>75</v>
      </c>
    </row>
    <row r="170" spans="1:34" ht="15.6" x14ac:dyDescent="0.3">
      <c r="A170" s="89" t="str">
        <f>CONCATENATE(D170,".",F170,"-",G170,".",H170,"")</f>
        <v>1.2-2.1</v>
      </c>
      <c r="B170" s="89" t="str">
        <f>IF(CONCATENATE(I170,Key!F$2)=CONCATENATE(INDEX(Dashboard!J:J,MATCH(I170,Dashboard!J:J,0),1),INDEX(Dashboard!J:K,MATCH(I170,Dashboard!J:J,0),2)),"ON",IF(Dashboard!K$32="ALL","ON","-"))</f>
        <v>-</v>
      </c>
      <c r="C170" s="88" t="s">
        <v>110</v>
      </c>
      <c r="D170" s="89">
        <f>IF(C170="ID",1,(IF(C170="PR",2,(IF(C170="DE",3,(IF(C170="RS",4,(IF(C170="RC",5,0)))))))))</f>
        <v>1</v>
      </c>
      <c r="E170" s="89" t="s">
        <v>130</v>
      </c>
      <c r="F170" s="89">
        <f>IF(E170="AM",1,(IF(E170="BE",2,(IF(E170="GV",3,(IF(E170="RA",4,(IF(E170="RM",5,(IF(E170="AC",1,(IF(E170="AT",2,(IF(E170="DS",3,(IF(E170="IP",4,(IF(E170="MA",5,(IF(E170="PT",6,(IF(E170="AE",1,(IF(E170="CM",2,(IF(E170="DP",3,(IF(E170="AN",1,(IF(E170="CO",2,(IF(E170="IM",3,(IF(E170="MI",4,(IF(E170="RP",5,(IF(E170="SC",6,0)))))))))))))))))))))))))))))))))))))))</f>
        <v>2</v>
      </c>
      <c r="G170" s="52">
        <v>2</v>
      </c>
      <c r="H170" s="90" t="s">
        <v>115</v>
      </c>
      <c r="I170" s="93" t="s">
        <v>85</v>
      </c>
      <c r="J170" s="87" t="s">
        <v>951</v>
      </c>
      <c r="K170" s="119" t="s">
        <v>4714</v>
      </c>
      <c r="L170" s="117">
        <f>IF(O170="","",N170*O170*M170)</f>
        <v>0</v>
      </c>
      <c r="M170" s="108">
        <v>1</v>
      </c>
      <c r="N170" s="95">
        <v>1</v>
      </c>
      <c r="O170" s="109">
        <f>IF(Key!D$1="ON",P170,IF(SUM(Q170:DL170)&lt;1,"",SUM(Q170:DL170)/COUNTIF(Q170:DL170,"&gt;0")))</f>
        <v>0</v>
      </c>
      <c r="P170" s="109">
        <f>SUMIFS(Q170:DK170,Q$1:DK$1,Dashboard!$K$31)</f>
        <v>0</v>
      </c>
      <c r="U170" s="95">
        <v>33</v>
      </c>
      <c r="AA170" s="95">
        <v>25</v>
      </c>
      <c r="AH170" s="95">
        <v>75</v>
      </c>
    </row>
    <row r="171" spans="1:34" x14ac:dyDescent="0.3">
      <c r="A171" s="89" t="str">
        <f>CONCATENATE(D171,".",F171,"-",G171,".",H171,"")</f>
        <v>1.2-2.1</v>
      </c>
      <c r="B171" s="89" t="str">
        <f>IF(CONCATENATE(I171,Key!F$2)=CONCATENATE(INDEX(Dashboard!J:J,MATCH(I171,Dashboard!J:J,0),1),INDEX(Dashboard!J:K,MATCH(I171,Dashboard!J:J,0),2)),"ON",IF(Dashboard!K$32="ALL","ON","-"))</f>
        <v>-</v>
      </c>
      <c r="C171" s="96" t="s">
        <v>110</v>
      </c>
      <c r="D171" s="89">
        <f>IF(C171="ID",1,(IF(C171="PR",2,(IF(C171="DE",3,(IF(C171="RS",4,(IF(C171="RC",5,0)))))))))</f>
        <v>1</v>
      </c>
      <c r="E171" s="89" t="s">
        <v>130</v>
      </c>
      <c r="F171" s="89">
        <f>IF(E171="AM",1,(IF(E171="BE",2,(IF(E171="GV",3,(IF(E171="RA",4,(IF(E171="RM",5,(IF(E171="AC",1,(IF(E171="AT",2,(IF(E171="DS",3,(IF(E171="IP",4,(IF(E171="MA",5,(IF(E171="PT",6,(IF(E171="AE",1,(IF(E171="CM",2,(IF(E171="DP",3,(IF(E171="AN",1,(IF(E171="CO",2,(IF(E171="IM",3,(IF(E171="MI",4,(IF(E171="RP",5,(IF(E171="SC",6,0)))))))))))))))))))))))))))))))))))))))</f>
        <v>2</v>
      </c>
      <c r="G171" s="98">
        <v>2</v>
      </c>
      <c r="H171" s="90" t="s">
        <v>115</v>
      </c>
      <c r="I171" s="93" t="s">
        <v>85</v>
      </c>
      <c r="J171" s="87" t="s">
        <v>954</v>
      </c>
      <c r="K171" s="119" t="s">
        <v>955</v>
      </c>
      <c r="L171" s="117">
        <f>IF(O171="","",N171*O171*M171)</f>
        <v>0</v>
      </c>
      <c r="M171" s="108">
        <v>1</v>
      </c>
      <c r="N171" s="95">
        <v>1</v>
      </c>
      <c r="O171" s="109">
        <f>IF(Key!D$1="ON",P171,IF(SUM(Q171:DL171)&lt;1,"",SUM(Q171:DL171)/COUNTIF(Q171:DL171,"&gt;0")))</f>
        <v>0</v>
      </c>
      <c r="P171" s="109">
        <f>SUMIFS(Q171:DK171,Q$1:DK$1,Dashboard!$K$31)</f>
        <v>0</v>
      </c>
      <c r="U171" s="95">
        <v>33</v>
      </c>
      <c r="AA171" s="95">
        <v>25</v>
      </c>
      <c r="AH171" s="95">
        <v>75</v>
      </c>
    </row>
    <row r="172" spans="1:34" x14ac:dyDescent="0.3">
      <c r="A172" s="89" t="str">
        <f>CONCATENATE(D172,".",F172,"-",G172,".",H172,"")</f>
        <v>1.2-2.1</v>
      </c>
      <c r="B172" s="89" t="str">
        <f>IF(CONCATENATE(I172,Key!F$2)=CONCATENATE(INDEX(Dashboard!J:J,MATCH(I172,Dashboard!J:J,0),1),INDEX(Dashboard!J:K,MATCH(I172,Dashboard!J:J,0),2)),"ON",IF(Dashboard!K$32="ALL","ON","-"))</f>
        <v>-</v>
      </c>
      <c r="C172" s="96" t="s">
        <v>110</v>
      </c>
      <c r="D172" s="89">
        <f>IF(C172="ID",1,(IF(C172="PR",2,(IF(C172="DE",3,(IF(C172="RS",4,(IF(C172="RC",5,0)))))))))</f>
        <v>1</v>
      </c>
      <c r="E172" s="89" t="s">
        <v>130</v>
      </c>
      <c r="F172" s="89">
        <f>IF(E172="AM",1,(IF(E172="BE",2,(IF(E172="GV",3,(IF(E172="RA",4,(IF(E172="RM",5,(IF(E172="AC",1,(IF(E172="AT",2,(IF(E172="DS",3,(IF(E172="IP",4,(IF(E172="MA",5,(IF(E172="PT",6,(IF(E172="AE",1,(IF(E172="CM",2,(IF(E172="DP",3,(IF(E172="AN",1,(IF(E172="CO",2,(IF(E172="IM",3,(IF(E172="MI",4,(IF(E172="RP",5,(IF(E172="SC",6,0)))))))))))))))))))))))))))))))))))))))</f>
        <v>2</v>
      </c>
      <c r="G172" s="98">
        <v>2</v>
      </c>
      <c r="H172" s="90" t="s">
        <v>115</v>
      </c>
      <c r="I172" s="93" t="s">
        <v>85</v>
      </c>
      <c r="J172" s="87" t="s">
        <v>952</v>
      </c>
      <c r="K172" s="119" t="s">
        <v>953</v>
      </c>
      <c r="L172" s="117">
        <f>IF(O172="","",N172*O172*M172)</f>
        <v>0</v>
      </c>
      <c r="M172" s="108">
        <v>1</v>
      </c>
      <c r="N172" s="95">
        <v>1</v>
      </c>
      <c r="O172" s="109">
        <f>IF(Key!D$1="ON",P172,IF(SUM(Q172:DL172)&lt;1,"",SUM(Q172:DL172)/COUNTIF(Q172:DL172,"&gt;0")))</f>
        <v>0</v>
      </c>
      <c r="P172" s="109">
        <f>SUMIFS(Q172:DK172,Q$1:DK$1,Dashboard!$K$31)</f>
        <v>0</v>
      </c>
      <c r="U172" s="95">
        <v>33</v>
      </c>
      <c r="AA172" s="95">
        <v>25</v>
      </c>
      <c r="AH172" s="95">
        <v>75</v>
      </c>
    </row>
    <row r="173" spans="1:34" x14ac:dyDescent="0.3">
      <c r="A173" s="89" t="str">
        <f>CONCATENATE(D173,".",F173,"-",G173,".",H173,"")</f>
        <v>1.2-2.1</v>
      </c>
      <c r="B173" s="89" t="str">
        <f>IF(CONCATENATE(I173,Key!F$2)=CONCATENATE(INDEX(Dashboard!J:J,MATCH(I173,Dashboard!J:J,0),1),INDEX(Dashboard!J:K,MATCH(I173,Dashboard!J:J,0),2)),"ON",IF(Dashboard!K$32="ALL","ON","-"))</f>
        <v>-</v>
      </c>
      <c r="C173" s="96" t="s">
        <v>110</v>
      </c>
      <c r="D173" s="89">
        <f>IF(C173="ID",1,(IF(C173="PR",2,(IF(C173="DE",3,(IF(C173="RS",4,(IF(C173="RC",5,0)))))))))</f>
        <v>1</v>
      </c>
      <c r="E173" s="89" t="s">
        <v>130</v>
      </c>
      <c r="F173" s="89">
        <f>IF(E173="AM",1,(IF(E173="BE",2,(IF(E173="GV",3,(IF(E173="RA",4,(IF(E173="RM",5,(IF(E173="AC",1,(IF(E173="AT",2,(IF(E173="DS",3,(IF(E173="IP",4,(IF(E173="MA",5,(IF(E173="PT",6,(IF(E173="AE",1,(IF(E173="CM",2,(IF(E173="DP",3,(IF(E173="AN",1,(IF(E173="CO",2,(IF(E173="IM",3,(IF(E173="MI",4,(IF(E173="RP",5,(IF(E173="SC",6,0)))))))))))))))))))))))))))))))))))))))</f>
        <v>2</v>
      </c>
      <c r="G173" s="52">
        <v>2</v>
      </c>
      <c r="H173" s="90" t="s">
        <v>115</v>
      </c>
      <c r="I173" s="93" t="s">
        <v>89</v>
      </c>
      <c r="J173" s="88">
        <v>500.02</v>
      </c>
      <c r="K173" s="102" t="s">
        <v>348</v>
      </c>
      <c r="L173" s="117">
        <f>IF(O173="","",N173*O173*M173)</f>
        <v>0</v>
      </c>
      <c r="M173" s="108">
        <v>1</v>
      </c>
      <c r="N173" s="95">
        <v>1</v>
      </c>
      <c r="O173" s="109">
        <f>IF(Key!D$1="ON",P173,IF(SUM(Q173:DL173)&lt;1,"",SUM(Q173:DL173)/COUNTIF(Q173:DL173,"&gt;0")))</f>
        <v>0</v>
      </c>
      <c r="P173" s="109">
        <f>SUMIFS(Q173:DK173,Q$1:DK$1,Dashboard!$K$31)</f>
        <v>0</v>
      </c>
      <c r="U173" s="95">
        <v>33</v>
      </c>
      <c r="AA173" s="95">
        <v>25</v>
      </c>
      <c r="AH173" s="95">
        <v>75</v>
      </c>
    </row>
    <row r="174" spans="1:34" ht="15.6" x14ac:dyDescent="0.3">
      <c r="A174" s="89" t="str">
        <f>CONCATENATE(D174,".",F174,"-",G174,".",H174,"")</f>
        <v>1.2-2.1</v>
      </c>
      <c r="B174" s="89" t="str">
        <f>IF(CONCATENATE(I174,Key!F$2)=CONCATENATE(INDEX(Dashboard!J:J,MATCH(I174,Dashboard!J:J,0),1),INDEX(Dashboard!J:K,MATCH(I174,Dashboard!J:J,0),2)),"ON",IF(Dashboard!K$32="ALL","ON","-"))</f>
        <v>-</v>
      </c>
      <c r="C174" s="96" t="s">
        <v>110</v>
      </c>
      <c r="D174" s="89">
        <f>IF(C174="ID",1,(IF(C174="PR",2,(IF(C174="DE",3,(IF(C174="RS",4,(IF(C174="RC",5,0)))))))))</f>
        <v>1</v>
      </c>
      <c r="E174" s="89" t="s">
        <v>130</v>
      </c>
      <c r="F174" s="89">
        <f>IF(E174="AM",1,(IF(E174="BE",2,(IF(E174="GV",3,(IF(E174="RA",4,(IF(E174="RM",5,(IF(E174="AC",1,(IF(E174="AT",2,(IF(E174="DS",3,(IF(E174="IP",4,(IF(E174="MA",5,(IF(E174="PT",6,(IF(E174="AE",1,(IF(E174="CM",2,(IF(E174="DP",3,(IF(E174="AN",1,(IF(E174="CO",2,(IF(E174="IM",3,(IF(E174="MI",4,(IF(E174="RP",5,(IF(E174="SC",6,0)))))))))))))))))))))))))))))))))))))))</f>
        <v>2</v>
      </c>
      <c r="G174" s="52">
        <v>2</v>
      </c>
      <c r="H174" s="90" t="s">
        <v>115</v>
      </c>
      <c r="I174" s="93" t="s">
        <v>89</v>
      </c>
      <c r="J174" s="88" t="s">
        <v>349</v>
      </c>
      <c r="K174" s="102" t="s">
        <v>350</v>
      </c>
      <c r="L174" s="117">
        <f>IF(O174="","",N174*O174*M174)</f>
        <v>0</v>
      </c>
      <c r="M174" s="108">
        <v>1</v>
      </c>
      <c r="N174" s="95">
        <v>1</v>
      </c>
      <c r="O174" s="109">
        <f>IF(Key!D$1="ON",P174,IF(SUM(Q174:DL174)&lt;1,"",SUM(Q174:DL174)/COUNTIF(Q174:DL174,"&gt;0")))</f>
        <v>0</v>
      </c>
      <c r="P174" s="109">
        <f>SUMIFS(Q174:DK174,Q$1:DK$1,Dashboard!$K$31)</f>
        <v>0</v>
      </c>
      <c r="U174" s="95">
        <v>33</v>
      </c>
      <c r="AA174" s="95">
        <v>25</v>
      </c>
      <c r="AH174" s="95">
        <v>75</v>
      </c>
    </row>
    <row r="175" spans="1:34" x14ac:dyDescent="0.3">
      <c r="A175" s="89" t="str">
        <f>CONCATENATE(D175,".",F175,"-",G175,".",H175,"")</f>
        <v>1.2-2.1</v>
      </c>
      <c r="B175" s="89" t="str">
        <f>IF(CONCATENATE(I175,Key!F$2)=CONCATENATE(INDEX(Dashboard!J:J,MATCH(I175,Dashboard!J:J,0),1),INDEX(Dashboard!J:K,MATCH(I175,Dashboard!J:J,0),2)),"ON",IF(Dashboard!K$32="ALL","ON","-"))</f>
        <v>-</v>
      </c>
      <c r="C175" s="96" t="s">
        <v>110</v>
      </c>
      <c r="D175" s="89">
        <f>IF(C175="ID",1,(IF(C175="PR",2,(IF(C175="DE",3,(IF(C175="RS",4,(IF(C175="RC",5,0)))))))))</f>
        <v>1</v>
      </c>
      <c r="E175" s="89" t="s">
        <v>130</v>
      </c>
      <c r="F175" s="89">
        <f>IF(E175="AM",1,(IF(E175="BE",2,(IF(E175="GV",3,(IF(E175="RA",4,(IF(E175="RM",5,(IF(E175="AC",1,(IF(E175="AT",2,(IF(E175="DS",3,(IF(E175="IP",4,(IF(E175="MA",5,(IF(E175="PT",6,(IF(E175="AE",1,(IF(E175="CM",2,(IF(E175="DP",3,(IF(E175="AN",1,(IF(E175="CO",2,(IF(E175="IM",3,(IF(E175="MI",4,(IF(E175="RP",5,(IF(E175="SC",6,0)))))))))))))))))))))))))))))))))))))))</f>
        <v>2</v>
      </c>
      <c r="G175" s="52">
        <v>2</v>
      </c>
      <c r="H175" s="90" t="s">
        <v>115</v>
      </c>
      <c r="I175" s="93" t="s">
        <v>92</v>
      </c>
      <c r="J175" s="88" t="s">
        <v>131</v>
      </c>
      <c r="K175" s="102" t="s">
        <v>5226</v>
      </c>
      <c r="L175" s="117">
        <f>IF(O175="","",N175*O175*M175)</f>
        <v>0</v>
      </c>
      <c r="M175" s="108">
        <v>1</v>
      </c>
      <c r="N175" s="95">
        <v>1</v>
      </c>
      <c r="O175" s="109">
        <f>IF(Key!D$1="ON",P175,IF(SUM(Q175:DL175)&lt;1,"",SUM(Q175:DL175)/COUNTIF(Q175:DL175,"&gt;0")))</f>
        <v>0</v>
      </c>
      <c r="P175" s="109">
        <f>SUMIFS(Q175:DK175,Q$1:DK$1,Dashboard!$K$31)</f>
        <v>0</v>
      </c>
      <c r="U175" s="95">
        <v>33</v>
      </c>
      <c r="AA175" s="95">
        <v>25</v>
      </c>
      <c r="AH175" s="95">
        <v>75</v>
      </c>
    </row>
    <row r="176" spans="1:34" ht="15.6" x14ac:dyDescent="0.3">
      <c r="A176" s="89" t="str">
        <f>CONCATENATE(D176,".",F176,"-",G176,".",H176,"")</f>
        <v>1.2-3.0</v>
      </c>
      <c r="B176" s="89" t="str">
        <f>IF(CONCATENATE(I176,Key!F$2)=CONCATENATE(INDEX(Dashboard!J:J,MATCH(I176,Dashboard!J:J,0),1),INDEX(Dashboard!J:K,MATCH(I176,Dashboard!J:J,0),2)),"ON",IF(Dashboard!K$32="ALL","ON","-"))</f>
        <v>-</v>
      </c>
      <c r="C176" s="96" t="s">
        <v>110</v>
      </c>
      <c r="D176" s="89">
        <f>IF(C176="ID",1,(IF(C176="PR",2,(IF(C176="DE",3,(IF(C176="RS",4,(IF(C176="RC",5,0)))))))))</f>
        <v>1</v>
      </c>
      <c r="E176" s="89" t="s">
        <v>130</v>
      </c>
      <c r="F176" s="89">
        <f>IF(E176="AM",1,(IF(E176="BE",2,(IF(E176="GV",3,(IF(E176="RA",4,(IF(E176="RM",5,(IF(E176="AC",1,(IF(E176="AT",2,(IF(E176="DS",3,(IF(E176="IP",4,(IF(E176="MA",5,(IF(E176="PT",6,(IF(E176="AE",1,(IF(E176="CM",2,(IF(E176="DP",3,(IF(E176="AN",1,(IF(E176="CO",2,(IF(E176="IM",3,(IF(E176="MI",4,(IF(E176="RP",5,(IF(E176="SC",6,0)))))))))))))))))))))))))))))))))))))))</f>
        <v>2</v>
      </c>
      <c r="G176" s="52">
        <v>3</v>
      </c>
      <c r="H176" s="90" t="s">
        <v>347</v>
      </c>
      <c r="I176" s="93" t="s">
        <v>2835</v>
      </c>
      <c r="J176" s="53" t="s">
        <v>2858</v>
      </c>
      <c r="K176" s="152" t="s">
        <v>2859</v>
      </c>
      <c r="L176" s="117">
        <f>IF(O176="","",N176*O176*M176)</f>
        <v>0</v>
      </c>
      <c r="M176" s="108">
        <v>1</v>
      </c>
      <c r="N176" s="95">
        <v>1</v>
      </c>
      <c r="O176" s="109">
        <f>IF(Key!D$1="ON",P176,IF(SUM(Q176:DL176)&lt;1,"",SUM(Q176:DL176)/COUNTIF(Q176:DL176,"&gt;0")))</f>
        <v>0</v>
      </c>
      <c r="P176" s="109">
        <f>SUMIFS(Q176:DK176,Q$1:DK$1,Dashboard!$K$31)</f>
        <v>0</v>
      </c>
      <c r="U176" s="95">
        <v>33</v>
      </c>
    </row>
    <row r="177" spans="1:34" x14ac:dyDescent="0.3">
      <c r="A177" s="89" t="str">
        <f>CONCATENATE(D177,".",F177,"-",G177,".",H177,"")</f>
        <v>1.2-3.1</v>
      </c>
      <c r="B177" s="89" t="str">
        <f>IF(CONCATENATE(I177,Key!F$2)=CONCATENATE(INDEX(Dashboard!J:J,MATCH(I177,Dashboard!J:J,0),1),INDEX(Dashboard!J:K,MATCH(I177,Dashboard!J:J,0),2)),"ON",IF(Dashboard!K$32="ALL","ON","-"))</f>
        <v>-</v>
      </c>
      <c r="C177" s="96" t="s">
        <v>110</v>
      </c>
      <c r="D177" s="89">
        <f>IF(C177="ID",1,(IF(C177="PR",2,(IF(C177="DE",3,(IF(C177="RS",4,(IF(C177="RC",5,0)))))))))</f>
        <v>1</v>
      </c>
      <c r="E177" s="89" t="s">
        <v>130</v>
      </c>
      <c r="F177" s="89">
        <f>IF(E177="AM",1,(IF(E177="BE",2,(IF(E177="GV",3,(IF(E177="RA",4,(IF(E177="RM",5,(IF(E177="AC",1,(IF(E177="AT",2,(IF(E177="DS",3,(IF(E177="IP",4,(IF(E177="MA",5,(IF(E177="PT",6,(IF(E177="AE",1,(IF(E177="CM",2,(IF(E177="DP",3,(IF(E177="AN",1,(IF(E177="CO",2,(IF(E177="IM",3,(IF(E177="MI",4,(IF(E177="RP",5,(IF(E177="SC",6,0)))))))))))))))))))))))))))))))))))))))</f>
        <v>2</v>
      </c>
      <c r="G177" s="98">
        <v>3</v>
      </c>
      <c r="H177" s="90" t="s">
        <v>115</v>
      </c>
      <c r="I177" s="93" t="s">
        <v>52</v>
      </c>
      <c r="J177" s="88" t="s">
        <v>3299</v>
      </c>
      <c r="K177" s="103" t="s">
        <v>3300</v>
      </c>
      <c r="L177" s="117">
        <f>IF(O177="","",N177*O177*M177)</f>
        <v>0</v>
      </c>
      <c r="M177" s="108">
        <v>1</v>
      </c>
      <c r="N177" s="95">
        <v>1</v>
      </c>
      <c r="O177" s="109">
        <f>IF(Key!D$1="ON",P177,IF(SUM(Q177:DL177)&lt;1,"",SUM(Q177:DL177)/COUNTIF(Q177:DL177,"&gt;0")))</f>
        <v>0</v>
      </c>
      <c r="P177" s="109">
        <f>SUMIFS(Q177:DK177,Q$1:DK$1,Dashboard!$K$31)</f>
        <v>0</v>
      </c>
      <c r="U177" s="95">
        <v>33</v>
      </c>
      <c r="AA177" s="95">
        <v>25</v>
      </c>
      <c r="AH177" s="95">
        <v>75</v>
      </c>
    </row>
    <row r="178" spans="1:34" x14ac:dyDescent="0.3">
      <c r="A178" s="89" t="str">
        <f>CONCATENATE(D178,".",F178,"-",G178,".",H178,"")</f>
        <v>1.2-3.1</v>
      </c>
      <c r="B178" s="89" t="str">
        <f>IF(CONCATENATE(I178,Key!F$2)=CONCATENATE(INDEX(Dashboard!J:J,MATCH(I178,Dashboard!J:J,0),1),INDEX(Dashboard!J:K,MATCH(I178,Dashboard!J:J,0),2)),"ON",IF(Dashboard!K$32="ALL","ON","-"))</f>
        <v>-</v>
      </c>
      <c r="C178" s="96" t="s">
        <v>110</v>
      </c>
      <c r="D178" s="89">
        <f>IF(C178="ID",1,(IF(C178="PR",2,(IF(C178="DE",3,(IF(C178="RS",4,(IF(C178="RC",5,0)))))))))</f>
        <v>1</v>
      </c>
      <c r="E178" s="89" t="s">
        <v>130</v>
      </c>
      <c r="F178" s="89">
        <f>IF(E178="AM",1,(IF(E178="BE",2,(IF(E178="GV",3,(IF(E178="RA",4,(IF(E178="RM",5,(IF(E178="AC",1,(IF(E178="AT",2,(IF(E178="DS",3,(IF(E178="IP",4,(IF(E178="MA",5,(IF(E178="PT",6,(IF(E178="AE",1,(IF(E178="CM",2,(IF(E178="DP",3,(IF(E178="AN",1,(IF(E178="CO",2,(IF(E178="IM",3,(IF(E178="MI",4,(IF(E178="RP",5,(IF(E178="SC",6,0)))))))))))))))))))))))))))))))))))))))</f>
        <v>2</v>
      </c>
      <c r="G178" s="98">
        <v>3</v>
      </c>
      <c r="H178" s="90" t="s">
        <v>115</v>
      </c>
      <c r="I178" s="93" t="s">
        <v>52</v>
      </c>
      <c r="J178" s="88" t="s">
        <v>3290</v>
      </c>
      <c r="K178" s="103" t="s">
        <v>3291</v>
      </c>
      <c r="L178" s="117">
        <f>IF(O178="","",N178*O178*M178)</f>
        <v>0</v>
      </c>
      <c r="M178" s="108">
        <v>1</v>
      </c>
      <c r="N178" s="95">
        <v>1</v>
      </c>
      <c r="O178" s="109">
        <f>IF(Key!D$1="ON",P178,IF(SUM(Q178:DL178)&lt;1,"",SUM(Q178:DL178)/COUNTIF(Q178:DL178,"&gt;0")))</f>
        <v>0</v>
      </c>
      <c r="P178" s="109">
        <f>SUMIFS(Q178:DK178,Q$1:DK$1,Dashboard!$K$31)</f>
        <v>0</v>
      </c>
      <c r="U178" s="95">
        <v>33</v>
      </c>
      <c r="AA178" s="95">
        <v>25</v>
      </c>
      <c r="AH178" s="95">
        <v>75</v>
      </c>
    </row>
    <row r="179" spans="1:34" x14ac:dyDescent="0.3">
      <c r="A179" s="89" t="str">
        <f>CONCATENATE(D179,".",F179,"-",G179,".",H179,"")</f>
        <v>1.2-3.1</v>
      </c>
      <c r="B179" s="89" t="str">
        <f>IF(CONCATENATE(I179,Key!F$2)=CONCATENATE(INDEX(Dashboard!J:J,MATCH(I179,Dashboard!J:J,0),1),INDEX(Dashboard!J:K,MATCH(I179,Dashboard!J:J,0),2)),"ON",IF(Dashboard!K$32="ALL","ON","-"))</f>
        <v>-</v>
      </c>
      <c r="C179" s="96" t="s">
        <v>110</v>
      </c>
      <c r="D179" s="89">
        <f>IF(C179="ID",1,(IF(C179="PR",2,(IF(C179="DE",3,(IF(C179="RS",4,(IF(C179="RC",5,0)))))))))</f>
        <v>1</v>
      </c>
      <c r="E179" s="89" t="s">
        <v>130</v>
      </c>
      <c r="F179" s="89">
        <f>IF(E179="AM",1,(IF(E179="BE",2,(IF(E179="GV",3,(IF(E179="RA",4,(IF(E179="RM",5,(IF(E179="AC",1,(IF(E179="AT",2,(IF(E179="DS",3,(IF(E179="IP",4,(IF(E179="MA",5,(IF(E179="PT",6,(IF(E179="AE",1,(IF(E179="CM",2,(IF(E179="DP",3,(IF(E179="AN",1,(IF(E179="CO",2,(IF(E179="IM",3,(IF(E179="MI",4,(IF(E179="RP",5,(IF(E179="SC",6,0)))))))))))))))))))))))))))))))))))))))</f>
        <v>2</v>
      </c>
      <c r="G179" s="98">
        <v>3</v>
      </c>
      <c r="H179" s="90" t="s">
        <v>115</v>
      </c>
      <c r="I179" s="93" t="s">
        <v>52</v>
      </c>
      <c r="J179" s="88" t="s">
        <v>3282</v>
      </c>
      <c r="K179" s="103" t="s">
        <v>3283</v>
      </c>
      <c r="L179" s="117">
        <f>IF(O179="","",N179*O179*M179)</f>
        <v>0</v>
      </c>
      <c r="M179" s="108">
        <v>1</v>
      </c>
      <c r="N179" s="95">
        <v>1</v>
      </c>
      <c r="O179" s="109">
        <f>IF(Key!D$1="ON",P179,IF(SUM(Q179:DL179)&lt;1,"",SUM(Q179:DL179)/COUNTIF(Q179:DL179,"&gt;0")))</f>
        <v>0</v>
      </c>
      <c r="P179" s="109">
        <f>SUMIFS(Q179:DK179,Q$1:DK$1,Dashboard!$K$31)</f>
        <v>0</v>
      </c>
      <c r="U179" s="95">
        <v>33</v>
      </c>
      <c r="AA179" s="95">
        <v>25</v>
      </c>
      <c r="AH179" s="95">
        <v>75</v>
      </c>
    </row>
    <row r="180" spans="1:34" ht="15.6" x14ac:dyDescent="0.3">
      <c r="A180" s="89" t="str">
        <f>CONCATENATE(D180,".",F180,"-",G180,".",H180,"")</f>
        <v>1.2-3.1</v>
      </c>
      <c r="B180" s="89" t="str">
        <f>IF(CONCATENATE(I180,Key!F$2)=CONCATENATE(INDEX(Dashboard!J:J,MATCH(I180,Dashboard!J:J,0),1),INDEX(Dashboard!J:K,MATCH(I180,Dashboard!J:J,0),2)),"ON",IF(Dashboard!K$32="ALL","ON","-"))</f>
        <v>-</v>
      </c>
      <c r="C180" s="88" t="s">
        <v>110</v>
      </c>
      <c r="D180" s="89">
        <f>IF(C180="ID",1,(IF(C180="PR",2,(IF(C180="DE",3,(IF(C180="RS",4,(IF(C180="RC",5,0)))))))))</f>
        <v>1</v>
      </c>
      <c r="E180" s="89" t="s">
        <v>130</v>
      </c>
      <c r="F180" s="89">
        <f>IF(E180="AM",1,(IF(E180="BE",2,(IF(E180="GV",3,(IF(E180="RA",4,(IF(E180="RM",5,(IF(E180="AC",1,(IF(E180="AT",2,(IF(E180="DS",3,(IF(E180="IP",4,(IF(E180="MA",5,(IF(E180="PT",6,(IF(E180="AE",1,(IF(E180="CM",2,(IF(E180="DP",3,(IF(E180="AN",1,(IF(E180="CO",2,(IF(E180="IM",3,(IF(E180="MI",4,(IF(E180="RP",5,(IF(E180="SC",6,0)))))))))))))))))))))))))))))))))))))))</f>
        <v>2</v>
      </c>
      <c r="G180" s="52">
        <v>3</v>
      </c>
      <c r="H180" s="90" t="s">
        <v>115</v>
      </c>
      <c r="I180" s="93" t="s">
        <v>64</v>
      </c>
      <c r="J180" s="87" t="s">
        <v>956</v>
      </c>
      <c r="K180" s="102" t="s">
        <v>2038</v>
      </c>
      <c r="L180" s="117">
        <f>IF(O180="","",N180*O180*M180)</f>
        <v>0</v>
      </c>
      <c r="M180" s="108">
        <v>1</v>
      </c>
      <c r="N180" s="95">
        <v>1</v>
      </c>
      <c r="O180" s="109">
        <f>IF(Key!D$1="ON",P180,IF(SUM(Q180:DL180)&lt;1,"",SUM(Q180:DL180)/COUNTIF(Q180:DL180,"&gt;0")))</f>
        <v>0</v>
      </c>
      <c r="P180" s="109">
        <f>SUMIFS(Q180:DK180,Q$1:DK$1,Dashboard!$K$31)</f>
        <v>0</v>
      </c>
      <c r="U180" s="95">
        <v>33</v>
      </c>
      <c r="AA180" s="95">
        <v>25</v>
      </c>
      <c r="AH180" s="95">
        <v>75</v>
      </c>
    </row>
    <row r="181" spans="1:34" ht="15.6" x14ac:dyDescent="0.3">
      <c r="A181" s="89" t="str">
        <f>CONCATENATE(D181,".",F181,"-",G181,".",H181,"")</f>
        <v>1.2-3.1</v>
      </c>
      <c r="B181" s="89" t="str">
        <f>IF(CONCATENATE(I181,Key!F$2)=CONCATENATE(INDEX(Dashboard!J:J,MATCH(I181,Dashboard!J:J,0),1),INDEX(Dashboard!J:K,MATCH(I181,Dashboard!J:J,0),2)),"ON",IF(Dashboard!K$32="ALL","ON","-"))</f>
        <v>-</v>
      </c>
      <c r="C181" s="88" t="s">
        <v>110</v>
      </c>
      <c r="D181" s="89">
        <f>IF(C181="ID",1,(IF(C181="PR",2,(IF(C181="DE",3,(IF(C181="RS",4,(IF(C181="RC",5,0)))))))))</f>
        <v>1</v>
      </c>
      <c r="E181" s="89" t="s">
        <v>130</v>
      </c>
      <c r="F181" s="89">
        <f>IF(E181="AM",1,(IF(E181="BE",2,(IF(E181="GV",3,(IF(E181="RA",4,(IF(E181="RM",5,(IF(E181="AC",1,(IF(E181="AT",2,(IF(E181="DS",3,(IF(E181="IP",4,(IF(E181="MA",5,(IF(E181="PT",6,(IF(E181="AE",1,(IF(E181="CM",2,(IF(E181="DP",3,(IF(E181="AN",1,(IF(E181="CO",2,(IF(E181="IM",3,(IF(E181="MI",4,(IF(E181="RP",5,(IF(E181="SC",6,0)))))))))))))))))))))))))))))))))))))))</f>
        <v>2</v>
      </c>
      <c r="G181" s="52">
        <v>3</v>
      </c>
      <c r="H181" s="90" t="s">
        <v>115</v>
      </c>
      <c r="I181" s="93" t="s">
        <v>77</v>
      </c>
      <c r="J181" s="87" t="s">
        <v>956</v>
      </c>
      <c r="K181" s="102" t="s">
        <v>2038</v>
      </c>
      <c r="L181" s="117">
        <f>IF(O181="","",N181*O181*M181)</f>
        <v>0</v>
      </c>
      <c r="M181" s="108">
        <v>1</v>
      </c>
      <c r="N181" s="95">
        <v>1</v>
      </c>
      <c r="O181" s="109">
        <f>IF(Key!D$1="ON",P181,IF(SUM(Q181:DL181)&lt;1,"",SUM(Q181:DL181)/COUNTIF(Q181:DL181,"&gt;0")))</f>
        <v>0</v>
      </c>
      <c r="P181" s="109">
        <f>SUMIFS(Q181:DK181,Q$1:DK$1,Dashboard!$K$31)</f>
        <v>0</v>
      </c>
      <c r="U181" s="95">
        <v>33</v>
      </c>
      <c r="AA181" s="95">
        <v>25</v>
      </c>
      <c r="AH181" s="95">
        <v>75</v>
      </c>
    </row>
    <row r="182" spans="1:34" x14ac:dyDescent="0.3">
      <c r="A182" s="89" t="str">
        <f>CONCATENATE(D182,".",F182,"-",G182,".",H182,"")</f>
        <v>1.2-3.1</v>
      </c>
      <c r="B182" s="89" t="str">
        <f>IF(CONCATENATE(I182,Key!F$2)=CONCATENATE(INDEX(Dashboard!J:J,MATCH(I182,Dashboard!J:J,0),1),INDEX(Dashboard!J:K,MATCH(I182,Dashboard!J:J,0),2)),"ON",IF(Dashboard!K$32="ALL","ON","-"))</f>
        <v>-</v>
      </c>
      <c r="C182" s="96" t="s">
        <v>110</v>
      </c>
      <c r="D182" s="89">
        <f>IF(C182="ID",1,(IF(C182="PR",2,(IF(C182="DE",3,(IF(C182="RS",4,(IF(C182="RC",5,0)))))))))</f>
        <v>1</v>
      </c>
      <c r="E182" s="89" t="s">
        <v>130</v>
      </c>
      <c r="F182" s="89">
        <f>IF(E182="AM",1,(IF(E182="BE",2,(IF(E182="GV",3,(IF(E182="RA",4,(IF(E182="RM",5,(IF(E182="AC",1,(IF(E182="AT",2,(IF(E182="DS",3,(IF(E182="IP",4,(IF(E182="MA",5,(IF(E182="PT",6,(IF(E182="AE",1,(IF(E182="CM",2,(IF(E182="DP",3,(IF(E182="AN",1,(IF(E182="CO",2,(IF(E182="IM",3,(IF(E182="MI",4,(IF(E182="RP",5,(IF(E182="SC",6,0)))))))))))))))))))))))))))))))))))))))</f>
        <v>2</v>
      </c>
      <c r="G182" s="98">
        <v>3</v>
      </c>
      <c r="H182" s="90" t="s">
        <v>115</v>
      </c>
      <c r="I182" s="93" t="s">
        <v>77</v>
      </c>
      <c r="J182" s="87" t="s">
        <v>957</v>
      </c>
      <c r="K182" s="102" t="s">
        <v>2039</v>
      </c>
      <c r="L182" s="117">
        <f>IF(O182="","",N182*O182*M182)</f>
        <v>0</v>
      </c>
      <c r="M182" s="108">
        <v>1</v>
      </c>
      <c r="N182" s="95">
        <v>1</v>
      </c>
      <c r="O182" s="109">
        <f>IF(Key!D$1="ON",P182,IF(SUM(Q182:DL182)&lt;1,"",SUM(Q182:DL182)/COUNTIF(Q182:DL182,"&gt;0")))</f>
        <v>0</v>
      </c>
      <c r="P182" s="109">
        <f>SUMIFS(Q182:DK182,Q$1:DK$1,Dashboard!$K$31)</f>
        <v>0</v>
      </c>
      <c r="U182" s="95">
        <v>33</v>
      </c>
      <c r="AA182" s="95">
        <v>25</v>
      </c>
      <c r="AH182" s="95">
        <v>75</v>
      </c>
    </row>
    <row r="183" spans="1:34" x14ac:dyDescent="0.3">
      <c r="A183" s="89" t="str">
        <f>CONCATENATE(D183,".",F183,"-",G183,".",H183,"")</f>
        <v>1.2-3.1</v>
      </c>
      <c r="B183" s="89" t="str">
        <f>IF(CONCATENATE(I183,Key!F$2)=CONCATENATE(INDEX(Dashboard!J:J,MATCH(I183,Dashboard!J:J,0),1),INDEX(Dashboard!J:K,MATCH(I183,Dashboard!J:J,0),2)),"ON",IF(Dashboard!K$32="ALL","ON","-"))</f>
        <v>-</v>
      </c>
      <c r="C183" s="88" t="s">
        <v>110</v>
      </c>
      <c r="D183" s="89">
        <f>IF(C183="ID",1,(IF(C183="PR",2,(IF(C183="DE",3,(IF(C183="RS",4,(IF(C183="RC",5,0)))))))))</f>
        <v>1</v>
      </c>
      <c r="E183" s="89" t="s">
        <v>130</v>
      </c>
      <c r="F183" s="89">
        <f>IF(E183="AM",1,(IF(E183="BE",2,(IF(E183="GV",3,(IF(E183="RA",4,(IF(E183="RM",5,(IF(E183="AC",1,(IF(E183="AT",2,(IF(E183="DS",3,(IF(E183="IP",4,(IF(E183="MA",5,(IF(E183="PT",6,(IF(E183="AE",1,(IF(E183="CM",2,(IF(E183="DP",3,(IF(E183="AN",1,(IF(E183="CO",2,(IF(E183="IM",3,(IF(E183="MI",4,(IF(E183="RP",5,(IF(E183="SC",6,0)))))))))))))))))))))))))))))))))))))))</f>
        <v>2</v>
      </c>
      <c r="G183" s="98">
        <v>3</v>
      </c>
      <c r="H183" s="90" t="s">
        <v>115</v>
      </c>
      <c r="I183" s="93" t="s">
        <v>81</v>
      </c>
      <c r="J183" s="129" t="s">
        <v>1950</v>
      </c>
      <c r="K183" s="103" t="s">
        <v>1951</v>
      </c>
      <c r="L183" s="117">
        <f>IF(O183="","",N183*O183*M183)</f>
        <v>0</v>
      </c>
      <c r="M183" s="108">
        <v>1</v>
      </c>
      <c r="N183" s="95">
        <v>1</v>
      </c>
      <c r="O183" s="109">
        <f>IF(Key!D$1="ON",P183,IF(SUM(Q183:DL183)&lt;1,"",SUM(Q183:DL183)/COUNTIF(Q183:DL183,"&gt;0")))</f>
        <v>0</v>
      </c>
      <c r="P183" s="109">
        <f>SUMIFS(Q183:DK183,Q$1:DK$1,Dashboard!$K$31)</f>
        <v>0</v>
      </c>
      <c r="U183" s="95">
        <v>33</v>
      </c>
      <c r="AA183" s="95">
        <v>25</v>
      </c>
      <c r="AH183" s="95">
        <v>75</v>
      </c>
    </row>
    <row r="184" spans="1:34" x14ac:dyDescent="0.3">
      <c r="A184" s="89" t="str">
        <f>CONCATENATE(D184,".",F184,"-",G184,".",H184,"")</f>
        <v>1.2-3.1</v>
      </c>
      <c r="B184" s="89" t="str">
        <f>IF(CONCATENATE(I184,Key!F$2)=CONCATENATE(INDEX(Dashboard!J:J,MATCH(I184,Dashboard!J:J,0),1),INDEX(Dashboard!J:K,MATCH(I184,Dashboard!J:J,0),2)),"ON",IF(Dashboard!K$32="ALL","ON","-"))</f>
        <v>-</v>
      </c>
      <c r="C184" s="88" t="s">
        <v>110</v>
      </c>
      <c r="D184" s="89">
        <f>IF(C184="ID",1,(IF(C184="PR",2,(IF(C184="DE",3,(IF(C184="RS",4,(IF(C184="RC",5,0)))))))))</f>
        <v>1</v>
      </c>
      <c r="E184" s="89" t="s">
        <v>130</v>
      </c>
      <c r="F184" s="89">
        <f>IF(E184="AM",1,(IF(E184="BE",2,(IF(E184="GV",3,(IF(E184="RA",4,(IF(E184="RM",5,(IF(E184="AC",1,(IF(E184="AT",2,(IF(E184="DS",3,(IF(E184="IP",4,(IF(E184="MA",5,(IF(E184="PT",6,(IF(E184="AE",1,(IF(E184="CM",2,(IF(E184="DP",3,(IF(E184="AN",1,(IF(E184="CO",2,(IF(E184="IM",3,(IF(E184="MI",4,(IF(E184="RP",5,(IF(E184="SC",6,0)))))))))))))))))))))))))))))))))))))))</f>
        <v>2</v>
      </c>
      <c r="G184" s="52">
        <v>3</v>
      </c>
      <c r="H184" s="90" t="s">
        <v>115</v>
      </c>
      <c r="I184" s="93" t="s">
        <v>85</v>
      </c>
      <c r="J184" s="87" t="s">
        <v>956</v>
      </c>
      <c r="K184" s="119" t="s">
        <v>4709</v>
      </c>
      <c r="L184" s="117">
        <f>IF(O184="","",N184*O184*M184)</f>
        <v>0</v>
      </c>
      <c r="M184" s="108">
        <v>1</v>
      </c>
      <c r="N184" s="95">
        <v>1</v>
      </c>
      <c r="O184" s="109">
        <f>IF(Key!D$1="ON",P184,IF(SUM(Q184:DL184)&lt;1,"",SUM(Q184:DL184)/COUNTIF(Q184:DL184,"&gt;0")))</f>
        <v>0</v>
      </c>
      <c r="P184" s="109">
        <f>SUMIFS(Q184:DK184,Q$1:DK$1,Dashboard!$K$31)</f>
        <v>0</v>
      </c>
      <c r="U184" s="95">
        <v>33</v>
      </c>
      <c r="AA184" s="95">
        <v>25</v>
      </c>
      <c r="AH184" s="95">
        <v>75</v>
      </c>
    </row>
    <row r="185" spans="1:34" x14ac:dyDescent="0.3">
      <c r="A185" s="89" t="str">
        <f>CONCATENATE(D185,".",F185,"-",G185,".",H185,"")</f>
        <v>1.2-3.1</v>
      </c>
      <c r="B185" s="89" t="str">
        <f>IF(CONCATENATE(I185,Key!F$2)=CONCATENATE(INDEX(Dashboard!J:J,MATCH(I185,Dashboard!J:J,0),1),INDEX(Dashboard!J:K,MATCH(I185,Dashboard!J:J,0),2)),"ON",IF(Dashboard!K$32="ALL","ON","-"))</f>
        <v>-</v>
      </c>
      <c r="C185" s="96" t="s">
        <v>110</v>
      </c>
      <c r="D185" s="89">
        <f>IF(C185="ID",1,(IF(C185="PR",2,(IF(C185="DE",3,(IF(C185="RS",4,(IF(C185="RC",5,0)))))))))</f>
        <v>1</v>
      </c>
      <c r="E185" s="89" t="s">
        <v>130</v>
      </c>
      <c r="F185" s="89">
        <f>IF(E185="AM",1,(IF(E185="BE",2,(IF(E185="GV",3,(IF(E185="RA",4,(IF(E185="RM",5,(IF(E185="AC",1,(IF(E185="AT",2,(IF(E185="DS",3,(IF(E185="IP",4,(IF(E185="MA",5,(IF(E185="PT",6,(IF(E185="AE",1,(IF(E185="CM",2,(IF(E185="DP",3,(IF(E185="AN",1,(IF(E185="CO",2,(IF(E185="IM",3,(IF(E185="MI",4,(IF(E185="RP",5,(IF(E185="SC",6,0)))))))))))))))))))))))))))))))))))))))</f>
        <v>2</v>
      </c>
      <c r="G185" s="98">
        <v>3</v>
      </c>
      <c r="H185" s="90" t="s">
        <v>115</v>
      </c>
      <c r="I185" s="93" t="s">
        <v>85</v>
      </c>
      <c r="J185" s="87" t="s">
        <v>957</v>
      </c>
      <c r="K185" s="119" t="s">
        <v>958</v>
      </c>
      <c r="L185" s="117">
        <f>IF(O185="","",N185*O185*M185)</f>
        <v>0</v>
      </c>
      <c r="M185" s="108">
        <v>1</v>
      </c>
      <c r="N185" s="95">
        <v>1</v>
      </c>
      <c r="O185" s="109">
        <f>IF(Key!D$1="ON",P185,IF(SUM(Q185:DL185)&lt;1,"",SUM(Q185:DL185)/COUNTIF(Q185:DL185,"&gt;0")))</f>
        <v>0</v>
      </c>
      <c r="P185" s="109">
        <f>SUMIFS(Q185:DK185,Q$1:DK$1,Dashboard!$K$31)</f>
        <v>0</v>
      </c>
      <c r="U185" s="95">
        <v>33</v>
      </c>
      <c r="AA185" s="95">
        <v>25</v>
      </c>
      <c r="AH185" s="95">
        <v>75</v>
      </c>
    </row>
    <row r="186" spans="1:34" x14ac:dyDescent="0.3">
      <c r="A186" s="89" t="str">
        <f>CONCATENATE(D186,".",F186,"-",G186,".",H186,"")</f>
        <v>1.2-3.1</v>
      </c>
      <c r="B186" s="89" t="str">
        <f>IF(CONCATENATE(I186,Key!F$2)=CONCATENATE(INDEX(Dashboard!J:J,MATCH(I186,Dashboard!J:J,0),1),INDEX(Dashboard!J:K,MATCH(I186,Dashboard!J:J,0),2)),"ON",IF(Dashboard!K$32="ALL","ON","-"))</f>
        <v>-</v>
      </c>
      <c r="C186" s="88" t="s">
        <v>110</v>
      </c>
      <c r="D186" s="89">
        <f>IF(C186="ID",1,(IF(C186="PR",2,(IF(C186="DE",3,(IF(C186="RS",4,(IF(C186="RC",5,0)))))))))</f>
        <v>1</v>
      </c>
      <c r="E186" s="89" t="s">
        <v>130</v>
      </c>
      <c r="F186" s="89">
        <f>IF(E186="AM",1,(IF(E186="BE",2,(IF(E186="GV",3,(IF(E186="RA",4,(IF(E186="RM",5,(IF(E186="AC",1,(IF(E186="AT",2,(IF(E186="DS",3,(IF(E186="IP",4,(IF(E186="MA",5,(IF(E186="PT",6,(IF(E186="AE",1,(IF(E186="CM",2,(IF(E186="DP",3,(IF(E186="AN",1,(IF(E186="CO",2,(IF(E186="IM",3,(IF(E186="MI",4,(IF(E186="RP",5,(IF(E186="SC",6,0)))))))))))))))))))))))))))))))))))))))</f>
        <v>2</v>
      </c>
      <c r="G186" s="52">
        <v>3</v>
      </c>
      <c r="H186" s="89">
        <v>1</v>
      </c>
      <c r="I186" s="93" t="s">
        <v>85</v>
      </c>
      <c r="J186" s="135" t="s">
        <v>745</v>
      </c>
      <c r="K186" s="143" t="s">
        <v>746</v>
      </c>
      <c r="L186" s="117">
        <f>IF(O186="","",N186*O186*M186)</f>
        <v>0</v>
      </c>
      <c r="M186" s="108">
        <v>1</v>
      </c>
      <c r="N186" s="95">
        <v>1</v>
      </c>
      <c r="O186" s="109">
        <f>IF(Key!D$1="ON",P186,IF(SUM(Q186:DL186)&lt;1,"",SUM(Q186:DL186)/COUNTIF(Q186:DL186,"&gt;0")))</f>
        <v>0</v>
      </c>
      <c r="P186" s="109">
        <f>SUMIFS(Q186:DK186,Q$1:DK$1,Dashboard!$K$31)</f>
        <v>0</v>
      </c>
      <c r="U186" s="95">
        <v>33</v>
      </c>
      <c r="AA186" s="95">
        <v>25</v>
      </c>
      <c r="AH186" s="95">
        <v>75</v>
      </c>
    </row>
    <row r="187" spans="1:34" ht="15.6" x14ac:dyDescent="0.3">
      <c r="A187" s="89" t="str">
        <f>CONCATENATE(D187,".",F187,"-",G187,".",H187,"")</f>
        <v>1.2-3.1</v>
      </c>
      <c r="B187" s="89" t="str">
        <f>IF(CONCATENATE(I187,Key!F$2)=CONCATENATE(INDEX(Dashboard!J:J,MATCH(I187,Dashboard!J:J,0),1),INDEX(Dashboard!J:K,MATCH(I187,Dashboard!J:J,0),2)),"ON",IF(Dashboard!K$32="ALL","ON","-"))</f>
        <v>-</v>
      </c>
      <c r="C187" s="96" t="s">
        <v>110</v>
      </c>
      <c r="D187" s="89">
        <f>IF(C187="ID",1,(IF(C187="PR",2,(IF(C187="DE",3,(IF(C187="RS",4,(IF(C187="RC",5,0)))))))))</f>
        <v>1</v>
      </c>
      <c r="E187" s="89" t="s">
        <v>130</v>
      </c>
      <c r="F187" s="89">
        <f>IF(E187="AM",1,(IF(E187="BE",2,(IF(E187="GV",3,(IF(E187="RA",4,(IF(E187="RM",5,(IF(E187="AC",1,(IF(E187="AT",2,(IF(E187="DS",3,(IF(E187="IP",4,(IF(E187="MA",5,(IF(E187="PT",6,(IF(E187="AE",1,(IF(E187="CM",2,(IF(E187="DP",3,(IF(E187="AN",1,(IF(E187="CO",2,(IF(E187="IM",3,(IF(E187="MI",4,(IF(E187="RP",5,(IF(E187="SC",6,0)))))))))))))))))))))))))))))))))))))))</f>
        <v>2</v>
      </c>
      <c r="G187" s="52">
        <v>3</v>
      </c>
      <c r="H187" s="90" t="s">
        <v>115</v>
      </c>
      <c r="I187" s="93" t="s">
        <v>92</v>
      </c>
      <c r="J187" s="88" t="s">
        <v>132</v>
      </c>
      <c r="K187" s="102" t="s">
        <v>5226</v>
      </c>
      <c r="L187" s="117">
        <f>IF(O187="","",N187*O187*M187)</f>
        <v>0</v>
      </c>
      <c r="M187" s="108">
        <v>1</v>
      </c>
      <c r="N187" s="95">
        <v>1</v>
      </c>
      <c r="O187" s="109">
        <f>IF(Key!D$1="ON",P187,IF(SUM(Q187:DL187)&lt;1,"",SUM(Q187:DL187)/COUNTIF(Q187:DL187,"&gt;0")))</f>
        <v>0</v>
      </c>
      <c r="P187" s="109">
        <f>SUMIFS(Q187:DK187,Q$1:DK$1,Dashboard!$K$31)</f>
        <v>0</v>
      </c>
      <c r="U187" s="95">
        <v>33</v>
      </c>
      <c r="AA187" s="95">
        <v>25</v>
      </c>
      <c r="AH187" s="95">
        <v>75</v>
      </c>
    </row>
    <row r="188" spans="1:34" ht="15.6" x14ac:dyDescent="0.3">
      <c r="A188" s="89" t="str">
        <f>CONCATENATE(D188,".",F188,"-",G188,".",H188,"")</f>
        <v>1.2-3.1</v>
      </c>
      <c r="B188" s="89" t="str">
        <f>IF(CONCATENATE(I188,Key!F$2)=CONCATENATE(INDEX(Dashboard!J:J,MATCH(I188,Dashboard!J:J,0),1),INDEX(Dashboard!J:K,MATCH(I188,Dashboard!J:J,0),2)),"ON",IF(Dashboard!K$32="ALL","ON","-"))</f>
        <v>-</v>
      </c>
      <c r="C188" s="96" t="s">
        <v>110</v>
      </c>
      <c r="D188" s="89">
        <f>IF(C188="ID",1,(IF(C188="PR",2,(IF(C188="DE",3,(IF(C188="RS",4,(IF(C188="RC",5,0)))))))))</f>
        <v>1</v>
      </c>
      <c r="E188" s="89" t="s">
        <v>130</v>
      </c>
      <c r="F188" s="89">
        <f>IF(E188="AM",1,(IF(E188="BE",2,(IF(E188="GV",3,(IF(E188="RA",4,(IF(E188="RM",5,(IF(E188="AC",1,(IF(E188="AT",2,(IF(E188="DS",3,(IF(E188="IP",4,(IF(E188="MA",5,(IF(E188="PT",6,(IF(E188="AE",1,(IF(E188="CM",2,(IF(E188="DP",3,(IF(E188="AN",1,(IF(E188="CO",2,(IF(E188="IM",3,(IF(E188="MI",4,(IF(E188="RP",5,(IF(E188="SC",6,0)))))))))))))))))))))))))))))))))))))))</f>
        <v>2</v>
      </c>
      <c r="G188" s="52">
        <v>3</v>
      </c>
      <c r="H188" s="90" t="s">
        <v>115</v>
      </c>
      <c r="I188" s="93" t="s">
        <v>92</v>
      </c>
      <c r="J188" s="88" t="s">
        <v>133</v>
      </c>
      <c r="K188" s="102" t="s">
        <v>5226</v>
      </c>
      <c r="L188" s="117">
        <f>IF(O188="","",N188*O188*M188)</f>
        <v>0</v>
      </c>
      <c r="M188" s="108">
        <v>1</v>
      </c>
      <c r="N188" s="95">
        <v>1</v>
      </c>
      <c r="O188" s="109">
        <f>IF(Key!D$1="ON",P188,IF(SUM(Q188:DL188)&lt;1,"",SUM(Q188:DL188)/COUNTIF(Q188:DL188,"&gt;0")))</f>
        <v>0</v>
      </c>
      <c r="P188" s="109">
        <f>SUMIFS(Q188:DK188,Q$1:DK$1,Dashboard!$K$31)</f>
        <v>0</v>
      </c>
      <c r="U188" s="95">
        <v>33</v>
      </c>
      <c r="AA188" s="95">
        <v>25</v>
      </c>
      <c r="AH188" s="95">
        <v>75</v>
      </c>
    </row>
    <row r="189" spans="1:34" x14ac:dyDescent="0.3">
      <c r="A189" s="89" t="str">
        <f>CONCATENATE(D189,".",F189,"-",G189,".",H189,"")</f>
        <v>1.2-3.1</v>
      </c>
      <c r="B189" s="89" t="str">
        <f>IF(CONCATENATE(I189,Key!F$2)=CONCATENATE(INDEX(Dashboard!J:J,MATCH(I189,Dashboard!J:J,0),1),INDEX(Dashboard!J:K,MATCH(I189,Dashboard!J:J,0),2)),"ON",IF(Dashboard!K$32="ALL","ON","-"))</f>
        <v>-</v>
      </c>
      <c r="C189" s="96" t="s">
        <v>110</v>
      </c>
      <c r="D189" s="89">
        <f>IF(C189="ID",1,(IF(C189="PR",2,(IF(C189="DE",3,(IF(C189="RS",4,(IF(C189="RC",5,0)))))))))</f>
        <v>1</v>
      </c>
      <c r="E189" s="89" t="s">
        <v>130</v>
      </c>
      <c r="F189" s="89">
        <f>IF(E189="AM",1,(IF(E189="BE",2,(IF(E189="GV",3,(IF(E189="RA",4,(IF(E189="RM",5,(IF(E189="AC",1,(IF(E189="AT",2,(IF(E189="DS",3,(IF(E189="IP",4,(IF(E189="MA",5,(IF(E189="PT",6,(IF(E189="AE",1,(IF(E189="CM",2,(IF(E189="DP",3,(IF(E189="AN",1,(IF(E189="CO",2,(IF(E189="IM",3,(IF(E189="MI",4,(IF(E189="RP",5,(IF(E189="SC",6,0)))))))))))))))))))))))))))))))))))))))</f>
        <v>2</v>
      </c>
      <c r="G189" s="52">
        <v>3</v>
      </c>
      <c r="H189" s="90" t="s">
        <v>115</v>
      </c>
      <c r="I189" s="93" t="s">
        <v>92</v>
      </c>
      <c r="J189" s="88" t="s">
        <v>134</v>
      </c>
      <c r="K189" s="102" t="s">
        <v>5226</v>
      </c>
      <c r="L189" s="117">
        <f>IF(O189="","",N189*O189*M189)</f>
        <v>0</v>
      </c>
      <c r="M189" s="108">
        <v>1</v>
      </c>
      <c r="N189" s="95">
        <v>1</v>
      </c>
      <c r="O189" s="109">
        <f>IF(Key!D$1="ON",P189,IF(SUM(Q189:DL189)&lt;1,"",SUM(Q189:DL189)/COUNTIF(Q189:DL189,"&gt;0")))</f>
        <v>0</v>
      </c>
      <c r="P189" s="109">
        <f>SUMIFS(Q189:DK189,Q$1:DK$1,Dashboard!$K$31)</f>
        <v>0</v>
      </c>
      <c r="U189" s="95">
        <v>33</v>
      </c>
      <c r="AA189" s="95">
        <v>25</v>
      </c>
      <c r="AH189" s="95">
        <v>75</v>
      </c>
    </row>
    <row r="190" spans="1:34" x14ac:dyDescent="0.3">
      <c r="A190" s="89" t="str">
        <f>CONCATENATE(D190,".",F190,"-",G190,".",H190,"")</f>
        <v>1.2-3.1</v>
      </c>
      <c r="B190" s="89" t="str">
        <f>IF(CONCATENATE(I190,Key!F$2)=CONCATENATE(INDEX(Dashboard!J:J,MATCH(I190,Dashboard!J:J,0),1),INDEX(Dashboard!J:K,MATCH(I190,Dashboard!J:J,0),2)),"ON",IF(Dashboard!K$32="ALL","ON","-"))</f>
        <v>-</v>
      </c>
      <c r="C190" s="96" t="s">
        <v>110</v>
      </c>
      <c r="D190" s="89">
        <f>IF(C190="ID",1,(IF(C190="PR",2,(IF(C190="DE",3,(IF(C190="RS",4,(IF(C190="RC",5,0)))))))))</f>
        <v>1</v>
      </c>
      <c r="E190" s="89" t="s">
        <v>130</v>
      </c>
      <c r="F190" s="89">
        <f>IF(E190="AM",1,(IF(E190="BE",2,(IF(E190="GV",3,(IF(E190="RA",4,(IF(E190="RM",5,(IF(E190="AC",1,(IF(E190="AT",2,(IF(E190="DS",3,(IF(E190="IP",4,(IF(E190="MA",5,(IF(E190="PT",6,(IF(E190="AE",1,(IF(E190="CM",2,(IF(E190="DP",3,(IF(E190="AN",1,(IF(E190="CO",2,(IF(E190="IM",3,(IF(E190="MI",4,(IF(E190="RP",5,(IF(E190="SC",6,0)))))))))))))))))))))))))))))))))))))))</f>
        <v>2</v>
      </c>
      <c r="G190" s="52">
        <v>3</v>
      </c>
      <c r="H190" s="90" t="s">
        <v>115</v>
      </c>
      <c r="I190" s="93" t="s">
        <v>92</v>
      </c>
      <c r="J190" s="88" t="s">
        <v>135</v>
      </c>
      <c r="K190" s="102" t="s">
        <v>5226</v>
      </c>
      <c r="L190" s="117">
        <f>IF(O190="","",N190*O190*M190)</f>
        <v>0</v>
      </c>
      <c r="M190" s="108">
        <v>1</v>
      </c>
      <c r="N190" s="95">
        <v>1</v>
      </c>
      <c r="O190" s="109">
        <f>IF(Key!D$1="ON",P190,IF(SUM(Q190:DL190)&lt;1,"",SUM(Q190:DL190)/COUNTIF(Q190:DL190,"&gt;0")))</f>
        <v>0</v>
      </c>
      <c r="P190" s="109">
        <f>SUMIFS(Q190:DK190,Q$1:DK$1,Dashboard!$K$31)</f>
        <v>0</v>
      </c>
      <c r="U190" s="95">
        <v>33</v>
      </c>
      <c r="AA190" s="95">
        <v>25</v>
      </c>
      <c r="AH190" s="95">
        <v>75</v>
      </c>
    </row>
    <row r="191" spans="1:34" x14ac:dyDescent="0.3">
      <c r="A191" s="89" t="str">
        <f>CONCATENATE(D191,".",F191,"-",G191,".",H191,"")</f>
        <v>1.2-4.0</v>
      </c>
      <c r="B191" s="89" t="str">
        <f>IF(CONCATENATE(I191,Key!F$2)=CONCATENATE(INDEX(Dashboard!J:J,MATCH(I191,Dashboard!J:J,0),1),INDEX(Dashboard!J:K,MATCH(I191,Dashboard!J:J,0),2)),"ON",IF(Dashboard!K$32="ALL","ON","-"))</f>
        <v>-</v>
      </c>
      <c r="C191" s="96" t="s">
        <v>110</v>
      </c>
      <c r="D191" s="89">
        <f>IF(C191="ID",1,(IF(C191="PR",2,(IF(C191="DE",3,(IF(C191="RS",4,(IF(C191="RC",5,0)))))))))</f>
        <v>1</v>
      </c>
      <c r="E191" s="89" t="s">
        <v>130</v>
      </c>
      <c r="F191" s="89">
        <f>IF(E191="AM",1,(IF(E191="BE",2,(IF(E191="GV",3,(IF(E191="RA",4,(IF(E191="RM",5,(IF(E191="AC",1,(IF(E191="AT",2,(IF(E191="DS",3,(IF(E191="IP",4,(IF(E191="MA",5,(IF(E191="PT",6,(IF(E191="AE",1,(IF(E191="CM",2,(IF(E191="DP",3,(IF(E191="AN",1,(IF(E191="CO",2,(IF(E191="IM",3,(IF(E191="MI",4,(IF(E191="RP",5,(IF(E191="SC",6,0)))))))))))))))))))))))))))))))))))))))</f>
        <v>2</v>
      </c>
      <c r="G191" s="52">
        <v>4</v>
      </c>
      <c r="H191" s="90" t="s">
        <v>347</v>
      </c>
      <c r="I191" s="93" t="s">
        <v>2835</v>
      </c>
      <c r="J191" s="53" t="s">
        <v>2860</v>
      </c>
      <c r="K191" s="152" t="s">
        <v>2861</v>
      </c>
      <c r="L191" s="117">
        <f>IF(O191="","",N191*O191*M191)</f>
        <v>0</v>
      </c>
      <c r="M191" s="108">
        <v>1</v>
      </c>
      <c r="N191" s="95">
        <v>1</v>
      </c>
      <c r="O191" s="109">
        <f>IF(Key!D$1="ON",P191,IF(SUM(Q191:DL191)&lt;1,"",SUM(Q191:DL191)/COUNTIF(Q191:DL191,"&gt;0")))</f>
        <v>0</v>
      </c>
      <c r="P191" s="109">
        <f>SUMIFS(Q191:DK191,Q$1:DK$1,Dashboard!$K$31)</f>
        <v>0</v>
      </c>
      <c r="U191" s="95">
        <v>33</v>
      </c>
    </row>
    <row r="192" spans="1:34" x14ac:dyDescent="0.3">
      <c r="A192" s="89" t="str">
        <f>CONCATENATE(D192,".",F192,"-",G192,".",H192,"")</f>
        <v>1.2-4.1</v>
      </c>
      <c r="B192" s="89" t="str">
        <f>IF(CONCATENATE(I192,Key!F$2)=CONCATENATE(INDEX(Dashboard!J:J,MATCH(I192,Dashboard!J:J,0),1),INDEX(Dashboard!J:K,MATCH(I192,Dashboard!J:J,0),2)),"ON",IF(Dashboard!K$32="ALL","ON","-"))</f>
        <v>-</v>
      </c>
      <c r="C192" s="96" t="s">
        <v>110</v>
      </c>
      <c r="D192" s="89">
        <f>IF(C192="ID",1,(IF(C192="PR",2,(IF(C192="DE",3,(IF(C192="RS",4,(IF(C192="RC",5,0)))))))))</f>
        <v>1</v>
      </c>
      <c r="E192" s="89" t="s">
        <v>130</v>
      </c>
      <c r="F192" s="89">
        <f>IF(E192="AM",1,(IF(E192="BE",2,(IF(E192="GV",3,(IF(E192="RA",4,(IF(E192="RM",5,(IF(E192="AC",1,(IF(E192="AT",2,(IF(E192="DS",3,(IF(E192="IP",4,(IF(E192="MA",5,(IF(E192="PT",6,(IF(E192="AE",1,(IF(E192="CM",2,(IF(E192="DP",3,(IF(E192="AN",1,(IF(E192="CO",2,(IF(E192="IM",3,(IF(E192="MI",4,(IF(E192="RP",5,(IF(E192="SC",6,0)))))))))))))))))))))))))))))))))))))))</f>
        <v>2</v>
      </c>
      <c r="G192" s="98">
        <v>4</v>
      </c>
      <c r="H192" s="90" t="s">
        <v>115</v>
      </c>
      <c r="I192" s="93" t="s">
        <v>52</v>
      </c>
      <c r="J192" s="88" t="s">
        <v>3288</v>
      </c>
      <c r="K192" s="103" t="s">
        <v>3289</v>
      </c>
      <c r="L192" s="117">
        <f>IF(O192="","",N192*O192*M192)</f>
        <v>0</v>
      </c>
      <c r="M192" s="108">
        <v>1</v>
      </c>
      <c r="N192" s="95">
        <v>1</v>
      </c>
      <c r="O192" s="109">
        <f>IF(Key!D$1="ON",P192,IF(SUM(Q192:DL192)&lt;1,"",SUM(Q192:DL192)/COUNTIF(Q192:DL192,"&gt;0")))</f>
        <v>0</v>
      </c>
      <c r="P192" s="109">
        <f>SUMIFS(Q192:DK192,Q$1:DK$1,Dashboard!$K$31)</f>
        <v>0</v>
      </c>
      <c r="U192" s="95">
        <v>33</v>
      </c>
      <c r="AA192" s="95">
        <v>25</v>
      </c>
      <c r="AH192" s="95">
        <v>75</v>
      </c>
    </row>
    <row r="193" spans="1:34" x14ac:dyDescent="0.3">
      <c r="A193" s="89" t="str">
        <f>CONCATENATE(D193,".",F193,"-",G193,".",H193,"")</f>
        <v>1.2-4.1</v>
      </c>
      <c r="B193" s="89" t="str">
        <f>IF(CONCATENATE(I193,Key!F$2)=CONCATENATE(INDEX(Dashboard!J:J,MATCH(I193,Dashboard!J:J,0),1),INDEX(Dashboard!J:K,MATCH(I193,Dashboard!J:J,0),2)),"ON",IF(Dashboard!K$32="ALL","ON","-"))</f>
        <v>-</v>
      </c>
      <c r="C193" s="96" t="s">
        <v>110</v>
      </c>
      <c r="D193" s="89">
        <f>IF(C193="ID",1,(IF(C193="PR",2,(IF(C193="DE",3,(IF(C193="RS",4,(IF(C193="RC",5,0)))))))))</f>
        <v>1</v>
      </c>
      <c r="E193" s="89" t="s">
        <v>130</v>
      </c>
      <c r="F193" s="89">
        <f>IF(E193="AM",1,(IF(E193="BE",2,(IF(E193="GV",3,(IF(E193="RA",4,(IF(E193="RM",5,(IF(E193="AC",1,(IF(E193="AT",2,(IF(E193="DS",3,(IF(E193="IP",4,(IF(E193="MA",5,(IF(E193="PT",6,(IF(E193="AE",1,(IF(E193="CM",2,(IF(E193="DP",3,(IF(E193="AN",1,(IF(E193="CO",2,(IF(E193="IM",3,(IF(E193="MI",4,(IF(E193="RP",5,(IF(E193="SC",6,0)))))))))))))))))))))))))))))))))))))))</f>
        <v>2</v>
      </c>
      <c r="G193" s="98">
        <v>4</v>
      </c>
      <c r="H193" s="90" t="s">
        <v>115</v>
      </c>
      <c r="I193" s="93" t="s">
        <v>52</v>
      </c>
      <c r="J193" s="88" t="s">
        <v>3301</v>
      </c>
      <c r="K193" s="103" t="s">
        <v>3302</v>
      </c>
      <c r="L193" s="117">
        <f>IF(O193="","",N193*O193*M193)</f>
        <v>0</v>
      </c>
      <c r="M193" s="108">
        <v>1</v>
      </c>
      <c r="N193" s="95">
        <v>1</v>
      </c>
      <c r="O193" s="109">
        <f>IF(Key!D$1="ON",P193,IF(SUM(Q193:DL193)&lt;1,"",SUM(Q193:DL193)/COUNTIF(Q193:DL193,"&gt;0")))</f>
        <v>0</v>
      </c>
      <c r="P193" s="109">
        <f>SUMIFS(Q193:DK193,Q$1:DK$1,Dashboard!$K$31)</f>
        <v>0</v>
      </c>
      <c r="U193" s="95">
        <v>33</v>
      </c>
      <c r="AA193" s="95">
        <v>25</v>
      </c>
      <c r="AH193" s="95">
        <v>75</v>
      </c>
    </row>
    <row r="194" spans="1:34" x14ac:dyDescent="0.3">
      <c r="A194" s="89" t="str">
        <f>CONCATENATE(D194,".",F194,"-",G194,".",H194,"")</f>
        <v>1.2-4.1</v>
      </c>
      <c r="B194" s="89" t="str">
        <f>IF(CONCATENATE(I194,Key!F$2)=CONCATENATE(INDEX(Dashboard!J:J,MATCH(I194,Dashboard!J:J,0),1),INDEX(Dashboard!J:K,MATCH(I194,Dashboard!J:J,0),2)),"ON",IF(Dashboard!K$32="ALL","ON","-"))</f>
        <v>-</v>
      </c>
      <c r="C194" s="96" t="s">
        <v>110</v>
      </c>
      <c r="D194" s="89">
        <f>IF(C194="ID",1,(IF(C194="PR",2,(IF(C194="DE",3,(IF(C194="RS",4,(IF(C194="RC",5,0)))))))))</f>
        <v>1</v>
      </c>
      <c r="E194" s="89" t="s">
        <v>130</v>
      </c>
      <c r="F194" s="89">
        <f>IF(E194="AM",1,(IF(E194="BE",2,(IF(E194="GV",3,(IF(E194="RA",4,(IF(E194="RM",5,(IF(E194="AC",1,(IF(E194="AT",2,(IF(E194="DS",3,(IF(E194="IP",4,(IF(E194="MA",5,(IF(E194="PT",6,(IF(E194="AE",1,(IF(E194="CM",2,(IF(E194="DP",3,(IF(E194="AN",1,(IF(E194="CO",2,(IF(E194="IM",3,(IF(E194="MI",4,(IF(E194="RP",5,(IF(E194="SC",6,0)))))))))))))))))))))))))))))))))))))))</f>
        <v>2</v>
      </c>
      <c r="G194" s="98">
        <v>4</v>
      </c>
      <c r="H194" s="90" t="s">
        <v>115</v>
      </c>
      <c r="I194" s="93" t="s">
        <v>52</v>
      </c>
      <c r="J194" s="88" t="s">
        <v>3282</v>
      </c>
      <c r="K194" s="103" t="s">
        <v>3283</v>
      </c>
      <c r="L194" s="117">
        <f>IF(O194="","",N194*O194*M194)</f>
        <v>0</v>
      </c>
      <c r="M194" s="108">
        <v>1</v>
      </c>
      <c r="N194" s="95">
        <v>1</v>
      </c>
      <c r="O194" s="109">
        <f>IF(Key!D$1="ON",P194,IF(SUM(Q194:DL194)&lt;1,"",SUM(Q194:DL194)/COUNTIF(Q194:DL194,"&gt;0")))</f>
        <v>0</v>
      </c>
      <c r="P194" s="109">
        <f>SUMIFS(Q194:DK194,Q$1:DK$1,Dashboard!$K$31)</f>
        <v>0</v>
      </c>
      <c r="U194" s="95">
        <v>33</v>
      </c>
      <c r="AA194" s="95">
        <v>25</v>
      </c>
      <c r="AH194" s="95">
        <v>75</v>
      </c>
    </row>
    <row r="195" spans="1:34" x14ac:dyDescent="0.3">
      <c r="A195" s="89" t="str">
        <f>CONCATENATE(D195,".",F195,"-",G195,".",H195,"")</f>
        <v>1.2-4.1</v>
      </c>
      <c r="B195" s="89" t="str">
        <f>IF(CONCATENATE(I195,Key!F$2)=CONCATENATE(INDEX(Dashboard!J:J,MATCH(I195,Dashboard!J:J,0),1),INDEX(Dashboard!J:K,MATCH(I195,Dashboard!J:J,0),2)),"ON",IF(Dashboard!K$32="ALL","ON","-"))</f>
        <v>-</v>
      </c>
      <c r="C195" s="96" t="s">
        <v>110</v>
      </c>
      <c r="D195" s="89">
        <f>IF(C195="ID",1,(IF(C195="PR",2,(IF(C195="DE",3,(IF(C195="RS",4,(IF(C195="RC",5,0)))))))))</f>
        <v>1</v>
      </c>
      <c r="E195" s="89" t="s">
        <v>130</v>
      </c>
      <c r="F195" s="89">
        <f>IF(E195="AM",1,(IF(E195="BE",2,(IF(E195="GV",3,(IF(E195="RA",4,(IF(E195="RM",5,(IF(E195="AC",1,(IF(E195="AT",2,(IF(E195="DS",3,(IF(E195="IP",4,(IF(E195="MA",5,(IF(E195="PT",6,(IF(E195="AE",1,(IF(E195="CM",2,(IF(E195="DP",3,(IF(E195="AN",1,(IF(E195="CO",2,(IF(E195="IM",3,(IF(E195="MI",4,(IF(E195="RP",5,(IF(E195="SC",6,0)))))))))))))))))))))))))))))))))))))))</f>
        <v>2</v>
      </c>
      <c r="G195" s="98">
        <v>4</v>
      </c>
      <c r="H195" s="90" t="s">
        <v>115</v>
      </c>
      <c r="I195" s="93" t="s">
        <v>52</v>
      </c>
      <c r="J195" s="88" t="s">
        <v>3303</v>
      </c>
      <c r="K195" s="103" t="s">
        <v>3304</v>
      </c>
      <c r="L195" s="117">
        <f>IF(O195="","",N195*O195*M195)</f>
        <v>0</v>
      </c>
      <c r="M195" s="108">
        <v>1</v>
      </c>
      <c r="N195" s="95">
        <v>1</v>
      </c>
      <c r="O195" s="109">
        <f>IF(Key!D$1="ON",P195,IF(SUM(Q195:DL195)&lt;1,"",SUM(Q195:DL195)/COUNTIF(Q195:DL195,"&gt;0")))</f>
        <v>0</v>
      </c>
      <c r="P195" s="109">
        <f>SUMIFS(Q195:DK195,Q$1:DK$1,Dashboard!$K$31)</f>
        <v>0</v>
      </c>
      <c r="U195" s="95">
        <v>33</v>
      </c>
      <c r="AA195" s="95">
        <v>25</v>
      </c>
      <c r="AH195" s="95">
        <v>75</v>
      </c>
    </row>
    <row r="196" spans="1:34" x14ac:dyDescent="0.3">
      <c r="A196" s="89" t="str">
        <f>CONCATENATE(D196,".",F196,"-",G196,".",H196,"")</f>
        <v>1.2-4.1</v>
      </c>
      <c r="B196" s="89" t="str">
        <f>IF(CONCATENATE(I196,Key!F$2)=CONCATENATE(INDEX(Dashboard!J:J,MATCH(I196,Dashboard!J:J,0),1),INDEX(Dashboard!J:K,MATCH(I196,Dashboard!J:J,0),2)),"ON",IF(Dashboard!K$32="ALL","ON","-"))</f>
        <v>-</v>
      </c>
      <c r="C196" s="88" t="s">
        <v>110</v>
      </c>
      <c r="D196" s="89">
        <f>IF(C196="ID",1,(IF(C196="PR",2,(IF(C196="DE",3,(IF(C196="RS",4,(IF(C196="RC",5,0)))))))))</f>
        <v>1</v>
      </c>
      <c r="E196" s="89" t="s">
        <v>130</v>
      </c>
      <c r="F196" s="89">
        <f>IF(E196="AM",1,(IF(E196="BE",2,(IF(E196="GV",3,(IF(E196="RA",4,(IF(E196="RM",5,(IF(E196="AC",1,(IF(E196="AT",2,(IF(E196="DS",3,(IF(E196="IP",4,(IF(E196="MA",5,(IF(E196="PT",6,(IF(E196="AE",1,(IF(E196="CM",2,(IF(E196="DP",3,(IF(E196="AN",1,(IF(E196="CO",2,(IF(E196="IM",3,(IF(E196="MI",4,(IF(E196="RP",5,(IF(E196="SC",6,0)))))))))))))))))))))))))))))))))))))))</f>
        <v>2</v>
      </c>
      <c r="G196" s="52">
        <v>4</v>
      </c>
      <c r="H196" s="89">
        <v>1</v>
      </c>
      <c r="I196" s="93" t="s">
        <v>60</v>
      </c>
      <c r="J196" s="88" t="s">
        <v>3123</v>
      </c>
      <c r="K196" s="51" t="s">
        <v>5236</v>
      </c>
      <c r="L196" s="117">
        <f>IF(O196="","",N196*O196*M196)</f>
        <v>0</v>
      </c>
      <c r="M196" s="108">
        <v>1</v>
      </c>
      <c r="N196" s="95">
        <v>1</v>
      </c>
      <c r="O196" s="109">
        <f>IF(Key!D$1="ON",P196,IF(SUM(Q196:DL196)&lt;1,"",SUM(Q196:DL196)/COUNTIF(Q196:DL196,"&gt;0")))</f>
        <v>0</v>
      </c>
      <c r="P196" s="109">
        <f>SUMIFS(Q196:DK196,Q$1:DK$1,Dashboard!$K$31)</f>
        <v>0</v>
      </c>
      <c r="U196" s="95">
        <v>33</v>
      </c>
      <c r="AA196" s="95">
        <v>25</v>
      </c>
      <c r="AH196" s="95">
        <v>75</v>
      </c>
    </row>
    <row r="197" spans="1:34" x14ac:dyDescent="0.3">
      <c r="A197" s="89" t="str">
        <f>CONCATENATE(D197,".",F197,"-",G197,".",H197,"")</f>
        <v>1.2-4.1</v>
      </c>
      <c r="B197" s="89" t="str">
        <f>IF(CONCATENATE(I197,Key!F$2)=CONCATENATE(INDEX(Dashboard!J:J,MATCH(I197,Dashboard!J:J,0),1),INDEX(Dashboard!J:K,MATCH(I197,Dashboard!J:J,0),2)),"ON",IF(Dashboard!K$32="ALL","ON","-"))</f>
        <v>-</v>
      </c>
      <c r="C197" s="88" t="s">
        <v>110</v>
      </c>
      <c r="D197" s="89">
        <f>IF(C197="ID",1,(IF(C197="PR",2,(IF(C197="DE",3,(IF(C197="RS",4,(IF(C197="RC",5,0)))))))))</f>
        <v>1</v>
      </c>
      <c r="E197" s="89" t="s">
        <v>130</v>
      </c>
      <c r="F197" s="89">
        <f>IF(E197="AM",1,(IF(E197="BE",2,(IF(E197="GV",3,(IF(E197="RA",4,(IF(E197="RM",5,(IF(E197="AC",1,(IF(E197="AT",2,(IF(E197="DS",3,(IF(E197="IP",4,(IF(E197="MA",5,(IF(E197="PT",6,(IF(E197="AE",1,(IF(E197="CM",2,(IF(E197="DP",3,(IF(E197="AN",1,(IF(E197="CO",2,(IF(E197="IM",3,(IF(E197="MI",4,(IF(E197="RP",5,(IF(E197="SC",6,0)))))))))))))))))))))))))))))))))))))))</f>
        <v>2</v>
      </c>
      <c r="G197" s="52">
        <v>4</v>
      </c>
      <c r="H197" s="90" t="s">
        <v>115</v>
      </c>
      <c r="I197" s="93" t="s">
        <v>64</v>
      </c>
      <c r="J197" s="87" t="s">
        <v>942</v>
      </c>
      <c r="K197" s="102" t="s">
        <v>2028</v>
      </c>
      <c r="L197" s="117">
        <f>IF(O197="","",N197*O197*M197)</f>
        <v>0</v>
      </c>
      <c r="M197" s="108">
        <v>1</v>
      </c>
      <c r="N197" s="95">
        <v>1</v>
      </c>
      <c r="O197" s="109">
        <f>IF(Key!D$1="ON",P197,IF(SUM(Q197:DL197)&lt;1,"",SUM(Q197:DL197)/COUNTIF(Q197:DL197,"&gt;0")))</f>
        <v>0</v>
      </c>
      <c r="P197" s="109">
        <f>SUMIFS(Q197:DK197,Q$1:DK$1,Dashboard!$K$31)</f>
        <v>0</v>
      </c>
      <c r="U197" s="95">
        <v>33</v>
      </c>
      <c r="AA197" s="95">
        <v>25</v>
      </c>
      <c r="AH197" s="95">
        <v>75</v>
      </c>
    </row>
    <row r="198" spans="1:34" x14ac:dyDescent="0.3">
      <c r="A198" s="89" t="str">
        <f>CONCATENATE(D198,".",F198,"-",G198,".",H198,"")</f>
        <v>1.2-4.1</v>
      </c>
      <c r="B198" s="89" t="str">
        <f>IF(CONCATENATE(I198,Key!F$2)=CONCATENATE(INDEX(Dashboard!J:J,MATCH(I198,Dashboard!J:J,0),1),INDEX(Dashboard!J:K,MATCH(I198,Dashboard!J:J,0),2)),"ON",IF(Dashboard!K$32="ALL","ON","-"))</f>
        <v>-</v>
      </c>
      <c r="C198" s="88" t="s">
        <v>110</v>
      </c>
      <c r="D198" s="89">
        <f>IF(C198="ID",1,(IF(C198="PR",2,(IF(C198="DE",3,(IF(C198="RS",4,(IF(C198="RC",5,0)))))))))</f>
        <v>1</v>
      </c>
      <c r="E198" s="89" t="s">
        <v>130</v>
      </c>
      <c r="F198" s="89">
        <f>IF(E198="AM",1,(IF(E198="BE",2,(IF(E198="GV",3,(IF(E198="RA",4,(IF(E198="RM",5,(IF(E198="AC",1,(IF(E198="AT",2,(IF(E198="DS",3,(IF(E198="IP",4,(IF(E198="MA",5,(IF(E198="PT",6,(IF(E198="AE",1,(IF(E198="CM",2,(IF(E198="DP",3,(IF(E198="AN",1,(IF(E198="CO",2,(IF(E198="IM",3,(IF(E198="MI",4,(IF(E198="RP",5,(IF(E198="SC",6,0)))))))))))))))))))))))))))))))))))))))</f>
        <v>2</v>
      </c>
      <c r="G198" s="52">
        <v>4</v>
      </c>
      <c r="H198" s="90" t="s">
        <v>115</v>
      </c>
      <c r="I198" s="93" t="s">
        <v>77</v>
      </c>
      <c r="J198" s="87" t="s">
        <v>942</v>
      </c>
      <c r="K198" s="102" t="s">
        <v>2028</v>
      </c>
      <c r="L198" s="117">
        <f>IF(O198="","",N198*O198*M198)</f>
        <v>0</v>
      </c>
      <c r="M198" s="108">
        <v>1</v>
      </c>
      <c r="N198" s="95">
        <v>1</v>
      </c>
      <c r="O198" s="109">
        <f>IF(Key!D$1="ON",P198,IF(SUM(Q198:DL198)&lt;1,"",SUM(Q198:DL198)/COUNTIF(Q198:DL198,"&gt;0")))</f>
        <v>0</v>
      </c>
      <c r="P198" s="109">
        <f>SUMIFS(Q198:DK198,Q$1:DK$1,Dashboard!$K$31)</f>
        <v>0</v>
      </c>
      <c r="U198" s="95">
        <v>33</v>
      </c>
      <c r="AA198" s="95">
        <v>25</v>
      </c>
      <c r="AH198" s="95">
        <v>75</v>
      </c>
    </row>
    <row r="199" spans="1:34" ht="15.6" x14ac:dyDescent="0.3">
      <c r="A199" s="89" t="str">
        <f>CONCATENATE(D199,".",F199,"-",G199,".",H199,"")</f>
        <v>1.2-4.1</v>
      </c>
      <c r="B199" s="89" t="str">
        <f>IF(CONCATENATE(I199,Key!F$2)=CONCATENATE(INDEX(Dashboard!J:J,MATCH(I199,Dashboard!J:J,0),1),INDEX(Dashboard!J:K,MATCH(I199,Dashboard!J:J,0),2)),"ON",IF(Dashboard!K$32="ALL","ON","-"))</f>
        <v>-</v>
      </c>
      <c r="C199" s="96" t="s">
        <v>110</v>
      </c>
      <c r="D199" s="89">
        <f>IF(C199="ID",1,(IF(C199="PR",2,(IF(C199="DE",3,(IF(C199="RS",4,(IF(C199="RC",5,0)))))))))</f>
        <v>1</v>
      </c>
      <c r="E199" s="89" t="s">
        <v>130</v>
      </c>
      <c r="F199" s="89">
        <f>IF(E199="AM",1,(IF(E199="BE",2,(IF(E199="GV",3,(IF(E199="RA",4,(IF(E199="RM",5,(IF(E199="AC",1,(IF(E199="AT",2,(IF(E199="DS",3,(IF(E199="IP",4,(IF(E199="MA",5,(IF(E199="PT",6,(IF(E199="AE",1,(IF(E199="CM",2,(IF(E199="DP",3,(IF(E199="AN",1,(IF(E199="CO",2,(IF(E199="IM",3,(IF(E199="MI",4,(IF(E199="RP",5,(IF(E199="SC",6,0)))))))))))))))))))))))))))))))))))))))</f>
        <v>2</v>
      </c>
      <c r="G199" s="98">
        <v>4</v>
      </c>
      <c r="H199" s="90" t="s">
        <v>115</v>
      </c>
      <c r="I199" s="93" t="s">
        <v>77</v>
      </c>
      <c r="J199" s="87" t="s">
        <v>959</v>
      </c>
      <c r="K199" s="102" t="s">
        <v>2040</v>
      </c>
      <c r="L199" s="117">
        <f>IF(O199="","",N199*O199*M199)</f>
        <v>0</v>
      </c>
      <c r="M199" s="108">
        <v>1</v>
      </c>
      <c r="N199" s="95">
        <v>1</v>
      </c>
      <c r="O199" s="109">
        <f>IF(Key!D$1="ON",P199,IF(SUM(Q199:DL199)&lt;1,"",SUM(Q199:DL199)/COUNTIF(Q199:DL199,"&gt;0")))</f>
        <v>0</v>
      </c>
      <c r="P199" s="109">
        <f>SUMIFS(Q199:DK199,Q$1:DK$1,Dashboard!$K$31)</f>
        <v>0</v>
      </c>
      <c r="U199" s="95">
        <v>33</v>
      </c>
      <c r="AA199" s="95">
        <v>25</v>
      </c>
      <c r="AH199" s="95">
        <v>75</v>
      </c>
    </row>
    <row r="200" spans="1:34" x14ac:dyDescent="0.3">
      <c r="A200" s="89" t="str">
        <f>CONCATENATE(D200,".",F200,"-",G200,".",H200,"")</f>
        <v>1.2-4.1</v>
      </c>
      <c r="B200" s="89" t="str">
        <f>IF(CONCATENATE(I200,Key!F$2)=CONCATENATE(INDEX(Dashboard!J:J,MATCH(I200,Dashboard!J:J,0),1),INDEX(Dashboard!J:K,MATCH(I200,Dashboard!J:J,0),2)),"ON",IF(Dashboard!K$32="ALL","ON","-"))</f>
        <v>-</v>
      </c>
      <c r="C200" s="96" t="s">
        <v>110</v>
      </c>
      <c r="D200" s="89">
        <f>IF(C200="ID",1,(IF(C200="PR",2,(IF(C200="DE",3,(IF(C200="RS",4,(IF(C200="RC",5,0)))))))))</f>
        <v>1</v>
      </c>
      <c r="E200" s="89" t="s">
        <v>130</v>
      </c>
      <c r="F200" s="89">
        <f>IF(E200="AM",1,(IF(E200="BE",2,(IF(E200="GV",3,(IF(E200="RA",4,(IF(E200="RM",5,(IF(E200="AC",1,(IF(E200="AT",2,(IF(E200="DS",3,(IF(E200="IP",4,(IF(E200="MA",5,(IF(E200="PT",6,(IF(E200="AE",1,(IF(E200="CM",2,(IF(E200="DP",3,(IF(E200="AN",1,(IF(E200="CO",2,(IF(E200="IM",3,(IF(E200="MI",4,(IF(E200="RP",5,(IF(E200="SC",6,0)))))))))))))))))))))))))))))))))))))))</f>
        <v>2</v>
      </c>
      <c r="G200" s="98">
        <v>4</v>
      </c>
      <c r="H200" s="90" t="s">
        <v>115</v>
      </c>
      <c r="I200" s="93" t="s">
        <v>77</v>
      </c>
      <c r="J200" s="87" t="s">
        <v>961</v>
      </c>
      <c r="K200" s="102" t="s">
        <v>2041</v>
      </c>
      <c r="L200" s="117">
        <f>IF(O200="","",N200*O200*M200)</f>
        <v>0</v>
      </c>
      <c r="M200" s="108">
        <v>1</v>
      </c>
      <c r="N200" s="95">
        <v>1</v>
      </c>
      <c r="O200" s="109">
        <f>IF(Key!D$1="ON",P200,IF(SUM(Q200:DL200)&lt;1,"",SUM(Q200:DL200)/COUNTIF(Q200:DL200,"&gt;0")))</f>
        <v>0</v>
      </c>
      <c r="P200" s="109">
        <f>SUMIFS(Q200:DK200,Q$1:DK$1,Dashboard!$K$31)</f>
        <v>0</v>
      </c>
      <c r="U200" s="95">
        <v>33</v>
      </c>
      <c r="AA200" s="95">
        <v>25</v>
      </c>
      <c r="AH200" s="95">
        <v>75</v>
      </c>
    </row>
    <row r="201" spans="1:34" x14ac:dyDescent="0.3">
      <c r="A201" s="89" t="str">
        <f>CONCATENATE(D201,".",F201,"-",G201,".",H201,"")</f>
        <v>1.2-4.1</v>
      </c>
      <c r="B201" s="89" t="str">
        <f>IF(CONCATENATE(I201,Key!F$2)=CONCATENATE(INDEX(Dashboard!J:J,MATCH(I201,Dashboard!J:J,0),1),INDEX(Dashboard!J:K,MATCH(I201,Dashboard!J:J,0),2)),"ON",IF(Dashboard!K$32="ALL","ON","-"))</f>
        <v>-</v>
      </c>
      <c r="C201" s="88" t="s">
        <v>110</v>
      </c>
      <c r="D201" s="89">
        <f>IF(C201="ID",1,(IF(C201="PR",2,(IF(C201="DE",3,(IF(C201="RS",4,(IF(C201="RC",5,0)))))))))</f>
        <v>1</v>
      </c>
      <c r="E201" s="89" t="s">
        <v>130</v>
      </c>
      <c r="F201" s="89">
        <f>IF(E201="AM",1,(IF(E201="BE",2,(IF(E201="GV",3,(IF(E201="RA",4,(IF(E201="RM",5,(IF(E201="AC",1,(IF(E201="AT",2,(IF(E201="DS",3,(IF(E201="IP",4,(IF(E201="MA",5,(IF(E201="PT",6,(IF(E201="AE",1,(IF(E201="CM",2,(IF(E201="DP",3,(IF(E201="AN",1,(IF(E201="CO",2,(IF(E201="IM",3,(IF(E201="MI",4,(IF(E201="RP",5,(IF(E201="SC",6,0)))))))))))))))))))))))))))))))))))))))</f>
        <v>2</v>
      </c>
      <c r="G201" s="52">
        <v>4</v>
      </c>
      <c r="H201" s="90" t="s">
        <v>115</v>
      </c>
      <c r="I201" s="93" t="s">
        <v>77</v>
      </c>
      <c r="J201" s="87" t="s">
        <v>963</v>
      </c>
      <c r="K201" s="102" t="s">
        <v>2042</v>
      </c>
      <c r="L201" s="117">
        <f>IF(O201="","",N201*O201*M201)</f>
        <v>0</v>
      </c>
      <c r="M201" s="108">
        <v>1</v>
      </c>
      <c r="N201" s="95">
        <v>1</v>
      </c>
      <c r="O201" s="109">
        <f>IF(Key!D$1="ON",P201,IF(SUM(Q201:DL201)&lt;1,"",SUM(Q201:DL201)/COUNTIF(Q201:DL201,"&gt;0")))</f>
        <v>0</v>
      </c>
      <c r="P201" s="109">
        <f>SUMIFS(Q201:DK201,Q$1:DK$1,Dashboard!$K$31)</f>
        <v>0</v>
      </c>
      <c r="U201" s="95">
        <v>33</v>
      </c>
      <c r="AA201" s="95">
        <v>25</v>
      </c>
      <c r="AH201" s="95">
        <v>75</v>
      </c>
    </row>
    <row r="202" spans="1:34" x14ac:dyDescent="0.3">
      <c r="A202" s="89" t="str">
        <f>CONCATENATE(D202,".",F202,"-",G202,".",H202,"")</f>
        <v>1.2-4.1</v>
      </c>
      <c r="B202" s="89" t="str">
        <f>IF(CONCATENATE(I202,Key!F$2)=CONCATENATE(INDEX(Dashboard!J:J,MATCH(I202,Dashboard!J:J,0),1),INDEX(Dashboard!J:K,MATCH(I202,Dashboard!J:J,0),2)),"ON",IF(Dashboard!K$32="ALL","ON","-"))</f>
        <v>-</v>
      </c>
      <c r="C202" s="88" t="s">
        <v>110</v>
      </c>
      <c r="D202" s="89">
        <f>IF(C202="ID",1,(IF(C202="PR",2,(IF(C202="DE",3,(IF(C202="RS",4,(IF(C202="RC",5,0)))))))))</f>
        <v>1</v>
      </c>
      <c r="E202" s="89" t="s">
        <v>130</v>
      </c>
      <c r="F202" s="89">
        <f>IF(E202="AM",1,(IF(E202="BE",2,(IF(E202="GV",3,(IF(E202="RA",4,(IF(E202="RM",5,(IF(E202="AC",1,(IF(E202="AT",2,(IF(E202="DS",3,(IF(E202="IP",4,(IF(E202="MA",5,(IF(E202="PT",6,(IF(E202="AE",1,(IF(E202="CM",2,(IF(E202="DP",3,(IF(E202="AN",1,(IF(E202="CO",2,(IF(E202="IM",3,(IF(E202="MI",4,(IF(E202="RP",5,(IF(E202="SC",6,0)))))))))))))))))))))))))))))))))))))))</f>
        <v>2</v>
      </c>
      <c r="G202" s="52">
        <v>4</v>
      </c>
      <c r="H202" s="90" t="s">
        <v>115</v>
      </c>
      <c r="I202" s="93" t="s">
        <v>77</v>
      </c>
      <c r="J202" s="87" t="s">
        <v>964</v>
      </c>
      <c r="K202" s="102" t="s">
        <v>2043</v>
      </c>
      <c r="L202" s="117">
        <f>IF(O202="","",N202*O202*M202)</f>
        <v>0</v>
      </c>
      <c r="M202" s="108">
        <v>1</v>
      </c>
      <c r="N202" s="95">
        <v>1</v>
      </c>
      <c r="O202" s="109">
        <f>IF(Key!D$1="ON",P202,IF(SUM(Q202:DL202)&lt;1,"",SUM(Q202:DL202)/COUNTIF(Q202:DL202,"&gt;0")))</f>
        <v>0</v>
      </c>
      <c r="P202" s="109">
        <f>SUMIFS(Q202:DK202,Q$1:DK$1,Dashboard!$K$31)</f>
        <v>0</v>
      </c>
      <c r="U202" s="95">
        <v>33</v>
      </c>
      <c r="AA202" s="95">
        <v>25</v>
      </c>
      <c r="AH202" s="95">
        <v>75</v>
      </c>
    </row>
    <row r="203" spans="1:34" ht="15.6" x14ac:dyDescent="0.3">
      <c r="A203" s="89" t="str">
        <f>CONCATENATE(D203,".",F203,"-",G203,".",H203,"")</f>
        <v>1.2-4.1</v>
      </c>
      <c r="B203" s="89" t="str">
        <f>IF(CONCATENATE(I203,Key!F$2)=CONCATENATE(INDEX(Dashboard!J:J,MATCH(I203,Dashboard!J:J,0),1),INDEX(Dashboard!J:K,MATCH(I203,Dashboard!J:J,0),2)),"ON",IF(Dashboard!K$32="ALL","ON","-"))</f>
        <v>-</v>
      </c>
      <c r="C203" s="96" t="s">
        <v>110</v>
      </c>
      <c r="D203" s="89">
        <f>IF(C203="ID",1,(IF(C203="PR",2,(IF(C203="DE",3,(IF(C203="RS",4,(IF(C203="RC",5,0)))))))))</f>
        <v>1</v>
      </c>
      <c r="E203" s="89" t="s">
        <v>130</v>
      </c>
      <c r="F203" s="89">
        <f>IF(E203="AM",1,(IF(E203="BE",2,(IF(E203="GV",3,(IF(E203="RA",4,(IF(E203="RM",5,(IF(E203="AC",1,(IF(E203="AT",2,(IF(E203="DS",3,(IF(E203="IP",4,(IF(E203="MA",5,(IF(E203="PT",6,(IF(E203="AE",1,(IF(E203="CM",2,(IF(E203="DP",3,(IF(E203="AN",1,(IF(E203="CO",2,(IF(E203="IM",3,(IF(E203="MI",4,(IF(E203="RP",5,(IF(E203="SC",6,0)))))))))))))))))))))))))))))))))))))))</f>
        <v>2</v>
      </c>
      <c r="G203" s="98">
        <v>4</v>
      </c>
      <c r="H203" s="90" t="s">
        <v>115</v>
      </c>
      <c r="I203" s="93" t="s">
        <v>77</v>
      </c>
      <c r="J203" s="87" t="s">
        <v>965</v>
      </c>
      <c r="K203" s="102" t="s">
        <v>2044</v>
      </c>
      <c r="L203" s="117">
        <f>IF(O203="","",N203*O203*M203)</f>
        <v>0</v>
      </c>
      <c r="M203" s="108">
        <v>1</v>
      </c>
      <c r="N203" s="95">
        <v>1</v>
      </c>
      <c r="O203" s="109">
        <f>IF(Key!D$1="ON",P203,IF(SUM(Q203:DL203)&lt;1,"",SUM(Q203:DL203)/COUNTIF(Q203:DL203,"&gt;0")))</f>
        <v>0</v>
      </c>
      <c r="P203" s="109">
        <f>SUMIFS(Q203:DK203,Q$1:DK$1,Dashboard!$K$31)</f>
        <v>0</v>
      </c>
      <c r="U203" s="95">
        <v>33</v>
      </c>
      <c r="AA203" s="95">
        <v>25</v>
      </c>
      <c r="AH203" s="95">
        <v>75</v>
      </c>
    </row>
    <row r="204" spans="1:34" x14ac:dyDescent="0.3">
      <c r="A204" s="89" t="str">
        <f>CONCATENATE(D204,".",F204,"-",G204,".",H204,"")</f>
        <v>1.2-4.1</v>
      </c>
      <c r="B204" s="89" t="str">
        <f>IF(CONCATENATE(I204,Key!F$2)=CONCATENATE(INDEX(Dashboard!J:J,MATCH(I204,Dashboard!J:J,0),1),INDEX(Dashboard!J:K,MATCH(I204,Dashboard!J:J,0),2)),"ON",IF(Dashboard!K$32="ALL","ON","-"))</f>
        <v>-</v>
      </c>
      <c r="C204" s="88" t="s">
        <v>110</v>
      </c>
      <c r="D204" s="89">
        <f>IF(C204="ID",1,(IF(C204="PR",2,(IF(C204="DE",3,(IF(C204="RS",4,(IF(C204="RC",5,0)))))))))</f>
        <v>1</v>
      </c>
      <c r="E204" s="89" t="s">
        <v>130</v>
      </c>
      <c r="F204" s="89">
        <f>IF(E204="AM",1,(IF(E204="BE",2,(IF(E204="GV",3,(IF(E204="RA",4,(IF(E204="RM",5,(IF(E204="AC",1,(IF(E204="AT",2,(IF(E204="DS",3,(IF(E204="IP",4,(IF(E204="MA",5,(IF(E204="PT",6,(IF(E204="AE",1,(IF(E204="CM",2,(IF(E204="DP",3,(IF(E204="AN",1,(IF(E204="CO",2,(IF(E204="IM",3,(IF(E204="MI",4,(IF(E204="RP",5,(IF(E204="SC",6,0)))))))))))))))))))))))))))))))))))))))</f>
        <v>2</v>
      </c>
      <c r="G204" s="52">
        <v>4</v>
      </c>
      <c r="H204" s="90" t="s">
        <v>115</v>
      </c>
      <c r="I204" s="93" t="s">
        <v>77</v>
      </c>
      <c r="J204" s="87" t="s">
        <v>967</v>
      </c>
      <c r="K204" s="102" t="s">
        <v>2045</v>
      </c>
      <c r="L204" s="117">
        <f>IF(O204="","",N204*O204*M204)</f>
        <v>0</v>
      </c>
      <c r="M204" s="108">
        <v>1</v>
      </c>
      <c r="N204" s="95">
        <v>1</v>
      </c>
      <c r="O204" s="109">
        <f>IF(Key!D$1="ON",P204,IF(SUM(Q204:DL204)&lt;1,"",SUM(Q204:DL204)/COUNTIF(Q204:DL204,"&gt;0")))</f>
        <v>0</v>
      </c>
      <c r="P204" s="109">
        <f>SUMIFS(Q204:DK204,Q$1:DK$1,Dashboard!$K$31)</f>
        <v>0</v>
      </c>
      <c r="U204" s="95">
        <v>33</v>
      </c>
      <c r="AA204" s="95">
        <v>25</v>
      </c>
      <c r="AH204" s="95">
        <v>75</v>
      </c>
    </row>
    <row r="205" spans="1:34" x14ac:dyDescent="0.3">
      <c r="A205" s="89" t="str">
        <f>CONCATENATE(D205,".",F205,"-",G205,".",H205,"")</f>
        <v>1.2-4.1</v>
      </c>
      <c r="B205" s="89" t="str">
        <f>IF(CONCATENATE(I205,Key!F$2)=CONCATENATE(INDEX(Dashboard!J:J,MATCH(I205,Dashboard!J:J,0),1),INDEX(Dashboard!J:K,MATCH(I205,Dashboard!J:J,0),2)),"ON",IF(Dashboard!K$32="ALL","ON","-"))</f>
        <v>-</v>
      </c>
      <c r="C205" s="96" t="s">
        <v>110</v>
      </c>
      <c r="D205" s="89">
        <f>IF(C205="ID",1,(IF(C205="PR",2,(IF(C205="DE",3,(IF(C205="RS",4,(IF(C205="RC",5,0)))))))))</f>
        <v>1</v>
      </c>
      <c r="E205" s="89" t="s">
        <v>130</v>
      </c>
      <c r="F205" s="89">
        <f>IF(E205="AM",1,(IF(E205="BE",2,(IF(E205="GV",3,(IF(E205="RA",4,(IF(E205="RM",5,(IF(E205="AC",1,(IF(E205="AT",2,(IF(E205="DS",3,(IF(E205="IP",4,(IF(E205="MA",5,(IF(E205="PT",6,(IF(E205="AE",1,(IF(E205="CM",2,(IF(E205="DP",3,(IF(E205="AN",1,(IF(E205="CO",2,(IF(E205="IM",3,(IF(E205="MI",4,(IF(E205="RP",5,(IF(E205="SC",6,0)))))))))))))))))))))))))))))))))))))))</f>
        <v>2</v>
      </c>
      <c r="G205" s="98">
        <v>4</v>
      </c>
      <c r="H205" s="90" t="s">
        <v>115</v>
      </c>
      <c r="I205" s="93" t="s">
        <v>77</v>
      </c>
      <c r="J205" s="87" t="s">
        <v>968</v>
      </c>
      <c r="K205" s="102" t="s">
        <v>2046</v>
      </c>
      <c r="L205" s="117">
        <f>IF(O205="","",N205*O205*M205)</f>
        <v>0</v>
      </c>
      <c r="M205" s="108">
        <v>1</v>
      </c>
      <c r="N205" s="95">
        <v>1</v>
      </c>
      <c r="O205" s="109">
        <f>IF(Key!D$1="ON",P205,IF(SUM(Q205:DL205)&lt;1,"",SUM(Q205:DL205)/COUNTIF(Q205:DL205,"&gt;0")))</f>
        <v>0</v>
      </c>
      <c r="P205" s="109">
        <f>SUMIFS(Q205:DK205,Q$1:DK$1,Dashboard!$K$31)</f>
        <v>0</v>
      </c>
      <c r="U205" s="95">
        <v>33</v>
      </c>
      <c r="AA205" s="95">
        <v>25</v>
      </c>
      <c r="AH205" s="95">
        <v>75</v>
      </c>
    </row>
    <row r="206" spans="1:34" x14ac:dyDescent="0.3">
      <c r="A206" s="89" t="str">
        <f>CONCATENATE(D206,".",F206,"-",G206,".",H206,"")</f>
        <v>1.2-4.1</v>
      </c>
      <c r="B206" s="89" t="str">
        <f>IF(CONCATENATE(I206,Key!F$2)=CONCATENATE(INDEX(Dashboard!J:J,MATCH(I206,Dashboard!J:J,0),1),INDEX(Dashboard!J:K,MATCH(I206,Dashboard!J:J,0),2)),"ON",IF(Dashboard!K$32="ALL","ON","-"))</f>
        <v>-</v>
      </c>
      <c r="C206" s="88" t="s">
        <v>110</v>
      </c>
      <c r="D206" s="89">
        <f>IF(C206="ID",1,(IF(C206="PR",2,(IF(C206="DE",3,(IF(C206="RS",4,(IF(C206="RC",5,0)))))))))</f>
        <v>1</v>
      </c>
      <c r="E206" s="89" t="s">
        <v>130</v>
      </c>
      <c r="F206" s="89">
        <f>IF(E206="AM",1,(IF(E206="BE",2,(IF(E206="GV",3,(IF(E206="RA",4,(IF(E206="RM",5,(IF(E206="AC",1,(IF(E206="AT",2,(IF(E206="DS",3,(IF(E206="IP",4,(IF(E206="MA",5,(IF(E206="PT",6,(IF(E206="AE",1,(IF(E206="CM",2,(IF(E206="DP",3,(IF(E206="AN",1,(IF(E206="CO",2,(IF(E206="IM",3,(IF(E206="MI",4,(IF(E206="RP",5,(IF(E206="SC",6,0)))))))))))))))))))))))))))))))))))))))</f>
        <v>2</v>
      </c>
      <c r="G206" s="52">
        <v>4</v>
      </c>
      <c r="H206" s="90" t="s">
        <v>115</v>
      </c>
      <c r="I206" s="93" t="s">
        <v>85</v>
      </c>
      <c r="J206" s="87" t="s">
        <v>963</v>
      </c>
      <c r="K206" s="119" t="s">
        <v>4862</v>
      </c>
      <c r="L206" s="117">
        <f>IF(O206="","",N206*O206*M206)</f>
        <v>0</v>
      </c>
      <c r="M206" s="108">
        <v>1</v>
      </c>
      <c r="N206" s="95">
        <v>1</v>
      </c>
      <c r="O206" s="109">
        <f>IF(Key!D$1="ON",P206,IF(SUM(Q206:DL206)&lt;1,"",SUM(Q206:DL206)/COUNTIF(Q206:DL206,"&gt;0")))</f>
        <v>0</v>
      </c>
      <c r="P206" s="109">
        <f>SUMIFS(Q206:DK206,Q$1:DK$1,Dashboard!$K$31)</f>
        <v>0</v>
      </c>
      <c r="U206" s="95">
        <v>33</v>
      </c>
      <c r="AA206" s="95">
        <v>25</v>
      </c>
      <c r="AH206" s="95">
        <v>75</v>
      </c>
    </row>
    <row r="207" spans="1:34" x14ac:dyDescent="0.3">
      <c r="A207" s="89" t="str">
        <f>CONCATENATE(D207,".",F207,"-",G207,".",H207,"")</f>
        <v>1.2-4.1</v>
      </c>
      <c r="B207" s="89" t="str">
        <f>IF(CONCATENATE(I207,Key!F$2)=CONCATENATE(INDEX(Dashboard!J:J,MATCH(I207,Dashboard!J:J,0),1),INDEX(Dashboard!J:K,MATCH(I207,Dashboard!J:J,0),2)),"ON",IF(Dashboard!K$32="ALL","ON","-"))</f>
        <v>-</v>
      </c>
      <c r="C207" s="88" t="s">
        <v>110</v>
      </c>
      <c r="D207" s="89">
        <f>IF(C207="ID",1,(IF(C207="PR",2,(IF(C207="DE",3,(IF(C207="RS",4,(IF(C207="RC",5,0)))))))))</f>
        <v>1</v>
      </c>
      <c r="E207" s="89" t="s">
        <v>130</v>
      </c>
      <c r="F207" s="89">
        <f>IF(E207="AM",1,(IF(E207="BE",2,(IF(E207="GV",3,(IF(E207="RA",4,(IF(E207="RM",5,(IF(E207="AC",1,(IF(E207="AT",2,(IF(E207="DS",3,(IF(E207="IP",4,(IF(E207="MA",5,(IF(E207="PT",6,(IF(E207="AE",1,(IF(E207="CM",2,(IF(E207="DP",3,(IF(E207="AN",1,(IF(E207="CO",2,(IF(E207="IM",3,(IF(E207="MI",4,(IF(E207="RP",5,(IF(E207="SC",6,0)))))))))))))))))))))))))))))))))))))))</f>
        <v>2</v>
      </c>
      <c r="G207" s="52">
        <v>4</v>
      </c>
      <c r="H207" s="90" t="s">
        <v>115</v>
      </c>
      <c r="I207" s="93" t="s">
        <v>85</v>
      </c>
      <c r="J207" s="128" t="s">
        <v>964</v>
      </c>
      <c r="K207" s="119" t="s">
        <v>4863</v>
      </c>
      <c r="L207" s="117">
        <f>IF(O207="","",N207*O207*M207)</f>
        <v>0</v>
      </c>
      <c r="M207" s="108">
        <v>1</v>
      </c>
      <c r="N207" s="95">
        <v>1</v>
      </c>
      <c r="O207" s="109">
        <f>IF(Key!D$1="ON",P207,IF(SUM(Q207:DL207)&lt;1,"",SUM(Q207:DL207)/COUNTIF(Q207:DL207,"&gt;0")))</f>
        <v>0</v>
      </c>
      <c r="P207" s="109">
        <f>SUMIFS(Q207:DK207,Q$1:DK$1,Dashboard!$K$31)</f>
        <v>0</v>
      </c>
      <c r="U207" s="95">
        <v>33</v>
      </c>
      <c r="AA207" s="95">
        <v>25</v>
      </c>
      <c r="AH207" s="95">
        <v>75</v>
      </c>
    </row>
    <row r="208" spans="1:34" ht="15.6" x14ac:dyDescent="0.3">
      <c r="A208" s="89" t="str">
        <f>CONCATENATE(D208,".",F208,"-",G208,".",H208,"")</f>
        <v>1.2-4.1</v>
      </c>
      <c r="B208" s="89" t="str">
        <f>IF(CONCATENATE(I208,Key!F$2)=CONCATENATE(INDEX(Dashboard!J:J,MATCH(I208,Dashboard!J:J,0),1),INDEX(Dashboard!J:K,MATCH(I208,Dashboard!J:J,0),2)),"ON",IF(Dashboard!K$32="ALL","ON","-"))</f>
        <v>-</v>
      </c>
      <c r="C208" s="88" t="s">
        <v>110</v>
      </c>
      <c r="D208" s="89">
        <f>IF(C208="ID",1,(IF(C208="PR",2,(IF(C208="DE",3,(IF(C208="RS",4,(IF(C208="RC",5,0)))))))))</f>
        <v>1</v>
      </c>
      <c r="E208" s="89" t="s">
        <v>130</v>
      </c>
      <c r="F208" s="89">
        <f>IF(E208="AM",1,(IF(E208="BE",2,(IF(E208="GV",3,(IF(E208="RA",4,(IF(E208="RM",5,(IF(E208="AC",1,(IF(E208="AT",2,(IF(E208="DS",3,(IF(E208="IP",4,(IF(E208="MA",5,(IF(E208="PT",6,(IF(E208="AE",1,(IF(E208="CM",2,(IF(E208="DP",3,(IF(E208="AN",1,(IF(E208="CO",2,(IF(E208="IM",3,(IF(E208="MI",4,(IF(E208="RP",5,(IF(E208="SC",6,0)))))))))))))))))))))))))))))))))))))))</f>
        <v>2</v>
      </c>
      <c r="G208" s="52">
        <v>4</v>
      </c>
      <c r="H208" s="90" t="s">
        <v>115</v>
      </c>
      <c r="I208" s="93" t="s">
        <v>85</v>
      </c>
      <c r="J208" s="128" t="s">
        <v>967</v>
      </c>
      <c r="K208" s="119" t="s">
        <v>4861</v>
      </c>
      <c r="L208" s="117">
        <f>IF(O208="","",N208*O208*M208)</f>
        <v>0</v>
      </c>
      <c r="M208" s="108">
        <v>1</v>
      </c>
      <c r="N208" s="95">
        <v>1</v>
      </c>
      <c r="O208" s="109">
        <f>IF(Key!D$1="ON",P208,IF(SUM(Q208:DL208)&lt;1,"",SUM(Q208:DL208)/COUNTIF(Q208:DL208,"&gt;0")))</f>
        <v>0</v>
      </c>
      <c r="P208" s="109">
        <f>SUMIFS(Q208:DK208,Q$1:DK$1,Dashboard!$K$31)</f>
        <v>0</v>
      </c>
      <c r="U208" s="95">
        <v>33</v>
      </c>
      <c r="AA208" s="95">
        <v>25</v>
      </c>
      <c r="AH208" s="95">
        <v>75</v>
      </c>
    </row>
    <row r="209" spans="1:34" ht="15.6" x14ac:dyDescent="0.3">
      <c r="A209" s="89" t="str">
        <f>CONCATENATE(D209,".",F209,"-",G209,".",H209,"")</f>
        <v>1.2-4.1</v>
      </c>
      <c r="B209" s="89" t="str">
        <f>IF(CONCATENATE(I209,Key!F$2)=CONCATENATE(INDEX(Dashboard!J:J,MATCH(I209,Dashboard!J:J,0),1),INDEX(Dashboard!J:K,MATCH(I209,Dashboard!J:J,0),2)),"ON",IF(Dashboard!K$32="ALL","ON","-"))</f>
        <v>-</v>
      </c>
      <c r="C209" s="88" t="s">
        <v>110</v>
      </c>
      <c r="D209" s="89">
        <f>IF(C209="ID",1,(IF(C209="PR",2,(IF(C209="DE",3,(IF(C209="RS",4,(IF(C209="RC",5,0)))))))))</f>
        <v>1</v>
      </c>
      <c r="E209" s="89" t="s">
        <v>130</v>
      </c>
      <c r="F209" s="89">
        <f>IF(E209="AM",1,(IF(E209="BE",2,(IF(E209="GV",3,(IF(E209="RA",4,(IF(E209="RM",5,(IF(E209="AC",1,(IF(E209="AT",2,(IF(E209="DS",3,(IF(E209="IP",4,(IF(E209="MA",5,(IF(E209="PT",6,(IF(E209="AE",1,(IF(E209="CM",2,(IF(E209="DP",3,(IF(E209="AN",1,(IF(E209="CO",2,(IF(E209="IM",3,(IF(E209="MI",4,(IF(E209="RP",5,(IF(E209="SC",6,0)))))))))))))))))))))))))))))))))))))))</f>
        <v>2</v>
      </c>
      <c r="G209" s="52">
        <v>4</v>
      </c>
      <c r="H209" s="90" t="s">
        <v>115</v>
      </c>
      <c r="I209" s="93" t="s">
        <v>85</v>
      </c>
      <c r="J209" s="87" t="s">
        <v>771</v>
      </c>
      <c r="K209" s="119" t="s">
        <v>772</v>
      </c>
      <c r="L209" s="117">
        <f>IF(O209="","",N209*O209*M209)</f>
        <v>0</v>
      </c>
      <c r="M209" s="108">
        <v>1</v>
      </c>
      <c r="N209" s="95">
        <v>1</v>
      </c>
      <c r="O209" s="109">
        <f>IF(Key!D$1="ON",P209,IF(SUM(Q209:DL209)&lt;1,"",SUM(Q209:DL209)/COUNTIF(Q209:DL209,"&gt;0")))</f>
        <v>0</v>
      </c>
      <c r="P209" s="109">
        <f>SUMIFS(Q209:DK209,Q$1:DK$1,Dashboard!$K$31)</f>
        <v>0</v>
      </c>
      <c r="U209" s="95">
        <v>33</v>
      </c>
      <c r="AA209" s="95">
        <v>25</v>
      </c>
      <c r="AH209" s="95">
        <v>75</v>
      </c>
    </row>
    <row r="210" spans="1:34" x14ac:dyDescent="0.3">
      <c r="A210" s="89" t="str">
        <f>CONCATENATE(D210,".",F210,"-",G210,".",H210,"")</f>
        <v>1.2-4.1</v>
      </c>
      <c r="B210" s="89" t="str">
        <f>IF(CONCATENATE(I210,Key!F$2)=CONCATENATE(INDEX(Dashboard!J:J,MATCH(I210,Dashboard!J:J,0),1),INDEX(Dashboard!J:K,MATCH(I210,Dashboard!J:J,0),2)),"ON",IF(Dashboard!K$32="ALL","ON","-"))</f>
        <v>-</v>
      </c>
      <c r="C210" s="96" t="s">
        <v>110</v>
      </c>
      <c r="D210" s="89">
        <f>IF(C210="ID",1,(IF(C210="PR",2,(IF(C210="DE",3,(IF(C210="RS",4,(IF(C210="RC",5,0)))))))))</f>
        <v>1</v>
      </c>
      <c r="E210" s="89" t="s">
        <v>130</v>
      </c>
      <c r="F210" s="89">
        <f>IF(E210="AM",1,(IF(E210="BE",2,(IF(E210="GV",3,(IF(E210="RA",4,(IF(E210="RM",5,(IF(E210="AC",1,(IF(E210="AT",2,(IF(E210="DS",3,(IF(E210="IP",4,(IF(E210="MA",5,(IF(E210="PT",6,(IF(E210="AE",1,(IF(E210="CM",2,(IF(E210="DP",3,(IF(E210="AN",1,(IF(E210="CO",2,(IF(E210="IM",3,(IF(E210="MI",4,(IF(E210="RP",5,(IF(E210="SC",6,0)))))))))))))))))))))))))))))))))))))))</f>
        <v>2</v>
      </c>
      <c r="G210" s="98">
        <v>4</v>
      </c>
      <c r="H210" s="90" t="s">
        <v>115</v>
      </c>
      <c r="I210" s="93" t="s">
        <v>85</v>
      </c>
      <c r="J210" s="87" t="s">
        <v>961</v>
      </c>
      <c r="K210" s="119" t="s">
        <v>962</v>
      </c>
      <c r="L210" s="117">
        <f>IF(O210="","",N210*O210*M210)</f>
        <v>0</v>
      </c>
      <c r="M210" s="108">
        <v>1</v>
      </c>
      <c r="N210" s="95">
        <v>1</v>
      </c>
      <c r="O210" s="109">
        <f>IF(Key!D$1="ON",P210,IF(SUM(Q210:DL210)&lt;1,"",SUM(Q210:DL210)/COUNTIF(Q210:DL210,"&gt;0")))</f>
        <v>0</v>
      </c>
      <c r="P210" s="109">
        <f>SUMIFS(Q210:DK210,Q$1:DK$1,Dashboard!$K$31)</f>
        <v>0</v>
      </c>
      <c r="U210" s="95">
        <v>33</v>
      </c>
      <c r="AA210" s="95">
        <v>25</v>
      </c>
      <c r="AH210" s="95">
        <v>75</v>
      </c>
    </row>
    <row r="211" spans="1:34" x14ac:dyDescent="0.3">
      <c r="A211" s="89" t="str">
        <f>CONCATENATE(D211,".",F211,"-",G211,".",H211,"")</f>
        <v>1.2-4.1</v>
      </c>
      <c r="B211" s="89" t="str">
        <f>IF(CONCATENATE(I211,Key!F$2)=CONCATENATE(INDEX(Dashboard!J:J,MATCH(I211,Dashboard!J:J,0),1),INDEX(Dashboard!J:K,MATCH(I211,Dashboard!J:J,0),2)),"ON",IF(Dashboard!K$32="ALL","ON","-"))</f>
        <v>-</v>
      </c>
      <c r="C211" s="88" t="s">
        <v>110</v>
      </c>
      <c r="D211" s="89">
        <f>IF(C211="ID",1,(IF(C211="PR",2,(IF(C211="DE",3,(IF(C211="RS",4,(IF(C211="RC",5,0)))))))))</f>
        <v>1</v>
      </c>
      <c r="E211" s="89" t="s">
        <v>130</v>
      </c>
      <c r="F211" s="89">
        <f>IF(E211="AM",1,(IF(E211="BE",2,(IF(E211="GV",3,(IF(E211="RA",4,(IF(E211="RM",5,(IF(E211="AC",1,(IF(E211="AT",2,(IF(E211="DS",3,(IF(E211="IP",4,(IF(E211="MA",5,(IF(E211="PT",6,(IF(E211="AE",1,(IF(E211="CM",2,(IF(E211="DP",3,(IF(E211="AN",1,(IF(E211="CO",2,(IF(E211="IM",3,(IF(E211="MI",4,(IF(E211="RP",5,(IF(E211="SC",6,0)))))))))))))))))))))))))))))))))))))))</f>
        <v>2</v>
      </c>
      <c r="G211" s="52">
        <v>4</v>
      </c>
      <c r="H211" s="90" t="s">
        <v>115</v>
      </c>
      <c r="I211" s="93" t="s">
        <v>85</v>
      </c>
      <c r="J211" s="87" t="s">
        <v>942</v>
      </c>
      <c r="K211" s="119" t="s">
        <v>4715</v>
      </c>
      <c r="L211" s="117">
        <f>IF(O211="","",N211*O211*M211)</f>
        <v>0</v>
      </c>
      <c r="M211" s="108">
        <v>1</v>
      </c>
      <c r="N211" s="95">
        <v>1</v>
      </c>
      <c r="O211" s="109">
        <f>IF(Key!D$1="ON",P211,IF(SUM(Q211:DL211)&lt;1,"",SUM(Q211:DL211)/COUNTIF(Q211:DL211,"&gt;0")))</f>
        <v>0</v>
      </c>
      <c r="P211" s="109">
        <f>SUMIFS(Q211:DK211,Q$1:DK$1,Dashboard!$K$31)</f>
        <v>0</v>
      </c>
      <c r="U211" s="95">
        <v>33</v>
      </c>
      <c r="AA211" s="95">
        <v>25</v>
      </c>
      <c r="AH211" s="95">
        <v>75</v>
      </c>
    </row>
    <row r="212" spans="1:34" ht="15.6" x14ac:dyDescent="0.3">
      <c r="A212" s="89" t="str">
        <f>CONCATENATE(D212,".",F212,"-",G212,".",H212,"")</f>
        <v>1.2-4.1</v>
      </c>
      <c r="B212" s="89" t="str">
        <f>IF(CONCATENATE(I212,Key!F$2)=CONCATENATE(INDEX(Dashboard!J:J,MATCH(I212,Dashboard!J:J,0),1),INDEX(Dashboard!J:K,MATCH(I212,Dashboard!J:J,0),2)),"ON",IF(Dashboard!K$32="ALL","ON","-"))</f>
        <v>-</v>
      </c>
      <c r="C212" s="96" t="s">
        <v>110</v>
      </c>
      <c r="D212" s="89">
        <f>IF(C212="ID",1,(IF(C212="PR",2,(IF(C212="DE",3,(IF(C212="RS",4,(IF(C212="RC",5,0)))))))))</f>
        <v>1</v>
      </c>
      <c r="E212" s="89" t="s">
        <v>130</v>
      </c>
      <c r="F212" s="89">
        <f>IF(E212="AM",1,(IF(E212="BE",2,(IF(E212="GV",3,(IF(E212="RA",4,(IF(E212="RM",5,(IF(E212="AC",1,(IF(E212="AT",2,(IF(E212="DS",3,(IF(E212="IP",4,(IF(E212="MA",5,(IF(E212="PT",6,(IF(E212="AE",1,(IF(E212="CM",2,(IF(E212="DP",3,(IF(E212="AN",1,(IF(E212="CO",2,(IF(E212="IM",3,(IF(E212="MI",4,(IF(E212="RP",5,(IF(E212="SC",6,0)))))))))))))))))))))))))))))))))))))))</f>
        <v>2</v>
      </c>
      <c r="G212" s="98">
        <v>4</v>
      </c>
      <c r="H212" s="90" t="s">
        <v>115</v>
      </c>
      <c r="I212" s="93" t="s">
        <v>85</v>
      </c>
      <c r="J212" s="87" t="s">
        <v>965</v>
      </c>
      <c r="K212" s="119" t="s">
        <v>966</v>
      </c>
      <c r="L212" s="117">
        <f>IF(O212="","",N212*O212*M212)</f>
        <v>0</v>
      </c>
      <c r="M212" s="108">
        <v>1</v>
      </c>
      <c r="N212" s="95">
        <v>1</v>
      </c>
      <c r="O212" s="109">
        <f>IF(Key!D$1="ON",P212,IF(SUM(Q212:DL212)&lt;1,"",SUM(Q212:DL212)/COUNTIF(Q212:DL212,"&gt;0")))</f>
        <v>0</v>
      </c>
      <c r="P212" s="109">
        <f>SUMIFS(Q212:DK212,Q$1:DK$1,Dashboard!$K$31)</f>
        <v>0</v>
      </c>
      <c r="U212" s="95">
        <v>33</v>
      </c>
      <c r="AA212" s="95">
        <v>25</v>
      </c>
      <c r="AH212" s="95">
        <v>75</v>
      </c>
    </row>
    <row r="213" spans="1:34" ht="15.6" x14ac:dyDescent="0.3">
      <c r="A213" s="89" t="str">
        <f>CONCATENATE(D213,".",F213,"-",G213,".",H213,"")</f>
        <v>1.2-4.1</v>
      </c>
      <c r="B213" s="89" t="str">
        <f>IF(CONCATENATE(I213,Key!F$2)=CONCATENATE(INDEX(Dashboard!J:J,MATCH(I213,Dashboard!J:J,0),1),INDEX(Dashboard!J:K,MATCH(I213,Dashboard!J:J,0),2)),"ON",IF(Dashboard!K$32="ALL","ON","-"))</f>
        <v>-</v>
      </c>
      <c r="C213" s="96" t="s">
        <v>110</v>
      </c>
      <c r="D213" s="89">
        <f>IF(C213="ID",1,(IF(C213="PR",2,(IF(C213="DE",3,(IF(C213="RS",4,(IF(C213="RC",5,0)))))))))</f>
        <v>1</v>
      </c>
      <c r="E213" s="89" t="s">
        <v>130</v>
      </c>
      <c r="F213" s="89">
        <f>IF(E213="AM",1,(IF(E213="BE",2,(IF(E213="GV",3,(IF(E213="RA",4,(IF(E213="RM",5,(IF(E213="AC",1,(IF(E213="AT",2,(IF(E213="DS",3,(IF(E213="IP",4,(IF(E213="MA",5,(IF(E213="PT",6,(IF(E213="AE",1,(IF(E213="CM",2,(IF(E213="DP",3,(IF(E213="AN",1,(IF(E213="CO",2,(IF(E213="IM",3,(IF(E213="MI",4,(IF(E213="RP",5,(IF(E213="SC",6,0)))))))))))))))))))))))))))))))))))))))</f>
        <v>2</v>
      </c>
      <c r="G213" s="98">
        <v>4</v>
      </c>
      <c r="H213" s="90" t="s">
        <v>115</v>
      </c>
      <c r="I213" s="93" t="s">
        <v>85</v>
      </c>
      <c r="J213" s="87" t="s">
        <v>959</v>
      </c>
      <c r="K213" s="119" t="s">
        <v>960</v>
      </c>
      <c r="L213" s="117">
        <f>IF(O213="","",N213*O213*M213)</f>
        <v>0</v>
      </c>
      <c r="M213" s="108">
        <v>1</v>
      </c>
      <c r="N213" s="95">
        <v>1</v>
      </c>
      <c r="O213" s="109">
        <f>IF(Key!D$1="ON",P213,IF(SUM(Q213:DL213)&lt;1,"",SUM(Q213:DL213)/COUNTIF(Q213:DL213,"&gt;0")))</f>
        <v>0</v>
      </c>
      <c r="P213" s="109">
        <f>SUMIFS(Q213:DK213,Q$1:DK$1,Dashboard!$K$31)</f>
        <v>0</v>
      </c>
      <c r="U213" s="95">
        <v>33</v>
      </c>
      <c r="AA213" s="95">
        <v>25</v>
      </c>
      <c r="AH213" s="95">
        <v>75</v>
      </c>
    </row>
    <row r="214" spans="1:34" ht="15.6" x14ac:dyDescent="0.3">
      <c r="A214" s="89" t="str">
        <f>CONCATENATE(D214,".",F214,"-",G214,".",H214,"")</f>
        <v>1.2-4.1</v>
      </c>
      <c r="B214" s="89" t="str">
        <f>IF(CONCATENATE(I214,Key!F$2)=CONCATENATE(INDEX(Dashboard!J:J,MATCH(I214,Dashboard!J:J,0),1),INDEX(Dashboard!J:K,MATCH(I214,Dashboard!J:J,0),2)),"ON",IF(Dashboard!K$32="ALL","ON","-"))</f>
        <v>-</v>
      </c>
      <c r="C214" s="88" t="s">
        <v>110</v>
      </c>
      <c r="D214" s="89">
        <f>IF(C214="ID",1,(IF(C214="PR",2,(IF(C214="DE",3,(IF(C214="RS",4,(IF(C214="RC",5,0)))))))))</f>
        <v>1</v>
      </c>
      <c r="E214" s="89" t="s">
        <v>130</v>
      </c>
      <c r="F214" s="89">
        <f>IF(E214="AM",1,(IF(E214="BE",2,(IF(E214="GV",3,(IF(E214="RA",4,(IF(E214="RM",5,(IF(E214="AC",1,(IF(E214="AT",2,(IF(E214="DS",3,(IF(E214="IP",4,(IF(E214="MA",5,(IF(E214="PT",6,(IF(E214="AE",1,(IF(E214="CM",2,(IF(E214="DP",3,(IF(E214="AN",1,(IF(E214="CO",2,(IF(E214="IM",3,(IF(E214="MI",4,(IF(E214="RP",5,(IF(E214="SC",6,0)))))))))))))))))))))))))))))))))))))))</f>
        <v>2</v>
      </c>
      <c r="G214" s="52">
        <v>4</v>
      </c>
      <c r="H214" s="90" t="s">
        <v>115</v>
      </c>
      <c r="I214" s="93" t="s">
        <v>85</v>
      </c>
      <c r="J214" s="87" t="s">
        <v>1658</v>
      </c>
      <c r="K214" s="119" t="s">
        <v>1659</v>
      </c>
      <c r="L214" s="117">
        <f>IF(O214="","",N214*O214*M214)</f>
        <v>0</v>
      </c>
      <c r="M214" s="108">
        <v>1</v>
      </c>
      <c r="N214" s="95">
        <v>1</v>
      </c>
      <c r="O214" s="109">
        <f>IF(Key!D$1="ON",P214,IF(SUM(Q214:DL214)&lt;1,"",SUM(Q214:DL214)/COUNTIF(Q214:DL214,"&gt;0")))</f>
        <v>0</v>
      </c>
      <c r="P214" s="109">
        <f>SUMIFS(Q214:DK214,Q$1:DK$1,Dashboard!$K$31)</f>
        <v>0</v>
      </c>
      <c r="U214" s="95">
        <v>33</v>
      </c>
      <c r="AA214" s="95">
        <v>25</v>
      </c>
      <c r="AH214" s="95">
        <v>75</v>
      </c>
    </row>
    <row r="215" spans="1:34" ht="15.6" x14ac:dyDescent="0.3">
      <c r="A215" s="89" t="str">
        <f>CONCATENATE(D215,".",F215,"-",G215,".",H215,"")</f>
        <v>1.2-4.1</v>
      </c>
      <c r="B215" s="89" t="str">
        <f>IF(CONCATENATE(I215,Key!F$2)=CONCATENATE(INDEX(Dashboard!J:J,MATCH(I215,Dashboard!J:J,0),1),INDEX(Dashboard!J:K,MATCH(I215,Dashboard!J:J,0),2)),"ON",IF(Dashboard!K$32="ALL","ON","-"))</f>
        <v>-</v>
      </c>
      <c r="C215" s="88" t="s">
        <v>110</v>
      </c>
      <c r="D215" s="89">
        <f>IF(C215="ID",1,(IF(C215="PR",2,(IF(C215="DE",3,(IF(C215="RS",4,(IF(C215="RC",5,0)))))))))</f>
        <v>1</v>
      </c>
      <c r="E215" s="89" t="s">
        <v>130</v>
      </c>
      <c r="F215" s="89">
        <f>IF(E215="AM",1,(IF(E215="BE",2,(IF(E215="GV",3,(IF(E215="RA",4,(IF(E215="RM",5,(IF(E215="AC",1,(IF(E215="AT",2,(IF(E215="DS",3,(IF(E215="IP",4,(IF(E215="MA",5,(IF(E215="PT",6,(IF(E215="AE",1,(IF(E215="CM",2,(IF(E215="DP",3,(IF(E215="AN",1,(IF(E215="CO",2,(IF(E215="IM",3,(IF(E215="MI",4,(IF(E215="RP",5,(IF(E215="SC",6,0)))))))))))))))))))))))))))))))))))))))</f>
        <v>2</v>
      </c>
      <c r="G215" s="52">
        <v>4</v>
      </c>
      <c r="H215" s="90" t="s">
        <v>115</v>
      </c>
      <c r="I215" s="93" t="s">
        <v>85</v>
      </c>
      <c r="J215" s="135" t="s">
        <v>775</v>
      </c>
      <c r="K215" s="143" t="s">
        <v>4995</v>
      </c>
      <c r="L215" s="117">
        <f>IF(O215="","",N215*O215*M215)</f>
        <v>0</v>
      </c>
      <c r="M215" s="108">
        <v>1</v>
      </c>
      <c r="N215" s="95">
        <v>1</v>
      </c>
      <c r="O215" s="109">
        <f>IF(Key!D$1="ON",P215,IF(SUM(Q215:DL215)&lt;1,"",SUM(Q215:DL215)/COUNTIF(Q215:DL215,"&gt;0")))</f>
        <v>0</v>
      </c>
      <c r="P215" s="109">
        <f>SUMIFS(Q215:DK215,Q$1:DK$1,Dashboard!$K$31)</f>
        <v>0</v>
      </c>
      <c r="U215" s="95">
        <v>33</v>
      </c>
      <c r="AA215" s="95">
        <v>25</v>
      </c>
      <c r="AH215" s="95">
        <v>75</v>
      </c>
    </row>
    <row r="216" spans="1:34" ht="15.6" x14ac:dyDescent="0.3">
      <c r="A216" s="89" t="str">
        <f>CONCATENATE(D216,".",F216,"-",G216,".",H216,"")</f>
        <v>1.2-4.1</v>
      </c>
      <c r="B216" s="89" t="str">
        <f>IF(CONCATENATE(I216,Key!F$2)=CONCATENATE(INDEX(Dashboard!J:J,MATCH(I216,Dashboard!J:J,0),1),INDEX(Dashboard!J:K,MATCH(I216,Dashboard!J:J,0),2)),"ON",IF(Dashboard!K$32="ALL","ON","-"))</f>
        <v>-</v>
      </c>
      <c r="C216" s="96" t="s">
        <v>110</v>
      </c>
      <c r="D216" s="89">
        <f>IF(C216="ID",1,(IF(C216="PR",2,(IF(C216="DE",3,(IF(C216="RS",4,(IF(C216="RC",5,0)))))))))</f>
        <v>1</v>
      </c>
      <c r="E216" s="89" t="s">
        <v>130</v>
      </c>
      <c r="F216" s="89">
        <f>IF(E216="AM",1,(IF(E216="BE",2,(IF(E216="GV",3,(IF(E216="RA",4,(IF(E216="RM",5,(IF(E216="AC",1,(IF(E216="AT",2,(IF(E216="DS",3,(IF(E216="IP",4,(IF(E216="MA",5,(IF(E216="PT",6,(IF(E216="AE",1,(IF(E216="CM",2,(IF(E216="DP",3,(IF(E216="AN",1,(IF(E216="CO",2,(IF(E216="IM",3,(IF(E216="MI",4,(IF(E216="RP",5,(IF(E216="SC",6,0)))))))))))))))))))))))))))))))))))))))</f>
        <v>2</v>
      </c>
      <c r="G216" s="98">
        <v>4</v>
      </c>
      <c r="H216" s="90" t="s">
        <v>115</v>
      </c>
      <c r="I216" s="93" t="s">
        <v>92</v>
      </c>
      <c r="J216" s="88">
        <v>3.6</v>
      </c>
      <c r="K216" s="102" t="s">
        <v>5226</v>
      </c>
      <c r="L216" s="117">
        <f>IF(O216="","",N216*O216*M216)</f>
        <v>0</v>
      </c>
      <c r="M216" s="108">
        <v>1</v>
      </c>
      <c r="N216" s="95">
        <v>1</v>
      </c>
      <c r="O216" s="109">
        <f>IF(Key!D$1="ON",P216,IF(SUM(Q216:DL216)&lt;1,"",SUM(Q216:DL216)/COUNTIF(Q216:DL216,"&gt;0")))</f>
        <v>0</v>
      </c>
      <c r="P216" s="109">
        <f>SUMIFS(Q216:DK216,Q$1:DK$1,Dashboard!$K$31)</f>
        <v>0</v>
      </c>
      <c r="U216" s="95">
        <v>33</v>
      </c>
      <c r="AA216" s="95">
        <v>25</v>
      </c>
      <c r="AH216" s="95">
        <v>75</v>
      </c>
    </row>
    <row r="217" spans="1:34" ht="15.6" x14ac:dyDescent="0.3">
      <c r="A217" s="89" t="str">
        <f>CONCATENATE(D217,".",F217,"-",G217,".",H217,"")</f>
        <v>1.2-4.5</v>
      </c>
      <c r="B217" s="89" t="str">
        <f>IF(CONCATENATE(I217,Key!F$2)=CONCATENATE(INDEX(Dashboard!J:J,MATCH(I217,Dashboard!J:J,0),1),INDEX(Dashboard!J:K,MATCH(I217,Dashboard!J:J,0),2)),"ON",IF(Dashboard!K$32="ALL","ON","-"))</f>
        <v>-</v>
      </c>
      <c r="C217" s="88" t="s">
        <v>110</v>
      </c>
      <c r="D217" s="89">
        <f>IF(C217="ID",1,(IF(C217="PR",2,(IF(C217="DE",3,(IF(C217="RS",4,(IF(C217="RC",5,0)))))))))</f>
        <v>1</v>
      </c>
      <c r="E217" s="89" t="s">
        <v>130</v>
      </c>
      <c r="F217" s="89">
        <f>IF(E217="AM",1,(IF(E217="BE",2,(IF(E217="GV",3,(IF(E217="RA",4,(IF(E217="RM",5,(IF(E217="AC",1,(IF(E217="AT",2,(IF(E217="DS",3,(IF(E217="IP",4,(IF(E217="MA",5,(IF(E217="PT",6,(IF(E217="AE",1,(IF(E217="CM",2,(IF(E217="DP",3,(IF(E217="AN",1,(IF(E217="CO",2,(IF(E217="IM",3,(IF(E217="MI",4,(IF(E217="RP",5,(IF(E217="SC",6,0)))))))))))))))))))))))))))))))))))))))</f>
        <v>2</v>
      </c>
      <c r="G217" s="52">
        <v>4</v>
      </c>
      <c r="H217" s="90" t="s">
        <v>123</v>
      </c>
      <c r="I217" s="93" t="s">
        <v>77</v>
      </c>
      <c r="J217" s="87" t="s">
        <v>969</v>
      </c>
      <c r="K217" s="102" t="s">
        <v>2047</v>
      </c>
      <c r="L217" s="117">
        <f>IF(O217="","",N217*O217*M217)</f>
        <v>0</v>
      </c>
      <c r="M217" s="108">
        <v>1</v>
      </c>
      <c r="N217" s="95">
        <v>1</v>
      </c>
      <c r="O217" s="109">
        <f>IF(Key!D$1="ON",P217,IF(SUM(Q217:DL217)&lt;1,"",SUM(Q217:DL217)/COUNTIF(Q217:DL217,"&gt;0")))</f>
        <v>0</v>
      </c>
      <c r="P217" s="109">
        <f>SUMIFS(Q217:DK217,Q$1:DK$1,Dashboard!$K$31)</f>
        <v>0</v>
      </c>
      <c r="U217" s="95">
        <v>33</v>
      </c>
      <c r="AA217" s="95">
        <v>25</v>
      </c>
      <c r="AH217" s="95">
        <v>75</v>
      </c>
    </row>
    <row r="218" spans="1:34" x14ac:dyDescent="0.3">
      <c r="A218" s="89" t="str">
        <f>CONCATENATE(D218,".",F218,"-",G218,".",H218,"")</f>
        <v>1.2-4.5</v>
      </c>
      <c r="B218" s="89" t="str">
        <f>IF(CONCATENATE(I218,Key!F$2)=CONCATENATE(INDEX(Dashboard!J:J,MATCH(I218,Dashboard!J:J,0),1),INDEX(Dashboard!J:K,MATCH(I218,Dashboard!J:J,0),2)),"ON",IF(Dashboard!K$32="ALL","ON","-"))</f>
        <v>-</v>
      </c>
      <c r="C218" s="88" t="s">
        <v>110</v>
      </c>
      <c r="D218" s="89">
        <f>IF(C218="ID",1,(IF(C218="PR",2,(IF(C218="DE",3,(IF(C218="RS",4,(IF(C218="RC",5,0)))))))))</f>
        <v>1</v>
      </c>
      <c r="E218" s="89" t="s">
        <v>130</v>
      </c>
      <c r="F218" s="89">
        <f>IF(E218="AM",1,(IF(E218="BE",2,(IF(E218="GV",3,(IF(E218="RA",4,(IF(E218="RM",5,(IF(E218="AC",1,(IF(E218="AT",2,(IF(E218="DS",3,(IF(E218="IP",4,(IF(E218="MA",5,(IF(E218="PT",6,(IF(E218="AE",1,(IF(E218="CM",2,(IF(E218="DP",3,(IF(E218="AN",1,(IF(E218="CO",2,(IF(E218="IM",3,(IF(E218="MI",4,(IF(E218="RP",5,(IF(E218="SC",6,0)))))))))))))))))))))))))))))))))))))))</f>
        <v>2</v>
      </c>
      <c r="G218" s="52">
        <v>4</v>
      </c>
      <c r="H218" s="90" t="s">
        <v>123</v>
      </c>
      <c r="I218" s="93" t="s">
        <v>77</v>
      </c>
      <c r="J218" s="87" t="s">
        <v>970</v>
      </c>
      <c r="K218" s="102" t="s">
        <v>2048</v>
      </c>
      <c r="L218" s="117">
        <f>IF(O218="","",N218*O218*M218)</f>
        <v>0</v>
      </c>
      <c r="M218" s="108">
        <v>1</v>
      </c>
      <c r="N218" s="95">
        <v>1</v>
      </c>
      <c r="O218" s="109">
        <f>IF(Key!D$1="ON",P218,IF(SUM(Q218:DL218)&lt;1,"",SUM(Q218:DL218)/COUNTIF(Q218:DL218,"&gt;0")))</f>
        <v>0</v>
      </c>
      <c r="P218" s="109">
        <f>SUMIFS(Q218:DK218,Q$1:DK$1,Dashboard!$K$31)</f>
        <v>0</v>
      </c>
      <c r="U218" s="95">
        <v>33</v>
      </c>
      <c r="AA218" s="95">
        <v>25</v>
      </c>
      <c r="AH218" s="95">
        <v>75</v>
      </c>
    </row>
    <row r="219" spans="1:34" ht="15.6" x14ac:dyDescent="0.3">
      <c r="A219" s="89" t="str">
        <f>CONCATENATE(D219,".",F219,"-",G219,".",H219,"")</f>
        <v>1.2-5.0</v>
      </c>
      <c r="B219" s="89" t="str">
        <f>IF(CONCATENATE(I219,Key!F$2)=CONCATENATE(INDEX(Dashboard!J:J,MATCH(I219,Dashboard!J:J,0),1),INDEX(Dashboard!J:K,MATCH(I219,Dashboard!J:J,0),2)),"ON",IF(Dashboard!K$32="ALL","ON","-"))</f>
        <v>-</v>
      </c>
      <c r="C219" s="96" t="s">
        <v>110</v>
      </c>
      <c r="D219" s="89">
        <f>IF(C219="ID",1,(IF(C219="PR",2,(IF(C219="DE",3,(IF(C219="RS",4,(IF(C219="RC",5,0)))))))))</f>
        <v>1</v>
      </c>
      <c r="E219" s="89" t="s">
        <v>130</v>
      </c>
      <c r="F219" s="89">
        <f>IF(E219="AM",1,(IF(E219="BE",2,(IF(E219="GV",3,(IF(E219="RA",4,(IF(E219="RM",5,(IF(E219="AC",1,(IF(E219="AT",2,(IF(E219="DS",3,(IF(E219="IP",4,(IF(E219="MA",5,(IF(E219="PT",6,(IF(E219="AE",1,(IF(E219="CM",2,(IF(E219="DP",3,(IF(E219="AN",1,(IF(E219="CO",2,(IF(E219="IM",3,(IF(E219="MI",4,(IF(E219="RP",5,(IF(E219="SC",6,0)))))))))))))))))))))))))))))))))))))))</f>
        <v>2</v>
      </c>
      <c r="G219" s="52">
        <v>5</v>
      </c>
      <c r="H219" s="90" t="s">
        <v>347</v>
      </c>
      <c r="I219" s="93" t="s">
        <v>2835</v>
      </c>
      <c r="J219" s="53" t="s">
        <v>2862</v>
      </c>
      <c r="K219" s="152" t="s">
        <v>2863</v>
      </c>
      <c r="L219" s="117">
        <f>IF(O219="","",N219*O219*M219)</f>
        <v>0</v>
      </c>
      <c r="M219" s="108">
        <v>1</v>
      </c>
      <c r="N219" s="95">
        <v>1</v>
      </c>
      <c r="O219" s="109">
        <f>IF(Key!D$1="ON",P219,IF(SUM(Q219:DL219)&lt;1,"",SUM(Q219:DL219)/COUNTIF(Q219:DL219,"&gt;0")))</f>
        <v>0</v>
      </c>
      <c r="P219" s="109">
        <f>SUMIFS(Q219:DK219,Q$1:DK$1,Dashboard!$K$31)</f>
        <v>0</v>
      </c>
      <c r="U219" s="95">
        <v>33</v>
      </c>
    </row>
    <row r="220" spans="1:34" x14ac:dyDescent="0.3">
      <c r="A220" s="89" t="str">
        <f>CONCATENATE(D220,".",F220,"-",G220,".",H220,"")</f>
        <v>1.2-5.1</v>
      </c>
      <c r="B220" s="89" t="str">
        <f>IF(CONCATENATE(I220,Key!F$2)=CONCATENATE(INDEX(Dashboard!J:J,MATCH(I220,Dashboard!J:J,0),1),INDEX(Dashboard!J:K,MATCH(I220,Dashboard!J:J,0),2)),"ON",IF(Dashboard!K$32="ALL","ON","-"))</f>
        <v>-</v>
      </c>
      <c r="C220" s="96" t="s">
        <v>110</v>
      </c>
      <c r="D220" s="89">
        <f>IF(C220="ID",1,(IF(C220="PR",2,(IF(C220="DE",3,(IF(C220="RS",4,(IF(C220="RC",5,0)))))))))</f>
        <v>1</v>
      </c>
      <c r="E220" s="89" t="s">
        <v>130</v>
      </c>
      <c r="F220" s="89">
        <f>IF(E220="AM",1,(IF(E220="BE",2,(IF(E220="GV",3,(IF(E220="RA",4,(IF(E220="RM",5,(IF(E220="AC",1,(IF(E220="AT",2,(IF(E220="DS",3,(IF(E220="IP",4,(IF(E220="MA",5,(IF(E220="PT",6,(IF(E220="AE",1,(IF(E220="CM",2,(IF(E220="DP",3,(IF(E220="AN",1,(IF(E220="CO",2,(IF(E220="IM",3,(IF(E220="MI",4,(IF(E220="RP",5,(IF(E220="SC",6,0)))))))))))))))))))))))))))))))))))))))</f>
        <v>2</v>
      </c>
      <c r="G220" s="98">
        <v>5</v>
      </c>
      <c r="H220" s="90" t="s">
        <v>115</v>
      </c>
      <c r="I220" s="93" t="s">
        <v>52</v>
      </c>
      <c r="J220" s="88" t="s">
        <v>3305</v>
      </c>
      <c r="K220" s="103" t="s">
        <v>3306</v>
      </c>
      <c r="L220" s="117">
        <f>IF(O220="","",N220*O220*M220)</f>
        <v>0</v>
      </c>
      <c r="M220" s="108">
        <v>1</v>
      </c>
      <c r="N220" s="95">
        <v>1</v>
      </c>
      <c r="O220" s="109">
        <f>IF(Key!D$1="ON",P220,IF(SUM(Q220:DL220)&lt;1,"",SUM(Q220:DL220)/COUNTIF(Q220:DL220,"&gt;0")))</f>
        <v>0</v>
      </c>
      <c r="P220" s="109">
        <f>SUMIFS(Q220:DK220,Q$1:DK$1,Dashboard!$K$31)</f>
        <v>0</v>
      </c>
      <c r="U220" s="95">
        <v>33</v>
      </c>
      <c r="AA220" s="95">
        <v>25</v>
      </c>
      <c r="AH220" s="95">
        <v>75</v>
      </c>
    </row>
    <row r="221" spans="1:34" x14ac:dyDescent="0.3">
      <c r="A221" s="89" t="str">
        <f>CONCATENATE(D221,".",F221,"-",G221,".",H221,"")</f>
        <v>1.2-5.1</v>
      </c>
      <c r="B221" s="89" t="str">
        <f>IF(CONCATENATE(I221,Key!F$2)=CONCATENATE(INDEX(Dashboard!J:J,MATCH(I221,Dashboard!J:J,0),1),INDEX(Dashboard!J:K,MATCH(I221,Dashboard!J:J,0),2)),"ON",IF(Dashboard!K$32="ALL","ON","-"))</f>
        <v>-</v>
      </c>
      <c r="C221" s="96" t="s">
        <v>110</v>
      </c>
      <c r="D221" s="89">
        <f>IF(C221="ID",1,(IF(C221="PR",2,(IF(C221="DE",3,(IF(C221="RS",4,(IF(C221="RC",5,0)))))))))</f>
        <v>1</v>
      </c>
      <c r="E221" s="89" t="s">
        <v>130</v>
      </c>
      <c r="F221" s="89">
        <f>IF(E221="AM",1,(IF(E221="BE",2,(IF(E221="GV",3,(IF(E221="RA",4,(IF(E221="RM",5,(IF(E221="AC",1,(IF(E221="AT",2,(IF(E221="DS",3,(IF(E221="IP",4,(IF(E221="MA",5,(IF(E221="PT",6,(IF(E221="AE",1,(IF(E221="CM",2,(IF(E221="DP",3,(IF(E221="AN",1,(IF(E221="CO",2,(IF(E221="IM",3,(IF(E221="MI",4,(IF(E221="RP",5,(IF(E221="SC",6,0)))))))))))))))))))))))))))))))))))))))</f>
        <v>2</v>
      </c>
      <c r="G221" s="98">
        <v>5</v>
      </c>
      <c r="H221" s="90" t="s">
        <v>115</v>
      </c>
      <c r="I221" s="93" t="s">
        <v>52</v>
      </c>
      <c r="J221" s="88" t="s">
        <v>3292</v>
      </c>
      <c r="K221" s="103" t="s">
        <v>3293</v>
      </c>
      <c r="L221" s="117">
        <f>IF(O221="","",N221*O221*M221)</f>
        <v>0</v>
      </c>
      <c r="M221" s="108">
        <v>1</v>
      </c>
      <c r="N221" s="95">
        <v>1</v>
      </c>
      <c r="O221" s="109">
        <f>IF(Key!D$1="ON",P221,IF(SUM(Q221:DL221)&lt;1,"",SUM(Q221:DL221)/COUNTIF(Q221:DL221,"&gt;0")))</f>
        <v>0</v>
      </c>
      <c r="P221" s="109">
        <f>SUMIFS(Q221:DK221,Q$1:DK$1,Dashboard!$K$31)</f>
        <v>0</v>
      </c>
      <c r="U221" s="95">
        <v>33</v>
      </c>
      <c r="AA221" s="95">
        <v>25</v>
      </c>
      <c r="AH221" s="95">
        <v>75</v>
      </c>
    </row>
    <row r="222" spans="1:34" x14ac:dyDescent="0.3">
      <c r="A222" s="89" t="str">
        <f>CONCATENATE(D222,".",F222,"-",G222,".",H222,"")</f>
        <v>1.2-5.1</v>
      </c>
      <c r="B222" s="89" t="str">
        <f>IF(CONCATENATE(I222,Key!F$2)=CONCATENATE(INDEX(Dashboard!J:J,MATCH(I222,Dashboard!J:J,0),1),INDEX(Dashboard!J:K,MATCH(I222,Dashboard!J:J,0),2)),"ON",IF(Dashboard!K$32="ALL","ON","-"))</f>
        <v>-</v>
      </c>
      <c r="C222" s="96" t="s">
        <v>110</v>
      </c>
      <c r="D222" s="89">
        <f>IF(C222="ID",1,(IF(C222="PR",2,(IF(C222="DE",3,(IF(C222="RS",4,(IF(C222="RC",5,0)))))))))</f>
        <v>1</v>
      </c>
      <c r="E222" s="89" t="s">
        <v>130</v>
      </c>
      <c r="F222" s="89">
        <f>IF(E222="AM",1,(IF(E222="BE",2,(IF(E222="GV",3,(IF(E222="RA",4,(IF(E222="RM",5,(IF(E222="AC",1,(IF(E222="AT",2,(IF(E222="DS",3,(IF(E222="IP",4,(IF(E222="MA",5,(IF(E222="PT",6,(IF(E222="AE",1,(IF(E222="CM",2,(IF(E222="DP",3,(IF(E222="AN",1,(IF(E222="CO",2,(IF(E222="IM",3,(IF(E222="MI",4,(IF(E222="RP",5,(IF(E222="SC",6,0)))))))))))))))))))))))))))))))))))))))</f>
        <v>2</v>
      </c>
      <c r="G222" s="98">
        <v>5</v>
      </c>
      <c r="H222" s="90" t="s">
        <v>115</v>
      </c>
      <c r="I222" s="93" t="s">
        <v>52</v>
      </c>
      <c r="J222" s="88" t="s">
        <v>3307</v>
      </c>
      <c r="K222" s="103" t="s">
        <v>3308</v>
      </c>
      <c r="L222" s="117">
        <f>IF(O222="","",N222*O222*M222)</f>
        <v>0</v>
      </c>
      <c r="M222" s="108">
        <v>1</v>
      </c>
      <c r="N222" s="95">
        <v>1</v>
      </c>
      <c r="O222" s="109">
        <f>IF(Key!D$1="ON",P222,IF(SUM(Q222:DL222)&lt;1,"",SUM(Q222:DL222)/COUNTIF(Q222:DL222,"&gt;0")))</f>
        <v>0</v>
      </c>
      <c r="P222" s="109">
        <f>SUMIFS(Q222:DK222,Q$1:DK$1,Dashboard!$K$31)</f>
        <v>0</v>
      </c>
      <c r="U222" s="95">
        <v>33</v>
      </c>
      <c r="AA222" s="95">
        <v>25</v>
      </c>
      <c r="AH222" s="95">
        <v>75</v>
      </c>
    </row>
    <row r="223" spans="1:34" x14ac:dyDescent="0.3">
      <c r="A223" s="89" t="str">
        <f>CONCATENATE(D223,".",F223,"-",G223,".",H223,"")</f>
        <v>1.2-5.1</v>
      </c>
      <c r="B223" s="89" t="str">
        <f>IF(CONCATENATE(I223,Key!F$2)=CONCATENATE(INDEX(Dashboard!J:J,MATCH(I223,Dashboard!J:J,0),1),INDEX(Dashboard!J:K,MATCH(I223,Dashboard!J:J,0),2)),"ON",IF(Dashboard!K$32="ALL","ON","-"))</f>
        <v>-</v>
      </c>
      <c r="C223" s="96" t="s">
        <v>110</v>
      </c>
      <c r="D223" s="89">
        <f>IF(C223="ID",1,(IF(C223="PR",2,(IF(C223="DE",3,(IF(C223="RS",4,(IF(C223="RC",5,0)))))))))</f>
        <v>1</v>
      </c>
      <c r="E223" s="89" t="s">
        <v>130</v>
      </c>
      <c r="F223" s="89">
        <f>IF(E223="AM",1,(IF(E223="BE",2,(IF(E223="GV",3,(IF(E223="RA",4,(IF(E223="RM",5,(IF(E223="AC",1,(IF(E223="AT",2,(IF(E223="DS",3,(IF(E223="IP",4,(IF(E223="MA",5,(IF(E223="PT",6,(IF(E223="AE",1,(IF(E223="CM",2,(IF(E223="DP",3,(IF(E223="AN",1,(IF(E223="CO",2,(IF(E223="IM",3,(IF(E223="MI",4,(IF(E223="RP",5,(IF(E223="SC",6,0)))))))))))))))))))))))))))))))))))))))</f>
        <v>2</v>
      </c>
      <c r="G223" s="98">
        <v>5</v>
      </c>
      <c r="H223" s="90" t="s">
        <v>115</v>
      </c>
      <c r="I223" s="93" t="s">
        <v>52</v>
      </c>
      <c r="J223" s="88" t="s">
        <v>3303</v>
      </c>
      <c r="K223" s="103" t="s">
        <v>3304</v>
      </c>
      <c r="L223" s="117">
        <f>IF(O223="","",N223*O223*M223)</f>
        <v>0</v>
      </c>
      <c r="M223" s="108">
        <v>1</v>
      </c>
      <c r="N223" s="95">
        <v>1</v>
      </c>
      <c r="O223" s="109">
        <f>IF(Key!D$1="ON",P223,IF(SUM(Q223:DL223)&lt;1,"",SUM(Q223:DL223)/COUNTIF(Q223:DL223,"&gt;0")))</f>
        <v>0</v>
      </c>
      <c r="P223" s="109">
        <f>SUMIFS(Q223:DK223,Q$1:DK$1,Dashboard!$K$31)</f>
        <v>0</v>
      </c>
      <c r="U223" s="95">
        <v>33</v>
      </c>
      <c r="AA223" s="95">
        <v>25</v>
      </c>
      <c r="AH223" s="95">
        <v>75</v>
      </c>
    </row>
    <row r="224" spans="1:34" x14ac:dyDescent="0.3">
      <c r="A224" s="89" t="str">
        <f>CONCATENATE(D224,".",F224,"-",G224,".",H224,"")</f>
        <v>1.2-5.1</v>
      </c>
      <c r="B224" s="89" t="str">
        <f>IF(CONCATENATE(I224,Key!F$2)=CONCATENATE(INDEX(Dashboard!J:J,MATCH(I224,Dashboard!J:J,0),1),INDEX(Dashboard!J:K,MATCH(I224,Dashboard!J:J,0),2)),"ON",IF(Dashboard!K$32="ALL","ON","-"))</f>
        <v>-</v>
      </c>
      <c r="C224" s="88" t="s">
        <v>110</v>
      </c>
      <c r="D224" s="89">
        <f>IF(C224="ID",1,(IF(C224="PR",2,(IF(C224="DE",3,(IF(C224="RS",4,(IF(C224="RC",5,0)))))))))</f>
        <v>1</v>
      </c>
      <c r="E224" s="89" t="s">
        <v>130</v>
      </c>
      <c r="F224" s="89">
        <f>IF(E224="AM",1,(IF(E224="BE",2,(IF(E224="GV",3,(IF(E224="RA",4,(IF(E224="RM",5,(IF(E224="AC",1,(IF(E224="AT",2,(IF(E224="DS",3,(IF(E224="IP",4,(IF(E224="MA",5,(IF(E224="PT",6,(IF(E224="AE",1,(IF(E224="CM",2,(IF(E224="DP",3,(IF(E224="AN",1,(IF(E224="CO",2,(IF(E224="IM",3,(IF(E224="MI",4,(IF(E224="RP",5,(IF(E224="SC",6,0)))))))))))))))))))))))))))))))))))))))</f>
        <v>2</v>
      </c>
      <c r="G224" s="52">
        <v>5</v>
      </c>
      <c r="H224" s="89">
        <v>1</v>
      </c>
      <c r="I224" s="93" t="s">
        <v>60</v>
      </c>
      <c r="J224" s="87" t="s">
        <v>3131</v>
      </c>
      <c r="K224" s="51" t="s">
        <v>5244</v>
      </c>
      <c r="L224" s="117">
        <f>IF(O224="","",N224*O224*M224)</f>
        <v>0</v>
      </c>
      <c r="M224" s="108">
        <v>1</v>
      </c>
      <c r="N224" s="95">
        <v>1</v>
      </c>
      <c r="O224" s="109">
        <f>IF(Key!D$1="ON",P224,IF(SUM(Q224:DL224)&lt;1,"",SUM(Q224:DL224)/COUNTIF(Q224:DL224,"&gt;0")))</f>
        <v>0</v>
      </c>
      <c r="P224" s="109">
        <f>SUMIFS(Q224:DK224,Q$1:DK$1,Dashboard!$K$31)</f>
        <v>0</v>
      </c>
      <c r="U224" s="95">
        <v>33</v>
      </c>
      <c r="AA224" s="95">
        <v>25</v>
      </c>
      <c r="AH224" s="95">
        <v>75</v>
      </c>
    </row>
    <row r="225" spans="1:34" ht="15.6" x14ac:dyDescent="0.3">
      <c r="A225" s="89" t="str">
        <f>CONCATENATE(D225,".",F225,"-",G225,".",H225,"")</f>
        <v>1.2-5.1</v>
      </c>
      <c r="B225" s="89" t="str">
        <f>IF(CONCATENATE(I225,Key!F$2)=CONCATENATE(INDEX(Dashboard!J:J,MATCH(I225,Dashboard!J:J,0),1),INDEX(Dashboard!J:K,MATCH(I225,Dashboard!J:J,0),2)),"ON",IF(Dashboard!K$32="ALL","ON","-"))</f>
        <v>-</v>
      </c>
      <c r="C225" s="88" t="s">
        <v>110</v>
      </c>
      <c r="D225" s="89">
        <f>IF(C225="ID",1,(IF(C225="PR",2,(IF(C225="DE",3,(IF(C225="RS",4,(IF(C225="RC",5,0)))))))))</f>
        <v>1</v>
      </c>
      <c r="E225" s="89" t="s">
        <v>130</v>
      </c>
      <c r="F225" s="89">
        <f>IF(E225="AM",1,(IF(E225="BE",2,(IF(E225="GV",3,(IF(E225="RA",4,(IF(E225="RM",5,(IF(E225="AC",1,(IF(E225="AT",2,(IF(E225="DS",3,(IF(E225="IP",4,(IF(E225="MA",5,(IF(E225="PT",6,(IF(E225="AE",1,(IF(E225="CM",2,(IF(E225="DP",3,(IF(E225="AN",1,(IF(E225="CO",2,(IF(E225="IM",3,(IF(E225="MI",4,(IF(E225="RP",5,(IF(E225="SC",6,0)))))))))))))))))))))))))))))))))))))))</f>
        <v>2</v>
      </c>
      <c r="G225" s="52">
        <v>5</v>
      </c>
      <c r="H225" s="90" t="s">
        <v>115</v>
      </c>
      <c r="I225" s="93" t="s">
        <v>64</v>
      </c>
      <c r="J225" s="87" t="s">
        <v>976</v>
      </c>
      <c r="K225" s="102" t="s">
        <v>2051</v>
      </c>
      <c r="L225" s="117">
        <f>IF(O225="","",N225*O225*M225)</f>
        <v>0</v>
      </c>
      <c r="M225" s="108">
        <v>1</v>
      </c>
      <c r="N225" s="95">
        <v>1</v>
      </c>
      <c r="O225" s="109">
        <f>IF(Key!D$1="ON",P225,IF(SUM(Q225:DL225)&lt;1,"",SUM(Q225:DL225)/COUNTIF(Q225:DL225,"&gt;0")))</f>
        <v>0</v>
      </c>
      <c r="P225" s="109">
        <f>SUMIFS(Q225:DK225,Q$1:DK$1,Dashboard!$K$31)</f>
        <v>0</v>
      </c>
      <c r="U225" s="95">
        <v>33</v>
      </c>
      <c r="AA225" s="95">
        <v>25</v>
      </c>
      <c r="AH225" s="95">
        <v>75</v>
      </c>
    </row>
    <row r="226" spans="1:34" ht="15.6" x14ac:dyDescent="0.3">
      <c r="A226" s="89" t="str">
        <f>CONCATENATE(D226,".",F226,"-",G226,".",H226,"")</f>
        <v>1.2-5.1</v>
      </c>
      <c r="B226" s="89" t="str">
        <f>IF(CONCATENATE(I226,Key!F$2)=CONCATENATE(INDEX(Dashboard!J:J,MATCH(I226,Dashboard!J:J,0),1),INDEX(Dashboard!J:K,MATCH(I226,Dashboard!J:J,0),2)),"ON",IF(Dashboard!K$32="ALL","ON","-"))</f>
        <v>-</v>
      </c>
      <c r="C226" s="88" t="s">
        <v>110</v>
      </c>
      <c r="D226" s="89">
        <f>IF(C226="ID",1,(IF(C226="PR",2,(IF(C226="DE",3,(IF(C226="RS",4,(IF(C226="RC",5,0)))))))))</f>
        <v>1</v>
      </c>
      <c r="E226" s="89" t="s">
        <v>130</v>
      </c>
      <c r="F226" s="89">
        <f>IF(E226="AM",1,(IF(E226="BE",2,(IF(E226="GV",3,(IF(E226="RA",4,(IF(E226="RM",5,(IF(E226="AC",1,(IF(E226="AT",2,(IF(E226="DS",3,(IF(E226="IP",4,(IF(E226="MA",5,(IF(E226="PT",6,(IF(E226="AE",1,(IF(E226="CM",2,(IF(E226="DP",3,(IF(E226="AN",1,(IF(E226="CO",2,(IF(E226="IM",3,(IF(E226="MI",4,(IF(E226="RP",5,(IF(E226="SC",6,0)))))))))))))))))))))))))))))))))))))))</f>
        <v>2</v>
      </c>
      <c r="G226" s="52">
        <v>5</v>
      </c>
      <c r="H226" s="90" t="s">
        <v>115</v>
      </c>
      <c r="I226" s="93" t="s">
        <v>64</v>
      </c>
      <c r="J226" s="87" t="s">
        <v>977</v>
      </c>
      <c r="K226" s="102" t="s">
        <v>2052</v>
      </c>
      <c r="L226" s="117">
        <f>IF(O226="","",N226*O226*M226)</f>
        <v>0</v>
      </c>
      <c r="M226" s="108">
        <v>1</v>
      </c>
      <c r="N226" s="95">
        <v>1</v>
      </c>
      <c r="O226" s="109">
        <f>IF(Key!D$1="ON",P226,IF(SUM(Q226:DL226)&lt;1,"",SUM(Q226:DL226)/COUNTIF(Q226:DL226,"&gt;0")))</f>
        <v>0</v>
      </c>
      <c r="P226" s="109">
        <f>SUMIFS(Q226:DK226,Q$1:DK$1,Dashboard!$K$31)</f>
        <v>0</v>
      </c>
      <c r="U226" s="95">
        <v>33</v>
      </c>
      <c r="AA226" s="95">
        <v>25</v>
      </c>
      <c r="AH226" s="95">
        <v>75</v>
      </c>
    </row>
    <row r="227" spans="1:34" ht="15.6" x14ac:dyDescent="0.3">
      <c r="A227" s="89" t="str">
        <f>CONCATENATE(D227,".",F227,"-",G227,".",H227,"")</f>
        <v>1.2-5.1</v>
      </c>
      <c r="B227" s="89" t="str">
        <f>IF(CONCATENATE(I227,Key!F$2)=CONCATENATE(INDEX(Dashboard!J:J,MATCH(I227,Dashboard!J:J,0),1),INDEX(Dashboard!J:K,MATCH(I227,Dashboard!J:J,0),2)),"ON",IF(Dashboard!K$32="ALL","ON","-"))</f>
        <v>-</v>
      </c>
      <c r="C227" s="88" t="s">
        <v>110</v>
      </c>
      <c r="D227" s="89">
        <f>IF(C227="ID",1,(IF(C227="PR",2,(IF(C227="DE",3,(IF(C227="RS",4,(IF(C227="RC",5,0)))))))))</f>
        <v>1</v>
      </c>
      <c r="E227" s="89" t="s">
        <v>130</v>
      </c>
      <c r="F227" s="89">
        <f>IF(E227="AM",1,(IF(E227="BE",2,(IF(E227="GV",3,(IF(E227="RA",4,(IF(E227="RM",5,(IF(E227="AC",1,(IF(E227="AT",2,(IF(E227="DS",3,(IF(E227="IP",4,(IF(E227="MA",5,(IF(E227="PT",6,(IF(E227="AE",1,(IF(E227="CM",2,(IF(E227="DP",3,(IF(E227="AN",1,(IF(E227="CO",2,(IF(E227="IM",3,(IF(E227="MI",4,(IF(E227="RP",5,(IF(E227="SC",6,0)))))))))))))))))))))))))))))))))))))))</f>
        <v>2</v>
      </c>
      <c r="G227" s="52">
        <v>5</v>
      </c>
      <c r="H227" s="90" t="s">
        <v>115</v>
      </c>
      <c r="I227" s="93" t="s">
        <v>64</v>
      </c>
      <c r="J227" s="87" t="s">
        <v>950</v>
      </c>
      <c r="K227" s="102" t="s">
        <v>2033</v>
      </c>
      <c r="L227" s="117">
        <f>IF(O227="","",N227*O227*M227)</f>
        <v>0</v>
      </c>
      <c r="M227" s="108">
        <v>1</v>
      </c>
      <c r="N227" s="95">
        <v>1</v>
      </c>
      <c r="O227" s="109">
        <f>IF(Key!D$1="ON",P227,IF(SUM(Q227:DL227)&lt;1,"",SUM(Q227:DL227)/COUNTIF(Q227:DL227,"&gt;0")))</f>
        <v>0</v>
      </c>
      <c r="P227" s="109">
        <f>SUMIFS(Q227:DK227,Q$1:DK$1,Dashboard!$K$31)</f>
        <v>0</v>
      </c>
      <c r="U227" s="95">
        <v>33</v>
      </c>
      <c r="AA227" s="95">
        <v>25</v>
      </c>
      <c r="AH227" s="95">
        <v>75</v>
      </c>
    </row>
    <row r="228" spans="1:34" ht="15.6" x14ac:dyDescent="0.3">
      <c r="A228" s="89" t="str">
        <f>CONCATENATE(D228,".",F228,"-",G228,".",H228,"")</f>
        <v>1.2-5.1</v>
      </c>
      <c r="B228" s="89" t="str">
        <f>IF(CONCATENATE(I228,Key!F$2)=CONCATENATE(INDEX(Dashboard!J:J,MATCH(I228,Dashboard!J:J,0),1),INDEX(Dashboard!J:K,MATCH(I228,Dashboard!J:J,0),2)),"ON",IF(Dashboard!K$32="ALL","ON","-"))</f>
        <v>-</v>
      </c>
      <c r="C228" s="88" t="s">
        <v>110</v>
      </c>
      <c r="D228" s="89">
        <f>IF(C228="ID",1,(IF(C228="PR",2,(IF(C228="DE",3,(IF(C228="RS",4,(IF(C228="RC",5,0)))))))))</f>
        <v>1</v>
      </c>
      <c r="E228" s="89" t="s">
        <v>130</v>
      </c>
      <c r="F228" s="89">
        <f>IF(E228="AM",1,(IF(E228="BE",2,(IF(E228="GV",3,(IF(E228="RA",4,(IF(E228="RM",5,(IF(E228="AC",1,(IF(E228="AT",2,(IF(E228="DS",3,(IF(E228="IP",4,(IF(E228="MA",5,(IF(E228="PT",6,(IF(E228="AE",1,(IF(E228="CM",2,(IF(E228="DP",3,(IF(E228="AN",1,(IF(E228="CO",2,(IF(E228="IM",3,(IF(E228="MI",4,(IF(E228="RP",5,(IF(E228="SC",6,0)))))))))))))))))))))))))))))))))))))))</f>
        <v>2</v>
      </c>
      <c r="G228" s="52">
        <v>5</v>
      </c>
      <c r="H228" s="90" t="s">
        <v>115</v>
      </c>
      <c r="I228" s="93" t="s">
        <v>64</v>
      </c>
      <c r="J228" s="87" t="s">
        <v>978</v>
      </c>
      <c r="K228" s="102" t="s">
        <v>2053</v>
      </c>
      <c r="L228" s="117">
        <f>IF(O228="","",N228*O228*M228)</f>
        <v>0</v>
      </c>
      <c r="M228" s="108">
        <v>1</v>
      </c>
      <c r="N228" s="95">
        <v>1</v>
      </c>
      <c r="O228" s="109">
        <f>IF(Key!D$1="ON",P228,IF(SUM(Q228:DL228)&lt;1,"",SUM(Q228:DL228)/COUNTIF(Q228:DL228,"&gt;0")))</f>
        <v>0</v>
      </c>
      <c r="P228" s="109">
        <f>SUMIFS(Q228:DK228,Q$1:DK$1,Dashboard!$K$31)</f>
        <v>0</v>
      </c>
      <c r="U228" s="95">
        <v>33</v>
      </c>
      <c r="AA228" s="95">
        <v>25</v>
      </c>
      <c r="AH228" s="95">
        <v>75</v>
      </c>
    </row>
    <row r="229" spans="1:34" ht="15.6" x14ac:dyDescent="0.3">
      <c r="A229" s="89" t="str">
        <f>CONCATENATE(D229,".",F229,"-",G229,".",H229,"")</f>
        <v>1.2-5.1</v>
      </c>
      <c r="B229" s="89" t="str">
        <f>IF(CONCATENATE(I229,Key!F$2)=CONCATENATE(INDEX(Dashboard!J:J,MATCH(I229,Dashboard!J:J,0),1),INDEX(Dashboard!J:K,MATCH(I229,Dashboard!J:J,0),2)),"ON",IF(Dashboard!K$32="ALL","ON","-"))</f>
        <v>-</v>
      </c>
      <c r="C229" s="88" t="s">
        <v>110</v>
      </c>
      <c r="D229" s="89">
        <f>IF(C229="ID",1,(IF(C229="PR",2,(IF(C229="DE",3,(IF(C229="RS",4,(IF(C229="RC",5,0)))))))))</f>
        <v>1</v>
      </c>
      <c r="E229" s="89" t="s">
        <v>130</v>
      </c>
      <c r="F229" s="89">
        <f>IF(E229="AM",1,(IF(E229="BE",2,(IF(E229="GV",3,(IF(E229="RA",4,(IF(E229="RM",5,(IF(E229="AC",1,(IF(E229="AT",2,(IF(E229="DS",3,(IF(E229="IP",4,(IF(E229="MA",5,(IF(E229="PT",6,(IF(E229="AE",1,(IF(E229="CM",2,(IF(E229="DP",3,(IF(E229="AN",1,(IF(E229="CO",2,(IF(E229="IM",3,(IF(E229="MI",4,(IF(E229="RP",5,(IF(E229="SC",6,0)))))))))))))))))))))))))))))))))))))))</f>
        <v>2</v>
      </c>
      <c r="G229" s="52">
        <v>5</v>
      </c>
      <c r="H229" s="90" t="s">
        <v>115</v>
      </c>
      <c r="I229" s="93" t="s">
        <v>64</v>
      </c>
      <c r="J229" s="87" t="s">
        <v>979</v>
      </c>
      <c r="K229" s="102" t="s">
        <v>2054</v>
      </c>
      <c r="L229" s="117">
        <f>IF(O229="","",N229*O229*M229)</f>
        <v>0</v>
      </c>
      <c r="M229" s="108">
        <v>1</v>
      </c>
      <c r="N229" s="95">
        <v>1</v>
      </c>
      <c r="O229" s="109">
        <f>IF(Key!D$1="ON",P229,IF(SUM(Q229:DL229)&lt;1,"",SUM(Q229:DL229)/COUNTIF(Q229:DL229,"&gt;0")))</f>
        <v>0</v>
      </c>
      <c r="P229" s="109">
        <f>SUMIFS(Q229:DK229,Q$1:DK$1,Dashboard!$K$31)</f>
        <v>0</v>
      </c>
      <c r="U229" s="95">
        <v>33</v>
      </c>
      <c r="AA229" s="95">
        <v>25</v>
      </c>
      <c r="AH229" s="95">
        <v>75</v>
      </c>
    </row>
    <row r="230" spans="1:34" ht="15.6" x14ac:dyDescent="0.3">
      <c r="A230" s="89" t="str">
        <f>CONCATENATE(D230,".",F230,"-",G230,".",H230,"")</f>
        <v>1.2-5.1</v>
      </c>
      <c r="B230" s="89" t="str">
        <f>IF(CONCATENATE(I230,Key!F$2)=CONCATENATE(INDEX(Dashboard!J:J,MATCH(I230,Dashboard!J:J,0),1),INDEX(Dashboard!J:K,MATCH(I230,Dashboard!J:J,0),2)),"ON",IF(Dashboard!K$32="ALL","ON","-"))</f>
        <v>-</v>
      </c>
      <c r="C230" s="88" t="s">
        <v>110</v>
      </c>
      <c r="D230" s="89">
        <f>IF(C230="ID",1,(IF(C230="PR",2,(IF(C230="DE",3,(IF(C230="RS",4,(IF(C230="RC",5,0)))))))))</f>
        <v>1</v>
      </c>
      <c r="E230" s="89" t="s">
        <v>130</v>
      </c>
      <c r="F230" s="89">
        <f>IF(E230="AM",1,(IF(E230="BE",2,(IF(E230="GV",3,(IF(E230="RA",4,(IF(E230="RM",5,(IF(E230="AC",1,(IF(E230="AT",2,(IF(E230="DS",3,(IF(E230="IP",4,(IF(E230="MA",5,(IF(E230="PT",6,(IF(E230="AE",1,(IF(E230="CM",2,(IF(E230="DP",3,(IF(E230="AN",1,(IF(E230="CO",2,(IF(E230="IM",3,(IF(E230="MI",4,(IF(E230="RP",5,(IF(E230="SC",6,0)))))))))))))))))))))))))))))))))))))))</f>
        <v>2</v>
      </c>
      <c r="G230" s="52">
        <v>5</v>
      </c>
      <c r="H230" s="90" t="s">
        <v>115</v>
      </c>
      <c r="I230" s="93" t="s">
        <v>64</v>
      </c>
      <c r="J230" s="87" t="s">
        <v>982</v>
      </c>
      <c r="K230" s="102" t="s">
        <v>2057</v>
      </c>
      <c r="L230" s="117">
        <f>IF(O230="","",N230*O230*M230)</f>
        <v>0</v>
      </c>
      <c r="M230" s="108">
        <v>1</v>
      </c>
      <c r="N230" s="95">
        <v>1</v>
      </c>
      <c r="O230" s="109">
        <f>IF(Key!D$1="ON",P230,IF(SUM(Q230:DL230)&lt;1,"",SUM(Q230:DL230)/COUNTIF(Q230:DL230,"&gt;0")))</f>
        <v>0</v>
      </c>
      <c r="P230" s="109">
        <f>SUMIFS(Q230:DK230,Q$1:DK$1,Dashboard!$K$31)</f>
        <v>0</v>
      </c>
      <c r="U230" s="95">
        <v>33</v>
      </c>
      <c r="AA230" s="95">
        <v>25</v>
      </c>
      <c r="AH230" s="95">
        <v>75</v>
      </c>
    </row>
    <row r="231" spans="1:34" ht="15.6" x14ac:dyDescent="0.3">
      <c r="A231" s="89" t="str">
        <f>CONCATENATE(D231,".",F231,"-",G231,".",H231,"")</f>
        <v>1.2-5.1</v>
      </c>
      <c r="B231" s="89" t="str">
        <f>IF(CONCATENATE(I231,Key!F$2)=CONCATENATE(INDEX(Dashboard!J:J,MATCH(I231,Dashboard!J:J,0),1),INDEX(Dashboard!J:K,MATCH(I231,Dashboard!J:J,0),2)),"ON",IF(Dashboard!K$32="ALL","ON","-"))</f>
        <v>-</v>
      </c>
      <c r="C231" s="96" t="s">
        <v>110</v>
      </c>
      <c r="D231" s="89">
        <f>IF(C231="ID",1,(IF(C231="PR",2,(IF(C231="DE",3,(IF(C231="RS",4,(IF(C231="RC",5,0)))))))))</f>
        <v>1</v>
      </c>
      <c r="E231" s="89" t="s">
        <v>130</v>
      </c>
      <c r="F231" s="89">
        <f>IF(E231="AM",1,(IF(E231="BE",2,(IF(E231="GV",3,(IF(E231="RA",4,(IF(E231="RM",5,(IF(E231="AC",1,(IF(E231="AT",2,(IF(E231="DS",3,(IF(E231="IP",4,(IF(E231="MA",5,(IF(E231="PT",6,(IF(E231="AE",1,(IF(E231="CM",2,(IF(E231="DP",3,(IF(E231="AN",1,(IF(E231="CO",2,(IF(E231="IM",3,(IF(E231="MI",4,(IF(E231="RP",5,(IF(E231="SC",6,0)))))))))))))))))))))))))))))))))))))))</f>
        <v>2</v>
      </c>
      <c r="G231" s="98">
        <v>5</v>
      </c>
      <c r="H231" s="90" t="s">
        <v>115</v>
      </c>
      <c r="I231" s="93" t="s">
        <v>77</v>
      </c>
      <c r="J231" s="87" t="s">
        <v>972</v>
      </c>
      <c r="K231" s="102" t="s">
        <v>2049</v>
      </c>
      <c r="L231" s="117">
        <f>IF(O231="","",N231*O231*M231)</f>
        <v>0</v>
      </c>
      <c r="M231" s="108">
        <v>0.9</v>
      </c>
      <c r="N231" s="95">
        <v>1</v>
      </c>
      <c r="O231" s="109">
        <f>IF(Key!D$1="ON",P231,IF(SUM(Q231:DL231)&lt;1,"",SUM(Q231:DL231)/COUNTIF(Q231:DL231,"&gt;0")))</f>
        <v>0</v>
      </c>
      <c r="P231" s="109">
        <f>SUMIFS(Q231:DK231,Q$1:DK$1,Dashboard!$K$31)</f>
        <v>0</v>
      </c>
      <c r="S231" s="95">
        <v>99</v>
      </c>
      <c r="T231" s="95">
        <v>80</v>
      </c>
      <c r="U231" s="95">
        <v>33</v>
      </c>
      <c r="AA231" s="95">
        <v>25</v>
      </c>
      <c r="AH231" s="95">
        <v>75</v>
      </c>
    </row>
    <row r="232" spans="1:34" ht="15.6" x14ac:dyDescent="0.3">
      <c r="A232" s="89" t="str">
        <f>CONCATENATE(D232,".",F232,"-",G232,".",H232,"")</f>
        <v>1.2-5.1</v>
      </c>
      <c r="B232" s="89" t="str">
        <f>IF(CONCATENATE(I232,Key!F$2)=CONCATENATE(INDEX(Dashboard!J:J,MATCH(I232,Dashboard!J:J,0),1),INDEX(Dashboard!J:K,MATCH(I232,Dashboard!J:J,0),2)),"ON",IF(Dashboard!K$32="ALL","ON","-"))</f>
        <v>-</v>
      </c>
      <c r="C232" s="96" t="s">
        <v>110</v>
      </c>
      <c r="D232" s="89">
        <f>IF(C232="ID",1,(IF(C232="PR",2,(IF(C232="DE",3,(IF(C232="RS",4,(IF(C232="RC",5,0)))))))))</f>
        <v>1</v>
      </c>
      <c r="E232" s="89" t="s">
        <v>130</v>
      </c>
      <c r="F232" s="89">
        <f>IF(E232="AM",1,(IF(E232="BE",2,(IF(E232="GV",3,(IF(E232="RA",4,(IF(E232="RM",5,(IF(E232="AC",1,(IF(E232="AT",2,(IF(E232="DS",3,(IF(E232="IP",4,(IF(E232="MA",5,(IF(E232="PT",6,(IF(E232="AE",1,(IF(E232="CM",2,(IF(E232="DP",3,(IF(E232="AN",1,(IF(E232="CO",2,(IF(E232="IM",3,(IF(E232="MI",4,(IF(E232="RP",5,(IF(E232="SC",6,0)))))))))))))))))))))))))))))))))))))))</f>
        <v>2</v>
      </c>
      <c r="G232" s="98">
        <v>5</v>
      </c>
      <c r="H232" s="90" t="s">
        <v>115</v>
      </c>
      <c r="I232" s="93" t="s">
        <v>77</v>
      </c>
      <c r="J232" s="87" t="s">
        <v>974</v>
      </c>
      <c r="K232" s="102" t="s">
        <v>2050</v>
      </c>
      <c r="L232" s="117">
        <f>IF(O232="","",N232*O232*M232)</f>
        <v>0</v>
      </c>
      <c r="M232" s="108">
        <v>1</v>
      </c>
      <c r="N232" s="95">
        <v>1</v>
      </c>
      <c r="O232" s="109">
        <f>IF(Key!D$1="ON",P232,IF(SUM(Q232:DL232)&lt;1,"",SUM(Q232:DL232)/COUNTIF(Q232:DL232,"&gt;0")))</f>
        <v>0</v>
      </c>
      <c r="P232" s="109">
        <f>SUMIFS(Q232:DK232,Q$1:DK$1,Dashboard!$K$31)</f>
        <v>0</v>
      </c>
      <c r="U232" s="95">
        <v>33</v>
      </c>
      <c r="AA232" s="95">
        <v>25</v>
      </c>
      <c r="AH232" s="95">
        <v>75</v>
      </c>
    </row>
    <row r="233" spans="1:34" ht="15.6" x14ac:dyDescent="0.3">
      <c r="A233" s="89" t="str">
        <f>CONCATENATE(D233,".",F233,"-",G233,".",H233,"")</f>
        <v>1.2-5.1</v>
      </c>
      <c r="B233" s="89" t="str">
        <f>IF(CONCATENATE(I233,Key!F$2)=CONCATENATE(INDEX(Dashboard!J:J,MATCH(I233,Dashboard!J:J,0),1),INDEX(Dashboard!J:K,MATCH(I233,Dashboard!J:J,0),2)),"ON",IF(Dashboard!K$32="ALL","ON","-"))</f>
        <v>-</v>
      </c>
      <c r="C233" s="88" t="s">
        <v>110</v>
      </c>
      <c r="D233" s="89">
        <f>IF(C233="ID",1,(IF(C233="PR",2,(IF(C233="DE",3,(IF(C233="RS",4,(IF(C233="RC",5,0)))))))))</f>
        <v>1</v>
      </c>
      <c r="E233" s="89" t="s">
        <v>130</v>
      </c>
      <c r="F233" s="89">
        <f>IF(E233="AM",1,(IF(E233="BE",2,(IF(E233="GV",3,(IF(E233="RA",4,(IF(E233="RM",5,(IF(E233="AC",1,(IF(E233="AT",2,(IF(E233="DS",3,(IF(E233="IP",4,(IF(E233="MA",5,(IF(E233="PT",6,(IF(E233="AE",1,(IF(E233="CM",2,(IF(E233="DP",3,(IF(E233="AN",1,(IF(E233="CO",2,(IF(E233="IM",3,(IF(E233="MI",4,(IF(E233="RP",5,(IF(E233="SC",6,0)))))))))))))))))))))))))))))))))))))))</f>
        <v>2</v>
      </c>
      <c r="G233" s="52">
        <v>5</v>
      </c>
      <c r="H233" s="90" t="s">
        <v>115</v>
      </c>
      <c r="I233" s="93" t="s">
        <v>77</v>
      </c>
      <c r="J233" s="87" t="s">
        <v>976</v>
      </c>
      <c r="K233" s="102" t="s">
        <v>2051</v>
      </c>
      <c r="L233" s="117">
        <f>IF(O233="","",N233*O233*M233)</f>
        <v>0</v>
      </c>
      <c r="M233" s="108">
        <v>1</v>
      </c>
      <c r="N233" s="95">
        <v>1</v>
      </c>
      <c r="O233" s="109">
        <f>IF(Key!D$1="ON",P233,IF(SUM(Q233:DL233)&lt;1,"",SUM(Q233:DL233)/COUNTIF(Q233:DL233,"&gt;0")))</f>
        <v>0</v>
      </c>
      <c r="P233" s="109">
        <f>SUMIFS(Q233:DK233,Q$1:DK$1,Dashboard!$K$31)</f>
        <v>0</v>
      </c>
      <c r="U233" s="95">
        <v>33</v>
      </c>
      <c r="AA233" s="95">
        <v>25</v>
      </c>
      <c r="AH233" s="95">
        <v>75</v>
      </c>
    </row>
    <row r="234" spans="1:34" ht="15.6" x14ac:dyDescent="0.3">
      <c r="A234" s="89" t="str">
        <f>CONCATENATE(D234,".",F234,"-",G234,".",H234,"")</f>
        <v>1.2-5.1</v>
      </c>
      <c r="B234" s="89" t="str">
        <f>IF(CONCATENATE(I234,Key!F$2)=CONCATENATE(INDEX(Dashboard!J:J,MATCH(I234,Dashboard!J:J,0),1),INDEX(Dashboard!J:K,MATCH(I234,Dashboard!J:J,0),2)),"ON",IF(Dashboard!K$32="ALL","ON","-"))</f>
        <v>-</v>
      </c>
      <c r="C234" s="88" t="s">
        <v>110</v>
      </c>
      <c r="D234" s="89">
        <f>IF(C234="ID",1,(IF(C234="PR",2,(IF(C234="DE",3,(IF(C234="RS",4,(IF(C234="RC",5,0)))))))))</f>
        <v>1</v>
      </c>
      <c r="E234" s="89" t="s">
        <v>130</v>
      </c>
      <c r="F234" s="89">
        <f>IF(E234="AM",1,(IF(E234="BE",2,(IF(E234="GV",3,(IF(E234="RA",4,(IF(E234="RM",5,(IF(E234="AC",1,(IF(E234="AT",2,(IF(E234="DS",3,(IF(E234="IP",4,(IF(E234="MA",5,(IF(E234="PT",6,(IF(E234="AE",1,(IF(E234="CM",2,(IF(E234="DP",3,(IF(E234="AN",1,(IF(E234="CO",2,(IF(E234="IM",3,(IF(E234="MI",4,(IF(E234="RP",5,(IF(E234="SC",6,0)))))))))))))))))))))))))))))))))))))))</f>
        <v>2</v>
      </c>
      <c r="G234" s="52">
        <v>5</v>
      </c>
      <c r="H234" s="90" t="s">
        <v>115</v>
      </c>
      <c r="I234" s="93" t="s">
        <v>77</v>
      </c>
      <c r="J234" s="87" t="s">
        <v>977</v>
      </c>
      <c r="K234" s="102" t="s">
        <v>2052</v>
      </c>
      <c r="L234" s="117">
        <f>IF(O234="","",N234*O234*M234)</f>
        <v>0</v>
      </c>
      <c r="M234" s="108">
        <v>1</v>
      </c>
      <c r="N234" s="95">
        <v>1</v>
      </c>
      <c r="O234" s="109">
        <f>IF(Key!D$1="ON",P234,IF(SUM(Q234:DL234)&lt;1,"",SUM(Q234:DL234)/COUNTIF(Q234:DL234,"&gt;0")))</f>
        <v>0</v>
      </c>
      <c r="P234" s="109">
        <f>SUMIFS(Q234:DK234,Q$1:DK$1,Dashboard!$K$31)</f>
        <v>0</v>
      </c>
      <c r="U234" s="95">
        <v>33</v>
      </c>
      <c r="AA234" s="95">
        <v>25</v>
      </c>
      <c r="AH234" s="95">
        <v>75</v>
      </c>
    </row>
    <row r="235" spans="1:34" ht="15.6" x14ac:dyDescent="0.3">
      <c r="A235" s="89" t="str">
        <f>CONCATENATE(D235,".",F235,"-",G235,".",H235,"")</f>
        <v>1.2-5.1</v>
      </c>
      <c r="B235" s="89" t="str">
        <f>IF(CONCATENATE(I235,Key!F$2)=CONCATENATE(INDEX(Dashboard!J:J,MATCH(I235,Dashboard!J:J,0),1),INDEX(Dashboard!J:K,MATCH(I235,Dashboard!J:J,0),2)),"ON",IF(Dashboard!K$32="ALL","ON","-"))</f>
        <v>-</v>
      </c>
      <c r="C235" s="88" t="s">
        <v>110</v>
      </c>
      <c r="D235" s="89">
        <f>IF(C235="ID",1,(IF(C235="PR",2,(IF(C235="DE",3,(IF(C235="RS",4,(IF(C235="RC",5,0)))))))))</f>
        <v>1</v>
      </c>
      <c r="E235" s="89" t="s">
        <v>130</v>
      </c>
      <c r="F235" s="89">
        <f>IF(E235="AM",1,(IF(E235="BE",2,(IF(E235="GV",3,(IF(E235="RA",4,(IF(E235="RM",5,(IF(E235="AC",1,(IF(E235="AT",2,(IF(E235="DS",3,(IF(E235="IP",4,(IF(E235="MA",5,(IF(E235="PT",6,(IF(E235="AE",1,(IF(E235="CM",2,(IF(E235="DP",3,(IF(E235="AN",1,(IF(E235="CO",2,(IF(E235="IM",3,(IF(E235="MI",4,(IF(E235="RP",5,(IF(E235="SC",6,0)))))))))))))))))))))))))))))))))))))))</f>
        <v>2</v>
      </c>
      <c r="G235" s="52">
        <v>5</v>
      </c>
      <c r="H235" s="90" t="s">
        <v>115</v>
      </c>
      <c r="I235" s="93" t="s">
        <v>77</v>
      </c>
      <c r="J235" s="87" t="s">
        <v>950</v>
      </c>
      <c r="K235" s="102" t="s">
        <v>2033</v>
      </c>
      <c r="L235" s="117">
        <f>IF(O235="","",N235*O235*M235)</f>
        <v>0</v>
      </c>
      <c r="M235" s="108">
        <v>1</v>
      </c>
      <c r="N235" s="95">
        <v>1</v>
      </c>
      <c r="O235" s="109">
        <f>IF(Key!D$1="ON",P235,IF(SUM(Q235:DL235)&lt;1,"",SUM(Q235:DL235)/COUNTIF(Q235:DL235,"&gt;0")))</f>
        <v>0</v>
      </c>
      <c r="P235" s="109">
        <f>SUMIFS(Q235:DK235,Q$1:DK$1,Dashboard!$K$31)</f>
        <v>0</v>
      </c>
      <c r="U235" s="95">
        <v>33</v>
      </c>
      <c r="AA235" s="95">
        <v>25</v>
      </c>
      <c r="AH235" s="95">
        <v>75</v>
      </c>
    </row>
    <row r="236" spans="1:34" ht="15.6" x14ac:dyDescent="0.3">
      <c r="A236" s="89" t="str">
        <f>CONCATENATE(D236,".",F236,"-",G236,".",H236,"")</f>
        <v>1.2-5.1</v>
      </c>
      <c r="B236" s="89" t="str">
        <f>IF(CONCATENATE(I236,Key!F$2)=CONCATENATE(INDEX(Dashboard!J:J,MATCH(I236,Dashboard!J:J,0),1),INDEX(Dashboard!J:K,MATCH(I236,Dashboard!J:J,0),2)),"ON",IF(Dashboard!K$32="ALL","ON","-"))</f>
        <v>-</v>
      </c>
      <c r="C236" s="88" t="s">
        <v>110</v>
      </c>
      <c r="D236" s="89">
        <f>IF(C236="ID",1,(IF(C236="PR",2,(IF(C236="DE",3,(IF(C236="RS",4,(IF(C236="RC",5,0)))))))))</f>
        <v>1</v>
      </c>
      <c r="E236" s="89" t="s">
        <v>130</v>
      </c>
      <c r="F236" s="89">
        <f>IF(E236="AM",1,(IF(E236="BE",2,(IF(E236="GV",3,(IF(E236="RA",4,(IF(E236="RM",5,(IF(E236="AC",1,(IF(E236="AT",2,(IF(E236="DS",3,(IF(E236="IP",4,(IF(E236="MA",5,(IF(E236="PT",6,(IF(E236="AE",1,(IF(E236="CM",2,(IF(E236="DP",3,(IF(E236="AN",1,(IF(E236="CO",2,(IF(E236="IM",3,(IF(E236="MI",4,(IF(E236="RP",5,(IF(E236="SC",6,0)))))))))))))))))))))))))))))))))))))))</f>
        <v>2</v>
      </c>
      <c r="G236" s="52">
        <v>5</v>
      </c>
      <c r="H236" s="90" t="s">
        <v>115</v>
      </c>
      <c r="I236" s="93" t="s">
        <v>77</v>
      </c>
      <c r="J236" s="87" t="s">
        <v>978</v>
      </c>
      <c r="K236" s="102" t="s">
        <v>2053</v>
      </c>
      <c r="L236" s="117">
        <f>IF(O236="","",N236*O236*M236)</f>
        <v>0</v>
      </c>
      <c r="M236" s="108">
        <v>1</v>
      </c>
      <c r="N236" s="95">
        <v>1</v>
      </c>
      <c r="O236" s="109">
        <f>IF(Key!D$1="ON",P236,IF(SUM(Q236:DL236)&lt;1,"",SUM(Q236:DL236)/COUNTIF(Q236:DL236,"&gt;0")))</f>
        <v>0</v>
      </c>
      <c r="P236" s="109">
        <f>SUMIFS(Q236:DK236,Q$1:DK$1,Dashboard!$K$31)</f>
        <v>0</v>
      </c>
      <c r="U236" s="95">
        <v>33</v>
      </c>
      <c r="AA236" s="95">
        <v>25</v>
      </c>
      <c r="AH236" s="95">
        <v>75</v>
      </c>
    </row>
    <row r="237" spans="1:34" ht="15.6" x14ac:dyDescent="0.3">
      <c r="A237" s="89" t="str">
        <f>CONCATENATE(D237,".",F237,"-",G237,".",H237,"")</f>
        <v>1.2-5.1</v>
      </c>
      <c r="B237" s="89" t="str">
        <f>IF(CONCATENATE(I237,Key!F$2)=CONCATENATE(INDEX(Dashboard!J:J,MATCH(I237,Dashboard!J:J,0),1),INDEX(Dashboard!J:K,MATCH(I237,Dashboard!J:J,0),2)),"ON",IF(Dashboard!K$32="ALL","ON","-"))</f>
        <v>-</v>
      </c>
      <c r="C237" s="88" t="s">
        <v>110</v>
      </c>
      <c r="D237" s="89">
        <f>IF(C237="ID",1,(IF(C237="PR",2,(IF(C237="DE",3,(IF(C237="RS",4,(IF(C237="RC",5,0)))))))))</f>
        <v>1</v>
      </c>
      <c r="E237" s="89" t="s">
        <v>130</v>
      </c>
      <c r="F237" s="89">
        <f>IF(E237="AM",1,(IF(E237="BE",2,(IF(E237="GV",3,(IF(E237="RA",4,(IF(E237="RM",5,(IF(E237="AC",1,(IF(E237="AT",2,(IF(E237="DS",3,(IF(E237="IP",4,(IF(E237="MA",5,(IF(E237="PT",6,(IF(E237="AE",1,(IF(E237="CM",2,(IF(E237="DP",3,(IF(E237="AN",1,(IF(E237="CO",2,(IF(E237="IM",3,(IF(E237="MI",4,(IF(E237="RP",5,(IF(E237="SC",6,0)))))))))))))))))))))))))))))))))))))))</f>
        <v>2</v>
      </c>
      <c r="G237" s="52">
        <v>5</v>
      </c>
      <c r="H237" s="90" t="s">
        <v>115</v>
      </c>
      <c r="I237" s="93" t="s">
        <v>77</v>
      </c>
      <c r="J237" s="87" t="s">
        <v>979</v>
      </c>
      <c r="K237" s="102" t="s">
        <v>2054</v>
      </c>
      <c r="L237" s="117">
        <f>IF(O237="","",N237*O237*M237)</f>
        <v>0</v>
      </c>
      <c r="M237" s="108">
        <v>1</v>
      </c>
      <c r="N237" s="95">
        <v>1</v>
      </c>
      <c r="O237" s="109">
        <f>IF(Key!D$1="ON",P237,IF(SUM(Q237:DL237)&lt;1,"",SUM(Q237:DL237)/COUNTIF(Q237:DL237,"&gt;0")))</f>
        <v>0</v>
      </c>
      <c r="P237" s="109">
        <f>SUMIFS(Q237:DK237,Q$1:DK$1,Dashboard!$K$31)</f>
        <v>0</v>
      </c>
      <c r="U237" s="95">
        <v>33</v>
      </c>
      <c r="AA237" s="95">
        <v>25</v>
      </c>
      <c r="AH237" s="95">
        <v>75</v>
      </c>
    </row>
    <row r="238" spans="1:34" ht="15.6" x14ac:dyDescent="0.3">
      <c r="A238" s="89" t="str">
        <f>CONCATENATE(D238,".",F238,"-",G238,".",H238,"")</f>
        <v>1.2-5.1</v>
      </c>
      <c r="B238" s="89" t="str">
        <f>IF(CONCATENATE(I238,Key!F$2)=CONCATENATE(INDEX(Dashboard!J:J,MATCH(I238,Dashboard!J:J,0),1),INDEX(Dashboard!J:K,MATCH(I238,Dashboard!J:J,0),2)),"ON",IF(Dashboard!K$32="ALL","ON","-"))</f>
        <v>-</v>
      </c>
      <c r="C238" s="88" t="s">
        <v>110</v>
      </c>
      <c r="D238" s="89">
        <f>IF(C238="ID",1,(IF(C238="PR",2,(IF(C238="DE",3,(IF(C238="RS",4,(IF(C238="RC",5,0)))))))))</f>
        <v>1</v>
      </c>
      <c r="E238" s="89" t="s">
        <v>130</v>
      </c>
      <c r="F238" s="89">
        <f>IF(E238="AM",1,(IF(E238="BE",2,(IF(E238="GV",3,(IF(E238="RA",4,(IF(E238="RM",5,(IF(E238="AC",1,(IF(E238="AT",2,(IF(E238="DS",3,(IF(E238="IP",4,(IF(E238="MA",5,(IF(E238="PT",6,(IF(E238="AE",1,(IF(E238="CM",2,(IF(E238="DP",3,(IF(E238="AN",1,(IF(E238="CO",2,(IF(E238="IM",3,(IF(E238="MI",4,(IF(E238="RP",5,(IF(E238="SC",6,0)))))))))))))))))))))))))))))))))))))))</f>
        <v>2</v>
      </c>
      <c r="G238" s="52">
        <v>5</v>
      </c>
      <c r="H238" s="90" t="s">
        <v>115</v>
      </c>
      <c r="I238" s="93" t="s">
        <v>77</v>
      </c>
      <c r="J238" s="87" t="s">
        <v>980</v>
      </c>
      <c r="K238" s="102" t="s">
        <v>2055</v>
      </c>
      <c r="L238" s="117">
        <f>IF(O238="","",N238*O238*M238)</f>
        <v>0</v>
      </c>
      <c r="M238" s="108">
        <v>1</v>
      </c>
      <c r="N238" s="95">
        <v>1</v>
      </c>
      <c r="O238" s="109">
        <f>IF(Key!D$1="ON",P238,IF(SUM(Q238:DL238)&lt;1,"",SUM(Q238:DL238)/COUNTIF(Q238:DL238,"&gt;0")))</f>
        <v>0</v>
      </c>
      <c r="P238" s="109">
        <f>SUMIFS(Q238:DK238,Q$1:DK$1,Dashboard!$K$31)</f>
        <v>0</v>
      </c>
      <c r="U238" s="95">
        <v>33</v>
      </c>
      <c r="AA238" s="95">
        <v>25</v>
      </c>
      <c r="AH238" s="95">
        <v>75</v>
      </c>
    </row>
    <row r="239" spans="1:34" ht="15.6" x14ac:dyDescent="0.3">
      <c r="A239" s="89" t="str">
        <f>CONCATENATE(D239,".",F239,"-",G239,".",H239,"")</f>
        <v>1.2-5.1</v>
      </c>
      <c r="B239" s="89" t="str">
        <f>IF(CONCATENATE(I239,Key!F$2)=CONCATENATE(INDEX(Dashboard!J:J,MATCH(I239,Dashboard!J:J,0),1),INDEX(Dashboard!J:K,MATCH(I239,Dashboard!J:J,0),2)),"ON",IF(Dashboard!K$32="ALL","ON","-"))</f>
        <v>-</v>
      </c>
      <c r="C239" s="88" t="s">
        <v>110</v>
      </c>
      <c r="D239" s="89">
        <f>IF(C239="ID",1,(IF(C239="PR",2,(IF(C239="DE",3,(IF(C239="RS",4,(IF(C239="RC",5,0)))))))))</f>
        <v>1</v>
      </c>
      <c r="E239" s="89" t="s">
        <v>130</v>
      </c>
      <c r="F239" s="89">
        <f>IF(E239="AM",1,(IF(E239="BE",2,(IF(E239="GV",3,(IF(E239="RA",4,(IF(E239="RM",5,(IF(E239="AC",1,(IF(E239="AT",2,(IF(E239="DS",3,(IF(E239="IP",4,(IF(E239="MA",5,(IF(E239="PT",6,(IF(E239="AE",1,(IF(E239="CM",2,(IF(E239="DP",3,(IF(E239="AN",1,(IF(E239="CO",2,(IF(E239="IM",3,(IF(E239="MI",4,(IF(E239="RP",5,(IF(E239="SC",6,0)))))))))))))))))))))))))))))))))))))))</f>
        <v>2</v>
      </c>
      <c r="G239" s="52">
        <v>5</v>
      </c>
      <c r="H239" s="90" t="s">
        <v>115</v>
      </c>
      <c r="I239" s="93" t="s">
        <v>77</v>
      </c>
      <c r="J239" s="87" t="s">
        <v>981</v>
      </c>
      <c r="K239" s="102" t="s">
        <v>2056</v>
      </c>
      <c r="L239" s="117">
        <f>IF(O239="","",N239*O239*M239)</f>
        <v>0</v>
      </c>
      <c r="M239" s="108">
        <v>1</v>
      </c>
      <c r="N239" s="95">
        <v>1</v>
      </c>
      <c r="O239" s="109">
        <f>IF(Key!D$1="ON",P239,IF(SUM(Q239:DL239)&lt;1,"",SUM(Q239:DL239)/COUNTIF(Q239:DL239,"&gt;0")))</f>
        <v>0</v>
      </c>
      <c r="P239" s="109">
        <f>SUMIFS(Q239:DK239,Q$1:DK$1,Dashboard!$K$31)</f>
        <v>0</v>
      </c>
      <c r="U239" s="95">
        <v>33</v>
      </c>
      <c r="AA239" s="95">
        <v>25</v>
      </c>
      <c r="AH239" s="95">
        <v>75</v>
      </c>
    </row>
    <row r="240" spans="1:34" ht="15.6" x14ac:dyDescent="0.3">
      <c r="A240" s="89" t="str">
        <f>CONCATENATE(D240,".",F240,"-",G240,".",H240,"")</f>
        <v>1.2-5.1</v>
      </c>
      <c r="B240" s="89" t="str">
        <f>IF(CONCATENATE(I240,Key!F$2)=CONCATENATE(INDEX(Dashboard!J:J,MATCH(I240,Dashboard!J:J,0),1),INDEX(Dashboard!J:K,MATCH(I240,Dashboard!J:J,0),2)),"ON",IF(Dashboard!K$32="ALL","ON","-"))</f>
        <v>-</v>
      </c>
      <c r="C240" s="88" t="s">
        <v>110</v>
      </c>
      <c r="D240" s="89">
        <f>IF(C240="ID",1,(IF(C240="PR",2,(IF(C240="DE",3,(IF(C240="RS",4,(IF(C240="RC",5,0)))))))))</f>
        <v>1</v>
      </c>
      <c r="E240" s="89" t="s">
        <v>130</v>
      </c>
      <c r="F240" s="89">
        <f>IF(E240="AM",1,(IF(E240="BE",2,(IF(E240="GV",3,(IF(E240="RA",4,(IF(E240="RM",5,(IF(E240="AC",1,(IF(E240="AT",2,(IF(E240="DS",3,(IF(E240="IP",4,(IF(E240="MA",5,(IF(E240="PT",6,(IF(E240="AE",1,(IF(E240="CM",2,(IF(E240="DP",3,(IF(E240="AN",1,(IF(E240="CO",2,(IF(E240="IM",3,(IF(E240="MI",4,(IF(E240="RP",5,(IF(E240="SC",6,0)))))))))))))))))))))))))))))))))))))))</f>
        <v>2</v>
      </c>
      <c r="G240" s="52">
        <v>5</v>
      </c>
      <c r="H240" s="90" t="s">
        <v>115</v>
      </c>
      <c r="I240" s="93" t="s">
        <v>77</v>
      </c>
      <c r="J240" s="87" t="s">
        <v>982</v>
      </c>
      <c r="K240" s="102" t="s">
        <v>2057</v>
      </c>
      <c r="L240" s="117">
        <f>IF(O240="","",N240*O240*M240)</f>
        <v>0</v>
      </c>
      <c r="M240" s="108">
        <v>1</v>
      </c>
      <c r="N240" s="95">
        <v>1</v>
      </c>
      <c r="O240" s="109">
        <f>IF(Key!D$1="ON",P240,IF(SUM(Q240:DL240)&lt;1,"",SUM(Q240:DL240)/COUNTIF(Q240:DL240,"&gt;0")))</f>
        <v>0</v>
      </c>
      <c r="P240" s="109">
        <f>SUMIFS(Q240:DK240,Q$1:DK$1,Dashboard!$K$31)</f>
        <v>0</v>
      </c>
      <c r="U240" s="95">
        <v>33</v>
      </c>
      <c r="AA240" s="95">
        <v>25</v>
      </c>
      <c r="AH240" s="95">
        <v>75</v>
      </c>
    </row>
    <row r="241" spans="1:34" ht="15.6" x14ac:dyDescent="0.3">
      <c r="A241" s="89" t="str">
        <f>CONCATENATE(D241,".",F241,"-",G241,".",H241,"")</f>
        <v>1.2-5.1</v>
      </c>
      <c r="B241" s="89" t="str">
        <f>IF(CONCATENATE(I241,Key!F$2)=CONCATENATE(INDEX(Dashboard!J:J,MATCH(I241,Dashboard!J:J,0),1),INDEX(Dashboard!J:K,MATCH(I241,Dashboard!J:J,0),2)),"ON",IF(Dashboard!K$32="ALL","ON","-"))</f>
        <v>-</v>
      </c>
      <c r="C241" s="88" t="s">
        <v>110</v>
      </c>
      <c r="D241" s="89">
        <f>IF(C241="ID",1,(IF(C241="PR",2,(IF(C241="DE",3,(IF(C241="RS",4,(IF(C241="RC",5,0)))))))))</f>
        <v>1</v>
      </c>
      <c r="E241" s="89" t="s">
        <v>130</v>
      </c>
      <c r="F241" s="89">
        <f>IF(E241="AM",1,(IF(E241="BE",2,(IF(E241="GV",3,(IF(E241="RA",4,(IF(E241="RM",5,(IF(E241="AC",1,(IF(E241="AT",2,(IF(E241="DS",3,(IF(E241="IP",4,(IF(E241="MA",5,(IF(E241="PT",6,(IF(E241="AE",1,(IF(E241="CM",2,(IF(E241="DP",3,(IF(E241="AN",1,(IF(E241="CO",2,(IF(E241="IM",3,(IF(E241="MI",4,(IF(E241="RP",5,(IF(E241="SC",6,0)))))))))))))))))))))))))))))))))))))))</f>
        <v>2</v>
      </c>
      <c r="G241" s="52">
        <v>5</v>
      </c>
      <c r="H241" s="90" t="s">
        <v>115</v>
      </c>
      <c r="I241" s="93" t="s">
        <v>77</v>
      </c>
      <c r="J241" s="87" t="s">
        <v>983</v>
      </c>
      <c r="K241" s="102" t="s">
        <v>2058</v>
      </c>
      <c r="L241" s="117">
        <f>IF(O241="","",N241*O241*M241)</f>
        <v>0</v>
      </c>
      <c r="M241" s="108">
        <v>1</v>
      </c>
      <c r="N241" s="95">
        <v>1</v>
      </c>
      <c r="O241" s="109">
        <f>IF(Key!D$1="ON",P241,IF(SUM(Q241:DL241)&lt;1,"",SUM(Q241:DL241)/COUNTIF(Q241:DL241,"&gt;0")))</f>
        <v>0</v>
      </c>
      <c r="P241" s="109">
        <f>SUMIFS(Q241:DK241,Q$1:DK$1,Dashboard!$K$31)</f>
        <v>0</v>
      </c>
      <c r="U241" s="95">
        <v>33</v>
      </c>
      <c r="AA241" s="95">
        <v>25</v>
      </c>
      <c r="AH241" s="95">
        <v>75</v>
      </c>
    </row>
    <row r="242" spans="1:34" ht="15.6" x14ac:dyDescent="0.3">
      <c r="A242" s="89" t="str">
        <f>CONCATENATE(D242,".",F242,"-",G242,".",H242,"")</f>
        <v>1.2-5.1</v>
      </c>
      <c r="B242" s="89" t="str">
        <f>IF(CONCATENATE(I242,Key!F$2)=CONCATENATE(INDEX(Dashboard!J:J,MATCH(I242,Dashboard!J:J,0),1),INDEX(Dashboard!J:K,MATCH(I242,Dashboard!J:J,0),2)),"ON",IF(Dashboard!K$32="ALL","ON","-"))</f>
        <v>-</v>
      </c>
      <c r="C242" s="88" t="s">
        <v>110</v>
      </c>
      <c r="D242" s="89">
        <f>IF(C242="ID",1,(IF(C242="PR",2,(IF(C242="DE",3,(IF(C242="RS",4,(IF(C242="RC",5,0)))))))))</f>
        <v>1</v>
      </c>
      <c r="E242" s="89" t="s">
        <v>130</v>
      </c>
      <c r="F242" s="89">
        <f>IF(E242="AM",1,(IF(E242="BE",2,(IF(E242="GV",3,(IF(E242="RA",4,(IF(E242="RM",5,(IF(E242="AC",1,(IF(E242="AT",2,(IF(E242="DS",3,(IF(E242="IP",4,(IF(E242="MA",5,(IF(E242="PT",6,(IF(E242="AE",1,(IF(E242="CM",2,(IF(E242="DP",3,(IF(E242="AN",1,(IF(E242="CO",2,(IF(E242="IM",3,(IF(E242="MI",4,(IF(E242="RP",5,(IF(E242="SC",6,0)))))))))))))))))))))))))))))))))))))))</f>
        <v>2</v>
      </c>
      <c r="G242" s="52">
        <v>5</v>
      </c>
      <c r="H242" s="90" t="s">
        <v>115</v>
      </c>
      <c r="I242" s="93" t="s">
        <v>77</v>
      </c>
      <c r="J242" s="87" t="s">
        <v>985</v>
      </c>
      <c r="K242" s="102" t="s">
        <v>2059</v>
      </c>
      <c r="L242" s="117">
        <f>IF(O242="","",N242*O242*M242)</f>
        <v>0</v>
      </c>
      <c r="M242" s="108">
        <v>1</v>
      </c>
      <c r="N242" s="95">
        <v>1</v>
      </c>
      <c r="O242" s="109">
        <f>IF(Key!D$1="ON",P242,IF(SUM(Q242:DL242)&lt;1,"",SUM(Q242:DL242)/COUNTIF(Q242:DL242,"&gt;0")))</f>
        <v>0</v>
      </c>
      <c r="P242" s="109">
        <f>SUMIFS(Q242:DK242,Q$1:DK$1,Dashboard!$K$31)</f>
        <v>0</v>
      </c>
      <c r="U242" s="95">
        <v>33</v>
      </c>
      <c r="AA242" s="95">
        <v>25</v>
      </c>
      <c r="AH242" s="95">
        <v>75</v>
      </c>
    </row>
    <row r="243" spans="1:34" ht="15.6" x14ac:dyDescent="0.3">
      <c r="A243" s="89" t="str">
        <f>CONCATENATE(D243,".",F243,"-",G243,".",H243,"")</f>
        <v>1.2-5.1</v>
      </c>
      <c r="B243" s="89" t="str">
        <f>IF(CONCATENATE(I243,Key!F$2)=CONCATENATE(INDEX(Dashboard!J:J,MATCH(I243,Dashboard!J:J,0),1),INDEX(Dashboard!J:K,MATCH(I243,Dashboard!J:J,0),2)),"ON",IF(Dashboard!K$32="ALL","ON","-"))</f>
        <v>-</v>
      </c>
      <c r="C243" s="96" t="s">
        <v>110</v>
      </c>
      <c r="D243" s="89">
        <f>IF(C243="ID",1,(IF(C243="PR",2,(IF(C243="DE",3,(IF(C243="RS",4,(IF(C243="RC",5,0)))))))))</f>
        <v>1</v>
      </c>
      <c r="E243" s="89" t="s">
        <v>130</v>
      </c>
      <c r="F243" s="89">
        <f>IF(E243="AM",1,(IF(E243="BE",2,(IF(E243="GV",3,(IF(E243="RA",4,(IF(E243="RM",5,(IF(E243="AC",1,(IF(E243="AT",2,(IF(E243="DS",3,(IF(E243="IP",4,(IF(E243="MA",5,(IF(E243="PT",6,(IF(E243="AE",1,(IF(E243="CM",2,(IF(E243="DP",3,(IF(E243="AN",1,(IF(E243="CO",2,(IF(E243="IM",3,(IF(E243="MI",4,(IF(E243="RP",5,(IF(E243="SC",6,0)))))))))))))))))))))))))))))))))))))))</f>
        <v>2</v>
      </c>
      <c r="G243" s="98">
        <v>5</v>
      </c>
      <c r="H243" s="90" t="s">
        <v>115</v>
      </c>
      <c r="I243" s="93" t="s">
        <v>85</v>
      </c>
      <c r="J243" s="87" t="s">
        <v>972</v>
      </c>
      <c r="K243" s="119" t="s">
        <v>973</v>
      </c>
      <c r="L243" s="117">
        <f>IF(O243="","",N243*O243*M243)</f>
        <v>0</v>
      </c>
      <c r="M243" s="108">
        <v>0.9</v>
      </c>
      <c r="N243" s="95">
        <v>1</v>
      </c>
      <c r="O243" s="109">
        <f>IF(Key!D$1="ON",P243,IF(SUM(Q243:DL243)&lt;1,"",SUM(Q243:DL243)/COUNTIF(Q243:DL243,"&gt;0")))</f>
        <v>0</v>
      </c>
      <c r="P243" s="109">
        <f>SUMIFS(Q243:DK243,Q$1:DK$1,Dashboard!$K$31)</f>
        <v>0</v>
      </c>
      <c r="S243" s="95">
        <v>99</v>
      </c>
      <c r="T243" s="95">
        <v>80</v>
      </c>
      <c r="U243" s="95">
        <v>33</v>
      </c>
      <c r="AA243" s="95">
        <v>25</v>
      </c>
      <c r="AH243" s="95">
        <v>75</v>
      </c>
    </row>
    <row r="244" spans="1:34" ht="15.6" x14ac:dyDescent="0.3">
      <c r="A244" s="89" t="str">
        <f>CONCATENATE(D244,".",F244,"-",G244,".",H244,"")</f>
        <v>1.2-5.1</v>
      </c>
      <c r="B244" s="89" t="str">
        <f>IF(CONCATENATE(I244,Key!F$2)=CONCATENATE(INDEX(Dashboard!J:J,MATCH(I244,Dashboard!J:J,0),1),INDEX(Dashboard!J:K,MATCH(I244,Dashboard!J:J,0),2)),"ON",IF(Dashboard!K$32="ALL","ON","-"))</f>
        <v>-</v>
      </c>
      <c r="C244" s="88" t="s">
        <v>110</v>
      </c>
      <c r="D244" s="89">
        <f>IF(C244="ID",1,(IF(C244="PR",2,(IF(C244="DE",3,(IF(C244="RS",4,(IF(C244="RC",5,0)))))))))</f>
        <v>1</v>
      </c>
      <c r="E244" s="89" t="s">
        <v>130</v>
      </c>
      <c r="F244" s="89">
        <f>IF(E244="AM",1,(IF(E244="BE",2,(IF(E244="GV",3,(IF(E244="RA",4,(IF(E244="RM",5,(IF(E244="AC",1,(IF(E244="AT",2,(IF(E244="DS",3,(IF(E244="IP",4,(IF(E244="MA",5,(IF(E244="PT",6,(IF(E244="AE",1,(IF(E244="CM",2,(IF(E244="DP",3,(IF(E244="AN",1,(IF(E244="CO",2,(IF(E244="IM",3,(IF(E244="MI",4,(IF(E244="RP",5,(IF(E244="SC",6,0)))))))))))))))))))))))))))))))))))))))</f>
        <v>2</v>
      </c>
      <c r="G244" s="52">
        <v>5</v>
      </c>
      <c r="H244" s="90" t="s">
        <v>115</v>
      </c>
      <c r="I244" s="93" t="s">
        <v>85</v>
      </c>
      <c r="J244" s="87" t="s">
        <v>979</v>
      </c>
      <c r="K244" s="119" t="s">
        <v>4713</v>
      </c>
      <c r="L244" s="117">
        <f>IF(O244="","",N244*O244*M244)</f>
        <v>0</v>
      </c>
      <c r="M244" s="108">
        <v>1</v>
      </c>
      <c r="N244" s="95">
        <v>1</v>
      </c>
      <c r="O244" s="109">
        <f>IF(Key!D$1="ON",P244,IF(SUM(Q244:DL244)&lt;1,"",SUM(Q244:DL244)/COUNTIF(Q244:DL244,"&gt;0")))</f>
        <v>0</v>
      </c>
      <c r="P244" s="109">
        <f>SUMIFS(Q244:DK244,Q$1:DK$1,Dashboard!$K$31)</f>
        <v>0</v>
      </c>
      <c r="U244" s="95">
        <v>33</v>
      </c>
      <c r="AA244" s="95">
        <v>25</v>
      </c>
      <c r="AH244" s="95">
        <v>75</v>
      </c>
    </row>
    <row r="245" spans="1:34" ht="15.6" x14ac:dyDescent="0.3">
      <c r="A245" s="89" t="str">
        <f>CONCATENATE(D245,".",F245,"-",G245,".",H245,"")</f>
        <v>1.2-5.1</v>
      </c>
      <c r="B245" s="89" t="str">
        <f>IF(CONCATENATE(I245,Key!F$2)=CONCATENATE(INDEX(Dashboard!J:J,MATCH(I245,Dashboard!J:J,0),1),INDEX(Dashboard!J:K,MATCH(I245,Dashboard!J:J,0),2)),"ON",IF(Dashboard!K$32="ALL","ON","-"))</f>
        <v>-</v>
      </c>
      <c r="C245" s="88" t="s">
        <v>110</v>
      </c>
      <c r="D245" s="89">
        <f>IF(C245="ID",1,(IF(C245="PR",2,(IF(C245="DE",3,(IF(C245="RS",4,(IF(C245="RC",5,0)))))))))</f>
        <v>1</v>
      </c>
      <c r="E245" s="89" t="s">
        <v>130</v>
      </c>
      <c r="F245" s="89">
        <f>IF(E245="AM",1,(IF(E245="BE",2,(IF(E245="GV",3,(IF(E245="RA",4,(IF(E245="RM",5,(IF(E245="AC",1,(IF(E245="AT",2,(IF(E245="DS",3,(IF(E245="IP",4,(IF(E245="MA",5,(IF(E245="PT",6,(IF(E245="AE",1,(IF(E245="CM",2,(IF(E245="DP",3,(IF(E245="AN",1,(IF(E245="CO",2,(IF(E245="IM",3,(IF(E245="MI",4,(IF(E245="RP",5,(IF(E245="SC",6,0)))))))))))))))))))))))))))))))))))))))</f>
        <v>2</v>
      </c>
      <c r="G245" s="52">
        <v>5</v>
      </c>
      <c r="H245" s="90" t="s">
        <v>115</v>
      </c>
      <c r="I245" s="93" t="s">
        <v>85</v>
      </c>
      <c r="J245" s="87" t="s">
        <v>976</v>
      </c>
      <c r="K245" s="119" t="s">
        <v>4710</v>
      </c>
      <c r="L245" s="117">
        <f>IF(O245="","",N245*O245*M245)</f>
        <v>0</v>
      </c>
      <c r="M245" s="108">
        <v>1</v>
      </c>
      <c r="N245" s="95">
        <v>1</v>
      </c>
      <c r="O245" s="109">
        <f>IF(Key!D$1="ON",P245,IF(SUM(Q245:DL245)&lt;1,"",SUM(Q245:DL245)/COUNTIF(Q245:DL245,"&gt;0")))</f>
        <v>0</v>
      </c>
      <c r="P245" s="109">
        <f>SUMIFS(Q245:DK245,Q$1:DK$1,Dashboard!$K$31)</f>
        <v>0</v>
      </c>
      <c r="U245" s="95">
        <v>33</v>
      </c>
      <c r="AA245" s="95">
        <v>25</v>
      </c>
      <c r="AH245" s="95">
        <v>75</v>
      </c>
    </row>
    <row r="246" spans="1:34" ht="15.6" x14ac:dyDescent="0.3">
      <c r="A246" s="89" t="str">
        <f>CONCATENATE(D246,".",F246,"-",G246,".",H246,"")</f>
        <v>1.2-5.1</v>
      </c>
      <c r="B246" s="89" t="str">
        <f>IF(CONCATENATE(I246,Key!F$2)=CONCATENATE(INDEX(Dashboard!J:J,MATCH(I246,Dashboard!J:J,0),1),INDEX(Dashboard!J:K,MATCH(I246,Dashboard!J:J,0),2)),"ON",IF(Dashboard!K$32="ALL","ON","-"))</f>
        <v>-</v>
      </c>
      <c r="C246" s="96" t="s">
        <v>110</v>
      </c>
      <c r="D246" s="89">
        <f>IF(C246="ID",1,(IF(C246="PR",2,(IF(C246="DE",3,(IF(C246="RS",4,(IF(C246="RC",5,0)))))))))</f>
        <v>1</v>
      </c>
      <c r="E246" s="89" t="s">
        <v>130</v>
      </c>
      <c r="F246" s="89">
        <f>IF(E246="AM",1,(IF(E246="BE",2,(IF(E246="GV",3,(IF(E246="RA",4,(IF(E246="RM",5,(IF(E246="AC",1,(IF(E246="AT",2,(IF(E246="DS",3,(IF(E246="IP",4,(IF(E246="MA",5,(IF(E246="PT",6,(IF(E246="AE",1,(IF(E246="CM",2,(IF(E246="DP",3,(IF(E246="AN",1,(IF(E246="CO",2,(IF(E246="IM",3,(IF(E246="MI",4,(IF(E246="RP",5,(IF(E246="SC",6,0)))))))))))))))))))))))))))))))))))))))</f>
        <v>2</v>
      </c>
      <c r="G246" s="98">
        <v>5</v>
      </c>
      <c r="H246" s="90" t="s">
        <v>115</v>
      </c>
      <c r="I246" s="93" t="s">
        <v>85</v>
      </c>
      <c r="J246" s="87" t="s">
        <v>974</v>
      </c>
      <c r="K246" s="119" t="s">
        <v>975</v>
      </c>
      <c r="L246" s="117">
        <f>IF(O246="","",N246*O246*M246)</f>
        <v>0</v>
      </c>
      <c r="M246" s="108">
        <v>1</v>
      </c>
      <c r="N246" s="95">
        <v>1</v>
      </c>
      <c r="O246" s="109">
        <f>IF(Key!D$1="ON",P246,IF(SUM(Q246:DL246)&lt;1,"",SUM(Q246:DL246)/COUNTIF(Q246:DL246,"&gt;0")))</f>
        <v>0</v>
      </c>
      <c r="P246" s="109">
        <f>SUMIFS(Q246:DK246,Q$1:DK$1,Dashboard!$K$31)</f>
        <v>0</v>
      </c>
      <c r="U246" s="95">
        <v>33</v>
      </c>
      <c r="AA246" s="95">
        <v>25</v>
      </c>
      <c r="AH246" s="95">
        <v>75</v>
      </c>
    </row>
    <row r="247" spans="1:34" ht="15.6" x14ac:dyDescent="0.3">
      <c r="A247" s="89" t="str">
        <f>CONCATENATE(D247,".",F247,"-",G247,".",H247,"")</f>
        <v>1.2-5.1</v>
      </c>
      <c r="B247" s="89" t="str">
        <f>IF(CONCATENATE(I247,Key!F$2)=CONCATENATE(INDEX(Dashboard!J:J,MATCH(I247,Dashboard!J:J,0),1),INDEX(Dashboard!J:K,MATCH(I247,Dashboard!J:J,0),2)),"ON",IF(Dashboard!K$32="ALL","ON","-"))</f>
        <v>-</v>
      </c>
      <c r="C247" s="88" t="s">
        <v>110</v>
      </c>
      <c r="D247" s="89">
        <f>IF(C247="ID",1,(IF(C247="PR",2,(IF(C247="DE",3,(IF(C247="RS",4,(IF(C247="RC",5,0)))))))))</f>
        <v>1</v>
      </c>
      <c r="E247" s="89" t="s">
        <v>130</v>
      </c>
      <c r="F247" s="89">
        <f>IF(E247="AM",1,(IF(E247="BE",2,(IF(E247="GV",3,(IF(E247="RA",4,(IF(E247="RM",5,(IF(E247="AC",1,(IF(E247="AT",2,(IF(E247="DS",3,(IF(E247="IP",4,(IF(E247="MA",5,(IF(E247="PT",6,(IF(E247="AE",1,(IF(E247="CM",2,(IF(E247="DP",3,(IF(E247="AN",1,(IF(E247="CO",2,(IF(E247="IM",3,(IF(E247="MI",4,(IF(E247="RP",5,(IF(E247="SC",6,0)))))))))))))))))))))))))))))))))))))))</f>
        <v>2</v>
      </c>
      <c r="G247" s="52">
        <v>5</v>
      </c>
      <c r="H247" s="90" t="s">
        <v>115</v>
      </c>
      <c r="I247" s="93" t="s">
        <v>85</v>
      </c>
      <c r="J247" s="87" t="s">
        <v>978</v>
      </c>
      <c r="K247" s="119" t="s">
        <v>4712</v>
      </c>
      <c r="L247" s="117">
        <f>IF(O247="","",N247*O247*M247)</f>
        <v>0</v>
      </c>
      <c r="M247" s="108">
        <v>1</v>
      </c>
      <c r="N247" s="95">
        <v>1</v>
      </c>
      <c r="O247" s="109">
        <f>IF(Key!D$1="ON",P247,IF(SUM(Q247:DL247)&lt;1,"",SUM(Q247:DL247)/COUNTIF(Q247:DL247,"&gt;0")))</f>
        <v>0</v>
      </c>
      <c r="P247" s="109">
        <f>SUMIFS(Q247:DK247,Q$1:DK$1,Dashboard!$K$31)</f>
        <v>0</v>
      </c>
      <c r="U247" s="95">
        <v>33</v>
      </c>
      <c r="AA247" s="95">
        <v>25</v>
      </c>
      <c r="AH247" s="95">
        <v>75</v>
      </c>
    </row>
    <row r="248" spans="1:34" ht="15.6" x14ac:dyDescent="0.3">
      <c r="A248" s="89" t="str">
        <f>CONCATENATE(D248,".",F248,"-",G248,".",H248,"")</f>
        <v>1.2-5.1</v>
      </c>
      <c r="B248" s="89" t="str">
        <f>IF(CONCATENATE(I248,Key!F$2)=CONCATENATE(INDEX(Dashboard!J:J,MATCH(I248,Dashboard!J:J,0),1),INDEX(Dashboard!J:K,MATCH(I248,Dashboard!J:J,0),2)),"ON",IF(Dashboard!K$32="ALL","ON","-"))</f>
        <v>-</v>
      </c>
      <c r="C248" s="88" t="s">
        <v>110</v>
      </c>
      <c r="D248" s="89">
        <f>IF(C248="ID",1,(IF(C248="PR",2,(IF(C248="DE",3,(IF(C248="RS",4,(IF(C248="RC",5,0)))))))))</f>
        <v>1</v>
      </c>
      <c r="E248" s="89" t="s">
        <v>130</v>
      </c>
      <c r="F248" s="89">
        <f>IF(E248="AM",1,(IF(E248="BE",2,(IF(E248="GV",3,(IF(E248="RA",4,(IF(E248="RM",5,(IF(E248="AC",1,(IF(E248="AT",2,(IF(E248="DS",3,(IF(E248="IP",4,(IF(E248="MA",5,(IF(E248="PT",6,(IF(E248="AE",1,(IF(E248="CM",2,(IF(E248="DP",3,(IF(E248="AN",1,(IF(E248="CO",2,(IF(E248="IM",3,(IF(E248="MI",4,(IF(E248="RP",5,(IF(E248="SC",6,0)))))))))))))))))))))))))))))))))))))))</f>
        <v>2</v>
      </c>
      <c r="G248" s="52">
        <v>5</v>
      </c>
      <c r="H248" s="90" t="s">
        <v>115</v>
      </c>
      <c r="I248" s="93" t="s">
        <v>85</v>
      </c>
      <c r="J248" s="87" t="s">
        <v>771</v>
      </c>
      <c r="K248" s="119" t="s">
        <v>772</v>
      </c>
      <c r="L248" s="117">
        <f>IF(O248="","",N248*O248*M248)</f>
        <v>0</v>
      </c>
      <c r="M248" s="108">
        <v>1</v>
      </c>
      <c r="N248" s="95">
        <v>1</v>
      </c>
      <c r="O248" s="109">
        <f>IF(Key!D$1="ON",P248,IF(SUM(Q248:DL248)&lt;1,"",SUM(Q248:DL248)/COUNTIF(Q248:DL248,"&gt;0")))</f>
        <v>0</v>
      </c>
      <c r="P248" s="109">
        <f>SUMIFS(Q248:DK248,Q$1:DK$1,Dashboard!$K$31)</f>
        <v>0</v>
      </c>
      <c r="U248" s="95">
        <v>33</v>
      </c>
      <c r="AA248" s="95">
        <v>25</v>
      </c>
      <c r="AH248" s="95">
        <v>75</v>
      </c>
    </row>
    <row r="249" spans="1:34" ht="15.6" x14ac:dyDescent="0.3">
      <c r="A249" s="89" t="str">
        <f>CONCATENATE(D249,".",F249,"-",G249,".",H249,"")</f>
        <v>1.2-5.1</v>
      </c>
      <c r="B249" s="89" t="str">
        <f>IF(CONCATENATE(I249,Key!F$2)=CONCATENATE(INDEX(Dashboard!J:J,MATCH(I249,Dashboard!J:J,0),1),INDEX(Dashboard!J:K,MATCH(I249,Dashboard!J:J,0),2)),"ON",IF(Dashboard!K$32="ALL","ON","-"))</f>
        <v>-</v>
      </c>
      <c r="C249" s="88" t="s">
        <v>110</v>
      </c>
      <c r="D249" s="89">
        <f>IF(C249="ID",1,(IF(C249="PR",2,(IF(C249="DE",3,(IF(C249="RS",4,(IF(C249="RC",5,0)))))))))</f>
        <v>1</v>
      </c>
      <c r="E249" s="89" t="s">
        <v>130</v>
      </c>
      <c r="F249" s="89">
        <f>IF(E249="AM",1,(IF(E249="BE",2,(IF(E249="GV",3,(IF(E249="RA",4,(IF(E249="RM",5,(IF(E249="AC",1,(IF(E249="AT",2,(IF(E249="DS",3,(IF(E249="IP",4,(IF(E249="MA",5,(IF(E249="PT",6,(IF(E249="AE",1,(IF(E249="CM",2,(IF(E249="DP",3,(IF(E249="AN",1,(IF(E249="CO",2,(IF(E249="IM",3,(IF(E249="MI",4,(IF(E249="RP",5,(IF(E249="SC",6,0)))))))))))))))))))))))))))))))))))))))</f>
        <v>2</v>
      </c>
      <c r="G249" s="52">
        <v>5</v>
      </c>
      <c r="H249" s="90" t="s">
        <v>115</v>
      </c>
      <c r="I249" s="93" t="s">
        <v>85</v>
      </c>
      <c r="J249" s="87" t="s">
        <v>983</v>
      </c>
      <c r="K249" s="119" t="s">
        <v>984</v>
      </c>
      <c r="L249" s="117">
        <f>IF(O249="","",N249*O249*M249)</f>
        <v>0</v>
      </c>
      <c r="M249" s="108">
        <v>1</v>
      </c>
      <c r="N249" s="95">
        <v>1</v>
      </c>
      <c r="O249" s="109">
        <f>IF(Key!D$1="ON",P249,IF(SUM(Q249:DL249)&lt;1,"",SUM(Q249:DL249)/COUNTIF(Q249:DL249,"&gt;0")))</f>
        <v>0</v>
      </c>
      <c r="P249" s="109">
        <f>SUMIFS(Q249:DK249,Q$1:DK$1,Dashboard!$K$31)</f>
        <v>0</v>
      </c>
      <c r="U249" s="95">
        <v>33</v>
      </c>
      <c r="AA249" s="95">
        <v>25</v>
      </c>
      <c r="AH249" s="95">
        <v>75</v>
      </c>
    </row>
    <row r="250" spans="1:34" ht="15.6" x14ac:dyDescent="0.3">
      <c r="A250" s="89" t="str">
        <f>CONCATENATE(D250,".",F250,"-",G250,".",H250,"")</f>
        <v>1.2-5.1</v>
      </c>
      <c r="B250" s="89" t="str">
        <f>IF(CONCATENATE(I250,Key!F$2)=CONCATENATE(INDEX(Dashboard!J:J,MATCH(I250,Dashboard!J:J,0),1),INDEX(Dashboard!J:K,MATCH(I250,Dashboard!J:J,0),2)),"ON",IF(Dashboard!K$32="ALL","ON","-"))</f>
        <v>-</v>
      </c>
      <c r="C250" s="88" t="s">
        <v>110</v>
      </c>
      <c r="D250" s="89">
        <f>IF(C250="ID",1,(IF(C250="PR",2,(IF(C250="DE",3,(IF(C250="RS",4,(IF(C250="RC",5,0)))))))))</f>
        <v>1</v>
      </c>
      <c r="E250" s="89" t="s">
        <v>130</v>
      </c>
      <c r="F250" s="89">
        <f>IF(E250="AM",1,(IF(E250="BE",2,(IF(E250="GV",3,(IF(E250="RA",4,(IF(E250="RM",5,(IF(E250="AC",1,(IF(E250="AT",2,(IF(E250="DS",3,(IF(E250="IP",4,(IF(E250="MA",5,(IF(E250="PT",6,(IF(E250="AE",1,(IF(E250="CM",2,(IF(E250="DP",3,(IF(E250="AN",1,(IF(E250="CO",2,(IF(E250="IM",3,(IF(E250="MI",4,(IF(E250="RP",5,(IF(E250="SC",6,0)))))))))))))))))))))))))))))))))))))))</f>
        <v>2</v>
      </c>
      <c r="G250" s="52">
        <v>5</v>
      </c>
      <c r="H250" s="90" t="s">
        <v>115</v>
      </c>
      <c r="I250" s="93" t="s">
        <v>85</v>
      </c>
      <c r="J250" s="87" t="s">
        <v>980</v>
      </c>
      <c r="K250" s="119" t="s">
        <v>4860</v>
      </c>
      <c r="L250" s="117">
        <f>IF(O250="","",N250*O250*M250)</f>
        <v>0</v>
      </c>
      <c r="M250" s="108">
        <v>1</v>
      </c>
      <c r="N250" s="95">
        <v>1</v>
      </c>
      <c r="O250" s="109">
        <f>IF(Key!D$1="ON",P250,IF(SUM(Q250:DL250)&lt;1,"",SUM(Q250:DL250)/COUNTIF(Q250:DL250,"&gt;0")))</f>
        <v>0</v>
      </c>
      <c r="P250" s="109">
        <f>SUMIFS(Q250:DK250,Q$1:DK$1,Dashboard!$K$31)</f>
        <v>0</v>
      </c>
      <c r="U250" s="95">
        <v>33</v>
      </c>
      <c r="AA250" s="95">
        <v>25</v>
      </c>
      <c r="AH250" s="95">
        <v>75</v>
      </c>
    </row>
    <row r="251" spans="1:34" ht="15.6" x14ac:dyDescent="0.3">
      <c r="A251" s="89" t="str">
        <f>CONCATENATE(D251,".",F251,"-",G251,".",H251,"")</f>
        <v>1.2-5.1</v>
      </c>
      <c r="B251" s="89" t="str">
        <f>IF(CONCATENATE(I251,Key!F$2)=CONCATENATE(INDEX(Dashboard!J:J,MATCH(I251,Dashboard!J:J,0),1),INDEX(Dashboard!J:K,MATCH(I251,Dashboard!J:J,0),2)),"ON",IF(Dashboard!K$32="ALL","ON","-"))</f>
        <v>-</v>
      </c>
      <c r="C251" s="88" t="s">
        <v>110</v>
      </c>
      <c r="D251" s="89">
        <f>IF(C251="ID",1,(IF(C251="PR",2,(IF(C251="DE",3,(IF(C251="RS",4,(IF(C251="RC",5,0)))))))))</f>
        <v>1</v>
      </c>
      <c r="E251" s="89" t="s">
        <v>130</v>
      </c>
      <c r="F251" s="89">
        <f>IF(E251="AM",1,(IF(E251="BE",2,(IF(E251="GV",3,(IF(E251="RA",4,(IF(E251="RM",5,(IF(E251="AC",1,(IF(E251="AT",2,(IF(E251="DS",3,(IF(E251="IP",4,(IF(E251="MA",5,(IF(E251="PT",6,(IF(E251="AE",1,(IF(E251="CM",2,(IF(E251="DP",3,(IF(E251="AN",1,(IF(E251="CO",2,(IF(E251="IM",3,(IF(E251="MI",4,(IF(E251="RP",5,(IF(E251="SC",6,0)))))))))))))))))))))))))))))))))))))))</f>
        <v>2</v>
      </c>
      <c r="G251" s="52">
        <v>5</v>
      </c>
      <c r="H251" s="90" t="s">
        <v>115</v>
      </c>
      <c r="I251" s="93" t="s">
        <v>85</v>
      </c>
      <c r="J251" s="87" t="s">
        <v>977</v>
      </c>
      <c r="K251" s="119" t="s">
        <v>4711</v>
      </c>
      <c r="L251" s="117">
        <f>IF(O251="","",N251*O251*M251)</f>
        <v>0</v>
      </c>
      <c r="M251" s="108">
        <v>1</v>
      </c>
      <c r="N251" s="95">
        <v>1</v>
      </c>
      <c r="O251" s="109">
        <f>IF(Key!D$1="ON",P251,IF(SUM(Q251:DL251)&lt;1,"",SUM(Q251:DL251)/COUNTIF(Q251:DL251,"&gt;0")))</f>
        <v>0</v>
      </c>
      <c r="P251" s="109">
        <f>SUMIFS(Q251:DK251,Q$1:DK$1,Dashboard!$K$31)</f>
        <v>0</v>
      </c>
      <c r="U251" s="95">
        <v>33</v>
      </c>
      <c r="AA251" s="95">
        <v>25</v>
      </c>
      <c r="AH251" s="95">
        <v>75</v>
      </c>
    </row>
    <row r="252" spans="1:34" ht="15.6" x14ac:dyDescent="0.3">
      <c r="A252" s="89" t="str">
        <f>CONCATENATE(D252,".",F252,"-",G252,".",H252,"")</f>
        <v>1.2-5.1</v>
      </c>
      <c r="B252" s="89" t="str">
        <f>IF(CONCATENATE(I252,Key!F$2)=CONCATENATE(INDEX(Dashboard!J:J,MATCH(I252,Dashboard!J:J,0),1),INDEX(Dashboard!J:K,MATCH(I252,Dashboard!J:J,0),2)),"ON",IF(Dashboard!K$32="ALL","ON","-"))</f>
        <v>-</v>
      </c>
      <c r="C252" s="88" t="s">
        <v>110</v>
      </c>
      <c r="D252" s="89">
        <f>IF(C252="ID",1,(IF(C252="PR",2,(IF(C252="DE",3,(IF(C252="RS",4,(IF(C252="RC",5,0)))))))))</f>
        <v>1</v>
      </c>
      <c r="E252" s="89" t="s">
        <v>130</v>
      </c>
      <c r="F252" s="89">
        <f>IF(E252="AM",1,(IF(E252="BE",2,(IF(E252="GV",3,(IF(E252="RA",4,(IF(E252="RM",5,(IF(E252="AC",1,(IF(E252="AT",2,(IF(E252="DS",3,(IF(E252="IP",4,(IF(E252="MA",5,(IF(E252="PT",6,(IF(E252="AE",1,(IF(E252="CM",2,(IF(E252="DP",3,(IF(E252="AN",1,(IF(E252="CO",2,(IF(E252="IM",3,(IF(E252="MI",4,(IF(E252="RP",5,(IF(E252="SC",6,0)))))))))))))))))))))))))))))))))))))))</f>
        <v>2</v>
      </c>
      <c r="G252" s="52">
        <v>5</v>
      </c>
      <c r="H252" s="90" t="s">
        <v>115</v>
      </c>
      <c r="I252" s="93" t="s">
        <v>85</v>
      </c>
      <c r="J252" s="87" t="s">
        <v>981</v>
      </c>
      <c r="K252" s="119" t="s">
        <v>4874</v>
      </c>
      <c r="L252" s="117">
        <f>IF(O252="","",N252*O252*M252)</f>
        <v>0</v>
      </c>
      <c r="M252" s="108">
        <v>1</v>
      </c>
      <c r="N252" s="95">
        <v>1</v>
      </c>
      <c r="O252" s="109">
        <f>IF(Key!D$1="ON",P252,IF(SUM(Q252:DL252)&lt;1,"",SUM(Q252:DL252)/COUNTIF(Q252:DL252,"&gt;0")))</f>
        <v>0</v>
      </c>
      <c r="P252" s="109">
        <f>SUMIFS(Q252:DK252,Q$1:DK$1,Dashboard!$K$31)</f>
        <v>0</v>
      </c>
      <c r="U252" s="95">
        <v>33</v>
      </c>
      <c r="AA252" s="95">
        <v>25</v>
      </c>
      <c r="AH252" s="95">
        <v>75</v>
      </c>
    </row>
    <row r="253" spans="1:34" x14ac:dyDescent="0.3">
      <c r="A253" s="89" t="str">
        <f>CONCATENATE(D253,".",F253,"-",G253,".",H253,"")</f>
        <v>1.2-5.1</v>
      </c>
      <c r="B253" s="89" t="str">
        <f>IF(CONCATENATE(I253,Key!F$2)=CONCATENATE(INDEX(Dashboard!J:J,MATCH(I253,Dashboard!J:J,0),1),INDEX(Dashboard!J:K,MATCH(I253,Dashboard!J:J,0),2)),"ON",IF(Dashboard!K$32="ALL","ON","-"))</f>
        <v>-</v>
      </c>
      <c r="C253" s="88" t="s">
        <v>110</v>
      </c>
      <c r="D253" s="89">
        <f>IF(C253="ID",1,(IF(C253="PR",2,(IF(C253="DE",3,(IF(C253="RS",4,(IF(C253="RC",5,0)))))))))</f>
        <v>1</v>
      </c>
      <c r="E253" s="89" t="s">
        <v>130</v>
      </c>
      <c r="F253" s="89">
        <f>IF(E253="AM",1,(IF(E253="BE",2,(IF(E253="GV",3,(IF(E253="RA",4,(IF(E253="RM",5,(IF(E253="AC",1,(IF(E253="AT",2,(IF(E253="DS",3,(IF(E253="IP",4,(IF(E253="MA",5,(IF(E253="PT",6,(IF(E253="AE",1,(IF(E253="CM",2,(IF(E253="DP",3,(IF(E253="AN",1,(IF(E253="CO",2,(IF(E253="IM",3,(IF(E253="MI",4,(IF(E253="RP",5,(IF(E253="SC",6,0)))))))))))))))))))))))))))))))))))))))</f>
        <v>2</v>
      </c>
      <c r="G253" s="52">
        <v>5</v>
      </c>
      <c r="H253" s="90" t="s">
        <v>115</v>
      </c>
      <c r="I253" s="93" t="s">
        <v>85</v>
      </c>
      <c r="J253" s="87" t="s">
        <v>1691</v>
      </c>
      <c r="K253" s="119" t="s">
        <v>1692</v>
      </c>
      <c r="L253" s="117">
        <f>IF(O253="","",N253*O253*M253)</f>
        <v>0</v>
      </c>
      <c r="M253" s="108">
        <v>1</v>
      </c>
      <c r="N253" s="95">
        <v>1</v>
      </c>
      <c r="O253" s="109">
        <f>IF(Key!D$1="ON",P253,IF(SUM(Q253:DL253)&lt;1,"",SUM(Q253:DL253)/COUNTIF(Q253:DL253,"&gt;0")))</f>
        <v>0</v>
      </c>
      <c r="P253" s="109">
        <f>SUMIFS(Q253:DK253,Q$1:DK$1,Dashboard!$K$31)</f>
        <v>0</v>
      </c>
      <c r="U253" s="95">
        <v>33</v>
      </c>
      <c r="AA253" s="95">
        <v>25</v>
      </c>
      <c r="AH253" s="95">
        <v>75</v>
      </c>
    </row>
    <row r="254" spans="1:34" x14ac:dyDescent="0.3">
      <c r="A254" s="89" t="str">
        <f>CONCATENATE(D254,".",F254,"-",G254,".",H254,"")</f>
        <v>1.2-5.1</v>
      </c>
      <c r="B254" s="89" t="str">
        <f>IF(CONCATENATE(I254,Key!F$2)=CONCATENATE(INDEX(Dashboard!J:J,MATCH(I254,Dashboard!J:J,0),1),INDEX(Dashboard!J:K,MATCH(I254,Dashboard!J:J,0),2)),"ON",IF(Dashboard!K$32="ALL","ON","-"))</f>
        <v>-</v>
      </c>
      <c r="C254" s="88" t="s">
        <v>110</v>
      </c>
      <c r="D254" s="89">
        <f>IF(C254="ID",1,(IF(C254="PR",2,(IF(C254="DE",3,(IF(C254="RS",4,(IF(C254="RC",5,0)))))))))</f>
        <v>1</v>
      </c>
      <c r="E254" s="89" t="s">
        <v>130</v>
      </c>
      <c r="F254" s="89">
        <f>IF(E254="AM",1,(IF(E254="BE",2,(IF(E254="GV",3,(IF(E254="RA",4,(IF(E254="RM",5,(IF(E254="AC",1,(IF(E254="AT",2,(IF(E254="DS",3,(IF(E254="IP",4,(IF(E254="MA",5,(IF(E254="PT",6,(IF(E254="AE",1,(IF(E254="CM",2,(IF(E254="DP",3,(IF(E254="AN",1,(IF(E254="CO",2,(IF(E254="IM",3,(IF(E254="MI",4,(IF(E254="RP",5,(IF(E254="SC",6,0)))))))))))))))))))))))))))))))))))))))</f>
        <v>2</v>
      </c>
      <c r="G254" s="52">
        <v>5</v>
      </c>
      <c r="H254" s="90" t="s">
        <v>115</v>
      </c>
      <c r="I254" s="93" t="s">
        <v>85</v>
      </c>
      <c r="J254" s="87" t="s">
        <v>985</v>
      </c>
      <c r="K254" s="119" t="s">
        <v>5060</v>
      </c>
      <c r="L254" s="117">
        <f>IF(O254="","",N254*O254*M254)</f>
        <v>0</v>
      </c>
      <c r="M254" s="108">
        <v>1</v>
      </c>
      <c r="N254" s="95">
        <v>1</v>
      </c>
      <c r="O254" s="109">
        <f>IF(Key!D$1="ON",P254,IF(SUM(Q254:DL254)&lt;1,"",SUM(Q254:DL254)/COUNTIF(Q254:DL254,"&gt;0")))</f>
        <v>0</v>
      </c>
      <c r="P254" s="109">
        <f>SUMIFS(Q254:DK254,Q$1:DK$1,Dashboard!$K$31)</f>
        <v>0</v>
      </c>
      <c r="U254" s="95">
        <v>33</v>
      </c>
      <c r="AA254" s="95">
        <v>25</v>
      </c>
      <c r="AH254" s="95">
        <v>75</v>
      </c>
    </row>
    <row r="255" spans="1:34" x14ac:dyDescent="0.3">
      <c r="A255" s="89" t="str">
        <f>CONCATENATE(D255,".",F255,"-",G255,".",H255,"")</f>
        <v>1.2-5.5</v>
      </c>
      <c r="B255" s="89" t="str">
        <f>IF(CONCATENATE(I255,Key!F$2)=CONCATENATE(INDEX(Dashboard!J:J,MATCH(I255,Dashboard!J:J,0),1),INDEX(Dashboard!J:K,MATCH(I255,Dashboard!J:J,0),2)),"ON",IF(Dashboard!K$32="ALL","ON","-"))</f>
        <v>-</v>
      </c>
      <c r="C255" s="88" t="s">
        <v>110</v>
      </c>
      <c r="D255" s="89">
        <f>IF(C255="ID",1,(IF(C255="PR",2,(IF(C255="DE",3,(IF(C255="RS",4,(IF(C255="RC",5,0)))))))))</f>
        <v>1</v>
      </c>
      <c r="E255" s="89" t="s">
        <v>130</v>
      </c>
      <c r="F255" s="89">
        <f>IF(E255="AM",1,(IF(E255="BE",2,(IF(E255="GV",3,(IF(E255="RA",4,(IF(E255="RM",5,(IF(E255="AC",1,(IF(E255="AT",2,(IF(E255="DS",3,(IF(E255="IP",4,(IF(E255="MA",5,(IF(E255="PT",6,(IF(E255="AE",1,(IF(E255="CM",2,(IF(E255="DP",3,(IF(E255="AN",1,(IF(E255="CO",2,(IF(E255="IM",3,(IF(E255="MI",4,(IF(E255="RP",5,(IF(E255="SC",6,0)))))))))))))))))))))))))))))))))))))))</f>
        <v>2</v>
      </c>
      <c r="G255" s="52">
        <v>5</v>
      </c>
      <c r="H255" s="90" t="s">
        <v>123</v>
      </c>
      <c r="I255" s="93" t="s">
        <v>77</v>
      </c>
      <c r="J255" s="87" t="s">
        <v>986</v>
      </c>
      <c r="K255" s="102" t="s">
        <v>2060</v>
      </c>
      <c r="L255" s="117">
        <f>IF(O255="","",N255*O255*M255)</f>
        <v>0</v>
      </c>
      <c r="M255" s="108">
        <v>1</v>
      </c>
      <c r="N255" s="95">
        <v>1</v>
      </c>
      <c r="O255" s="109">
        <f>IF(Key!D$1="ON",P255,IF(SUM(Q255:DL255)&lt;1,"",SUM(Q255:DL255)/COUNTIF(Q255:DL255,"&gt;0")))</f>
        <v>0</v>
      </c>
      <c r="P255" s="109">
        <f>SUMIFS(Q255:DK255,Q$1:DK$1,Dashboard!$K$31)</f>
        <v>0</v>
      </c>
      <c r="U255" s="95">
        <v>33</v>
      </c>
      <c r="AA255" s="95">
        <v>25</v>
      </c>
      <c r="AH255" s="95">
        <v>75</v>
      </c>
    </row>
    <row r="256" spans="1:34" x14ac:dyDescent="0.3">
      <c r="A256" s="89" t="str">
        <f>CONCATENATE(D256,".",F256,"-",G256,".",H256,"")</f>
        <v>1.2-6.2</v>
      </c>
      <c r="B256" s="89" t="str">
        <f>IF(CONCATENATE(I256,Key!F$2)=CONCATENATE(INDEX(Dashboard!J:J,MATCH(I256,Dashboard!J:J,0),1),INDEX(Dashboard!J:K,MATCH(I256,Dashboard!J:J,0),2)),"ON",IF(Dashboard!K$32="ALL","ON","-"))</f>
        <v>-</v>
      </c>
      <c r="C256" s="96" t="s">
        <v>110</v>
      </c>
      <c r="D256" s="89">
        <f>IF(C256="ID",1,(IF(C256="PR",2,(IF(C256="DE",3,(IF(C256="RS",4,(IF(C256="RC",5,0)))))))))</f>
        <v>1</v>
      </c>
      <c r="E256" s="89" t="s">
        <v>130</v>
      </c>
      <c r="F256" s="89">
        <f>IF(E256="AM",1,(IF(E256="BE",2,(IF(E256="GV",3,(IF(E256="RA",4,(IF(E256="RM",5,(IF(E256="AC",1,(IF(E256="AT",2,(IF(E256="DS",3,(IF(E256="IP",4,(IF(E256="MA",5,(IF(E256="PT",6,(IF(E256="AE",1,(IF(E256="CM",2,(IF(E256="DP",3,(IF(E256="AN",1,(IF(E256="CO",2,(IF(E256="IM",3,(IF(E256="MI",4,(IF(E256="RP",5,(IF(E256="SC",6,0)))))))))))))))))))))))))))))))))))))))</f>
        <v>2</v>
      </c>
      <c r="G256" s="98">
        <v>6</v>
      </c>
      <c r="H256" s="90" t="s">
        <v>112</v>
      </c>
      <c r="I256" s="93" t="s">
        <v>64</v>
      </c>
      <c r="J256" s="86" t="s">
        <v>974</v>
      </c>
      <c r="K256" s="103" t="s">
        <v>2050</v>
      </c>
      <c r="L256" s="117">
        <f>IF(O256="","",N256*O256*M256)</f>
        <v>0</v>
      </c>
      <c r="M256" s="108">
        <v>1</v>
      </c>
      <c r="N256" s="95">
        <v>1</v>
      </c>
      <c r="O256" s="109">
        <f>IF(Key!D$1="ON",P256,IF(SUM(Q256:DL256)&lt;1,"",SUM(Q256:DL256)/COUNTIF(Q256:DL256,"&gt;0")))</f>
        <v>0</v>
      </c>
      <c r="P256" s="109">
        <f>SUMIFS(Q256:DK256,Q$1:DK$1,Dashboard!$K$31)</f>
        <v>0</v>
      </c>
      <c r="U256" s="95">
        <v>33</v>
      </c>
      <c r="AA256" s="95">
        <v>25</v>
      </c>
      <c r="AH256" s="95">
        <v>75</v>
      </c>
    </row>
    <row r="257" spans="1:34" x14ac:dyDescent="0.3">
      <c r="A257" s="89" t="str">
        <f>CONCATENATE(D257,".",F257,"-",G257,".",H257,"")</f>
        <v>1.3-0.0</v>
      </c>
      <c r="B257" s="89" t="str">
        <f>IF(CONCATENATE(I257,Key!F$2)=CONCATENATE(INDEX(Dashboard!J:J,MATCH(I257,Dashboard!J:J,0),1),INDEX(Dashboard!J:K,MATCH(I257,Dashboard!J:J,0),2)),"ON",IF(Dashboard!K$32="ALL","ON","-"))</f>
        <v>-</v>
      </c>
      <c r="C257" s="96" t="s">
        <v>110</v>
      </c>
      <c r="D257" s="89">
        <f>IF(C257="ID",1,(IF(C257="PR",2,(IF(C257="DE",3,(IF(C257="RS",4,(IF(C257="RC",5,0)))))))))</f>
        <v>1</v>
      </c>
      <c r="E257" s="89" t="s">
        <v>136</v>
      </c>
      <c r="F257" s="89">
        <f>IF(E257="AM",1,(IF(E257="BE",2,(IF(E257="GV",3,(IF(E257="RA",4,(IF(E257="RM",5,(IF(E257="AC",1,(IF(E257="AT",2,(IF(E257="DS",3,(IF(E257="IP",4,(IF(E257="MA",5,(IF(E257="PT",6,(IF(E257="AE",1,(IF(E257="CM",2,(IF(E257="DP",3,(IF(E257="AN",1,(IF(E257="CO",2,(IF(E257="IM",3,(IF(E257="MI",4,(IF(E257="RP",5,(IF(E257="SC",6,0)))))))))))))))))))))))))))))))))))))))</f>
        <v>3</v>
      </c>
      <c r="G257" s="52">
        <v>0</v>
      </c>
      <c r="H257" s="90" t="s">
        <v>347</v>
      </c>
      <c r="I257" s="93" t="s">
        <v>2835</v>
      </c>
      <c r="J257" s="153" t="s">
        <v>2864</v>
      </c>
      <c r="K257" s="152" t="s">
        <v>2865</v>
      </c>
      <c r="L257" s="117">
        <f>IF(O257="","",N257*O257*M257)</f>
        <v>0</v>
      </c>
      <c r="M257" s="108">
        <v>1</v>
      </c>
      <c r="N257" s="95">
        <v>1</v>
      </c>
      <c r="O257" s="109">
        <f>IF(Key!D$1="ON",P257,IF(SUM(Q257:DL257)&lt;1,"",SUM(Q257:DL257)/COUNTIF(Q257:DL257,"&gt;0")))</f>
        <v>0</v>
      </c>
      <c r="P257" s="109">
        <f>SUMIFS(Q257:DK257,Q$1:DK$1,Dashboard!$K$31)</f>
        <v>0</v>
      </c>
      <c r="Q257" s="110">
        <v>83</v>
      </c>
      <c r="U257" s="95">
        <v>33</v>
      </c>
    </row>
    <row r="258" spans="1:34" ht="15.6" x14ac:dyDescent="0.3">
      <c r="A258" s="89" t="str">
        <f>CONCATENATE(D258,".",F258,"-",G258,".",H258,"")</f>
        <v>1.3-0.1</v>
      </c>
      <c r="B258" s="89" t="str">
        <f>IF(CONCATENATE(I258,Key!F$2)=CONCATENATE(INDEX(Dashboard!J:J,MATCH(I258,Dashboard!J:J,0),1),INDEX(Dashboard!J:K,MATCH(I258,Dashboard!J:J,0),2)),"ON",IF(Dashboard!K$32="ALL","ON","-"))</f>
        <v>-</v>
      </c>
      <c r="C258" s="96" t="s">
        <v>110</v>
      </c>
      <c r="D258" s="89">
        <f>IF(C258="ID",1,(IF(C258="PR",2,(IF(C258="DE",3,(IF(C258="RS",4,(IF(C258="RC",5,0)))))))))</f>
        <v>1</v>
      </c>
      <c r="E258" s="89" t="s">
        <v>136</v>
      </c>
      <c r="F258" s="89">
        <f>IF(E258="AM",1,(IF(E258="BE",2,(IF(E258="GV",3,(IF(E258="RA",4,(IF(E258="RM",5,(IF(E258="AC",1,(IF(E258="AT",2,(IF(E258="DS",3,(IF(E258="IP",4,(IF(E258="MA",5,(IF(E258="PT",6,(IF(E258="AE",1,(IF(E258="CM",2,(IF(E258="DP",3,(IF(E258="AN",1,(IF(E258="CO",2,(IF(E258="IM",3,(IF(E258="MI",4,(IF(E258="RP",5,(IF(E258="SC",6,0)))))))))))))))))))))))))))))))))))))))</f>
        <v>3</v>
      </c>
      <c r="G258" s="52">
        <v>0</v>
      </c>
      <c r="H258" s="90" t="s">
        <v>115</v>
      </c>
      <c r="I258" s="93" t="s">
        <v>2835</v>
      </c>
      <c r="J258" s="153" t="s">
        <v>2864</v>
      </c>
      <c r="K258" s="152" t="s">
        <v>2866</v>
      </c>
      <c r="L258" s="117">
        <f>IF(O258="","",N258*O258*M258)</f>
        <v>0</v>
      </c>
      <c r="M258" s="108">
        <v>1</v>
      </c>
      <c r="N258" s="95">
        <v>1</v>
      </c>
      <c r="O258" s="109">
        <f>IF(Key!D$1="ON",P258,IF(SUM(Q258:DL258)&lt;1,"",SUM(Q258:DL258)/COUNTIF(Q258:DL258,"&gt;0")))</f>
        <v>0</v>
      </c>
      <c r="P258" s="109">
        <f>SUMIFS(Q258:DK258,Q$1:DK$1,Dashboard!$K$31)</f>
        <v>0</v>
      </c>
      <c r="Q258" s="110">
        <v>83</v>
      </c>
      <c r="U258" s="95">
        <v>33</v>
      </c>
      <c r="AA258" s="95">
        <v>50</v>
      </c>
    </row>
    <row r="259" spans="1:34" x14ac:dyDescent="0.3">
      <c r="A259" s="89" t="str">
        <f>CONCATENATE(D259,".",F259,"-",G259,".",H259,"")</f>
        <v>1.3-1.0</v>
      </c>
      <c r="B259" s="89" t="str">
        <f>IF(CONCATENATE(I259,Key!F$2)=CONCATENATE(INDEX(Dashboard!J:J,MATCH(I259,Dashboard!J:J,0),1),INDEX(Dashboard!J:K,MATCH(I259,Dashboard!J:J,0),2)),"ON",IF(Dashboard!K$32="ALL","ON","-"))</f>
        <v>-</v>
      </c>
      <c r="C259" s="96" t="s">
        <v>110</v>
      </c>
      <c r="D259" s="89">
        <f>IF(C259="ID",1,(IF(C259="PR",2,(IF(C259="DE",3,(IF(C259="RS",4,(IF(C259="RC",5,0)))))))))</f>
        <v>1</v>
      </c>
      <c r="E259" s="89" t="s">
        <v>136</v>
      </c>
      <c r="F259" s="89">
        <f>IF(E259="AM",1,(IF(E259="BE",2,(IF(E259="GV",3,(IF(E259="RA",4,(IF(E259="RM",5,(IF(E259="AC",1,(IF(E259="AT",2,(IF(E259="DS",3,(IF(E259="IP",4,(IF(E259="MA",5,(IF(E259="PT",6,(IF(E259="AE",1,(IF(E259="CM",2,(IF(E259="DP",3,(IF(E259="AN",1,(IF(E259="CO",2,(IF(E259="IM",3,(IF(E259="MI",4,(IF(E259="RP",5,(IF(E259="SC",6,0)))))))))))))))))))))))))))))))))))))))</f>
        <v>3</v>
      </c>
      <c r="G259" s="52">
        <v>1</v>
      </c>
      <c r="H259" s="90" t="s">
        <v>347</v>
      </c>
      <c r="I259" s="93" t="s">
        <v>2835</v>
      </c>
      <c r="J259" s="53" t="s">
        <v>2867</v>
      </c>
      <c r="K259" s="152" t="s">
        <v>2868</v>
      </c>
      <c r="L259" s="117">
        <f>IF(O259="","",N259*O259*M259)</f>
        <v>0</v>
      </c>
      <c r="M259" s="108">
        <v>1</v>
      </c>
      <c r="N259" s="95">
        <v>1</v>
      </c>
      <c r="O259" s="109">
        <f>IF(Key!D$1="ON",P259,IF(SUM(Q259:DL259)&lt;1,"",SUM(Q259:DL259)/COUNTIF(Q259:DL259,"&gt;0")))</f>
        <v>0</v>
      </c>
      <c r="P259" s="109">
        <f>SUMIFS(Q259:DK259,Q$1:DK$1,Dashboard!$K$31)</f>
        <v>0</v>
      </c>
      <c r="U259" s="95">
        <v>33</v>
      </c>
    </row>
    <row r="260" spans="1:34" x14ac:dyDescent="0.3">
      <c r="A260" s="89" t="str">
        <f>CONCATENATE(D260,".",F260,"-",G260,".",H260,"")</f>
        <v>1.3-1.1</v>
      </c>
      <c r="B260" s="89" t="str">
        <f>IF(CONCATENATE(I260,Key!F$2)=CONCATENATE(INDEX(Dashboard!J:J,MATCH(I260,Dashboard!J:J,0),1),INDEX(Dashboard!J:K,MATCH(I260,Dashboard!J:J,0),2)),"ON",IF(Dashboard!K$32="ALL","ON","-"))</f>
        <v>ON</v>
      </c>
      <c r="C260" s="88" t="s">
        <v>110</v>
      </c>
      <c r="D260" s="89">
        <f>IF(C260="ID",1,(IF(C260="PR",2,(IF(C260="DE",3,(IF(C260="RS",4,(IF(C260="RC",5,0)))))))))</f>
        <v>1</v>
      </c>
      <c r="E260" s="89" t="s">
        <v>136</v>
      </c>
      <c r="F260" s="89">
        <f>IF(E260="AM",1,(IF(E260="BE",2,(IF(E260="GV",3,(IF(E260="RA",4,(IF(E260="RM",5,(IF(E260="AC",1,(IF(E260="AT",2,(IF(E260="DS",3,(IF(E260="IP",4,(IF(E260="MA",5,(IF(E260="PT",6,(IF(E260="AE",1,(IF(E260="CM",2,(IF(E260="DP",3,(IF(E260="AN",1,(IF(E260="CO",2,(IF(E260="IM",3,(IF(E260="MI",4,(IF(E260="RP",5,(IF(E260="SC",6,0)))))))))))))))))))))))))))))))))))))))</f>
        <v>3</v>
      </c>
      <c r="G260" s="52">
        <v>1</v>
      </c>
      <c r="H260" s="89">
        <v>1</v>
      </c>
      <c r="I260" s="93" t="s">
        <v>4107</v>
      </c>
      <c r="J260" s="86" t="s">
        <v>4085</v>
      </c>
      <c r="K260" s="101" t="s">
        <v>4476</v>
      </c>
      <c r="L260" s="117">
        <f>IF(O260="","",N260*O260*M260)</f>
        <v>0</v>
      </c>
      <c r="M260" s="108">
        <v>1</v>
      </c>
      <c r="N260" s="95">
        <v>1</v>
      </c>
      <c r="O260" s="109">
        <f>IF(Key!D$1="ON",P260,IF(SUM(Q260:DL260)&lt;1,"",SUM(Q260:DL260)/COUNTIF(Q260:DL260,"&gt;0")))</f>
        <v>0</v>
      </c>
      <c r="P260" s="109">
        <f>SUMIFS(Q260:DK260,Q$1:DK$1,Dashboard!$K$31)</f>
        <v>0</v>
      </c>
      <c r="U260" s="95">
        <v>33</v>
      </c>
      <c r="AA260" s="95">
        <v>25</v>
      </c>
      <c r="AH260" s="95">
        <v>75</v>
      </c>
    </row>
    <row r="261" spans="1:34" x14ac:dyDescent="0.3">
      <c r="A261" s="89" t="str">
        <f>CONCATENATE(D261,".",F261,"-",G261,".",H261,"")</f>
        <v>1.3-1.1</v>
      </c>
      <c r="B261" s="89" t="str">
        <f>IF(CONCATENATE(I261,Key!F$2)=CONCATENATE(INDEX(Dashboard!J:J,MATCH(I261,Dashboard!J:J,0),1),INDEX(Dashboard!J:K,MATCH(I261,Dashboard!J:J,0),2)),"ON",IF(Dashboard!K$32="ALL","ON","-"))</f>
        <v>-</v>
      </c>
      <c r="C261" s="96" t="s">
        <v>110</v>
      </c>
      <c r="D261" s="89">
        <f>IF(C261="ID",1,(IF(C261="PR",2,(IF(C261="DE",3,(IF(C261="RS",4,(IF(C261="RC",5,0)))))))))</f>
        <v>1</v>
      </c>
      <c r="E261" s="89" t="s">
        <v>136</v>
      </c>
      <c r="F261" s="89">
        <f>IF(E261="AM",1,(IF(E261="BE",2,(IF(E261="GV",3,(IF(E261="RA",4,(IF(E261="RM",5,(IF(E261="AC",1,(IF(E261="AT",2,(IF(E261="DS",3,(IF(E261="IP",4,(IF(E261="MA",5,(IF(E261="PT",6,(IF(E261="AE",1,(IF(E261="CM",2,(IF(E261="DP",3,(IF(E261="AN",1,(IF(E261="CO",2,(IF(E261="IM",3,(IF(E261="MI",4,(IF(E261="RP",5,(IF(E261="SC",6,0)))))))))))))))))))))))))))))))))))))))</f>
        <v>3</v>
      </c>
      <c r="G261" s="98">
        <v>1</v>
      </c>
      <c r="H261" s="90" t="s">
        <v>115</v>
      </c>
      <c r="I261" s="93" t="s">
        <v>52</v>
      </c>
      <c r="J261" s="88">
        <v>164.30799999999999</v>
      </c>
      <c r="K261" s="103" t="s">
        <v>3309</v>
      </c>
      <c r="L261" s="117">
        <f>IF(O261="","",N261*O261*M261)</f>
        <v>0</v>
      </c>
      <c r="M261" s="108">
        <v>1</v>
      </c>
      <c r="N261" s="95">
        <v>1</v>
      </c>
      <c r="O261" s="109">
        <f>IF(Key!D$1="ON",P261,IF(SUM(Q261:DL261)&lt;1,"",SUM(Q261:DL261)/COUNTIF(Q261:DL261,"&gt;0")))</f>
        <v>0</v>
      </c>
      <c r="P261" s="109">
        <f>SUMIFS(Q261:DK261,Q$1:DK$1,Dashboard!$K$31)</f>
        <v>0</v>
      </c>
      <c r="U261" s="95">
        <v>33</v>
      </c>
      <c r="AA261" s="95">
        <v>25</v>
      </c>
      <c r="AH261" s="95">
        <v>75</v>
      </c>
    </row>
    <row r="262" spans="1:34" x14ac:dyDescent="0.3">
      <c r="A262" s="89" t="str">
        <f>CONCATENATE(D262,".",F262,"-",G262,".",H262,"")</f>
        <v>1.3-1.1</v>
      </c>
      <c r="B262" s="89" t="str">
        <f>IF(CONCATENATE(I262,Key!F$2)=CONCATENATE(INDEX(Dashboard!J:J,MATCH(I262,Dashboard!J:J,0),1),INDEX(Dashboard!J:K,MATCH(I262,Dashboard!J:J,0),2)),"ON",IF(Dashboard!K$32="ALL","ON","-"))</f>
        <v>-</v>
      </c>
      <c r="C262" s="96" t="s">
        <v>110</v>
      </c>
      <c r="D262" s="89">
        <f>IF(C262="ID",1,(IF(C262="PR",2,(IF(C262="DE",3,(IF(C262="RS",4,(IF(C262="RC",5,0)))))))))</f>
        <v>1</v>
      </c>
      <c r="E262" s="89" t="s">
        <v>136</v>
      </c>
      <c r="F262" s="89">
        <f>IF(E262="AM",1,(IF(E262="BE",2,(IF(E262="GV",3,(IF(E262="RA",4,(IF(E262="RM",5,(IF(E262="AC",1,(IF(E262="AT",2,(IF(E262="DS",3,(IF(E262="IP",4,(IF(E262="MA",5,(IF(E262="PT",6,(IF(E262="AE",1,(IF(E262="CM",2,(IF(E262="DP",3,(IF(E262="AN",1,(IF(E262="CO",2,(IF(E262="IM",3,(IF(E262="MI",4,(IF(E262="RP",5,(IF(E262="SC",6,0)))))))))))))))))))))))))))))))))))))))</f>
        <v>3</v>
      </c>
      <c r="G262" s="98">
        <v>1</v>
      </c>
      <c r="H262" s="90" t="s">
        <v>115</v>
      </c>
      <c r="I262" s="93" t="s">
        <v>52</v>
      </c>
      <c r="J262" s="88">
        <v>164.316</v>
      </c>
      <c r="K262" s="103" t="s">
        <v>3310</v>
      </c>
      <c r="L262" s="117">
        <f>IF(O262="","",N262*O262*M262)</f>
        <v>0</v>
      </c>
      <c r="M262" s="108">
        <v>1</v>
      </c>
      <c r="N262" s="95">
        <v>1</v>
      </c>
      <c r="O262" s="109">
        <f>IF(Key!D$1="ON",P262,IF(SUM(Q262:DL262)&lt;1,"",SUM(Q262:DL262)/COUNTIF(Q262:DL262,"&gt;0")))</f>
        <v>0</v>
      </c>
      <c r="P262" s="109">
        <f>SUMIFS(Q262:DK262,Q$1:DK$1,Dashboard!$K$31)</f>
        <v>0</v>
      </c>
      <c r="U262" s="95">
        <v>33</v>
      </c>
      <c r="AA262" s="95">
        <v>25</v>
      </c>
      <c r="AH262" s="95">
        <v>75</v>
      </c>
    </row>
    <row r="263" spans="1:34" x14ac:dyDescent="0.3">
      <c r="A263" s="89" t="str">
        <f>CONCATENATE(D263,".",F263,"-",G263,".",H263,"")</f>
        <v>1.3-1.1</v>
      </c>
      <c r="B263" s="89" t="str">
        <f>IF(CONCATENATE(I263,Key!F$2)=CONCATENATE(INDEX(Dashboard!J:J,MATCH(I263,Dashboard!J:J,0),1),INDEX(Dashboard!J:K,MATCH(I263,Dashboard!J:J,0),2)),"ON",IF(Dashboard!K$32="ALL","ON","-"))</f>
        <v>-</v>
      </c>
      <c r="C263" s="96" t="s">
        <v>110</v>
      </c>
      <c r="D263" s="89">
        <f>IF(C263="ID",1,(IF(C263="PR",2,(IF(C263="DE",3,(IF(C263="RS",4,(IF(C263="RC",5,0)))))))))</f>
        <v>1</v>
      </c>
      <c r="E263" s="89" t="s">
        <v>136</v>
      </c>
      <c r="F263" s="89">
        <f>IF(E263="AM",1,(IF(E263="BE",2,(IF(E263="GV",3,(IF(E263="RA",4,(IF(E263="RM",5,(IF(E263="AC",1,(IF(E263="AT",2,(IF(E263="DS",3,(IF(E263="IP",4,(IF(E263="MA",5,(IF(E263="PT",6,(IF(E263="AE",1,(IF(E263="CM",2,(IF(E263="DP",3,(IF(E263="AN",1,(IF(E263="CO",2,(IF(E263="IM",3,(IF(E263="MI",4,(IF(E263="RP",5,(IF(E263="SC",6,0)))))))))))))))))))))))))))))))))))))))</f>
        <v>3</v>
      </c>
      <c r="G263" s="98">
        <v>1</v>
      </c>
      <c r="H263" s="90" t="s">
        <v>115</v>
      </c>
      <c r="I263" s="93" t="s">
        <v>52</v>
      </c>
      <c r="J263" s="88" t="s">
        <v>3311</v>
      </c>
      <c r="K263" s="102" t="s">
        <v>3312</v>
      </c>
      <c r="L263" s="117">
        <f>IF(O263="","",N263*O263*M263)</f>
        <v>0</v>
      </c>
      <c r="M263" s="108">
        <v>1</v>
      </c>
      <c r="N263" s="95">
        <v>1</v>
      </c>
      <c r="O263" s="109">
        <f>IF(Key!D$1="ON",P263,IF(SUM(Q263:DL263)&lt;1,"",SUM(Q263:DL263)/COUNTIF(Q263:DL263,"&gt;0")))</f>
        <v>0</v>
      </c>
      <c r="P263" s="109">
        <f>SUMIFS(Q263:DK263,Q$1:DK$1,Dashboard!$K$31)</f>
        <v>0</v>
      </c>
      <c r="U263" s="95">
        <v>33</v>
      </c>
      <c r="AA263" s="95">
        <v>25</v>
      </c>
      <c r="AH263" s="95">
        <v>75</v>
      </c>
    </row>
    <row r="264" spans="1:34" ht="15.6" x14ac:dyDescent="0.3">
      <c r="A264" s="89" t="str">
        <f>CONCATENATE(D264,".",F264,"-",G264,".",H264,"")</f>
        <v>1.3-1.1</v>
      </c>
      <c r="B264" s="89" t="str">
        <f>IF(CONCATENATE(I264,Key!F$2)=CONCATENATE(INDEX(Dashboard!J:J,MATCH(I264,Dashboard!J:J,0),1),INDEX(Dashboard!J:K,MATCH(I264,Dashboard!J:J,0),2)),"ON",IF(Dashboard!K$32="ALL","ON","-"))</f>
        <v>-</v>
      </c>
      <c r="C264" s="96" t="s">
        <v>110</v>
      </c>
      <c r="D264" s="89">
        <f>IF(C264="ID",1,(IF(C264="PR",2,(IF(C264="DE",3,(IF(C264="RS",4,(IF(C264="RC",5,0)))))))))</f>
        <v>1</v>
      </c>
      <c r="E264" s="89" t="s">
        <v>136</v>
      </c>
      <c r="F264" s="89">
        <f>IF(E264="AM",1,(IF(E264="BE",2,(IF(E264="GV",3,(IF(E264="RA",4,(IF(E264="RM",5,(IF(E264="AC",1,(IF(E264="AT",2,(IF(E264="DS",3,(IF(E264="IP",4,(IF(E264="MA",5,(IF(E264="PT",6,(IF(E264="AE",1,(IF(E264="CM",2,(IF(E264="DP",3,(IF(E264="AN",1,(IF(E264="CO",2,(IF(E264="IM",3,(IF(E264="MI",4,(IF(E264="RP",5,(IF(E264="SC",6,0)))))))))))))))))))))))))))))))))))))))</f>
        <v>3</v>
      </c>
      <c r="G264" s="98">
        <v>1</v>
      </c>
      <c r="H264" s="90" t="s">
        <v>115</v>
      </c>
      <c r="I264" s="93" t="s">
        <v>52</v>
      </c>
      <c r="J264" s="88" t="s">
        <v>3313</v>
      </c>
      <c r="K264" s="103" t="s">
        <v>3314</v>
      </c>
      <c r="L264" s="117">
        <f>IF(O264="","",N264*O264*M264)</f>
        <v>0</v>
      </c>
      <c r="M264" s="108">
        <v>1</v>
      </c>
      <c r="N264" s="95">
        <v>1</v>
      </c>
      <c r="O264" s="109">
        <f>IF(Key!D$1="ON",P264,IF(SUM(Q264:DL264)&lt;1,"",SUM(Q264:DL264)/COUNTIF(Q264:DL264,"&gt;0")))</f>
        <v>0</v>
      </c>
      <c r="P264" s="109">
        <f>SUMIFS(Q264:DK264,Q$1:DK$1,Dashboard!$K$31)</f>
        <v>0</v>
      </c>
      <c r="U264" s="95">
        <v>33</v>
      </c>
      <c r="AA264" s="95">
        <v>25</v>
      </c>
      <c r="AH264" s="95">
        <v>75</v>
      </c>
    </row>
    <row r="265" spans="1:34" ht="15.6" x14ac:dyDescent="0.3">
      <c r="A265" s="89" t="str">
        <f>CONCATENATE(D265,".",F265,"-",G265,".",H265,"")</f>
        <v>1.3-1.1</v>
      </c>
      <c r="B265" s="89" t="str">
        <f>IF(CONCATENATE(I265,Key!F$2)=CONCATENATE(INDEX(Dashboard!J:J,MATCH(I265,Dashboard!J:J,0),1),INDEX(Dashboard!J:K,MATCH(I265,Dashboard!J:J,0),2)),"ON",IF(Dashboard!K$32="ALL","ON","-"))</f>
        <v>-</v>
      </c>
      <c r="C265" s="96" t="s">
        <v>110</v>
      </c>
      <c r="D265" s="89">
        <f>IF(C265="ID",1,(IF(C265="PR",2,(IF(C265="DE",3,(IF(C265="RS",4,(IF(C265="RC",5,0)))))))))</f>
        <v>1</v>
      </c>
      <c r="E265" s="89" t="s">
        <v>136</v>
      </c>
      <c r="F265" s="89">
        <f>IF(E265="AM",1,(IF(E265="BE",2,(IF(E265="GV",3,(IF(E265="RA",4,(IF(E265="RM",5,(IF(E265="AC",1,(IF(E265="AT",2,(IF(E265="DS",3,(IF(E265="IP",4,(IF(E265="MA",5,(IF(E265="PT",6,(IF(E265="AE",1,(IF(E265="CM",2,(IF(E265="DP",3,(IF(E265="AN",1,(IF(E265="CO",2,(IF(E265="IM",3,(IF(E265="MI",4,(IF(E265="RP",5,(IF(E265="SC",6,0)))))))))))))))))))))))))))))))))))))))</f>
        <v>3</v>
      </c>
      <c r="G265" s="98">
        <v>1</v>
      </c>
      <c r="H265" s="90" t="s">
        <v>115</v>
      </c>
      <c r="I265" s="93" t="s">
        <v>52</v>
      </c>
      <c r="J265" s="88" t="s">
        <v>3315</v>
      </c>
      <c r="K265" s="103" t="s">
        <v>3316</v>
      </c>
      <c r="L265" s="117">
        <f>IF(O265="","",N265*O265*M265)</f>
        <v>0</v>
      </c>
      <c r="M265" s="108">
        <v>1</v>
      </c>
      <c r="N265" s="95">
        <v>1</v>
      </c>
      <c r="O265" s="109">
        <f>IF(Key!D$1="ON",P265,IF(SUM(Q265:DL265)&lt;1,"",SUM(Q265:DL265)/COUNTIF(Q265:DL265,"&gt;0")))</f>
        <v>0</v>
      </c>
      <c r="P265" s="109">
        <f>SUMIFS(Q265:DK265,Q$1:DK$1,Dashboard!$K$31)</f>
        <v>0</v>
      </c>
      <c r="U265" s="95">
        <v>33</v>
      </c>
      <c r="AA265" s="95">
        <v>25</v>
      </c>
      <c r="AH265" s="95">
        <v>75</v>
      </c>
    </row>
    <row r="266" spans="1:34" ht="15.6" x14ac:dyDescent="0.3">
      <c r="A266" s="89" t="str">
        <f>CONCATENATE(D266,".",F266,"-",G266,".",H266,"")</f>
        <v>1.3-1.1</v>
      </c>
      <c r="B266" s="89" t="str">
        <f>IF(CONCATENATE(I266,Key!F$2)=CONCATENATE(INDEX(Dashboard!J:J,MATCH(I266,Dashboard!J:J,0),1),INDEX(Dashboard!J:K,MATCH(I266,Dashboard!J:J,0),2)),"ON",IF(Dashboard!K$32="ALL","ON","-"))</f>
        <v>-</v>
      </c>
      <c r="C266" s="88" t="s">
        <v>110</v>
      </c>
      <c r="D266" s="89">
        <f>IF(C266="ID",1,(IF(C266="PR",2,(IF(C266="DE",3,(IF(C266="RS",4,(IF(C266="RC",5,0)))))))))</f>
        <v>1</v>
      </c>
      <c r="E266" s="89" t="s">
        <v>136</v>
      </c>
      <c r="F266" s="89">
        <f>IF(E266="AM",1,(IF(E266="BE",2,(IF(E266="GV",3,(IF(E266="RA",4,(IF(E266="RM",5,(IF(E266="AC",1,(IF(E266="AT",2,(IF(E266="DS",3,(IF(E266="IP",4,(IF(E266="MA",5,(IF(E266="PT",6,(IF(E266="AE",1,(IF(E266="CM",2,(IF(E266="DP",3,(IF(E266="AN",1,(IF(E266="CO",2,(IF(E266="IM",3,(IF(E266="MI",4,(IF(E266="RP",5,(IF(E266="SC",6,0)))))))))))))))))))))))))))))))))))))))</f>
        <v>3</v>
      </c>
      <c r="G266" s="52">
        <v>1</v>
      </c>
      <c r="H266" s="89">
        <v>1</v>
      </c>
      <c r="I266" s="93" t="s">
        <v>60</v>
      </c>
      <c r="J266" s="88" t="s">
        <v>3132</v>
      </c>
      <c r="K266" s="51" t="s">
        <v>5245</v>
      </c>
      <c r="L266" s="117">
        <f>IF(O266="","",N266*O266*M266)</f>
        <v>0</v>
      </c>
      <c r="M266" s="108">
        <v>1</v>
      </c>
      <c r="N266" s="95">
        <v>1</v>
      </c>
      <c r="O266" s="109">
        <f>IF(Key!D$1="ON",P266,IF(SUM(Q266:DL266)&lt;1,"",SUM(Q266:DL266)/COUNTIF(Q266:DL266,"&gt;0")))</f>
        <v>0</v>
      </c>
      <c r="P266" s="109">
        <f>SUMIFS(Q266:DK266,Q$1:DK$1,Dashboard!$K$31)</f>
        <v>0</v>
      </c>
      <c r="U266" s="95">
        <v>33</v>
      </c>
      <c r="AA266" s="95">
        <v>25</v>
      </c>
      <c r="AH266" s="95">
        <v>75</v>
      </c>
    </row>
    <row r="267" spans="1:34" x14ac:dyDescent="0.3">
      <c r="A267" s="89" t="str">
        <f>CONCATENATE(D267,".",F267,"-",G267,".",H267,"")</f>
        <v>1.3-1.1</v>
      </c>
      <c r="B267" s="89" t="str">
        <f>IF(CONCATENATE(I267,Key!F$2)=CONCATENATE(INDEX(Dashboard!J:J,MATCH(I267,Dashboard!J:J,0),1),INDEX(Dashboard!J:K,MATCH(I267,Dashboard!J:J,0),2)),"ON",IF(Dashboard!K$32="ALL","ON","-"))</f>
        <v>-</v>
      </c>
      <c r="C267" s="88" t="s">
        <v>110</v>
      </c>
      <c r="D267" s="89">
        <f>IF(C267="ID",1,(IF(C267="PR",2,(IF(C267="DE",3,(IF(C267="RS",4,(IF(C267="RC",5,0)))))))))</f>
        <v>1</v>
      </c>
      <c r="E267" s="89" t="s">
        <v>136</v>
      </c>
      <c r="F267" s="89">
        <f>IF(E267="AM",1,(IF(E267="BE",2,(IF(E267="GV",3,(IF(E267="RA",4,(IF(E267="RM",5,(IF(E267="AC",1,(IF(E267="AT",2,(IF(E267="DS",3,(IF(E267="IP",4,(IF(E267="MA",5,(IF(E267="PT",6,(IF(E267="AE",1,(IF(E267="CM",2,(IF(E267="DP",3,(IF(E267="AN",1,(IF(E267="CO",2,(IF(E267="IM",3,(IF(E267="MI",4,(IF(E267="RP",5,(IF(E267="SC",6,0)))))))))))))))))))))))))))))))))))))))</f>
        <v>3</v>
      </c>
      <c r="G267" s="52">
        <v>1</v>
      </c>
      <c r="H267" s="89">
        <v>1</v>
      </c>
      <c r="I267" s="93" t="s">
        <v>60</v>
      </c>
      <c r="J267" s="88" t="s">
        <v>3133</v>
      </c>
      <c r="K267" s="51" t="s">
        <v>5246</v>
      </c>
      <c r="L267" s="117">
        <f>IF(O267="","",N267*O267*M267)</f>
        <v>0</v>
      </c>
      <c r="M267" s="108">
        <v>1</v>
      </c>
      <c r="N267" s="95">
        <v>1</v>
      </c>
      <c r="O267" s="109">
        <f>IF(Key!D$1="ON",P267,IF(SUM(Q267:DL267)&lt;1,"",SUM(Q267:DL267)/COUNTIF(Q267:DL267,"&gt;0")))</f>
        <v>0</v>
      </c>
      <c r="P267" s="109">
        <f>SUMIFS(Q267:DK267,Q$1:DK$1,Dashboard!$K$31)</f>
        <v>0</v>
      </c>
      <c r="U267" s="95">
        <v>33</v>
      </c>
      <c r="AA267" s="95">
        <v>25</v>
      </c>
      <c r="AH267" s="95">
        <v>75</v>
      </c>
    </row>
    <row r="268" spans="1:34" ht="15.6" x14ac:dyDescent="0.3">
      <c r="A268" s="89" t="str">
        <f>CONCATENATE(D268,".",F268,"-",G268,".",H268,"")</f>
        <v>1.3-1.1</v>
      </c>
      <c r="B268" s="89" t="str">
        <f>IF(CONCATENATE(I268,Key!F$2)=CONCATENATE(INDEX(Dashboard!J:J,MATCH(I268,Dashboard!J:J,0),1),INDEX(Dashboard!J:K,MATCH(I268,Dashboard!J:J,0),2)),"ON",IF(Dashboard!K$32="ALL","ON","-"))</f>
        <v>-</v>
      </c>
      <c r="C268" s="88" t="s">
        <v>110</v>
      </c>
      <c r="D268" s="89">
        <f>IF(C268="ID",1,(IF(C268="PR",2,(IF(C268="DE",3,(IF(C268="RS",4,(IF(C268="RC",5,0)))))))))</f>
        <v>1</v>
      </c>
      <c r="E268" s="89" t="s">
        <v>136</v>
      </c>
      <c r="F268" s="89">
        <f>IF(E268="AM",1,(IF(E268="BE",2,(IF(E268="GV",3,(IF(E268="RA",4,(IF(E268="RM",5,(IF(E268="AC",1,(IF(E268="AT",2,(IF(E268="DS",3,(IF(E268="IP",4,(IF(E268="MA",5,(IF(E268="PT",6,(IF(E268="AE",1,(IF(E268="CM",2,(IF(E268="DP",3,(IF(E268="AN",1,(IF(E268="CO",2,(IF(E268="IM",3,(IF(E268="MI",4,(IF(E268="RP",5,(IF(E268="SC",6,0)))))))))))))))))))))))))))))))))))))))</f>
        <v>3</v>
      </c>
      <c r="G268" s="52">
        <v>1</v>
      </c>
      <c r="H268" s="90" t="s">
        <v>115</v>
      </c>
      <c r="I268" s="93" t="s">
        <v>64</v>
      </c>
      <c r="J268" s="87" t="s">
        <v>936</v>
      </c>
      <c r="K268" s="102" t="s">
        <v>2024</v>
      </c>
      <c r="L268" s="117">
        <f>IF(O268="","",N268*O268*M268)</f>
        <v>0</v>
      </c>
      <c r="M268" s="108">
        <v>1</v>
      </c>
      <c r="N268" s="95">
        <v>1</v>
      </c>
      <c r="O268" s="109">
        <f>IF(Key!D$1="ON",P268,IF(SUM(Q268:DL268)&lt;1,"",SUM(Q268:DL268)/COUNTIF(Q268:DL268,"&gt;0")))</f>
        <v>0</v>
      </c>
      <c r="P268" s="109">
        <f>SUMIFS(Q268:DK268,Q$1:DK$1,Dashboard!$K$31)</f>
        <v>0</v>
      </c>
      <c r="U268" s="95">
        <v>33</v>
      </c>
      <c r="AA268" s="95">
        <v>25</v>
      </c>
      <c r="AH268" s="95">
        <v>75</v>
      </c>
    </row>
    <row r="269" spans="1:34" x14ac:dyDescent="0.3">
      <c r="A269" s="89" t="str">
        <f>CONCATENATE(D269,".",F269,"-",G269,".",H269,"")</f>
        <v>1.3-1.1</v>
      </c>
      <c r="B269" s="89" t="str">
        <f>IF(CONCATENATE(I269,Key!F$2)=CONCATENATE(INDEX(Dashboard!J:J,MATCH(I269,Dashboard!J:J,0),1),INDEX(Dashboard!J:K,MATCH(I269,Dashboard!J:J,0),2)),"ON",IF(Dashboard!K$32="ALL","ON","-"))</f>
        <v>-</v>
      </c>
      <c r="C269" s="88" t="s">
        <v>110</v>
      </c>
      <c r="D269" s="89">
        <f>IF(C269="ID",1,(IF(C269="PR",2,(IF(C269="DE",3,(IF(C269="RS",4,(IF(C269="RC",5,0)))))))))</f>
        <v>1</v>
      </c>
      <c r="E269" s="89" t="s">
        <v>136</v>
      </c>
      <c r="F269" s="89">
        <f>IF(E269="AM",1,(IF(E269="BE",2,(IF(E269="GV",3,(IF(E269="RA",4,(IF(E269="RM",5,(IF(E269="AC",1,(IF(E269="AT",2,(IF(E269="DS",3,(IF(E269="IP",4,(IF(E269="MA",5,(IF(E269="PT",6,(IF(E269="AE",1,(IF(E269="CM",2,(IF(E269="DP",3,(IF(E269="AN",1,(IF(E269="CO",2,(IF(E269="IM",3,(IF(E269="MI",4,(IF(E269="RP",5,(IF(E269="SC",6,0)))))))))))))))))))))))))))))))))))))))</f>
        <v>3</v>
      </c>
      <c r="G269" s="52">
        <v>1</v>
      </c>
      <c r="H269" s="90" t="s">
        <v>115</v>
      </c>
      <c r="I269" s="93" t="s">
        <v>77</v>
      </c>
      <c r="J269" s="87" t="s">
        <v>988</v>
      </c>
      <c r="K269" s="102" t="s">
        <v>2061</v>
      </c>
      <c r="L269" s="117">
        <f>IF(O269="","",N269*O269*M269)</f>
        <v>0</v>
      </c>
      <c r="M269" s="108">
        <v>1</v>
      </c>
      <c r="N269" s="95">
        <v>1</v>
      </c>
      <c r="O269" s="109">
        <f>IF(Key!D$1="ON",P269,IF(SUM(Q269:DL269)&lt;1,"",SUM(Q269:DL269)/COUNTIF(Q269:DL269,"&gt;0")))</f>
        <v>0</v>
      </c>
      <c r="P269" s="109">
        <f>SUMIFS(Q269:DK269,Q$1:DK$1,Dashboard!$K$31)</f>
        <v>0</v>
      </c>
      <c r="U269" s="95">
        <v>33</v>
      </c>
      <c r="AA269" s="95">
        <v>25</v>
      </c>
      <c r="AH269" s="95">
        <v>75</v>
      </c>
    </row>
    <row r="270" spans="1:34" x14ac:dyDescent="0.3">
      <c r="A270" s="89" t="str">
        <f>CONCATENATE(D270,".",F270,"-",G270,".",H270,"")</f>
        <v>1.3-1.1</v>
      </c>
      <c r="B270" s="89" t="str">
        <f>IF(CONCATENATE(I270,Key!F$2)=CONCATENATE(INDEX(Dashboard!J:J,MATCH(I270,Dashboard!J:J,0),1),INDEX(Dashboard!J:K,MATCH(I270,Dashboard!J:J,0),2)),"ON",IF(Dashboard!K$32="ALL","ON","-"))</f>
        <v>-</v>
      </c>
      <c r="C270" s="88" t="s">
        <v>110</v>
      </c>
      <c r="D270" s="89">
        <f>IF(C270="ID",1,(IF(C270="PR",2,(IF(C270="DE",3,(IF(C270="RS",4,(IF(C270="RC",5,0)))))))))</f>
        <v>1</v>
      </c>
      <c r="E270" s="89" t="s">
        <v>136</v>
      </c>
      <c r="F270" s="89">
        <f>IF(E270="AM",1,(IF(E270="BE",2,(IF(E270="GV",3,(IF(E270="RA",4,(IF(E270="RM",5,(IF(E270="AC",1,(IF(E270="AT",2,(IF(E270="DS",3,(IF(E270="IP",4,(IF(E270="MA",5,(IF(E270="PT",6,(IF(E270="AE",1,(IF(E270="CM",2,(IF(E270="DP",3,(IF(E270="AN",1,(IF(E270="CO",2,(IF(E270="IM",3,(IF(E270="MI",4,(IF(E270="RP",5,(IF(E270="SC",6,0)))))))))))))))))))))))))))))))))))))))</f>
        <v>3</v>
      </c>
      <c r="G270" s="52">
        <v>1</v>
      </c>
      <c r="H270" s="90" t="s">
        <v>115</v>
      </c>
      <c r="I270" s="93" t="s">
        <v>77</v>
      </c>
      <c r="J270" s="87" t="s">
        <v>936</v>
      </c>
      <c r="K270" s="102" t="s">
        <v>2024</v>
      </c>
      <c r="L270" s="117">
        <f>IF(O270="","",N270*O270*M270)</f>
        <v>0</v>
      </c>
      <c r="M270" s="108">
        <v>1</v>
      </c>
      <c r="N270" s="95">
        <v>1</v>
      </c>
      <c r="O270" s="109">
        <f>IF(Key!D$1="ON",P270,IF(SUM(Q270:DL270)&lt;1,"",SUM(Q270:DL270)/COUNTIF(Q270:DL270,"&gt;0")))</f>
        <v>0</v>
      </c>
      <c r="P270" s="109">
        <f>SUMIFS(Q270:DK270,Q$1:DK$1,Dashboard!$K$31)</f>
        <v>0</v>
      </c>
      <c r="U270" s="95">
        <v>33</v>
      </c>
      <c r="AA270" s="95">
        <v>25</v>
      </c>
      <c r="AH270" s="95">
        <v>75</v>
      </c>
    </row>
    <row r="271" spans="1:34" ht="15.6" x14ac:dyDescent="0.3">
      <c r="A271" s="89" t="str">
        <f>CONCATENATE(D271,".",F271,"-",G271,".",H271,"")</f>
        <v>1.3-1.1</v>
      </c>
      <c r="B271" s="89" t="str">
        <f>IF(CONCATENATE(I271,Key!F$2)=CONCATENATE(INDEX(Dashboard!J:J,MATCH(I271,Dashboard!J:J,0),1),INDEX(Dashboard!J:K,MATCH(I271,Dashboard!J:J,0),2)),"ON",IF(Dashboard!K$32="ALL","ON","-"))</f>
        <v>-</v>
      </c>
      <c r="C271" s="88" t="s">
        <v>110</v>
      </c>
      <c r="D271" s="89">
        <f>IF(C271="ID",1,(IF(C271="PR",2,(IF(C271="DE",3,(IF(C271="RS",4,(IF(C271="RC",5,0)))))))))</f>
        <v>1</v>
      </c>
      <c r="E271" s="89" t="s">
        <v>136</v>
      </c>
      <c r="F271" s="89">
        <f>IF(E271="AM",1,(IF(E271="BE",2,(IF(E271="GV",3,(IF(E271="RA",4,(IF(E271="RM",5,(IF(E271="AC",1,(IF(E271="AT",2,(IF(E271="DS",3,(IF(E271="IP",4,(IF(E271="MA",5,(IF(E271="PT",6,(IF(E271="AE",1,(IF(E271="CM",2,(IF(E271="DP",3,(IF(E271="AN",1,(IF(E271="CO",2,(IF(E271="IM",3,(IF(E271="MI",4,(IF(E271="RP",5,(IF(E271="SC",6,0)))))))))))))))))))))))))))))))))))))))</f>
        <v>3</v>
      </c>
      <c r="G271" s="52">
        <v>1</v>
      </c>
      <c r="H271" s="90" t="s">
        <v>115</v>
      </c>
      <c r="I271" s="93" t="s">
        <v>77</v>
      </c>
      <c r="J271" s="87" t="s">
        <v>989</v>
      </c>
      <c r="K271" s="102" t="s">
        <v>2062</v>
      </c>
      <c r="L271" s="117">
        <f>IF(O271="","",N271*O271*M271)</f>
        <v>0</v>
      </c>
      <c r="M271" s="108">
        <v>0.9</v>
      </c>
      <c r="N271" s="95">
        <v>1</v>
      </c>
      <c r="O271" s="109">
        <f>IF(Key!D$1="ON",P271,IF(SUM(Q271:DL271)&lt;1,"",SUM(Q271:DL271)/COUNTIF(Q271:DL271,"&gt;0")))</f>
        <v>0</v>
      </c>
      <c r="P271" s="109">
        <f>SUMIFS(Q271:DK271,Q$1:DK$1,Dashboard!$K$31)</f>
        <v>0</v>
      </c>
      <c r="S271" s="95">
        <v>99</v>
      </c>
      <c r="T271" s="95">
        <v>80</v>
      </c>
      <c r="U271" s="95">
        <v>33</v>
      </c>
      <c r="AA271" s="95">
        <v>25</v>
      </c>
      <c r="AH271" s="95">
        <v>75</v>
      </c>
    </row>
    <row r="272" spans="1:34" ht="15.6" x14ac:dyDescent="0.3">
      <c r="A272" s="89" t="str">
        <f>CONCATENATE(D272,".",F272,"-",G272,".",H272,"")</f>
        <v>1.3-1.1</v>
      </c>
      <c r="B272" s="89" t="str">
        <f>IF(CONCATENATE(I272,Key!F$2)=CONCATENATE(INDEX(Dashboard!J:J,MATCH(I272,Dashboard!J:J,0),1),INDEX(Dashboard!J:K,MATCH(I272,Dashboard!J:J,0),2)),"ON",IF(Dashboard!K$32="ALL","ON","-"))</f>
        <v>-</v>
      </c>
      <c r="C272" s="88" t="s">
        <v>110</v>
      </c>
      <c r="D272" s="89">
        <f>IF(C272="ID",1,(IF(C272="PR",2,(IF(C272="DE",3,(IF(C272="RS",4,(IF(C272="RC",5,0)))))))))</f>
        <v>1</v>
      </c>
      <c r="E272" s="89" t="s">
        <v>136</v>
      </c>
      <c r="F272" s="89">
        <f>IF(E272="AM",1,(IF(E272="BE",2,(IF(E272="GV",3,(IF(E272="RA",4,(IF(E272="RM",5,(IF(E272="AC",1,(IF(E272="AT",2,(IF(E272="DS",3,(IF(E272="IP",4,(IF(E272="MA",5,(IF(E272="PT",6,(IF(E272="AE",1,(IF(E272="CM",2,(IF(E272="DP",3,(IF(E272="AN",1,(IF(E272="CO",2,(IF(E272="IM",3,(IF(E272="MI",4,(IF(E272="RP",5,(IF(E272="SC",6,0)))))))))))))))))))))))))))))))))))))))</f>
        <v>3</v>
      </c>
      <c r="G272" s="52">
        <v>1</v>
      </c>
      <c r="H272" s="90" t="s">
        <v>115</v>
      </c>
      <c r="I272" s="93" t="s">
        <v>77</v>
      </c>
      <c r="J272" s="87" t="s">
        <v>990</v>
      </c>
      <c r="K272" s="102" t="s">
        <v>2063</v>
      </c>
      <c r="L272" s="117">
        <f>IF(O272="","",N272*O272*M272)</f>
        <v>0</v>
      </c>
      <c r="M272" s="108">
        <v>1</v>
      </c>
      <c r="N272" s="95">
        <v>1</v>
      </c>
      <c r="O272" s="109">
        <f>IF(Key!D$1="ON",P272,IF(SUM(Q272:DL272)&lt;1,"",SUM(Q272:DL272)/COUNTIF(Q272:DL272,"&gt;0")))</f>
        <v>0</v>
      </c>
      <c r="P272" s="109">
        <f>SUMIFS(Q272:DK272,Q$1:DK$1,Dashboard!$K$31)</f>
        <v>0</v>
      </c>
      <c r="U272" s="95">
        <v>33</v>
      </c>
      <c r="AA272" s="95">
        <v>25</v>
      </c>
      <c r="AH272" s="95">
        <v>75</v>
      </c>
    </row>
    <row r="273" spans="1:34" x14ac:dyDescent="0.3">
      <c r="A273" s="89" t="str">
        <f>CONCATENATE(D273,".",F273,"-",G273,".",H273,"")</f>
        <v>1.3-1.1</v>
      </c>
      <c r="B273" s="89" t="str">
        <f>IF(CONCATENATE(I273,Key!F$2)=CONCATENATE(INDEX(Dashboard!J:J,MATCH(I273,Dashboard!J:J,0),1),INDEX(Dashboard!J:K,MATCH(I273,Dashboard!J:J,0),2)),"ON",IF(Dashboard!K$32="ALL","ON","-"))</f>
        <v>-</v>
      </c>
      <c r="C273" s="88" t="s">
        <v>110</v>
      </c>
      <c r="D273" s="89">
        <f>IF(C273="ID",1,(IF(C273="PR",2,(IF(C273="DE",3,(IF(C273="RS",4,(IF(C273="RC",5,0)))))))))</f>
        <v>1</v>
      </c>
      <c r="E273" s="89" t="s">
        <v>136</v>
      </c>
      <c r="F273" s="89">
        <f>IF(E273="AM",1,(IF(E273="BE",2,(IF(E273="GV",3,(IF(E273="RA",4,(IF(E273="RM",5,(IF(E273="AC",1,(IF(E273="AT",2,(IF(E273="DS",3,(IF(E273="IP",4,(IF(E273="MA",5,(IF(E273="PT",6,(IF(E273="AE",1,(IF(E273="CM",2,(IF(E273="DP",3,(IF(E273="AN",1,(IF(E273="CO",2,(IF(E273="IM",3,(IF(E273="MI",4,(IF(E273="RP",5,(IF(E273="SC",6,0)))))))))))))))))))))))))))))))))))))))</f>
        <v>3</v>
      </c>
      <c r="G273" s="52">
        <v>1</v>
      </c>
      <c r="H273" s="90" t="s">
        <v>115</v>
      </c>
      <c r="I273" s="93" t="s">
        <v>77</v>
      </c>
      <c r="J273" s="87" t="s">
        <v>662</v>
      </c>
      <c r="K273" s="102" t="s">
        <v>2064</v>
      </c>
      <c r="L273" s="117">
        <f>IF(O273="","",N273*O273*M273)</f>
        <v>0</v>
      </c>
      <c r="M273" s="108">
        <v>1</v>
      </c>
      <c r="N273" s="95">
        <v>1</v>
      </c>
      <c r="O273" s="109">
        <f>IF(Key!D$1="ON",P273,IF(SUM(Q273:DL273)&lt;1,"",SUM(Q273:DL273)/COUNTIF(Q273:DL273,"&gt;0")))</f>
        <v>0</v>
      </c>
      <c r="P273" s="109">
        <f>SUMIFS(Q273:DK273,Q$1:DK$1,Dashboard!$K$31)</f>
        <v>0</v>
      </c>
      <c r="U273" s="95">
        <v>33</v>
      </c>
      <c r="AA273" s="95">
        <v>25</v>
      </c>
      <c r="AH273" s="95">
        <v>75</v>
      </c>
    </row>
    <row r="274" spans="1:34" ht="15.6" x14ac:dyDescent="0.3">
      <c r="A274" s="89" t="str">
        <f>CONCATENATE(D274,".",F274,"-",G274,".",H274,"")</f>
        <v>1.3-1.1</v>
      </c>
      <c r="B274" s="89" t="str">
        <f>IF(CONCATENATE(I274,Key!F$2)=CONCATENATE(INDEX(Dashboard!J:J,MATCH(I274,Dashboard!J:J,0),1),INDEX(Dashboard!J:K,MATCH(I274,Dashboard!J:J,0),2)),"ON",IF(Dashboard!K$32="ALL","ON","-"))</f>
        <v>-</v>
      </c>
      <c r="C274" s="88" t="s">
        <v>110</v>
      </c>
      <c r="D274" s="89">
        <f>IF(C274="ID",1,(IF(C274="PR",2,(IF(C274="DE",3,(IF(C274="RS",4,(IF(C274="RC",5,0)))))))))</f>
        <v>1</v>
      </c>
      <c r="E274" s="89" t="s">
        <v>136</v>
      </c>
      <c r="F274" s="89">
        <f>IF(E274="AM",1,(IF(E274="BE",2,(IF(E274="GV",3,(IF(E274="RA",4,(IF(E274="RM",5,(IF(E274="AC",1,(IF(E274="AT",2,(IF(E274="DS",3,(IF(E274="IP",4,(IF(E274="MA",5,(IF(E274="PT",6,(IF(E274="AE",1,(IF(E274="CM",2,(IF(E274="DP",3,(IF(E274="AN",1,(IF(E274="CO",2,(IF(E274="IM",3,(IF(E274="MI",4,(IF(E274="RP",5,(IF(E274="SC",6,0)))))))))))))))))))))))))))))))))))))))</f>
        <v>3</v>
      </c>
      <c r="G274" s="52">
        <v>1</v>
      </c>
      <c r="H274" s="90" t="s">
        <v>115</v>
      </c>
      <c r="I274" s="93" t="s">
        <v>77</v>
      </c>
      <c r="J274" s="87" t="s">
        <v>991</v>
      </c>
      <c r="K274" s="102" t="s">
        <v>2065</v>
      </c>
      <c r="L274" s="117">
        <f>IF(O274="","",N274*O274*M274)</f>
        <v>0</v>
      </c>
      <c r="M274" s="108">
        <v>1</v>
      </c>
      <c r="N274" s="95">
        <v>1</v>
      </c>
      <c r="O274" s="109">
        <f>IF(Key!D$1="ON",P274,IF(SUM(Q274:DL274)&lt;1,"",SUM(Q274:DL274)/COUNTIF(Q274:DL274,"&gt;0")))</f>
        <v>0</v>
      </c>
      <c r="P274" s="109">
        <f>SUMIFS(Q274:DK274,Q$1:DK$1,Dashboard!$K$31)</f>
        <v>0</v>
      </c>
      <c r="U274" s="95">
        <v>33</v>
      </c>
      <c r="AA274" s="95">
        <v>25</v>
      </c>
      <c r="AH274" s="95">
        <v>75</v>
      </c>
    </row>
    <row r="275" spans="1:34" ht="15.6" x14ac:dyDescent="0.3">
      <c r="A275" s="89" t="str">
        <f>CONCATENATE(D275,".",F275,"-",G275,".",H275,"")</f>
        <v>1.3-1.1</v>
      </c>
      <c r="B275" s="89" t="str">
        <f>IF(CONCATENATE(I275,Key!F$2)=CONCATENATE(INDEX(Dashboard!J:J,MATCH(I275,Dashboard!J:J,0),1),INDEX(Dashboard!J:K,MATCH(I275,Dashboard!J:J,0),2)),"ON",IF(Dashboard!K$32="ALL","ON","-"))</f>
        <v>-</v>
      </c>
      <c r="C275" s="88" t="s">
        <v>110</v>
      </c>
      <c r="D275" s="89">
        <f>IF(C275="ID",1,(IF(C275="PR",2,(IF(C275="DE",3,(IF(C275="RS",4,(IF(C275="RC",5,0)))))))))</f>
        <v>1</v>
      </c>
      <c r="E275" s="89" t="s">
        <v>136</v>
      </c>
      <c r="F275" s="89">
        <f>IF(E275="AM",1,(IF(E275="BE",2,(IF(E275="GV",3,(IF(E275="RA",4,(IF(E275="RM",5,(IF(E275="AC",1,(IF(E275="AT",2,(IF(E275="DS",3,(IF(E275="IP",4,(IF(E275="MA",5,(IF(E275="PT",6,(IF(E275="AE",1,(IF(E275="CM",2,(IF(E275="DP",3,(IF(E275="AN",1,(IF(E275="CO",2,(IF(E275="IM",3,(IF(E275="MI",4,(IF(E275="RP",5,(IF(E275="SC",6,0)))))))))))))))))))))))))))))))))))))))</f>
        <v>3</v>
      </c>
      <c r="G275" s="52">
        <v>1</v>
      </c>
      <c r="H275" s="90" t="s">
        <v>115</v>
      </c>
      <c r="I275" s="93" t="s">
        <v>77</v>
      </c>
      <c r="J275" s="87" t="s">
        <v>992</v>
      </c>
      <c r="K275" s="102" t="s">
        <v>2066</v>
      </c>
      <c r="L275" s="117">
        <f>IF(O275="","",N275*O275*M275)</f>
        <v>0</v>
      </c>
      <c r="M275" s="108">
        <v>1</v>
      </c>
      <c r="N275" s="95">
        <v>1</v>
      </c>
      <c r="O275" s="109">
        <f>IF(Key!D$1="ON",P275,IF(SUM(Q275:DL275)&lt;1,"",SUM(Q275:DL275)/COUNTIF(Q275:DL275,"&gt;0")))</f>
        <v>0</v>
      </c>
      <c r="P275" s="109">
        <f>SUMIFS(Q275:DK275,Q$1:DK$1,Dashboard!$K$31)</f>
        <v>0</v>
      </c>
      <c r="U275" s="95">
        <v>33</v>
      </c>
      <c r="AA275" s="95">
        <v>25</v>
      </c>
      <c r="AH275" s="95">
        <v>75</v>
      </c>
    </row>
    <row r="276" spans="1:34" x14ac:dyDescent="0.3">
      <c r="A276" s="89" t="str">
        <f>CONCATENATE(D276,".",F276,"-",G276,".",H276,"")</f>
        <v>1.3-1.1</v>
      </c>
      <c r="B276" s="89" t="str">
        <f>IF(CONCATENATE(I276,Key!F$2)=CONCATENATE(INDEX(Dashboard!J:J,MATCH(I276,Dashboard!J:J,0),1),INDEX(Dashboard!J:K,MATCH(I276,Dashboard!J:J,0),2)),"ON",IF(Dashboard!K$32="ALL","ON","-"))</f>
        <v>-</v>
      </c>
      <c r="C276" s="88" t="s">
        <v>110</v>
      </c>
      <c r="D276" s="89">
        <f>IF(C276="ID",1,(IF(C276="PR",2,(IF(C276="DE",3,(IF(C276="RS",4,(IF(C276="RC",5,0)))))))))</f>
        <v>1</v>
      </c>
      <c r="E276" s="89" t="s">
        <v>136</v>
      </c>
      <c r="F276" s="89">
        <f>IF(E276="AM",1,(IF(E276="BE",2,(IF(E276="GV",3,(IF(E276="RA",4,(IF(E276="RM",5,(IF(E276="AC",1,(IF(E276="AT",2,(IF(E276="DS",3,(IF(E276="IP",4,(IF(E276="MA",5,(IF(E276="PT",6,(IF(E276="AE",1,(IF(E276="CM",2,(IF(E276="DP",3,(IF(E276="AN",1,(IF(E276="CO",2,(IF(E276="IM",3,(IF(E276="MI",4,(IF(E276="RP",5,(IF(E276="SC",6,0)))))))))))))))))))))))))))))))))))))))</f>
        <v>3</v>
      </c>
      <c r="G276" s="52">
        <v>1</v>
      </c>
      <c r="H276" s="90" t="s">
        <v>115</v>
      </c>
      <c r="I276" s="93" t="s">
        <v>77</v>
      </c>
      <c r="J276" s="87" t="s">
        <v>993</v>
      </c>
      <c r="K276" s="102" t="s">
        <v>2067</v>
      </c>
      <c r="L276" s="117">
        <f>IF(O276="","",N276*O276*M276)</f>
        <v>0</v>
      </c>
      <c r="M276" s="108">
        <v>1</v>
      </c>
      <c r="N276" s="95">
        <v>1</v>
      </c>
      <c r="O276" s="109">
        <f>IF(Key!D$1="ON",P276,IF(SUM(Q276:DL276)&lt;1,"",SUM(Q276:DL276)/COUNTIF(Q276:DL276,"&gt;0")))</f>
        <v>0</v>
      </c>
      <c r="P276" s="109">
        <f>SUMIFS(Q276:DK276,Q$1:DK$1,Dashboard!$K$31)</f>
        <v>0</v>
      </c>
      <c r="U276" s="95">
        <v>33</v>
      </c>
      <c r="AA276" s="95">
        <v>25</v>
      </c>
      <c r="AH276" s="95">
        <v>75</v>
      </c>
    </row>
    <row r="277" spans="1:34" ht="15.6" x14ac:dyDescent="0.3">
      <c r="A277" s="89" t="str">
        <f>CONCATENATE(D277,".",F277,"-",G277,".",H277,"")</f>
        <v>1.3-1.1</v>
      </c>
      <c r="B277" s="89" t="str">
        <f>IF(CONCATENATE(I277,Key!F$2)=CONCATENATE(INDEX(Dashboard!J:J,MATCH(I277,Dashboard!J:J,0),1),INDEX(Dashboard!J:K,MATCH(I277,Dashboard!J:J,0),2)),"ON",IF(Dashboard!K$32="ALL","ON","-"))</f>
        <v>-</v>
      </c>
      <c r="C277" s="88" t="s">
        <v>110</v>
      </c>
      <c r="D277" s="89">
        <f>IF(C277="ID",1,(IF(C277="PR",2,(IF(C277="DE",3,(IF(C277="RS",4,(IF(C277="RC",5,0)))))))))</f>
        <v>1</v>
      </c>
      <c r="E277" s="89" t="s">
        <v>136</v>
      </c>
      <c r="F277" s="89">
        <f>IF(E277="AM",1,(IF(E277="BE",2,(IF(E277="GV",3,(IF(E277="RA",4,(IF(E277="RM",5,(IF(E277="AC",1,(IF(E277="AT",2,(IF(E277="DS",3,(IF(E277="IP",4,(IF(E277="MA",5,(IF(E277="PT",6,(IF(E277="AE",1,(IF(E277="CM",2,(IF(E277="DP",3,(IF(E277="AN",1,(IF(E277="CO",2,(IF(E277="IM",3,(IF(E277="MI",4,(IF(E277="RP",5,(IF(E277="SC",6,0)))))))))))))))))))))))))))))))))))))))</f>
        <v>3</v>
      </c>
      <c r="G277" s="52">
        <v>1</v>
      </c>
      <c r="H277" s="90" t="s">
        <v>115</v>
      </c>
      <c r="I277" s="93" t="s">
        <v>77</v>
      </c>
      <c r="J277" s="87" t="s">
        <v>994</v>
      </c>
      <c r="K277" s="102" t="s">
        <v>2068</v>
      </c>
      <c r="L277" s="117">
        <f>IF(O277="","",N277*O277*M277)</f>
        <v>0</v>
      </c>
      <c r="M277" s="108">
        <v>1</v>
      </c>
      <c r="N277" s="95">
        <v>1</v>
      </c>
      <c r="O277" s="109">
        <f>IF(Key!D$1="ON",P277,IF(SUM(Q277:DL277)&lt;1,"",SUM(Q277:DL277)/COUNTIF(Q277:DL277,"&gt;0")))</f>
        <v>0</v>
      </c>
      <c r="P277" s="109">
        <f>SUMIFS(Q277:DK277,Q$1:DK$1,Dashboard!$K$31)</f>
        <v>0</v>
      </c>
      <c r="U277" s="95">
        <v>33</v>
      </c>
      <c r="AA277" s="95">
        <v>25</v>
      </c>
      <c r="AH277" s="95">
        <v>75</v>
      </c>
    </row>
    <row r="278" spans="1:34" ht="15.6" x14ac:dyDescent="0.3">
      <c r="A278" s="89" t="str">
        <f>CONCATENATE(D278,".",F278,"-",G278,".",H278,"")</f>
        <v>1.3-1.1</v>
      </c>
      <c r="B278" s="89" t="str">
        <f>IF(CONCATENATE(I278,Key!F$2)=CONCATENATE(INDEX(Dashboard!J:J,MATCH(I278,Dashboard!J:J,0),1),INDEX(Dashboard!J:K,MATCH(I278,Dashboard!J:J,0),2)),"ON",IF(Dashboard!K$32="ALL","ON","-"))</f>
        <v>-</v>
      </c>
      <c r="C278" s="88" t="s">
        <v>110</v>
      </c>
      <c r="D278" s="89">
        <f>IF(C278="ID",1,(IF(C278="PR",2,(IF(C278="DE",3,(IF(C278="RS",4,(IF(C278="RC",5,0)))))))))</f>
        <v>1</v>
      </c>
      <c r="E278" s="89" t="s">
        <v>136</v>
      </c>
      <c r="F278" s="89">
        <f>IF(E278="AM",1,(IF(E278="BE",2,(IF(E278="GV",3,(IF(E278="RA",4,(IF(E278="RM",5,(IF(E278="AC",1,(IF(E278="AT",2,(IF(E278="DS",3,(IF(E278="IP",4,(IF(E278="MA",5,(IF(E278="PT",6,(IF(E278="AE",1,(IF(E278="CM",2,(IF(E278="DP",3,(IF(E278="AN",1,(IF(E278="CO",2,(IF(E278="IM",3,(IF(E278="MI",4,(IF(E278="RP",5,(IF(E278="SC",6,0)))))))))))))))))))))))))))))))))))))))</f>
        <v>3</v>
      </c>
      <c r="G278" s="52">
        <v>1</v>
      </c>
      <c r="H278" s="90" t="s">
        <v>115</v>
      </c>
      <c r="I278" s="93" t="s">
        <v>77</v>
      </c>
      <c r="J278" s="87" t="s">
        <v>995</v>
      </c>
      <c r="K278" s="102" t="s">
        <v>2069</v>
      </c>
      <c r="L278" s="117">
        <f>IF(O278="","",N278*O278*M278)</f>
        <v>0</v>
      </c>
      <c r="M278" s="108">
        <v>1</v>
      </c>
      <c r="N278" s="95">
        <v>1</v>
      </c>
      <c r="O278" s="109">
        <f>IF(Key!D$1="ON",P278,IF(SUM(Q278:DL278)&lt;1,"",SUM(Q278:DL278)/COUNTIF(Q278:DL278,"&gt;0")))</f>
        <v>0</v>
      </c>
      <c r="P278" s="109">
        <f>SUMIFS(Q278:DK278,Q$1:DK$1,Dashboard!$K$31)</f>
        <v>0</v>
      </c>
      <c r="U278" s="95">
        <v>33</v>
      </c>
      <c r="AA278" s="95">
        <v>25</v>
      </c>
      <c r="AH278" s="95">
        <v>75</v>
      </c>
    </row>
    <row r="279" spans="1:34" x14ac:dyDescent="0.3">
      <c r="A279" s="89" t="str">
        <f>CONCATENATE(D279,".",F279,"-",G279,".",H279,"")</f>
        <v>1.3-1.1</v>
      </c>
      <c r="B279" s="89" t="str">
        <f>IF(CONCATENATE(I279,Key!F$2)=CONCATENATE(INDEX(Dashboard!J:J,MATCH(I279,Dashboard!J:J,0),1),INDEX(Dashboard!J:K,MATCH(I279,Dashboard!J:J,0),2)),"ON",IF(Dashboard!K$32="ALL","ON","-"))</f>
        <v>-</v>
      </c>
      <c r="C279" s="88" t="s">
        <v>110</v>
      </c>
      <c r="D279" s="89">
        <f>IF(C279="ID",1,(IF(C279="PR",2,(IF(C279="DE",3,(IF(C279="RS",4,(IF(C279="RC",5,0)))))))))</f>
        <v>1</v>
      </c>
      <c r="E279" s="89" t="s">
        <v>136</v>
      </c>
      <c r="F279" s="89">
        <f>IF(E279="AM",1,(IF(E279="BE",2,(IF(E279="GV",3,(IF(E279="RA",4,(IF(E279="RM",5,(IF(E279="AC",1,(IF(E279="AT",2,(IF(E279="DS",3,(IF(E279="IP",4,(IF(E279="MA",5,(IF(E279="PT",6,(IF(E279="AE",1,(IF(E279="CM",2,(IF(E279="DP",3,(IF(E279="AN",1,(IF(E279="CO",2,(IF(E279="IM",3,(IF(E279="MI",4,(IF(E279="RP",5,(IF(E279="SC",6,0)))))))))))))))))))))))))))))))))))))))</f>
        <v>3</v>
      </c>
      <c r="G279" s="52">
        <v>1</v>
      </c>
      <c r="H279" s="90" t="s">
        <v>115</v>
      </c>
      <c r="I279" s="93" t="s">
        <v>77</v>
      </c>
      <c r="J279" s="87" t="s">
        <v>996</v>
      </c>
      <c r="K279" s="102" t="s">
        <v>2070</v>
      </c>
      <c r="L279" s="117">
        <f>IF(O279="","",N279*O279*M279)</f>
        <v>0</v>
      </c>
      <c r="M279" s="108">
        <v>1</v>
      </c>
      <c r="N279" s="95">
        <v>1</v>
      </c>
      <c r="O279" s="109">
        <f>IF(Key!D$1="ON",P279,IF(SUM(Q279:DL279)&lt;1,"",SUM(Q279:DL279)/COUNTIF(Q279:DL279,"&gt;0")))</f>
        <v>0</v>
      </c>
      <c r="P279" s="109">
        <f>SUMIFS(Q279:DK279,Q$1:DK$1,Dashboard!$K$31)</f>
        <v>0</v>
      </c>
      <c r="U279" s="95">
        <v>33</v>
      </c>
      <c r="AA279" s="95">
        <v>25</v>
      </c>
      <c r="AH279" s="95">
        <v>75</v>
      </c>
    </row>
    <row r="280" spans="1:34" ht="15.6" x14ac:dyDescent="0.3">
      <c r="A280" s="89" t="str">
        <f>CONCATENATE(D280,".",F280,"-",G280,".",H280,"")</f>
        <v>1.3-1.1</v>
      </c>
      <c r="B280" s="89" t="str">
        <f>IF(CONCATENATE(I280,Key!F$2)=CONCATENATE(INDEX(Dashboard!J:J,MATCH(I280,Dashboard!J:J,0),1),INDEX(Dashboard!J:K,MATCH(I280,Dashboard!J:J,0),2)),"ON",IF(Dashboard!K$32="ALL","ON","-"))</f>
        <v>-</v>
      </c>
      <c r="C280" s="88" t="s">
        <v>110</v>
      </c>
      <c r="D280" s="89">
        <f>IF(C280="ID",1,(IF(C280="PR",2,(IF(C280="DE",3,(IF(C280="RS",4,(IF(C280="RC",5,0)))))))))</f>
        <v>1</v>
      </c>
      <c r="E280" s="89" t="s">
        <v>136</v>
      </c>
      <c r="F280" s="89">
        <f>IF(E280="AM",1,(IF(E280="BE",2,(IF(E280="GV",3,(IF(E280="RA",4,(IF(E280="RM",5,(IF(E280="AC",1,(IF(E280="AT",2,(IF(E280="DS",3,(IF(E280="IP",4,(IF(E280="MA",5,(IF(E280="PT",6,(IF(E280="AE",1,(IF(E280="CM",2,(IF(E280="DP",3,(IF(E280="AN",1,(IF(E280="CO",2,(IF(E280="IM",3,(IF(E280="MI",4,(IF(E280="RP",5,(IF(E280="SC",6,0)))))))))))))))))))))))))))))))))))))))</f>
        <v>3</v>
      </c>
      <c r="G280" s="52">
        <v>1</v>
      </c>
      <c r="H280" s="90" t="s">
        <v>115</v>
      </c>
      <c r="I280" s="93" t="s">
        <v>77</v>
      </c>
      <c r="J280" s="87" t="s">
        <v>997</v>
      </c>
      <c r="K280" s="102" t="s">
        <v>2071</v>
      </c>
      <c r="L280" s="117">
        <f>IF(O280="","",N280*O280*M280)</f>
        <v>0</v>
      </c>
      <c r="M280" s="108">
        <v>1</v>
      </c>
      <c r="N280" s="95">
        <v>1</v>
      </c>
      <c r="O280" s="109">
        <f>IF(Key!D$1="ON",P280,IF(SUM(Q280:DL280)&lt;1,"",SUM(Q280:DL280)/COUNTIF(Q280:DL280,"&gt;0")))</f>
        <v>0</v>
      </c>
      <c r="P280" s="109">
        <f>SUMIFS(Q280:DK280,Q$1:DK$1,Dashboard!$K$31)</f>
        <v>0</v>
      </c>
      <c r="U280" s="95">
        <v>33</v>
      </c>
      <c r="AA280" s="95">
        <v>25</v>
      </c>
      <c r="AH280" s="95">
        <v>75</v>
      </c>
    </row>
    <row r="281" spans="1:34" ht="15.6" x14ac:dyDescent="0.3">
      <c r="A281" s="89" t="str">
        <f>CONCATENATE(D281,".",F281,"-",G281,".",H281,"")</f>
        <v>1.3-1.1</v>
      </c>
      <c r="B281" s="89" t="str">
        <f>IF(CONCATENATE(I281,Key!F$2)=CONCATENATE(INDEX(Dashboard!J:J,MATCH(I281,Dashboard!J:J,0),1),INDEX(Dashboard!J:K,MATCH(I281,Dashboard!J:J,0),2)),"ON",IF(Dashboard!K$32="ALL","ON","-"))</f>
        <v>-</v>
      </c>
      <c r="C281" s="88" t="s">
        <v>110</v>
      </c>
      <c r="D281" s="89">
        <f>IF(C281="ID",1,(IF(C281="PR",2,(IF(C281="DE",3,(IF(C281="RS",4,(IF(C281="RC",5,0)))))))))</f>
        <v>1</v>
      </c>
      <c r="E281" s="89" t="s">
        <v>136</v>
      </c>
      <c r="F281" s="89">
        <f>IF(E281="AM",1,(IF(E281="BE",2,(IF(E281="GV",3,(IF(E281="RA",4,(IF(E281="RM",5,(IF(E281="AC",1,(IF(E281="AT",2,(IF(E281="DS",3,(IF(E281="IP",4,(IF(E281="MA",5,(IF(E281="PT",6,(IF(E281="AE",1,(IF(E281="CM",2,(IF(E281="DP",3,(IF(E281="AN",1,(IF(E281="CO",2,(IF(E281="IM",3,(IF(E281="MI",4,(IF(E281="RP",5,(IF(E281="SC",6,0)))))))))))))))))))))))))))))))))))))))</f>
        <v>3</v>
      </c>
      <c r="G281" s="52">
        <v>1</v>
      </c>
      <c r="H281" s="90" t="s">
        <v>115</v>
      </c>
      <c r="I281" s="93" t="s">
        <v>77</v>
      </c>
      <c r="J281" s="87" t="s">
        <v>1010</v>
      </c>
      <c r="K281" s="102" t="s">
        <v>2072</v>
      </c>
      <c r="L281" s="117">
        <f>IF(O281="","",N281*O281*M281)</f>
        <v>0</v>
      </c>
      <c r="M281" s="108">
        <v>1</v>
      </c>
      <c r="N281" s="95">
        <v>1</v>
      </c>
      <c r="O281" s="109">
        <f>IF(Key!D$1="ON",P281,IF(SUM(Q281:DL281)&lt;1,"",SUM(Q281:DL281)/COUNTIF(Q281:DL281,"&gt;0")))</f>
        <v>0</v>
      </c>
      <c r="P281" s="109">
        <f>SUMIFS(Q281:DK281,Q$1:DK$1,Dashboard!$K$31)</f>
        <v>0</v>
      </c>
      <c r="U281" s="95">
        <v>33</v>
      </c>
      <c r="AA281" s="95">
        <v>25</v>
      </c>
      <c r="AH281" s="95">
        <v>75</v>
      </c>
    </row>
    <row r="282" spans="1:34" x14ac:dyDescent="0.3">
      <c r="A282" s="89" t="str">
        <f>CONCATENATE(D282,".",F282,"-",G282,".",H282,"")</f>
        <v>1.3-1.1</v>
      </c>
      <c r="B282" s="89" t="str">
        <f>IF(CONCATENATE(I282,Key!F$2)=CONCATENATE(INDEX(Dashboard!J:J,MATCH(I282,Dashboard!J:J,0),1),INDEX(Dashboard!J:K,MATCH(I282,Dashboard!J:J,0),2)),"ON",IF(Dashboard!K$32="ALL","ON","-"))</f>
        <v>-</v>
      </c>
      <c r="C282" s="88" t="s">
        <v>110</v>
      </c>
      <c r="D282" s="89">
        <f>IF(C282="ID",1,(IF(C282="PR",2,(IF(C282="DE",3,(IF(C282="RS",4,(IF(C282="RC",5,0)))))))))</f>
        <v>1</v>
      </c>
      <c r="E282" s="89" t="s">
        <v>136</v>
      </c>
      <c r="F282" s="89">
        <f>IF(E282="AM",1,(IF(E282="BE",2,(IF(E282="GV",3,(IF(E282="RA",4,(IF(E282="RM",5,(IF(E282="AC",1,(IF(E282="AT",2,(IF(E282="DS",3,(IF(E282="IP",4,(IF(E282="MA",5,(IF(E282="PT",6,(IF(E282="AE",1,(IF(E282="CM",2,(IF(E282="DP",3,(IF(E282="AN",1,(IF(E282="CO",2,(IF(E282="IM",3,(IF(E282="MI",4,(IF(E282="RP",5,(IF(E282="SC",6,0)))))))))))))))))))))))))))))))))))))))</f>
        <v>3</v>
      </c>
      <c r="G282" s="52">
        <v>1</v>
      </c>
      <c r="H282" s="90" t="s">
        <v>115</v>
      </c>
      <c r="I282" s="93" t="s">
        <v>77</v>
      </c>
      <c r="J282" s="87" t="s">
        <v>1016</v>
      </c>
      <c r="K282" s="102" t="s">
        <v>2073</v>
      </c>
      <c r="L282" s="117">
        <f>IF(O282="","",N282*O282*M282)</f>
        <v>0</v>
      </c>
      <c r="M282" s="108">
        <v>1</v>
      </c>
      <c r="N282" s="95">
        <v>1</v>
      </c>
      <c r="O282" s="109">
        <f>IF(Key!D$1="ON",P282,IF(SUM(Q282:DL282)&lt;1,"",SUM(Q282:DL282)/COUNTIF(Q282:DL282,"&gt;0")))</f>
        <v>0</v>
      </c>
      <c r="P282" s="109">
        <f>SUMIFS(Q282:DK282,Q$1:DK$1,Dashboard!$K$31)</f>
        <v>0</v>
      </c>
      <c r="U282" s="95">
        <v>33</v>
      </c>
      <c r="AA282" s="95">
        <v>25</v>
      </c>
      <c r="AH282" s="95">
        <v>75</v>
      </c>
    </row>
    <row r="283" spans="1:34" x14ac:dyDescent="0.3">
      <c r="A283" s="89" t="str">
        <f>CONCATENATE(D283,".",F283,"-",G283,".",H283,"")</f>
        <v>1.3-1.1</v>
      </c>
      <c r="B283" s="89" t="str">
        <f>IF(CONCATENATE(I283,Key!F$2)=CONCATENATE(INDEX(Dashboard!J:J,MATCH(I283,Dashboard!J:J,0),1),INDEX(Dashboard!J:K,MATCH(I283,Dashboard!J:J,0),2)),"ON",IF(Dashboard!K$32="ALL","ON","-"))</f>
        <v>-</v>
      </c>
      <c r="C283" s="88" t="s">
        <v>110</v>
      </c>
      <c r="D283" s="89">
        <f>IF(C283="ID",1,(IF(C283="PR",2,(IF(C283="DE",3,(IF(C283="RS",4,(IF(C283="RC",5,0)))))))))</f>
        <v>1</v>
      </c>
      <c r="E283" s="89" t="s">
        <v>136</v>
      </c>
      <c r="F283" s="89">
        <f>IF(E283="AM",1,(IF(E283="BE",2,(IF(E283="GV",3,(IF(E283="RA",4,(IF(E283="RM",5,(IF(E283="AC",1,(IF(E283="AT",2,(IF(E283="DS",3,(IF(E283="IP",4,(IF(E283="MA",5,(IF(E283="PT",6,(IF(E283="AE",1,(IF(E283="CM",2,(IF(E283="DP",3,(IF(E283="AN",1,(IF(E283="CO",2,(IF(E283="IM",3,(IF(E283="MI",4,(IF(E283="RP",5,(IF(E283="SC",6,0)))))))))))))))))))))))))))))))))))))))</f>
        <v>3</v>
      </c>
      <c r="G283" s="98">
        <v>1</v>
      </c>
      <c r="H283" s="90" t="s">
        <v>115</v>
      </c>
      <c r="I283" s="93" t="s">
        <v>77</v>
      </c>
      <c r="J283" s="87" t="s">
        <v>1017</v>
      </c>
      <c r="K283" s="102" t="s">
        <v>2074</v>
      </c>
      <c r="L283" s="117">
        <f>IF(O283="","",N283*O283*M283)</f>
        <v>0</v>
      </c>
      <c r="M283" s="108">
        <v>1</v>
      </c>
      <c r="N283" s="95">
        <v>1</v>
      </c>
      <c r="O283" s="109">
        <f>IF(Key!D$1="ON",P283,IF(SUM(Q283:DL283)&lt;1,"",SUM(Q283:DL283)/COUNTIF(Q283:DL283,"&gt;0")))</f>
        <v>0</v>
      </c>
      <c r="P283" s="109">
        <f>SUMIFS(Q283:DK283,Q$1:DK$1,Dashboard!$K$31)</f>
        <v>0</v>
      </c>
      <c r="U283" s="95">
        <v>33</v>
      </c>
      <c r="AA283" s="95">
        <v>25</v>
      </c>
      <c r="AH283" s="95">
        <v>75</v>
      </c>
    </row>
    <row r="284" spans="1:34" ht="15.6" x14ac:dyDescent="0.3">
      <c r="A284" s="89" t="str">
        <f>CONCATENATE(D284,".",F284,"-",G284,".",H284,"")</f>
        <v>1.3-1.1</v>
      </c>
      <c r="B284" s="89" t="str">
        <f>IF(CONCATENATE(I284,Key!F$2)=CONCATENATE(INDEX(Dashboard!J:J,MATCH(I284,Dashboard!J:J,0),1),INDEX(Dashboard!J:K,MATCH(I284,Dashboard!J:J,0),2)),"ON",IF(Dashboard!K$32="ALL","ON","-"))</f>
        <v>-</v>
      </c>
      <c r="C284" s="88" t="s">
        <v>110</v>
      </c>
      <c r="D284" s="89">
        <f>IF(C284="ID",1,(IF(C284="PR",2,(IF(C284="DE",3,(IF(C284="RS",4,(IF(C284="RC",5,0)))))))))</f>
        <v>1</v>
      </c>
      <c r="E284" s="89" t="s">
        <v>136</v>
      </c>
      <c r="F284" s="89">
        <f>IF(E284="AM",1,(IF(E284="BE",2,(IF(E284="GV",3,(IF(E284="RA",4,(IF(E284="RM",5,(IF(E284="AC",1,(IF(E284="AT",2,(IF(E284="DS",3,(IF(E284="IP",4,(IF(E284="MA",5,(IF(E284="PT",6,(IF(E284="AE",1,(IF(E284="CM",2,(IF(E284="DP",3,(IF(E284="AN",1,(IF(E284="CO",2,(IF(E284="IM",3,(IF(E284="MI",4,(IF(E284="RP",5,(IF(E284="SC",6,0)))))))))))))))))))))))))))))))))))))))</f>
        <v>3</v>
      </c>
      <c r="G284" s="52">
        <v>1</v>
      </c>
      <c r="H284" s="90" t="s">
        <v>115</v>
      </c>
      <c r="I284" s="93" t="s">
        <v>77</v>
      </c>
      <c r="J284" s="87" t="s">
        <v>1018</v>
      </c>
      <c r="K284" s="102" t="s">
        <v>2075</v>
      </c>
      <c r="L284" s="117">
        <f>IF(O284="","",N284*O284*M284)</f>
        <v>0</v>
      </c>
      <c r="M284" s="108">
        <v>1</v>
      </c>
      <c r="N284" s="95">
        <v>1</v>
      </c>
      <c r="O284" s="109">
        <f>IF(Key!D$1="ON",P284,IF(SUM(Q284:DL284)&lt;1,"",SUM(Q284:DL284)/COUNTIF(Q284:DL284,"&gt;0")))</f>
        <v>0</v>
      </c>
      <c r="P284" s="109">
        <f>SUMIFS(Q284:DK284,Q$1:DK$1,Dashboard!$K$31)</f>
        <v>0</v>
      </c>
      <c r="U284" s="95">
        <v>33</v>
      </c>
      <c r="AA284" s="95">
        <v>25</v>
      </c>
      <c r="AH284" s="95">
        <v>75</v>
      </c>
    </row>
    <row r="285" spans="1:34" ht="15.6" x14ac:dyDescent="0.3">
      <c r="A285" s="89" t="str">
        <f>CONCATENATE(D285,".",F285,"-",G285,".",H285,"")</f>
        <v>1.3-1.1</v>
      </c>
      <c r="B285" s="89" t="str">
        <f>IF(CONCATENATE(I285,Key!F$2)=CONCATENATE(INDEX(Dashboard!J:J,MATCH(I285,Dashboard!J:J,0),1),INDEX(Dashboard!J:K,MATCH(I285,Dashboard!J:J,0),2)),"ON",IF(Dashboard!K$32="ALL","ON","-"))</f>
        <v>-</v>
      </c>
      <c r="C285" s="88" t="s">
        <v>110</v>
      </c>
      <c r="D285" s="89">
        <f>IF(C285="ID",1,(IF(C285="PR",2,(IF(C285="DE",3,(IF(C285="RS",4,(IF(C285="RC",5,0)))))))))</f>
        <v>1</v>
      </c>
      <c r="E285" s="89" t="s">
        <v>136</v>
      </c>
      <c r="F285" s="89">
        <f>IF(E285="AM",1,(IF(E285="BE",2,(IF(E285="GV",3,(IF(E285="RA",4,(IF(E285="RM",5,(IF(E285="AC",1,(IF(E285="AT",2,(IF(E285="DS",3,(IF(E285="IP",4,(IF(E285="MA",5,(IF(E285="PT",6,(IF(E285="AE",1,(IF(E285="CM",2,(IF(E285="DP",3,(IF(E285="AN",1,(IF(E285="CO",2,(IF(E285="IM",3,(IF(E285="MI",4,(IF(E285="RP",5,(IF(E285="SC",6,0)))))))))))))))))))))))))))))))))))))))</f>
        <v>3</v>
      </c>
      <c r="G285" s="52">
        <v>1</v>
      </c>
      <c r="H285" s="90" t="s">
        <v>115</v>
      </c>
      <c r="I285" s="93" t="s">
        <v>77</v>
      </c>
      <c r="J285" s="87" t="s">
        <v>1019</v>
      </c>
      <c r="K285" s="102" t="s">
        <v>2076</v>
      </c>
      <c r="L285" s="117">
        <f>IF(O285="","",N285*O285*M285)</f>
        <v>0</v>
      </c>
      <c r="M285" s="108">
        <v>1</v>
      </c>
      <c r="N285" s="95">
        <v>1</v>
      </c>
      <c r="O285" s="109">
        <f>IF(Key!D$1="ON",P285,IF(SUM(Q285:DL285)&lt;1,"",SUM(Q285:DL285)/COUNTIF(Q285:DL285,"&gt;0")))</f>
        <v>0</v>
      </c>
      <c r="P285" s="109">
        <f>SUMIFS(Q285:DK285,Q$1:DK$1,Dashboard!$K$31)</f>
        <v>0</v>
      </c>
      <c r="U285" s="95">
        <v>33</v>
      </c>
      <c r="AA285" s="95">
        <v>25</v>
      </c>
      <c r="AH285" s="95">
        <v>75</v>
      </c>
    </row>
    <row r="286" spans="1:34" ht="15.6" x14ac:dyDescent="0.3">
      <c r="A286" s="89" t="str">
        <f>CONCATENATE(D286,".",F286,"-",G286,".",H286,"")</f>
        <v>1.3-1.1</v>
      </c>
      <c r="B286" s="89" t="str">
        <f>IF(CONCATENATE(I286,Key!F$2)=CONCATENATE(INDEX(Dashboard!J:J,MATCH(I286,Dashboard!J:J,0),1),INDEX(Dashboard!J:K,MATCH(I286,Dashboard!J:J,0),2)),"ON",IF(Dashboard!K$32="ALL","ON","-"))</f>
        <v>-</v>
      </c>
      <c r="C286" s="88" t="s">
        <v>110</v>
      </c>
      <c r="D286" s="89">
        <f>IF(C286="ID",1,(IF(C286="PR",2,(IF(C286="DE",3,(IF(C286="RS",4,(IF(C286="RC",5,0)))))))))</f>
        <v>1</v>
      </c>
      <c r="E286" s="89" t="s">
        <v>136</v>
      </c>
      <c r="F286" s="89">
        <f>IF(E286="AM",1,(IF(E286="BE",2,(IF(E286="GV",3,(IF(E286="RA",4,(IF(E286="RM",5,(IF(E286="AC",1,(IF(E286="AT",2,(IF(E286="DS",3,(IF(E286="IP",4,(IF(E286="MA",5,(IF(E286="PT",6,(IF(E286="AE",1,(IF(E286="CM",2,(IF(E286="DP",3,(IF(E286="AN",1,(IF(E286="CO",2,(IF(E286="IM",3,(IF(E286="MI",4,(IF(E286="RP",5,(IF(E286="SC",6,0)))))))))))))))))))))))))))))))))))))))</f>
        <v>3</v>
      </c>
      <c r="G286" s="98">
        <v>1</v>
      </c>
      <c r="H286" s="90" t="s">
        <v>115</v>
      </c>
      <c r="I286" s="93" t="s">
        <v>81</v>
      </c>
      <c r="J286" s="129" t="s">
        <v>1966</v>
      </c>
      <c r="K286" s="103" t="s">
        <v>1967</v>
      </c>
      <c r="L286" s="117">
        <f>IF(O286="","",N286*O286*M286)</f>
        <v>0</v>
      </c>
      <c r="M286" s="108">
        <v>1</v>
      </c>
      <c r="N286" s="95">
        <v>1</v>
      </c>
      <c r="O286" s="109">
        <f>IF(Key!D$1="ON",P286,IF(SUM(Q286:DL286)&lt;1,"",SUM(Q286:DL286)/COUNTIF(Q286:DL286,"&gt;0")))</f>
        <v>0</v>
      </c>
      <c r="P286" s="109">
        <f>SUMIFS(Q286:DK286,Q$1:DK$1,Dashboard!$K$31)</f>
        <v>0</v>
      </c>
      <c r="U286" s="95">
        <v>33</v>
      </c>
      <c r="AA286" s="95">
        <v>25</v>
      </c>
      <c r="AH286" s="95">
        <v>75</v>
      </c>
    </row>
    <row r="287" spans="1:34" ht="15.6" x14ac:dyDescent="0.3">
      <c r="A287" s="89" t="str">
        <f>CONCATENATE(D287,".",F287,"-",G287,".",H287,"")</f>
        <v>1.3-1.1</v>
      </c>
      <c r="B287" s="89" t="str">
        <f>IF(CONCATENATE(I287,Key!F$2)=CONCATENATE(INDEX(Dashboard!J:J,MATCH(I287,Dashboard!J:J,0),1),INDEX(Dashboard!J:K,MATCH(I287,Dashboard!J:J,0),2)),"ON",IF(Dashboard!K$32="ALL","ON","-"))</f>
        <v>-</v>
      </c>
      <c r="C287" s="88" t="s">
        <v>110</v>
      </c>
      <c r="D287" s="89">
        <f>IF(C287="ID",1,(IF(C287="PR",2,(IF(C287="DE",3,(IF(C287="RS",4,(IF(C287="RC",5,0)))))))))</f>
        <v>1</v>
      </c>
      <c r="E287" s="89" t="s">
        <v>136</v>
      </c>
      <c r="F287" s="89">
        <f>IF(E287="AM",1,(IF(E287="BE",2,(IF(E287="GV",3,(IF(E287="RA",4,(IF(E287="RM",5,(IF(E287="AC",1,(IF(E287="AT",2,(IF(E287="DS",3,(IF(E287="IP",4,(IF(E287="MA",5,(IF(E287="PT",6,(IF(E287="AE",1,(IF(E287="CM",2,(IF(E287="DP",3,(IF(E287="AN",1,(IF(E287="CO",2,(IF(E287="IM",3,(IF(E287="MI",4,(IF(E287="RP",5,(IF(E287="SC",6,0)))))))))))))))))))))))))))))))))))))))</f>
        <v>3</v>
      </c>
      <c r="G287" s="98">
        <v>1</v>
      </c>
      <c r="H287" s="90" t="s">
        <v>115</v>
      </c>
      <c r="I287" s="93" t="s">
        <v>85</v>
      </c>
      <c r="J287" s="86" t="s">
        <v>1001</v>
      </c>
      <c r="K287" s="119" t="s">
        <v>1002</v>
      </c>
      <c r="L287" s="117">
        <f>IF(O287="","",N287*O287*M287)</f>
        <v>0</v>
      </c>
      <c r="M287" s="108">
        <v>1</v>
      </c>
      <c r="N287" s="95">
        <v>1</v>
      </c>
      <c r="O287" s="109">
        <f>IF(Key!D$1="ON",P287,IF(SUM(Q287:DL287)&lt;1,"",SUM(Q287:DL287)/COUNTIF(Q287:DL287,"&gt;0")))</f>
        <v>0</v>
      </c>
      <c r="P287" s="109">
        <f>SUMIFS(Q287:DK287,Q$1:DK$1,Dashboard!$K$31)</f>
        <v>0</v>
      </c>
      <c r="U287" s="95">
        <v>33</v>
      </c>
      <c r="AA287" s="95">
        <v>25</v>
      </c>
      <c r="AH287" s="95">
        <v>75</v>
      </c>
    </row>
    <row r="288" spans="1:34" ht="15.6" x14ac:dyDescent="0.3">
      <c r="A288" s="89" t="str">
        <f>CONCATENATE(D288,".",F288,"-",G288,".",H288,"")</f>
        <v>1.3-1.1</v>
      </c>
      <c r="B288" s="89" t="str">
        <f>IF(CONCATENATE(I288,Key!F$2)=CONCATENATE(INDEX(Dashboard!J:J,MATCH(I288,Dashboard!J:J,0),1),INDEX(Dashboard!J:K,MATCH(I288,Dashboard!J:J,0),2)),"ON",IF(Dashboard!K$32="ALL","ON","-"))</f>
        <v>-</v>
      </c>
      <c r="C288" s="88" t="s">
        <v>110</v>
      </c>
      <c r="D288" s="89">
        <f>IF(C288="ID",1,(IF(C288="PR",2,(IF(C288="DE",3,(IF(C288="RS",4,(IF(C288="RC",5,0)))))))))</f>
        <v>1</v>
      </c>
      <c r="E288" s="89" t="s">
        <v>136</v>
      </c>
      <c r="F288" s="89">
        <f>IF(E288="AM",1,(IF(E288="BE",2,(IF(E288="GV",3,(IF(E288="RA",4,(IF(E288="RM",5,(IF(E288="AC",1,(IF(E288="AT",2,(IF(E288="DS",3,(IF(E288="IP",4,(IF(E288="MA",5,(IF(E288="PT",6,(IF(E288="AE",1,(IF(E288="CM",2,(IF(E288="DP",3,(IF(E288="AN",1,(IF(E288="CO",2,(IF(E288="IM",3,(IF(E288="MI",4,(IF(E288="RP",5,(IF(E288="SC",6,0)))))))))))))))))))))))))))))))))))))))</f>
        <v>3</v>
      </c>
      <c r="G288" s="98">
        <v>1</v>
      </c>
      <c r="H288" s="90" t="s">
        <v>115</v>
      </c>
      <c r="I288" s="93" t="s">
        <v>85</v>
      </c>
      <c r="J288" s="86" t="s">
        <v>1011</v>
      </c>
      <c r="K288" s="119" t="s">
        <v>1013</v>
      </c>
      <c r="L288" s="117">
        <f>IF(O288="","",N288*O288*M288)</f>
        <v>0</v>
      </c>
      <c r="M288" s="108">
        <v>1</v>
      </c>
      <c r="N288" s="95">
        <v>1</v>
      </c>
      <c r="O288" s="109">
        <f>IF(Key!D$1="ON",P288,IF(SUM(Q288:DL288)&lt;1,"",SUM(Q288:DL288)/COUNTIF(Q288:DL288,"&gt;0")))</f>
        <v>0</v>
      </c>
      <c r="P288" s="109">
        <f>SUMIFS(Q288:DK288,Q$1:DK$1,Dashboard!$K$31)</f>
        <v>0</v>
      </c>
      <c r="U288" s="95">
        <v>33</v>
      </c>
      <c r="AA288" s="95">
        <v>25</v>
      </c>
      <c r="AH288" s="95">
        <v>75</v>
      </c>
    </row>
    <row r="289" spans="1:34" x14ac:dyDescent="0.3">
      <c r="A289" s="89" t="str">
        <f>CONCATENATE(D289,".",F289,"-",G289,".",H289,"")</f>
        <v>1.3-1.1</v>
      </c>
      <c r="B289" s="89" t="str">
        <f>IF(CONCATENATE(I289,Key!F$2)=CONCATENATE(INDEX(Dashboard!J:J,MATCH(I289,Dashboard!J:J,0),1),INDEX(Dashboard!J:K,MATCH(I289,Dashboard!J:J,0),2)),"ON",IF(Dashboard!K$32="ALL","ON","-"))</f>
        <v>-</v>
      </c>
      <c r="C289" s="88" t="s">
        <v>110</v>
      </c>
      <c r="D289" s="89">
        <f>IF(C289="ID",1,(IF(C289="PR",2,(IF(C289="DE",3,(IF(C289="RS",4,(IF(C289="RC",5,0)))))))))</f>
        <v>1</v>
      </c>
      <c r="E289" s="89" t="s">
        <v>136</v>
      </c>
      <c r="F289" s="89">
        <f>IF(E289="AM",1,(IF(E289="BE",2,(IF(E289="GV",3,(IF(E289="RA",4,(IF(E289="RM",5,(IF(E289="AC",1,(IF(E289="AT",2,(IF(E289="DS",3,(IF(E289="IP",4,(IF(E289="MA",5,(IF(E289="PT",6,(IF(E289="AE",1,(IF(E289="CM",2,(IF(E289="DP",3,(IF(E289="AN",1,(IF(E289="CO",2,(IF(E289="IM",3,(IF(E289="MI",4,(IF(E289="RP",5,(IF(E289="SC",6,0)))))))))))))))))))))))))))))))))))))))</f>
        <v>3</v>
      </c>
      <c r="G289" s="98">
        <v>1</v>
      </c>
      <c r="H289" s="90" t="s">
        <v>115</v>
      </c>
      <c r="I289" s="93" t="s">
        <v>85</v>
      </c>
      <c r="J289" s="86" t="s">
        <v>1003</v>
      </c>
      <c r="K289" s="119" t="s">
        <v>1004</v>
      </c>
      <c r="L289" s="117">
        <f>IF(O289="","",N289*O289*M289)</f>
        <v>0</v>
      </c>
      <c r="M289" s="108">
        <v>1</v>
      </c>
      <c r="N289" s="95">
        <v>1</v>
      </c>
      <c r="O289" s="109">
        <f>IF(Key!D$1="ON",P289,IF(SUM(Q289:DL289)&lt;1,"",SUM(Q289:DL289)/COUNTIF(Q289:DL289,"&gt;0")))</f>
        <v>0</v>
      </c>
      <c r="P289" s="109">
        <f>SUMIFS(Q289:DK289,Q$1:DK$1,Dashboard!$K$31)</f>
        <v>0</v>
      </c>
      <c r="U289" s="95">
        <v>33</v>
      </c>
      <c r="AA289" s="95">
        <v>25</v>
      </c>
      <c r="AH289" s="95">
        <v>75</v>
      </c>
    </row>
    <row r="290" spans="1:34" ht="15.6" x14ac:dyDescent="0.3">
      <c r="A290" s="89" t="str">
        <f>CONCATENATE(D290,".",F290,"-",G290,".",H290,"")</f>
        <v>1.3-1.1</v>
      </c>
      <c r="B290" s="89" t="str">
        <f>IF(CONCATENATE(I290,Key!F$2)=CONCATENATE(INDEX(Dashboard!J:J,MATCH(I290,Dashboard!J:J,0),1),INDEX(Dashboard!J:K,MATCH(I290,Dashboard!J:J,0),2)),"ON",IF(Dashboard!K$32="ALL","ON","-"))</f>
        <v>-</v>
      </c>
      <c r="C290" s="88" t="s">
        <v>110</v>
      </c>
      <c r="D290" s="89">
        <f>IF(C290="ID",1,(IF(C290="PR",2,(IF(C290="DE",3,(IF(C290="RS",4,(IF(C290="RC",5,0)))))))))</f>
        <v>1</v>
      </c>
      <c r="E290" s="89" t="s">
        <v>136</v>
      </c>
      <c r="F290" s="89">
        <f>IF(E290="AM",1,(IF(E290="BE",2,(IF(E290="GV",3,(IF(E290="RA",4,(IF(E290="RM",5,(IF(E290="AC",1,(IF(E290="AT",2,(IF(E290="DS",3,(IF(E290="IP",4,(IF(E290="MA",5,(IF(E290="PT",6,(IF(E290="AE",1,(IF(E290="CM",2,(IF(E290="DP",3,(IF(E290="AN",1,(IF(E290="CO",2,(IF(E290="IM",3,(IF(E290="MI",4,(IF(E290="RP",5,(IF(E290="SC",6,0)))))))))))))))))))))))))))))))))))))))</f>
        <v>3</v>
      </c>
      <c r="G290" s="52">
        <v>1</v>
      </c>
      <c r="H290" s="90" t="s">
        <v>115</v>
      </c>
      <c r="I290" s="93" t="s">
        <v>85</v>
      </c>
      <c r="J290" s="87" t="s">
        <v>997</v>
      </c>
      <c r="K290" s="119" t="s">
        <v>998</v>
      </c>
      <c r="L290" s="117">
        <f>IF(O290="","",N290*O290*M290)</f>
        <v>0</v>
      </c>
      <c r="M290" s="108">
        <v>1</v>
      </c>
      <c r="N290" s="95">
        <v>1</v>
      </c>
      <c r="O290" s="109">
        <f>IF(Key!D$1="ON",P290,IF(SUM(Q290:DL290)&lt;1,"",SUM(Q290:DL290)/COUNTIF(Q290:DL290,"&gt;0")))</f>
        <v>0</v>
      </c>
      <c r="P290" s="109">
        <f>SUMIFS(Q290:DK290,Q$1:DK$1,Dashboard!$K$31)</f>
        <v>0</v>
      </c>
      <c r="U290" s="95">
        <v>33</v>
      </c>
      <c r="AA290" s="95">
        <v>25</v>
      </c>
      <c r="AH290" s="95">
        <v>75</v>
      </c>
    </row>
    <row r="291" spans="1:34" x14ac:dyDescent="0.3">
      <c r="A291" s="89" t="str">
        <f>CONCATENATE(D291,".",F291,"-",G291,".",H291,"")</f>
        <v>1.3-1.1</v>
      </c>
      <c r="B291" s="89" t="str">
        <f>IF(CONCATENATE(I291,Key!F$2)=CONCATENATE(INDEX(Dashboard!J:J,MATCH(I291,Dashboard!J:J,0),1),INDEX(Dashboard!J:K,MATCH(I291,Dashboard!J:J,0),2)),"ON",IF(Dashboard!K$32="ALL","ON","-"))</f>
        <v>-</v>
      </c>
      <c r="C291" s="88" t="s">
        <v>110</v>
      </c>
      <c r="D291" s="89">
        <f>IF(C291="ID",1,(IF(C291="PR",2,(IF(C291="DE",3,(IF(C291="RS",4,(IF(C291="RC",5,0)))))))))</f>
        <v>1</v>
      </c>
      <c r="E291" s="89" t="s">
        <v>136</v>
      </c>
      <c r="F291" s="89">
        <f>IF(E291="AM",1,(IF(E291="BE",2,(IF(E291="GV",3,(IF(E291="RA",4,(IF(E291="RM",5,(IF(E291="AC",1,(IF(E291="AT",2,(IF(E291="DS",3,(IF(E291="IP",4,(IF(E291="MA",5,(IF(E291="PT",6,(IF(E291="AE",1,(IF(E291="CM",2,(IF(E291="DP",3,(IF(E291="AN",1,(IF(E291="CO",2,(IF(E291="IM",3,(IF(E291="MI",4,(IF(E291="RP",5,(IF(E291="SC",6,0)))))))))))))))))))))))))))))))))))))))</f>
        <v>3</v>
      </c>
      <c r="G291" s="98">
        <v>1</v>
      </c>
      <c r="H291" s="90" t="s">
        <v>115</v>
      </c>
      <c r="I291" s="93" t="s">
        <v>85</v>
      </c>
      <c r="J291" s="86" t="s">
        <v>1005</v>
      </c>
      <c r="K291" s="119" t="s">
        <v>4878</v>
      </c>
      <c r="L291" s="117">
        <f>IF(O291="","",N291*O291*M291)</f>
        <v>0</v>
      </c>
      <c r="M291" s="108">
        <v>1</v>
      </c>
      <c r="N291" s="95">
        <v>1</v>
      </c>
      <c r="O291" s="109">
        <f>IF(Key!D$1="ON",P291,IF(SUM(Q291:DL291)&lt;1,"",SUM(Q291:DL291)/COUNTIF(Q291:DL291,"&gt;0")))</f>
        <v>0</v>
      </c>
      <c r="P291" s="109">
        <f>SUMIFS(Q291:DK291,Q$1:DK$1,Dashboard!$K$31)</f>
        <v>0</v>
      </c>
      <c r="U291" s="95">
        <v>33</v>
      </c>
      <c r="AA291" s="95">
        <v>25</v>
      </c>
      <c r="AH291" s="95">
        <v>75</v>
      </c>
    </row>
    <row r="292" spans="1:34" x14ac:dyDescent="0.3">
      <c r="A292" s="89" t="str">
        <f>CONCATENATE(D292,".",F292,"-",G292,".",H292,"")</f>
        <v>1.3-1.1</v>
      </c>
      <c r="B292" s="89" t="str">
        <f>IF(CONCATENATE(I292,Key!F$2)=CONCATENATE(INDEX(Dashboard!J:J,MATCH(I292,Dashboard!J:J,0),1),INDEX(Dashboard!J:K,MATCH(I292,Dashboard!J:J,0),2)),"ON",IF(Dashboard!K$32="ALL","ON","-"))</f>
        <v>-</v>
      </c>
      <c r="C292" s="88" t="s">
        <v>110</v>
      </c>
      <c r="D292" s="89">
        <f>IF(C292="ID",1,(IF(C292="PR",2,(IF(C292="DE",3,(IF(C292="RS",4,(IF(C292="RC",5,0)))))))))</f>
        <v>1</v>
      </c>
      <c r="E292" s="89" t="s">
        <v>136</v>
      </c>
      <c r="F292" s="89">
        <f>IF(E292="AM",1,(IF(E292="BE",2,(IF(E292="GV",3,(IF(E292="RA",4,(IF(E292="RM",5,(IF(E292="AC",1,(IF(E292="AT",2,(IF(E292="DS",3,(IF(E292="IP",4,(IF(E292="MA",5,(IF(E292="PT",6,(IF(E292="AE",1,(IF(E292="CM",2,(IF(E292="DP",3,(IF(E292="AN",1,(IF(E292="CO",2,(IF(E292="IM",3,(IF(E292="MI",4,(IF(E292="RP",5,(IF(E292="SC",6,0)))))))))))))))))))))))))))))))))))))))</f>
        <v>3</v>
      </c>
      <c r="G292" s="52">
        <v>1</v>
      </c>
      <c r="H292" s="90" t="s">
        <v>115</v>
      </c>
      <c r="I292" s="93" t="s">
        <v>85</v>
      </c>
      <c r="J292" s="86" t="s">
        <v>988</v>
      </c>
      <c r="K292" s="119" t="s">
        <v>663</v>
      </c>
      <c r="L292" s="117">
        <f>IF(O292="","",N292*O292*M292)</f>
        <v>0</v>
      </c>
      <c r="M292" s="108">
        <v>1</v>
      </c>
      <c r="N292" s="95">
        <v>1</v>
      </c>
      <c r="O292" s="109">
        <f>IF(Key!D$1="ON",P292,IF(SUM(Q292:DL292)&lt;1,"",SUM(Q292:DL292)/COUNTIF(Q292:DL292,"&gt;0")))</f>
        <v>0</v>
      </c>
      <c r="P292" s="109">
        <f>SUMIFS(Q292:DK292,Q$1:DK$1,Dashboard!$K$31)</f>
        <v>0</v>
      </c>
      <c r="U292" s="95">
        <v>33</v>
      </c>
      <c r="AA292" s="95">
        <v>25</v>
      </c>
      <c r="AH292" s="95">
        <v>75</v>
      </c>
    </row>
    <row r="293" spans="1:34" x14ac:dyDescent="0.3">
      <c r="A293" s="89" t="str">
        <f>CONCATENATE(D293,".",F293,"-",G293,".",H293,"")</f>
        <v>1.3-1.1</v>
      </c>
      <c r="B293" s="89" t="str">
        <f>IF(CONCATENATE(I293,Key!F$2)=CONCATENATE(INDEX(Dashboard!J:J,MATCH(I293,Dashboard!J:J,0),1),INDEX(Dashboard!J:K,MATCH(I293,Dashboard!J:J,0),2)),"ON",IF(Dashboard!K$32="ALL","ON","-"))</f>
        <v>-</v>
      </c>
      <c r="C293" s="88" t="s">
        <v>110</v>
      </c>
      <c r="D293" s="89">
        <f>IF(C293="ID",1,(IF(C293="PR",2,(IF(C293="DE",3,(IF(C293="RS",4,(IF(C293="RC",5,0)))))))))</f>
        <v>1</v>
      </c>
      <c r="E293" s="89" t="s">
        <v>136</v>
      </c>
      <c r="F293" s="89">
        <f>IF(E293="AM",1,(IF(E293="BE",2,(IF(E293="GV",3,(IF(E293="RA",4,(IF(E293="RM",5,(IF(E293="AC",1,(IF(E293="AT",2,(IF(E293="DS",3,(IF(E293="IP",4,(IF(E293="MA",5,(IF(E293="PT",6,(IF(E293="AE",1,(IF(E293="CM",2,(IF(E293="DP",3,(IF(E293="AN",1,(IF(E293="CO",2,(IF(E293="IM",3,(IF(E293="MI",4,(IF(E293="RP",5,(IF(E293="SC",6,0)))))))))))))))))))))))))))))))))))))))</f>
        <v>3</v>
      </c>
      <c r="G293" s="52">
        <v>1</v>
      </c>
      <c r="H293" s="90" t="s">
        <v>115</v>
      </c>
      <c r="I293" s="93" t="s">
        <v>85</v>
      </c>
      <c r="J293" s="87" t="s">
        <v>989</v>
      </c>
      <c r="K293" s="119" t="s">
        <v>663</v>
      </c>
      <c r="L293" s="117">
        <f>IF(O293="","",N293*O293*M293)</f>
        <v>0</v>
      </c>
      <c r="M293" s="108">
        <v>0.9</v>
      </c>
      <c r="N293" s="95">
        <v>1</v>
      </c>
      <c r="O293" s="109">
        <f>IF(Key!D$1="ON",P293,IF(SUM(Q293:DL293)&lt;1,"",SUM(Q293:DL293)/COUNTIF(Q293:DL293,"&gt;0")))</f>
        <v>0</v>
      </c>
      <c r="P293" s="109">
        <f>SUMIFS(Q293:DK293,Q$1:DK$1,Dashboard!$K$31)</f>
        <v>0</v>
      </c>
      <c r="S293" s="95">
        <v>33</v>
      </c>
      <c r="T293" s="95">
        <v>80</v>
      </c>
      <c r="U293" s="95">
        <v>33</v>
      </c>
      <c r="AA293" s="95">
        <v>25</v>
      </c>
      <c r="AH293" s="95">
        <v>75</v>
      </c>
    </row>
    <row r="294" spans="1:34" ht="15.6" x14ac:dyDescent="0.3">
      <c r="A294" s="89" t="str">
        <f>CONCATENATE(D294,".",F294,"-",G294,".",H294,"")</f>
        <v>1.3-1.1</v>
      </c>
      <c r="B294" s="89" t="str">
        <f>IF(CONCATENATE(I294,Key!F$2)=CONCATENATE(INDEX(Dashboard!J:J,MATCH(I294,Dashboard!J:J,0),1),INDEX(Dashboard!J:K,MATCH(I294,Dashboard!J:J,0),2)),"ON",IF(Dashboard!K$32="ALL","ON","-"))</f>
        <v>-</v>
      </c>
      <c r="C294" s="88" t="s">
        <v>110</v>
      </c>
      <c r="D294" s="89">
        <f>IF(C294="ID",1,(IF(C294="PR",2,(IF(C294="DE",3,(IF(C294="RS",4,(IF(C294="RC",5,0)))))))))</f>
        <v>1</v>
      </c>
      <c r="E294" s="89" t="s">
        <v>136</v>
      </c>
      <c r="F294" s="89">
        <f>IF(E294="AM",1,(IF(E294="BE",2,(IF(E294="GV",3,(IF(E294="RA",4,(IF(E294="RM",5,(IF(E294="AC",1,(IF(E294="AT",2,(IF(E294="DS",3,(IF(E294="IP",4,(IF(E294="MA",5,(IF(E294="PT",6,(IF(E294="AE",1,(IF(E294="CM",2,(IF(E294="DP",3,(IF(E294="AN",1,(IF(E294="CO",2,(IF(E294="IM",3,(IF(E294="MI",4,(IF(E294="RP",5,(IF(E294="SC",6,0)))))))))))))))))))))))))))))))))))))))</f>
        <v>3</v>
      </c>
      <c r="G294" s="52">
        <v>1</v>
      </c>
      <c r="H294" s="90" t="s">
        <v>115</v>
      </c>
      <c r="I294" s="93" t="s">
        <v>85</v>
      </c>
      <c r="J294" s="87" t="s">
        <v>990</v>
      </c>
      <c r="K294" s="119" t="s">
        <v>663</v>
      </c>
      <c r="L294" s="117">
        <f>IF(O294="","",N294*O294*M294)</f>
        <v>0</v>
      </c>
      <c r="M294" s="108">
        <v>1</v>
      </c>
      <c r="N294" s="95">
        <v>1</v>
      </c>
      <c r="O294" s="109">
        <f>IF(Key!D$1="ON",P294,IF(SUM(Q294:DL294)&lt;1,"",SUM(Q294:DL294)/COUNTIF(Q294:DL294,"&gt;0")))</f>
        <v>0</v>
      </c>
      <c r="P294" s="109">
        <f>SUMIFS(Q294:DK294,Q$1:DK$1,Dashboard!$K$31)</f>
        <v>0</v>
      </c>
      <c r="U294" s="95">
        <v>33</v>
      </c>
      <c r="AA294" s="95">
        <v>25</v>
      </c>
      <c r="AH294" s="95">
        <v>75</v>
      </c>
    </row>
    <row r="295" spans="1:34" ht="15.6" x14ac:dyDescent="0.3">
      <c r="A295" s="89" t="str">
        <f>CONCATENATE(D295,".",F295,"-",G295,".",H295,"")</f>
        <v>1.3-1.1</v>
      </c>
      <c r="B295" s="89" t="str">
        <f>IF(CONCATENATE(I295,Key!F$2)=CONCATENATE(INDEX(Dashboard!J:J,MATCH(I295,Dashboard!J:J,0),1),INDEX(Dashboard!J:K,MATCH(I295,Dashboard!J:J,0),2)),"ON",IF(Dashboard!K$32="ALL","ON","-"))</f>
        <v>-</v>
      </c>
      <c r="C295" s="88" t="s">
        <v>110</v>
      </c>
      <c r="D295" s="89">
        <f>IF(C295="ID",1,(IF(C295="PR",2,(IF(C295="DE",3,(IF(C295="RS",4,(IF(C295="RC",5,0)))))))))</f>
        <v>1</v>
      </c>
      <c r="E295" s="89" t="s">
        <v>136</v>
      </c>
      <c r="F295" s="89">
        <f>IF(E295="AM",1,(IF(E295="BE",2,(IF(E295="GV",3,(IF(E295="RA",4,(IF(E295="RM",5,(IF(E295="AC",1,(IF(E295="AT",2,(IF(E295="DS",3,(IF(E295="IP",4,(IF(E295="MA",5,(IF(E295="PT",6,(IF(E295="AE",1,(IF(E295="CM",2,(IF(E295="DP",3,(IF(E295="AN",1,(IF(E295="CO",2,(IF(E295="IM",3,(IF(E295="MI",4,(IF(E295="RP",5,(IF(E295="SC",6,0)))))))))))))))))))))))))))))))))))))))</f>
        <v>3</v>
      </c>
      <c r="G295" s="52">
        <v>1</v>
      </c>
      <c r="H295" s="90" t="s">
        <v>115</v>
      </c>
      <c r="I295" s="93" t="s">
        <v>85</v>
      </c>
      <c r="J295" s="87" t="s">
        <v>662</v>
      </c>
      <c r="K295" s="119" t="s">
        <v>663</v>
      </c>
      <c r="L295" s="117">
        <f>IF(O295="","",N295*O295*M295)</f>
        <v>0</v>
      </c>
      <c r="M295" s="108">
        <v>1</v>
      </c>
      <c r="N295" s="95">
        <v>1</v>
      </c>
      <c r="O295" s="109">
        <f>IF(Key!D$1="ON",P295,IF(SUM(Q295:DL295)&lt;1,"",SUM(Q295:DL295)/COUNTIF(Q295:DL295,"&gt;0")))</f>
        <v>0</v>
      </c>
      <c r="P295" s="109">
        <f>SUMIFS(Q295:DK295,Q$1:DK$1,Dashboard!$K$31)</f>
        <v>0</v>
      </c>
      <c r="U295" s="95">
        <v>33</v>
      </c>
      <c r="AA295" s="95">
        <v>25</v>
      </c>
      <c r="AH295" s="95">
        <v>75</v>
      </c>
    </row>
    <row r="296" spans="1:34" ht="15.6" x14ac:dyDescent="0.3">
      <c r="A296" s="89" t="str">
        <f>CONCATENATE(D296,".",F296,"-",G296,".",H296,"")</f>
        <v>1.3-1.1</v>
      </c>
      <c r="B296" s="89" t="str">
        <f>IF(CONCATENATE(I296,Key!F$2)=CONCATENATE(INDEX(Dashboard!J:J,MATCH(I296,Dashboard!J:J,0),1),INDEX(Dashboard!J:K,MATCH(I296,Dashboard!J:J,0),2)),"ON",IF(Dashboard!K$32="ALL","ON","-"))</f>
        <v>-</v>
      </c>
      <c r="C296" s="88" t="s">
        <v>110</v>
      </c>
      <c r="D296" s="89">
        <f>IF(C296="ID",1,(IF(C296="PR",2,(IF(C296="DE",3,(IF(C296="RS",4,(IF(C296="RC",5,0)))))))))</f>
        <v>1</v>
      </c>
      <c r="E296" s="89" t="s">
        <v>136</v>
      </c>
      <c r="F296" s="89">
        <f>IF(E296="AM",1,(IF(E296="BE",2,(IF(E296="GV",3,(IF(E296="RA",4,(IF(E296="RM",5,(IF(E296="AC",1,(IF(E296="AT",2,(IF(E296="DS",3,(IF(E296="IP",4,(IF(E296="MA",5,(IF(E296="PT",6,(IF(E296="AE",1,(IF(E296="CM",2,(IF(E296="DP",3,(IF(E296="AN",1,(IF(E296="CO",2,(IF(E296="IM",3,(IF(E296="MI",4,(IF(E296="RP",5,(IF(E296="SC",6,0)))))))))))))))))))))))))))))))))))))))</f>
        <v>3</v>
      </c>
      <c r="G296" s="52">
        <v>1</v>
      </c>
      <c r="H296" s="90" t="s">
        <v>115</v>
      </c>
      <c r="I296" s="93" t="s">
        <v>85</v>
      </c>
      <c r="J296" s="87" t="s">
        <v>991</v>
      </c>
      <c r="K296" s="119" t="s">
        <v>663</v>
      </c>
      <c r="L296" s="117">
        <f>IF(O296="","",N296*O296*M296)</f>
        <v>0</v>
      </c>
      <c r="M296" s="108">
        <v>1</v>
      </c>
      <c r="N296" s="95">
        <v>1</v>
      </c>
      <c r="O296" s="109">
        <f>IF(Key!D$1="ON",P296,IF(SUM(Q296:DL296)&lt;1,"",SUM(Q296:DL296)/COUNTIF(Q296:DL296,"&gt;0")))</f>
        <v>0</v>
      </c>
      <c r="P296" s="109">
        <f>SUMIFS(Q296:DK296,Q$1:DK$1,Dashboard!$K$31)</f>
        <v>0</v>
      </c>
      <c r="U296" s="95">
        <v>33</v>
      </c>
      <c r="AA296" s="95">
        <v>25</v>
      </c>
      <c r="AH296" s="95">
        <v>75</v>
      </c>
    </row>
    <row r="297" spans="1:34" x14ac:dyDescent="0.3">
      <c r="A297" s="89" t="str">
        <f>CONCATENATE(D297,".",F297,"-",G297,".",H297,"")</f>
        <v>1.3-1.1</v>
      </c>
      <c r="B297" s="89" t="str">
        <f>IF(CONCATENATE(I297,Key!F$2)=CONCATENATE(INDEX(Dashboard!J:J,MATCH(I297,Dashboard!J:J,0),1),INDEX(Dashboard!J:K,MATCH(I297,Dashboard!J:J,0),2)),"ON",IF(Dashboard!K$32="ALL","ON","-"))</f>
        <v>-</v>
      </c>
      <c r="C297" s="88" t="s">
        <v>110</v>
      </c>
      <c r="D297" s="89">
        <f>IF(C297="ID",1,(IF(C297="PR",2,(IF(C297="DE",3,(IF(C297="RS",4,(IF(C297="RC",5,0)))))))))</f>
        <v>1</v>
      </c>
      <c r="E297" s="89" t="s">
        <v>136</v>
      </c>
      <c r="F297" s="89">
        <f>IF(E297="AM",1,(IF(E297="BE",2,(IF(E297="GV",3,(IF(E297="RA",4,(IF(E297="RM",5,(IF(E297="AC",1,(IF(E297="AT",2,(IF(E297="DS",3,(IF(E297="IP",4,(IF(E297="MA",5,(IF(E297="PT",6,(IF(E297="AE",1,(IF(E297="CM",2,(IF(E297="DP",3,(IF(E297="AN",1,(IF(E297="CO",2,(IF(E297="IM",3,(IF(E297="MI",4,(IF(E297="RP",5,(IF(E297="SC",6,0)))))))))))))))))))))))))))))))))))))))</f>
        <v>3</v>
      </c>
      <c r="G297" s="52">
        <v>1</v>
      </c>
      <c r="H297" s="90" t="s">
        <v>115</v>
      </c>
      <c r="I297" s="93" t="s">
        <v>85</v>
      </c>
      <c r="J297" s="87" t="s">
        <v>992</v>
      </c>
      <c r="K297" s="119" t="s">
        <v>663</v>
      </c>
      <c r="L297" s="117">
        <f>IF(O297="","",N297*O297*M297)</f>
        <v>0</v>
      </c>
      <c r="M297" s="108">
        <v>1</v>
      </c>
      <c r="N297" s="95">
        <v>1</v>
      </c>
      <c r="O297" s="109">
        <f>IF(Key!D$1="ON",P297,IF(SUM(Q297:DL297)&lt;1,"",SUM(Q297:DL297)/COUNTIF(Q297:DL297,"&gt;0")))</f>
        <v>0</v>
      </c>
      <c r="P297" s="109">
        <f>SUMIFS(Q297:DK297,Q$1:DK$1,Dashboard!$K$31)</f>
        <v>0</v>
      </c>
      <c r="U297" s="95">
        <v>33</v>
      </c>
      <c r="AA297" s="95">
        <v>25</v>
      </c>
      <c r="AH297" s="95">
        <v>75</v>
      </c>
    </row>
    <row r="298" spans="1:34" x14ac:dyDescent="0.3">
      <c r="A298" s="89" t="str">
        <f>CONCATENATE(D298,".",F298,"-",G298,".",H298,"")</f>
        <v>1.3-1.1</v>
      </c>
      <c r="B298" s="89" t="str">
        <f>IF(CONCATENATE(I298,Key!F$2)=CONCATENATE(INDEX(Dashboard!J:J,MATCH(I298,Dashboard!J:J,0),1),INDEX(Dashboard!J:K,MATCH(I298,Dashboard!J:J,0),2)),"ON",IF(Dashboard!K$32="ALL","ON","-"))</f>
        <v>-</v>
      </c>
      <c r="C298" s="88" t="s">
        <v>110</v>
      </c>
      <c r="D298" s="89">
        <f>IF(C298="ID",1,(IF(C298="PR",2,(IF(C298="DE",3,(IF(C298="RS",4,(IF(C298="RC",5,0)))))))))</f>
        <v>1</v>
      </c>
      <c r="E298" s="89" t="s">
        <v>136</v>
      </c>
      <c r="F298" s="89">
        <f>IF(E298="AM",1,(IF(E298="BE",2,(IF(E298="GV",3,(IF(E298="RA",4,(IF(E298="RM",5,(IF(E298="AC",1,(IF(E298="AT",2,(IF(E298="DS",3,(IF(E298="IP",4,(IF(E298="MA",5,(IF(E298="PT",6,(IF(E298="AE",1,(IF(E298="CM",2,(IF(E298="DP",3,(IF(E298="AN",1,(IF(E298="CO",2,(IF(E298="IM",3,(IF(E298="MI",4,(IF(E298="RP",5,(IF(E298="SC",6,0)))))))))))))))))))))))))))))))))))))))</f>
        <v>3</v>
      </c>
      <c r="G298" s="52">
        <v>1</v>
      </c>
      <c r="H298" s="90" t="s">
        <v>115</v>
      </c>
      <c r="I298" s="93" t="s">
        <v>85</v>
      </c>
      <c r="J298" s="87" t="s">
        <v>993</v>
      </c>
      <c r="K298" s="119" t="s">
        <v>663</v>
      </c>
      <c r="L298" s="117">
        <f>IF(O298="","",N298*O298*M298)</f>
        <v>0</v>
      </c>
      <c r="M298" s="108">
        <v>1</v>
      </c>
      <c r="N298" s="95">
        <v>1</v>
      </c>
      <c r="O298" s="109">
        <f>IF(Key!D$1="ON",P298,IF(SUM(Q298:DL298)&lt;1,"",SUM(Q298:DL298)/COUNTIF(Q298:DL298,"&gt;0")))</f>
        <v>0</v>
      </c>
      <c r="P298" s="109">
        <f>SUMIFS(Q298:DK298,Q$1:DK$1,Dashboard!$K$31)</f>
        <v>0</v>
      </c>
      <c r="U298" s="95">
        <v>33</v>
      </c>
      <c r="AA298" s="95">
        <v>25</v>
      </c>
      <c r="AH298" s="95">
        <v>75</v>
      </c>
    </row>
    <row r="299" spans="1:34" x14ac:dyDescent="0.3">
      <c r="A299" s="89" t="str">
        <f>CONCATENATE(D299,".",F299,"-",G299,".",H299,"")</f>
        <v>1.3-1.1</v>
      </c>
      <c r="B299" s="89" t="str">
        <f>IF(CONCATENATE(I299,Key!F$2)=CONCATENATE(INDEX(Dashboard!J:J,MATCH(I299,Dashboard!J:J,0),1),INDEX(Dashboard!J:K,MATCH(I299,Dashboard!J:J,0),2)),"ON",IF(Dashboard!K$32="ALL","ON","-"))</f>
        <v>-</v>
      </c>
      <c r="C299" s="88" t="s">
        <v>110</v>
      </c>
      <c r="D299" s="89">
        <f>IF(C299="ID",1,(IF(C299="PR",2,(IF(C299="DE",3,(IF(C299="RS",4,(IF(C299="RC",5,0)))))))))</f>
        <v>1</v>
      </c>
      <c r="E299" s="89" t="s">
        <v>136</v>
      </c>
      <c r="F299" s="89">
        <f>IF(E299="AM",1,(IF(E299="BE",2,(IF(E299="GV",3,(IF(E299="RA",4,(IF(E299="RM",5,(IF(E299="AC",1,(IF(E299="AT",2,(IF(E299="DS",3,(IF(E299="IP",4,(IF(E299="MA",5,(IF(E299="PT",6,(IF(E299="AE",1,(IF(E299="CM",2,(IF(E299="DP",3,(IF(E299="AN",1,(IF(E299="CO",2,(IF(E299="IM",3,(IF(E299="MI",4,(IF(E299="RP",5,(IF(E299="SC",6,0)))))))))))))))))))))))))))))))))))))))</f>
        <v>3</v>
      </c>
      <c r="G299" s="52">
        <v>1</v>
      </c>
      <c r="H299" s="90" t="s">
        <v>115</v>
      </c>
      <c r="I299" s="93" t="s">
        <v>85</v>
      </c>
      <c r="J299" s="87" t="s">
        <v>994</v>
      </c>
      <c r="K299" s="119" t="s">
        <v>663</v>
      </c>
      <c r="L299" s="117">
        <f>IF(O299="","",N299*O299*M299)</f>
        <v>0</v>
      </c>
      <c r="M299" s="108">
        <v>1</v>
      </c>
      <c r="N299" s="95">
        <v>1</v>
      </c>
      <c r="O299" s="109">
        <f>IF(Key!D$1="ON",P299,IF(SUM(Q299:DL299)&lt;1,"",SUM(Q299:DL299)/COUNTIF(Q299:DL299,"&gt;0")))</f>
        <v>0</v>
      </c>
      <c r="P299" s="109">
        <f>SUMIFS(Q299:DK299,Q$1:DK$1,Dashboard!$K$31)</f>
        <v>0</v>
      </c>
      <c r="U299" s="95">
        <v>33</v>
      </c>
      <c r="AA299" s="95">
        <v>25</v>
      </c>
      <c r="AH299" s="95">
        <v>75</v>
      </c>
    </row>
    <row r="300" spans="1:34" x14ac:dyDescent="0.3">
      <c r="A300" s="89" t="str">
        <f>CONCATENATE(D300,".",F300,"-",G300,".",H300,"")</f>
        <v>1.3-1.1</v>
      </c>
      <c r="B300" s="89" t="str">
        <f>IF(CONCATENATE(I300,Key!F$2)=CONCATENATE(INDEX(Dashboard!J:J,MATCH(I300,Dashboard!J:J,0),1),INDEX(Dashboard!J:K,MATCH(I300,Dashboard!J:J,0),2)),"ON",IF(Dashboard!K$32="ALL","ON","-"))</f>
        <v>-</v>
      </c>
      <c r="C300" s="88" t="s">
        <v>110</v>
      </c>
      <c r="D300" s="89">
        <f>IF(C300="ID",1,(IF(C300="PR",2,(IF(C300="DE",3,(IF(C300="RS",4,(IF(C300="RC",5,0)))))))))</f>
        <v>1</v>
      </c>
      <c r="E300" s="89" t="s">
        <v>136</v>
      </c>
      <c r="F300" s="89">
        <f>IF(E300="AM",1,(IF(E300="BE",2,(IF(E300="GV",3,(IF(E300="RA",4,(IF(E300="RM",5,(IF(E300="AC",1,(IF(E300="AT",2,(IF(E300="DS",3,(IF(E300="IP",4,(IF(E300="MA",5,(IF(E300="PT",6,(IF(E300="AE",1,(IF(E300="CM",2,(IF(E300="DP",3,(IF(E300="AN",1,(IF(E300="CO",2,(IF(E300="IM",3,(IF(E300="MI",4,(IF(E300="RP",5,(IF(E300="SC",6,0)))))))))))))))))))))))))))))))))))))))</f>
        <v>3</v>
      </c>
      <c r="G300" s="52">
        <v>1</v>
      </c>
      <c r="H300" s="90" t="s">
        <v>115</v>
      </c>
      <c r="I300" s="93" t="s">
        <v>85</v>
      </c>
      <c r="J300" s="87" t="s">
        <v>995</v>
      </c>
      <c r="K300" s="119" t="s">
        <v>663</v>
      </c>
      <c r="L300" s="117">
        <f>IF(O300="","",N300*O300*M300)</f>
        <v>0</v>
      </c>
      <c r="M300" s="108">
        <v>1</v>
      </c>
      <c r="N300" s="95">
        <v>1</v>
      </c>
      <c r="O300" s="109">
        <f>IF(Key!D$1="ON",P300,IF(SUM(Q300:DL300)&lt;1,"",SUM(Q300:DL300)/COUNTIF(Q300:DL300,"&gt;0")))</f>
        <v>0</v>
      </c>
      <c r="P300" s="109">
        <f>SUMIFS(Q300:DK300,Q$1:DK$1,Dashboard!$K$31)</f>
        <v>0</v>
      </c>
      <c r="U300" s="95">
        <v>33</v>
      </c>
      <c r="AA300" s="95">
        <v>25</v>
      </c>
      <c r="AH300" s="95">
        <v>75</v>
      </c>
    </row>
    <row r="301" spans="1:34" x14ac:dyDescent="0.3">
      <c r="A301" s="89" t="str">
        <f>CONCATENATE(D301,".",F301,"-",G301,".",H301,"")</f>
        <v>1.3-1.1</v>
      </c>
      <c r="B301" s="89" t="str">
        <f>IF(CONCATENATE(I301,Key!F$2)=CONCATENATE(INDEX(Dashboard!J:J,MATCH(I301,Dashboard!J:J,0),1),INDEX(Dashboard!J:K,MATCH(I301,Dashboard!J:J,0),2)),"ON",IF(Dashboard!K$32="ALL","ON","-"))</f>
        <v>-</v>
      </c>
      <c r="C301" s="88" t="s">
        <v>110</v>
      </c>
      <c r="D301" s="89">
        <f>IF(C301="ID",1,(IF(C301="PR",2,(IF(C301="DE",3,(IF(C301="RS",4,(IF(C301="RC",5,0)))))))))</f>
        <v>1</v>
      </c>
      <c r="E301" s="89" t="s">
        <v>136</v>
      </c>
      <c r="F301" s="89">
        <f>IF(E301="AM",1,(IF(E301="BE",2,(IF(E301="GV",3,(IF(E301="RA",4,(IF(E301="RM",5,(IF(E301="AC",1,(IF(E301="AT",2,(IF(E301="DS",3,(IF(E301="IP",4,(IF(E301="MA",5,(IF(E301="PT",6,(IF(E301="AE",1,(IF(E301="CM",2,(IF(E301="DP",3,(IF(E301="AN",1,(IF(E301="CO",2,(IF(E301="IM",3,(IF(E301="MI",4,(IF(E301="RP",5,(IF(E301="SC",6,0)))))))))))))))))))))))))))))))))))))))</f>
        <v>3</v>
      </c>
      <c r="G301" s="52">
        <v>1</v>
      </c>
      <c r="H301" s="90" t="s">
        <v>115</v>
      </c>
      <c r="I301" s="93" t="s">
        <v>85</v>
      </c>
      <c r="J301" s="87" t="s">
        <v>996</v>
      </c>
      <c r="K301" s="119" t="s">
        <v>663</v>
      </c>
      <c r="L301" s="117">
        <f>IF(O301="","",N301*O301*M301)</f>
        <v>0</v>
      </c>
      <c r="M301" s="108">
        <v>1</v>
      </c>
      <c r="N301" s="95">
        <v>1</v>
      </c>
      <c r="O301" s="109">
        <f>IF(Key!D$1="ON",P301,IF(SUM(Q301:DL301)&lt;1,"",SUM(Q301:DL301)/COUNTIF(Q301:DL301,"&gt;0")))</f>
        <v>0</v>
      </c>
      <c r="P301" s="109">
        <f>SUMIFS(Q301:DK301,Q$1:DK$1,Dashboard!$K$31)</f>
        <v>0</v>
      </c>
      <c r="U301" s="95">
        <v>33</v>
      </c>
      <c r="AA301" s="95">
        <v>25</v>
      </c>
      <c r="AH301" s="95">
        <v>75</v>
      </c>
    </row>
    <row r="302" spans="1:34" x14ac:dyDescent="0.3">
      <c r="A302" s="89" t="str">
        <f>CONCATENATE(D302,".",F302,"-",G302,".",H302,"")</f>
        <v>1.3-1.1</v>
      </c>
      <c r="B302" s="89" t="str">
        <f>IF(CONCATENATE(I302,Key!F$2)=CONCATENATE(INDEX(Dashboard!J:J,MATCH(I302,Dashboard!J:J,0),1),INDEX(Dashboard!J:K,MATCH(I302,Dashboard!J:J,0),2)),"ON",IF(Dashboard!K$32="ALL","ON","-"))</f>
        <v>-</v>
      </c>
      <c r="C302" s="88" t="s">
        <v>110</v>
      </c>
      <c r="D302" s="89">
        <f>IF(C302="ID",1,(IF(C302="PR",2,(IF(C302="DE",3,(IF(C302="RS",4,(IF(C302="RC",5,0)))))))))</f>
        <v>1</v>
      </c>
      <c r="E302" s="89" t="s">
        <v>136</v>
      </c>
      <c r="F302" s="89">
        <f>IF(E302="AM",1,(IF(E302="BE",2,(IF(E302="GV",3,(IF(E302="RA",4,(IF(E302="RM",5,(IF(E302="AC",1,(IF(E302="AT",2,(IF(E302="DS",3,(IF(E302="IP",4,(IF(E302="MA",5,(IF(E302="PT",6,(IF(E302="AE",1,(IF(E302="CM",2,(IF(E302="DP",3,(IF(E302="AN",1,(IF(E302="CO",2,(IF(E302="IM",3,(IF(E302="MI",4,(IF(E302="RP",5,(IF(E302="SC",6,0)))))))))))))))))))))))))))))))))))))))</f>
        <v>3</v>
      </c>
      <c r="G302" s="52">
        <v>1</v>
      </c>
      <c r="H302" s="90" t="s">
        <v>115</v>
      </c>
      <c r="I302" s="93" t="s">
        <v>85</v>
      </c>
      <c r="J302" s="87" t="s">
        <v>1010</v>
      </c>
      <c r="K302" s="119" t="s">
        <v>663</v>
      </c>
      <c r="L302" s="117">
        <f>IF(O302="","",N302*O302*M302)</f>
        <v>0</v>
      </c>
      <c r="M302" s="108">
        <v>1</v>
      </c>
      <c r="N302" s="95">
        <v>1</v>
      </c>
      <c r="O302" s="109">
        <f>IF(Key!D$1="ON",P302,IF(SUM(Q302:DL302)&lt;1,"",SUM(Q302:DL302)/COUNTIF(Q302:DL302,"&gt;0")))</f>
        <v>0</v>
      </c>
      <c r="P302" s="109">
        <f>SUMIFS(Q302:DK302,Q$1:DK$1,Dashboard!$K$31)</f>
        <v>0</v>
      </c>
      <c r="U302" s="95">
        <v>33</v>
      </c>
      <c r="AA302" s="95">
        <v>25</v>
      </c>
      <c r="AH302" s="95">
        <v>75</v>
      </c>
    </row>
    <row r="303" spans="1:34" x14ac:dyDescent="0.3">
      <c r="A303" s="89" t="str">
        <f>CONCATENATE(D303,".",F303,"-",G303,".",H303,"")</f>
        <v>1.3-1.1</v>
      </c>
      <c r="B303" s="89" t="str">
        <f>IF(CONCATENATE(I303,Key!F$2)=CONCATENATE(INDEX(Dashboard!J:J,MATCH(I303,Dashboard!J:J,0),1),INDEX(Dashboard!J:K,MATCH(I303,Dashboard!J:J,0),2)),"ON",IF(Dashboard!K$32="ALL","ON","-"))</f>
        <v>-</v>
      </c>
      <c r="C303" s="88" t="s">
        <v>110</v>
      </c>
      <c r="D303" s="89">
        <f>IF(C303="ID",1,(IF(C303="PR",2,(IF(C303="DE",3,(IF(C303="RS",4,(IF(C303="RC",5,0)))))))))</f>
        <v>1</v>
      </c>
      <c r="E303" s="89" t="s">
        <v>136</v>
      </c>
      <c r="F303" s="89">
        <f>IF(E303="AM",1,(IF(E303="BE",2,(IF(E303="GV",3,(IF(E303="RA",4,(IF(E303="RM",5,(IF(E303="AC",1,(IF(E303="AT",2,(IF(E303="DS",3,(IF(E303="IP",4,(IF(E303="MA",5,(IF(E303="PT",6,(IF(E303="AE",1,(IF(E303="CM",2,(IF(E303="DP",3,(IF(E303="AN",1,(IF(E303="CO",2,(IF(E303="IM",3,(IF(E303="MI",4,(IF(E303="RP",5,(IF(E303="SC",6,0)))))))))))))))))))))))))))))))))))))))</f>
        <v>3</v>
      </c>
      <c r="G303" s="52">
        <v>1</v>
      </c>
      <c r="H303" s="90" t="s">
        <v>115</v>
      </c>
      <c r="I303" s="93" t="s">
        <v>85</v>
      </c>
      <c r="J303" s="86" t="s">
        <v>741</v>
      </c>
      <c r="K303" s="119" t="s">
        <v>663</v>
      </c>
      <c r="L303" s="117">
        <f>IF(O303="","",N303*O303*M303)</f>
        <v>0</v>
      </c>
      <c r="M303" s="108">
        <v>1</v>
      </c>
      <c r="N303" s="95">
        <v>1</v>
      </c>
      <c r="O303" s="109">
        <f>IF(Key!D$1="ON",P303,IF(SUM(Q303:DL303)&lt;1,"",SUM(Q303:DL303)/COUNTIF(Q303:DL303,"&gt;0")))</f>
        <v>0</v>
      </c>
      <c r="P303" s="109">
        <f>SUMIFS(Q303:DK303,Q$1:DK$1,Dashboard!$K$31)</f>
        <v>0</v>
      </c>
      <c r="U303" s="95">
        <v>33</v>
      </c>
      <c r="AA303" s="95">
        <v>25</v>
      </c>
      <c r="AH303" s="95">
        <v>75</v>
      </c>
    </row>
    <row r="304" spans="1:34" x14ac:dyDescent="0.3">
      <c r="A304" s="89" t="str">
        <f>CONCATENATE(D304,".",F304,"-",G304,".",H304,"")</f>
        <v>1.3-1.1</v>
      </c>
      <c r="B304" s="89" t="str">
        <f>IF(CONCATENATE(I304,Key!F$2)=CONCATENATE(INDEX(Dashboard!J:J,MATCH(I304,Dashboard!J:J,0),1),INDEX(Dashboard!J:K,MATCH(I304,Dashboard!J:J,0),2)),"ON",IF(Dashboard!K$32="ALL","ON","-"))</f>
        <v>-</v>
      </c>
      <c r="C304" s="88" t="s">
        <v>110</v>
      </c>
      <c r="D304" s="89">
        <f>IF(C304="ID",1,(IF(C304="PR",2,(IF(C304="DE",3,(IF(C304="RS",4,(IF(C304="RC",5,0)))))))))</f>
        <v>1</v>
      </c>
      <c r="E304" s="89" t="s">
        <v>136</v>
      </c>
      <c r="F304" s="89">
        <f>IF(E304="AM",1,(IF(E304="BE",2,(IF(E304="GV",3,(IF(E304="RA",4,(IF(E304="RM",5,(IF(E304="AC",1,(IF(E304="AT",2,(IF(E304="DS",3,(IF(E304="IP",4,(IF(E304="MA",5,(IF(E304="PT",6,(IF(E304="AE",1,(IF(E304="CM",2,(IF(E304="DP",3,(IF(E304="AN",1,(IF(E304="CO",2,(IF(E304="IM",3,(IF(E304="MI",4,(IF(E304="RP",5,(IF(E304="SC",6,0)))))))))))))))))))))))))))))))))))))))</f>
        <v>3</v>
      </c>
      <c r="G304" s="52">
        <v>1</v>
      </c>
      <c r="H304" s="90" t="s">
        <v>115</v>
      </c>
      <c r="I304" s="93" t="s">
        <v>85</v>
      </c>
      <c r="J304" s="87" t="s">
        <v>1016</v>
      </c>
      <c r="K304" s="119" t="s">
        <v>663</v>
      </c>
      <c r="L304" s="117">
        <f>IF(O304="","",N304*O304*M304)</f>
        <v>0</v>
      </c>
      <c r="M304" s="108">
        <v>1</v>
      </c>
      <c r="N304" s="95">
        <v>1</v>
      </c>
      <c r="O304" s="109">
        <f>IF(Key!D$1="ON",P304,IF(SUM(Q304:DL304)&lt;1,"",SUM(Q304:DL304)/COUNTIF(Q304:DL304,"&gt;0")))</f>
        <v>0</v>
      </c>
      <c r="P304" s="109">
        <f>SUMIFS(Q304:DK304,Q$1:DK$1,Dashboard!$K$31)</f>
        <v>0</v>
      </c>
      <c r="U304" s="95">
        <v>33</v>
      </c>
      <c r="AA304" s="95">
        <v>25</v>
      </c>
      <c r="AH304" s="95">
        <v>75</v>
      </c>
    </row>
    <row r="305" spans="1:34" x14ac:dyDescent="0.3">
      <c r="A305" s="89" t="str">
        <f>CONCATENATE(D305,".",F305,"-",G305,".",H305,"")</f>
        <v>1.3-1.1</v>
      </c>
      <c r="B305" s="89" t="str">
        <f>IF(CONCATENATE(I305,Key!F$2)=CONCATENATE(INDEX(Dashboard!J:J,MATCH(I305,Dashboard!J:J,0),1),INDEX(Dashboard!J:K,MATCH(I305,Dashboard!J:J,0),2)),"ON",IF(Dashboard!K$32="ALL","ON","-"))</f>
        <v>-</v>
      </c>
      <c r="C305" s="88" t="s">
        <v>110</v>
      </c>
      <c r="D305" s="89">
        <f>IF(C305="ID",1,(IF(C305="PR",2,(IF(C305="DE",3,(IF(C305="RS",4,(IF(C305="RC",5,0)))))))))</f>
        <v>1</v>
      </c>
      <c r="E305" s="89" t="s">
        <v>136</v>
      </c>
      <c r="F305" s="89">
        <f>IF(E305="AM",1,(IF(E305="BE",2,(IF(E305="GV",3,(IF(E305="RA",4,(IF(E305="RM",5,(IF(E305="AC",1,(IF(E305="AT",2,(IF(E305="DS",3,(IF(E305="IP",4,(IF(E305="MA",5,(IF(E305="PT",6,(IF(E305="AE",1,(IF(E305="CM",2,(IF(E305="DP",3,(IF(E305="AN",1,(IF(E305="CO",2,(IF(E305="IM",3,(IF(E305="MI",4,(IF(E305="RP",5,(IF(E305="SC",6,0)))))))))))))))))))))))))))))))))))))))</f>
        <v>3</v>
      </c>
      <c r="G305" s="98">
        <v>1</v>
      </c>
      <c r="H305" s="90" t="s">
        <v>115</v>
      </c>
      <c r="I305" s="93" t="s">
        <v>85</v>
      </c>
      <c r="J305" s="87" t="s">
        <v>1017</v>
      </c>
      <c r="K305" s="119" t="s">
        <v>663</v>
      </c>
      <c r="L305" s="117">
        <f>IF(O305="","",N305*O305*M305)</f>
        <v>0</v>
      </c>
      <c r="M305" s="108">
        <v>1</v>
      </c>
      <c r="N305" s="95">
        <v>1</v>
      </c>
      <c r="O305" s="109">
        <f>IF(Key!D$1="ON",P305,IF(SUM(Q305:DL305)&lt;1,"",SUM(Q305:DL305)/COUNTIF(Q305:DL305,"&gt;0")))</f>
        <v>0</v>
      </c>
      <c r="P305" s="109">
        <f>SUMIFS(Q305:DK305,Q$1:DK$1,Dashboard!$K$31)</f>
        <v>0</v>
      </c>
      <c r="U305" s="95">
        <v>33</v>
      </c>
      <c r="AA305" s="95">
        <v>25</v>
      </c>
      <c r="AH305" s="95">
        <v>75</v>
      </c>
    </row>
    <row r="306" spans="1:34" x14ac:dyDescent="0.3">
      <c r="A306" s="89" t="str">
        <f>CONCATENATE(D306,".",F306,"-",G306,".",H306,"")</f>
        <v>1.3-1.1</v>
      </c>
      <c r="B306" s="89" t="str">
        <f>IF(CONCATENATE(I306,Key!F$2)=CONCATENATE(INDEX(Dashboard!J:J,MATCH(I306,Dashboard!J:J,0),1),INDEX(Dashboard!J:K,MATCH(I306,Dashboard!J:J,0),2)),"ON",IF(Dashboard!K$32="ALL","ON","-"))</f>
        <v>-</v>
      </c>
      <c r="C306" s="88" t="s">
        <v>110</v>
      </c>
      <c r="D306" s="89">
        <f>IF(C306="ID",1,(IF(C306="PR",2,(IF(C306="DE",3,(IF(C306="RS",4,(IF(C306="RC",5,0)))))))))</f>
        <v>1</v>
      </c>
      <c r="E306" s="89" t="s">
        <v>136</v>
      </c>
      <c r="F306" s="89">
        <f>IF(E306="AM",1,(IF(E306="BE",2,(IF(E306="GV",3,(IF(E306="RA",4,(IF(E306="RM",5,(IF(E306="AC",1,(IF(E306="AT",2,(IF(E306="DS",3,(IF(E306="IP",4,(IF(E306="MA",5,(IF(E306="PT",6,(IF(E306="AE",1,(IF(E306="CM",2,(IF(E306="DP",3,(IF(E306="AN",1,(IF(E306="CO",2,(IF(E306="IM",3,(IF(E306="MI",4,(IF(E306="RP",5,(IF(E306="SC",6,0)))))))))))))))))))))))))))))))))))))))</f>
        <v>3</v>
      </c>
      <c r="G306" s="52">
        <v>1</v>
      </c>
      <c r="H306" s="90" t="s">
        <v>115</v>
      </c>
      <c r="I306" s="93" t="s">
        <v>85</v>
      </c>
      <c r="J306" s="87" t="s">
        <v>1018</v>
      </c>
      <c r="K306" s="119" t="s">
        <v>663</v>
      </c>
      <c r="L306" s="117">
        <f>IF(O306="","",N306*O306*M306)</f>
        <v>0</v>
      </c>
      <c r="M306" s="108">
        <v>1</v>
      </c>
      <c r="N306" s="95">
        <v>1</v>
      </c>
      <c r="O306" s="109">
        <f>IF(Key!D$1="ON",P306,IF(SUM(Q306:DL306)&lt;1,"",SUM(Q306:DL306)/COUNTIF(Q306:DL306,"&gt;0")))</f>
        <v>0</v>
      </c>
      <c r="P306" s="109">
        <f>SUMIFS(Q306:DK306,Q$1:DK$1,Dashboard!$K$31)</f>
        <v>0</v>
      </c>
      <c r="U306" s="95">
        <v>33</v>
      </c>
      <c r="AA306" s="95">
        <v>25</v>
      </c>
      <c r="AH306" s="95">
        <v>75</v>
      </c>
    </row>
    <row r="307" spans="1:34" x14ac:dyDescent="0.3">
      <c r="A307" s="89" t="str">
        <f>CONCATENATE(D307,".",F307,"-",G307,".",H307,"")</f>
        <v>1.3-1.1</v>
      </c>
      <c r="B307" s="89" t="str">
        <f>IF(CONCATENATE(I307,Key!F$2)=CONCATENATE(INDEX(Dashboard!J:J,MATCH(I307,Dashboard!J:J,0),1),INDEX(Dashboard!J:K,MATCH(I307,Dashboard!J:J,0),2)),"ON",IF(Dashboard!K$32="ALL","ON","-"))</f>
        <v>-</v>
      </c>
      <c r="C307" s="88" t="s">
        <v>110</v>
      </c>
      <c r="D307" s="89">
        <f>IF(C307="ID",1,(IF(C307="PR",2,(IF(C307="DE",3,(IF(C307="RS",4,(IF(C307="RC",5,0)))))))))</f>
        <v>1</v>
      </c>
      <c r="E307" s="89" t="s">
        <v>136</v>
      </c>
      <c r="F307" s="89">
        <f>IF(E307="AM",1,(IF(E307="BE",2,(IF(E307="GV",3,(IF(E307="RA",4,(IF(E307="RM",5,(IF(E307="AC",1,(IF(E307="AT",2,(IF(E307="DS",3,(IF(E307="IP",4,(IF(E307="MA",5,(IF(E307="PT",6,(IF(E307="AE",1,(IF(E307="CM",2,(IF(E307="DP",3,(IF(E307="AN",1,(IF(E307="CO",2,(IF(E307="IM",3,(IF(E307="MI",4,(IF(E307="RP",5,(IF(E307="SC",6,0)))))))))))))))))))))))))))))))))))))))</f>
        <v>3</v>
      </c>
      <c r="G307" s="52">
        <v>1</v>
      </c>
      <c r="H307" s="90" t="s">
        <v>115</v>
      </c>
      <c r="I307" s="93" t="s">
        <v>85</v>
      </c>
      <c r="J307" s="87" t="s">
        <v>1019</v>
      </c>
      <c r="K307" s="119" t="s">
        <v>663</v>
      </c>
      <c r="L307" s="117">
        <f>IF(O307="","",N307*O307*M307)</f>
        <v>0</v>
      </c>
      <c r="M307" s="108">
        <v>1</v>
      </c>
      <c r="N307" s="95">
        <v>1</v>
      </c>
      <c r="O307" s="109">
        <f>IF(Key!D$1="ON",P307,IF(SUM(Q307:DL307)&lt;1,"",SUM(Q307:DL307)/COUNTIF(Q307:DL307,"&gt;0")))</f>
        <v>0</v>
      </c>
      <c r="P307" s="109">
        <f>SUMIFS(Q307:DK307,Q$1:DK$1,Dashboard!$K$31)</f>
        <v>0</v>
      </c>
      <c r="U307" s="95">
        <v>33</v>
      </c>
      <c r="AA307" s="95">
        <v>25</v>
      </c>
      <c r="AH307" s="95">
        <v>75</v>
      </c>
    </row>
    <row r="308" spans="1:34" x14ac:dyDescent="0.3">
      <c r="A308" s="89" t="str">
        <f>CONCATENATE(D308,".",F308,"-",G308,".",H308,"")</f>
        <v>1.3-1.1</v>
      </c>
      <c r="B308" s="89" t="str">
        <f>IF(CONCATENATE(I308,Key!F$2)=CONCATENATE(INDEX(Dashboard!J:J,MATCH(I308,Dashboard!J:J,0),1),INDEX(Dashboard!J:K,MATCH(I308,Dashboard!J:J,0),2)),"ON",IF(Dashboard!K$32="ALL","ON","-"))</f>
        <v>-</v>
      </c>
      <c r="C308" s="88" t="s">
        <v>110</v>
      </c>
      <c r="D308" s="89">
        <f>IF(C308="ID",1,(IF(C308="PR",2,(IF(C308="DE",3,(IF(C308="RS",4,(IF(C308="RC",5,0)))))))))</f>
        <v>1</v>
      </c>
      <c r="E308" s="89" t="s">
        <v>136</v>
      </c>
      <c r="F308" s="89">
        <f>IF(E308="AM",1,(IF(E308="BE",2,(IF(E308="GV",3,(IF(E308="RA",4,(IF(E308="RM",5,(IF(E308="AC",1,(IF(E308="AT",2,(IF(E308="DS",3,(IF(E308="IP",4,(IF(E308="MA",5,(IF(E308="PT",6,(IF(E308="AE",1,(IF(E308="CM",2,(IF(E308="DP",3,(IF(E308="AN",1,(IF(E308="CO",2,(IF(E308="IM",3,(IF(E308="MI",4,(IF(E308="RP",5,(IF(E308="SC",6,0)))))))))))))))))))))))))))))))))))))))</f>
        <v>3</v>
      </c>
      <c r="G308" s="52">
        <v>1</v>
      </c>
      <c r="H308" s="90" t="s">
        <v>115</v>
      </c>
      <c r="I308" s="93" t="s">
        <v>85</v>
      </c>
      <c r="J308" s="86" t="s">
        <v>885</v>
      </c>
      <c r="K308" s="119" t="s">
        <v>663</v>
      </c>
      <c r="L308" s="117">
        <f>IF(O308="","",N308*O308*M308)</f>
        <v>0</v>
      </c>
      <c r="M308" s="108">
        <v>1</v>
      </c>
      <c r="N308" s="95">
        <v>1</v>
      </c>
      <c r="O308" s="109">
        <f>IF(Key!D$1="ON",P308,IF(SUM(Q308:DL308)&lt;1,"",SUM(Q308:DL308)/COUNTIF(Q308:DL308,"&gt;0")))</f>
        <v>0</v>
      </c>
      <c r="P308" s="109">
        <f>SUMIFS(Q308:DK308,Q$1:DK$1,Dashboard!$K$31)</f>
        <v>0</v>
      </c>
      <c r="U308" s="95">
        <v>33</v>
      </c>
      <c r="AA308" s="95">
        <v>25</v>
      </c>
      <c r="AH308" s="95">
        <v>75</v>
      </c>
    </row>
    <row r="309" spans="1:34" x14ac:dyDescent="0.3">
      <c r="A309" s="89" t="str">
        <f>CONCATENATE(D309,".",F309,"-",G309,".",H309,"")</f>
        <v>1.3-1.1</v>
      </c>
      <c r="B309" s="89" t="str">
        <f>IF(CONCATENATE(I309,Key!F$2)=CONCATENATE(INDEX(Dashboard!J:J,MATCH(I309,Dashboard!J:J,0),1),INDEX(Dashboard!J:K,MATCH(I309,Dashboard!J:J,0),2)),"ON",IF(Dashboard!K$32="ALL","ON","-"))</f>
        <v>-</v>
      </c>
      <c r="C309" s="88" t="s">
        <v>110</v>
      </c>
      <c r="D309" s="89">
        <f>IF(C309="ID",1,(IF(C309="PR",2,(IF(C309="DE",3,(IF(C309="RS",4,(IF(C309="RC",5,0)))))))))</f>
        <v>1</v>
      </c>
      <c r="E309" s="89" t="s">
        <v>136</v>
      </c>
      <c r="F309" s="89">
        <f>IF(E309="AM",1,(IF(E309="BE",2,(IF(E309="GV",3,(IF(E309="RA",4,(IF(E309="RM",5,(IF(E309="AC",1,(IF(E309="AT",2,(IF(E309="DS",3,(IF(E309="IP",4,(IF(E309="MA",5,(IF(E309="PT",6,(IF(E309="AE",1,(IF(E309="CM",2,(IF(E309="DP",3,(IF(E309="AN",1,(IF(E309="CO",2,(IF(E309="IM",3,(IF(E309="MI",4,(IF(E309="RP",5,(IF(E309="SC",6,0)))))))))))))))))))))))))))))))))))))))</f>
        <v>3</v>
      </c>
      <c r="G309" s="52">
        <v>1</v>
      </c>
      <c r="H309" s="90" t="s">
        <v>115</v>
      </c>
      <c r="I309" s="93" t="s">
        <v>85</v>
      </c>
      <c r="J309" s="87" t="s">
        <v>936</v>
      </c>
      <c r="K309" s="119" t="s">
        <v>4585</v>
      </c>
      <c r="L309" s="117">
        <f>IF(O309="","",N309*O309*M309)</f>
        <v>0</v>
      </c>
      <c r="M309" s="108">
        <v>1</v>
      </c>
      <c r="N309" s="95">
        <v>1</v>
      </c>
      <c r="O309" s="109">
        <f>IF(Key!D$1="ON",P309,IF(SUM(Q309:DL309)&lt;1,"",SUM(Q309:DL309)/COUNTIF(Q309:DL309,"&gt;0")))</f>
        <v>0</v>
      </c>
      <c r="P309" s="109">
        <f>SUMIFS(Q309:DK309,Q$1:DK$1,Dashboard!$K$31)</f>
        <v>0</v>
      </c>
      <c r="U309" s="95">
        <v>33</v>
      </c>
      <c r="AA309" s="95">
        <v>25</v>
      </c>
      <c r="AH309" s="95">
        <v>75</v>
      </c>
    </row>
    <row r="310" spans="1:34" x14ac:dyDescent="0.3">
      <c r="A310" s="89" t="str">
        <f>CONCATENATE(D310,".",F310,"-",G310,".",H310,"")</f>
        <v>1.3-1.1</v>
      </c>
      <c r="B310" s="89" t="str">
        <f>IF(CONCATENATE(I310,Key!F$2)=CONCATENATE(INDEX(Dashboard!J:J,MATCH(I310,Dashboard!J:J,0),1),INDEX(Dashboard!J:K,MATCH(I310,Dashboard!J:J,0),2)),"ON",IF(Dashboard!K$32="ALL","ON","-"))</f>
        <v>-</v>
      </c>
      <c r="C310" s="88" t="s">
        <v>110</v>
      </c>
      <c r="D310" s="89">
        <f>IF(C310="ID",1,(IF(C310="PR",2,(IF(C310="DE",3,(IF(C310="RS",4,(IF(C310="RC",5,0)))))))))</f>
        <v>1</v>
      </c>
      <c r="E310" s="89" t="s">
        <v>136</v>
      </c>
      <c r="F310" s="89">
        <f>IF(E310="AM",1,(IF(E310="BE",2,(IF(E310="GV",3,(IF(E310="RA",4,(IF(E310="RM",5,(IF(E310="AC",1,(IF(E310="AT",2,(IF(E310="DS",3,(IF(E310="IP",4,(IF(E310="MA",5,(IF(E310="PT",6,(IF(E310="AE",1,(IF(E310="CM",2,(IF(E310="DP",3,(IF(E310="AN",1,(IF(E310="CO",2,(IF(E310="IM",3,(IF(E310="MI",4,(IF(E310="RP",5,(IF(E310="SC",6,0)))))))))))))))))))))))))))))))))))))))</f>
        <v>3</v>
      </c>
      <c r="G310" s="52">
        <v>1</v>
      </c>
      <c r="H310" s="90" t="s">
        <v>115</v>
      </c>
      <c r="I310" s="93" t="s">
        <v>85</v>
      </c>
      <c r="J310" s="87" t="s">
        <v>1322</v>
      </c>
      <c r="K310" s="119" t="s">
        <v>1323</v>
      </c>
      <c r="L310" s="117">
        <f>IF(O310="","",N310*O310*M310)</f>
        <v>0</v>
      </c>
      <c r="M310" s="108">
        <v>0.9</v>
      </c>
      <c r="N310" s="95">
        <v>1</v>
      </c>
      <c r="O310" s="109">
        <f>IF(Key!D$1="ON",P310,IF(SUM(Q310:DL310)&lt;1,"",SUM(Q310:DL310)/COUNTIF(Q310:DL310,"&gt;0")))</f>
        <v>0</v>
      </c>
      <c r="P310" s="109">
        <f>SUMIFS(Q310:DK310,Q$1:DK$1,Dashboard!$K$31)</f>
        <v>0</v>
      </c>
      <c r="S310" s="95">
        <v>33</v>
      </c>
      <c r="T310" s="95">
        <v>80</v>
      </c>
      <c r="U310" s="95">
        <v>33</v>
      </c>
      <c r="AA310" s="95">
        <v>25</v>
      </c>
      <c r="AH310" s="95">
        <v>75</v>
      </c>
    </row>
    <row r="311" spans="1:34" x14ac:dyDescent="0.3">
      <c r="A311" s="89" t="str">
        <f>CONCATENATE(D311,".",F311,"-",G311,".",H311,"")</f>
        <v>1.3-1.1</v>
      </c>
      <c r="B311" s="89" t="str">
        <f>IF(CONCATENATE(I311,Key!F$2)=CONCATENATE(INDEX(Dashboard!J:J,MATCH(I311,Dashboard!J:J,0),1),INDEX(Dashboard!J:K,MATCH(I311,Dashboard!J:J,0),2)),"ON",IF(Dashboard!K$32="ALL","ON","-"))</f>
        <v>-</v>
      </c>
      <c r="C311" s="96" t="s">
        <v>110</v>
      </c>
      <c r="D311" s="89">
        <f>IF(C311="ID",1,(IF(C311="PR",2,(IF(C311="DE",3,(IF(C311="RS",4,(IF(C311="RC",5,0)))))))))</f>
        <v>1</v>
      </c>
      <c r="E311" s="89" t="s">
        <v>136</v>
      </c>
      <c r="F311" s="89">
        <f>IF(E311="AM",1,(IF(E311="BE",2,(IF(E311="GV",3,(IF(E311="RA",4,(IF(E311="RM",5,(IF(E311="AC",1,(IF(E311="AT",2,(IF(E311="DS",3,(IF(E311="IP",4,(IF(E311="MA",5,(IF(E311="PT",6,(IF(E311="AE",1,(IF(E311="CM",2,(IF(E311="DP",3,(IF(E311="AN",1,(IF(E311="CO",2,(IF(E311="IM",3,(IF(E311="MI",4,(IF(E311="RP",5,(IF(E311="SC",6,0)))))))))))))))))))))))))))))))))))))))</f>
        <v>3</v>
      </c>
      <c r="G311" s="52">
        <v>1</v>
      </c>
      <c r="H311" s="90" t="s">
        <v>115</v>
      </c>
      <c r="I311" s="93" t="s">
        <v>85</v>
      </c>
      <c r="J311" s="87" t="s">
        <v>1257</v>
      </c>
      <c r="K311" s="119" t="s">
        <v>4872</v>
      </c>
      <c r="L311" s="117">
        <f>IF(O311="","",N311*O311*M311)</f>
        <v>0</v>
      </c>
      <c r="M311" s="108">
        <v>1</v>
      </c>
      <c r="N311" s="95">
        <v>1</v>
      </c>
      <c r="O311" s="109">
        <f>IF(Key!D$1="ON",P311,IF(SUM(Q311:DL311)&lt;1,"",SUM(Q311:DL311)/COUNTIF(Q311:DL311,"&gt;0")))</f>
        <v>0</v>
      </c>
      <c r="P311" s="109">
        <f>SUMIFS(Q311:DK311,Q$1:DK$1,Dashboard!$K$31)</f>
        <v>0</v>
      </c>
      <c r="U311" s="95">
        <v>33</v>
      </c>
      <c r="AA311" s="95">
        <v>25</v>
      </c>
      <c r="AH311" s="95">
        <v>75</v>
      </c>
    </row>
    <row r="312" spans="1:34" x14ac:dyDescent="0.3">
      <c r="A312" s="89" t="str">
        <f>CONCATENATE(D312,".",F312,"-",G312,".",H312,"")</f>
        <v>1.3-1.1</v>
      </c>
      <c r="B312" s="89" t="str">
        <f>IF(CONCATENATE(I312,Key!F$2)=CONCATENATE(INDEX(Dashboard!J:J,MATCH(I312,Dashboard!J:J,0),1),INDEX(Dashboard!J:K,MATCH(I312,Dashboard!J:J,0),2)),"ON",IF(Dashboard!K$32="ALL","ON","-"))</f>
        <v>-</v>
      </c>
      <c r="C312" s="96" t="s">
        <v>110</v>
      </c>
      <c r="D312" s="89">
        <f>IF(C312="ID",1,(IF(C312="PR",2,(IF(C312="DE",3,(IF(C312="RS",4,(IF(C312="RC",5,0)))))))))</f>
        <v>1</v>
      </c>
      <c r="E312" s="89" t="s">
        <v>136</v>
      </c>
      <c r="F312" s="89">
        <f>IF(E312="AM",1,(IF(E312="BE",2,(IF(E312="GV",3,(IF(E312="RA",4,(IF(E312="RM",5,(IF(E312="AC",1,(IF(E312="AT",2,(IF(E312="DS",3,(IF(E312="IP",4,(IF(E312="MA",5,(IF(E312="PT",6,(IF(E312="AE",1,(IF(E312="CM",2,(IF(E312="DP",3,(IF(E312="AN",1,(IF(E312="CO",2,(IF(E312="IM",3,(IF(E312="MI",4,(IF(E312="RP",5,(IF(E312="SC",6,0)))))))))))))))))))))))))))))))))))))))</f>
        <v>3</v>
      </c>
      <c r="G312" s="52">
        <v>1</v>
      </c>
      <c r="H312" s="90" t="s">
        <v>115</v>
      </c>
      <c r="I312" s="93" t="s">
        <v>89</v>
      </c>
      <c r="J312" s="88">
        <v>500.03</v>
      </c>
      <c r="K312" s="102" t="s">
        <v>353</v>
      </c>
      <c r="L312" s="117">
        <f>IF(O312="","",N312*O312*M312)</f>
        <v>0</v>
      </c>
      <c r="M312" s="108">
        <v>1</v>
      </c>
      <c r="N312" s="95">
        <v>1</v>
      </c>
      <c r="O312" s="109">
        <f>IF(Key!D$1="ON",P312,IF(SUM(Q312:DL312)&lt;1,"",SUM(Q312:DL312)/COUNTIF(Q312:DL312,"&gt;0")))</f>
        <v>0</v>
      </c>
      <c r="P312" s="109">
        <f>SUMIFS(Q312:DK312,Q$1:DK$1,Dashboard!$K$31)</f>
        <v>0</v>
      </c>
      <c r="U312" s="95">
        <v>33</v>
      </c>
      <c r="AA312" s="95">
        <v>25</v>
      </c>
      <c r="AH312" s="95">
        <v>75</v>
      </c>
    </row>
    <row r="313" spans="1:34" x14ac:dyDescent="0.3">
      <c r="A313" s="89" t="str">
        <f>CONCATENATE(D313,".",F313,"-",G313,".",H313,"")</f>
        <v>1.3-1.1</v>
      </c>
      <c r="B313" s="89" t="str">
        <f>IF(CONCATENATE(I313,Key!F$2)=CONCATENATE(INDEX(Dashboard!J:J,MATCH(I313,Dashboard!J:J,0),1),INDEX(Dashboard!J:K,MATCH(I313,Dashboard!J:J,0),2)),"ON",IF(Dashboard!K$32="ALL","ON","-"))</f>
        <v>-</v>
      </c>
      <c r="C313" s="96" t="s">
        <v>110</v>
      </c>
      <c r="D313" s="89">
        <f>IF(C313="ID",1,(IF(C313="PR",2,(IF(C313="DE",3,(IF(C313="RS",4,(IF(C313="RC",5,0)))))))))</f>
        <v>1</v>
      </c>
      <c r="E313" s="89" t="s">
        <v>136</v>
      </c>
      <c r="F313" s="89">
        <f>IF(E313="AM",1,(IF(E313="BE",2,(IF(E313="GV",3,(IF(E313="RA",4,(IF(E313="RM",5,(IF(E313="AC",1,(IF(E313="AT",2,(IF(E313="DS",3,(IF(E313="IP",4,(IF(E313="MA",5,(IF(E313="PT",6,(IF(E313="AE",1,(IF(E313="CM",2,(IF(E313="DP",3,(IF(E313="AN",1,(IF(E313="CO",2,(IF(E313="IM",3,(IF(E313="MI",4,(IF(E313="RP",5,(IF(E313="SC",6,0)))))))))))))))))))))))))))))))))))))))</f>
        <v>3</v>
      </c>
      <c r="G313" s="52">
        <v>1</v>
      </c>
      <c r="H313" s="90" t="s">
        <v>115</v>
      </c>
      <c r="I313" s="93" t="s">
        <v>89</v>
      </c>
      <c r="J313" s="88" t="s">
        <v>354</v>
      </c>
      <c r="K313" s="102" t="s">
        <v>355</v>
      </c>
      <c r="L313" s="117">
        <f>IF(O313="","",N313*O313*M313)</f>
        <v>0</v>
      </c>
      <c r="M313" s="108">
        <v>1</v>
      </c>
      <c r="N313" s="95">
        <v>1</v>
      </c>
      <c r="O313" s="109">
        <f>IF(Key!D$1="ON",P313,IF(SUM(Q313:DL313)&lt;1,"",SUM(Q313:DL313)/COUNTIF(Q313:DL313,"&gt;0")))</f>
        <v>0</v>
      </c>
      <c r="P313" s="109">
        <f>SUMIFS(Q313:DK313,Q$1:DK$1,Dashboard!$K$31)</f>
        <v>0</v>
      </c>
      <c r="U313" s="95">
        <v>33</v>
      </c>
      <c r="AA313" s="95">
        <v>25</v>
      </c>
      <c r="AH313" s="95">
        <v>75</v>
      </c>
    </row>
    <row r="314" spans="1:34" x14ac:dyDescent="0.3">
      <c r="A314" s="89" t="str">
        <f>CONCATENATE(D314,".",F314,"-",G314,".",H314,"")</f>
        <v>1.3-1.1</v>
      </c>
      <c r="B314" s="89" t="str">
        <f>IF(CONCATENATE(I314,Key!F$2)=CONCATENATE(INDEX(Dashboard!J:J,MATCH(I314,Dashboard!J:J,0),1),INDEX(Dashboard!J:K,MATCH(I314,Dashboard!J:J,0),2)),"ON",IF(Dashboard!K$32="ALL","ON","-"))</f>
        <v>-</v>
      </c>
      <c r="C314" s="96" t="s">
        <v>110</v>
      </c>
      <c r="D314" s="89">
        <f>IF(C314="ID",1,(IF(C314="PR",2,(IF(C314="DE",3,(IF(C314="RS",4,(IF(C314="RC",5,0)))))))))</f>
        <v>1</v>
      </c>
      <c r="E314" s="89" t="s">
        <v>136</v>
      </c>
      <c r="F314" s="89">
        <f>IF(E314="AM",1,(IF(E314="BE",2,(IF(E314="GV",3,(IF(E314="RA",4,(IF(E314="RM",5,(IF(E314="AC",1,(IF(E314="AT",2,(IF(E314="DS",3,(IF(E314="IP",4,(IF(E314="MA",5,(IF(E314="PT",6,(IF(E314="AE",1,(IF(E314="CM",2,(IF(E314="DP",3,(IF(E314="AN",1,(IF(E314="CO",2,(IF(E314="IM",3,(IF(E314="MI",4,(IF(E314="RP",5,(IF(E314="SC",6,0)))))))))))))))))))))))))))))))))))))))</f>
        <v>3</v>
      </c>
      <c r="G314" s="52">
        <v>1</v>
      </c>
      <c r="H314" s="90" t="s">
        <v>115</v>
      </c>
      <c r="I314" s="93" t="s">
        <v>89</v>
      </c>
      <c r="J314" s="88" t="s">
        <v>356</v>
      </c>
      <c r="K314" s="102" t="s">
        <v>357</v>
      </c>
      <c r="L314" s="117">
        <f>IF(O314="","",N314*O314*M314)</f>
        <v>0</v>
      </c>
      <c r="M314" s="108">
        <v>1</v>
      </c>
      <c r="N314" s="95">
        <v>1</v>
      </c>
      <c r="O314" s="109">
        <f>IF(Key!D$1="ON",P314,IF(SUM(Q314:DL314)&lt;1,"",SUM(Q314:DL314)/COUNTIF(Q314:DL314,"&gt;0")))</f>
        <v>0</v>
      </c>
      <c r="P314" s="109">
        <f>SUMIFS(Q314:DK314,Q$1:DK$1,Dashboard!$K$31)</f>
        <v>0</v>
      </c>
      <c r="U314" s="95">
        <v>33</v>
      </c>
      <c r="AA314" s="95">
        <v>25</v>
      </c>
      <c r="AH314" s="95">
        <v>75</v>
      </c>
    </row>
    <row r="315" spans="1:34" x14ac:dyDescent="0.3">
      <c r="A315" s="89" t="str">
        <f>CONCATENATE(D315,".",F315,"-",G315,".",H315,"")</f>
        <v>1.3-1.1</v>
      </c>
      <c r="B315" s="89" t="str">
        <f>IF(CONCATENATE(I315,Key!F$2)=CONCATENATE(INDEX(Dashboard!J:J,MATCH(I315,Dashboard!J:J,0),1),INDEX(Dashboard!J:K,MATCH(I315,Dashboard!J:J,0),2)),"ON",IF(Dashboard!K$32="ALL","ON","-"))</f>
        <v>-</v>
      </c>
      <c r="C315" s="96" t="s">
        <v>110</v>
      </c>
      <c r="D315" s="89">
        <f>IF(C315="ID",1,(IF(C315="PR",2,(IF(C315="DE",3,(IF(C315="RS",4,(IF(C315="RC",5,0)))))))))</f>
        <v>1</v>
      </c>
      <c r="E315" s="89" t="s">
        <v>136</v>
      </c>
      <c r="F315" s="89">
        <f>IF(E315="AM",1,(IF(E315="BE",2,(IF(E315="GV",3,(IF(E315="RA",4,(IF(E315="RM",5,(IF(E315="AC",1,(IF(E315="AT",2,(IF(E315="DS",3,(IF(E315="IP",4,(IF(E315="MA",5,(IF(E315="PT",6,(IF(E315="AE",1,(IF(E315="CM",2,(IF(E315="DP",3,(IF(E315="AN",1,(IF(E315="CO",2,(IF(E315="IM",3,(IF(E315="MI",4,(IF(E315="RP",5,(IF(E315="SC",6,0)))))))))))))))))))))))))))))))))))))))</f>
        <v>3</v>
      </c>
      <c r="G315" s="52">
        <v>1</v>
      </c>
      <c r="H315" s="90" t="s">
        <v>115</v>
      </c>
      <c r="I315" s="93" t="s">
        <v>89</v>
      </c>
      <c r="J315" s="88" t="s">
        <v>358</v>
      </c>
      <c r="K315" s="102" t="s">
        <v>359</v>
      </c>
      <c r="L315" s="117">
        <f>IF(O315="","",N315*O315*M315)</f>
        <v>0</v>
      </c>
      <c r="M315" s="108">
        <v>1</v>
      </c>
      <c r="N315" s="95">
        <v>1</v>
      </c>
      <c r="O315" s="109">
        <f>IF(Key!D$1="ON",P315,IF(SUM(Q315:DL315)&lt;1,"",SUM(Q315:DL315)/COUNTIF(Q315:DL315,"&gt;0")))</f>
        <v>0</v>
      </c>
      <c r="P315" s="109">
        <f>SUMIFS(Q315:DK315,Q$1:DK$1,Dashboard!$K$31)</f>
        <v>0</v>
      </c>
      <c r="U315" s="95">
        <v>33</v>
      </c>
      <c r="AA315" s="95">
        <v>25</v>
      </c>
      <c r="AH315" s="95">
        <v>75</v>
      </c>
    </row>
    <row r="316" spans="1:34" x14ac:dyDescent="0.3">
      <c r="A316" s="89" t="str">
        <f>CONCATENATE(D316,".",F316,"-",G316,".",H316,"")</f>
        <v>1.3-1.1</v>
      </c>
      <c r="B316" s="89" t="str">
        <f>IF(CONCATENATE(I316,Key!F$2)=CONCATENATE(INDEX(Dashboard!J:J,MATCH(I316,Dashboard!J:J,0),1),INDEX(Dashboard!J:K,MATCH(I316,Dashboard!J:J,0),2)),"ON",IF(Dashboard!K$32="ALL","ON","-"))</f>
        <v>-</v>
      </c>
      <c r="C316" s="96" t="s">
        <v>110</v>
      </c>
      <c r="D316" s="89">
        <f>IF(C316="ID",1,(IF(C316="PR",2,(IF(C316="DE",3,(IF(C316="RS",4,(IF(C316="RC",5,0)))))))))</f>
        <v>1</v>
      </c>
      <c r="E316" s="89" t="s">
        <v>136</v>
      </c>
      <c r="F316" s="89">
        <f>IF(E316="AM",1,(IF(E316="BE",2,(IF(E316="GV",3,(IF(E316="RA",4,(IF(E316="RM",5,(IF(E316="AC",1,(IF(E316="AT",2,(IF(E316="DS",3,(IF(E316="IP",4,(IF(E316="MA",5,(IF(E316="PT",6,(IF(E316="AE",1,(IF(E316="CM",2,(IF(E316="DP",3,(IF(E316="AN",1,(IF(E316="CO",2,(IF(E316="IM",3,(IF(E316="MI",4,(IF(E316="RP",5,(IF(E316="SC",6,0)))))))))))))))))))))))))))))))))))))))</f>
        <v>3</v>
      </c>
      <c r="G316" s="52">
        <v>1</v>
      </c>
      <c r="H316" s="90" t="s">
        <v>115</v>
      </c>
      <c r="I316" s="93" t="s">
        <v>89</v>
      </c>
      <c r="J316" s="88" t="s">
        <v>360</v>
      </c>
      <c r="K316" s="102" t="s">
        <v>361</v>
      </c>
      <c r="L316" s="117">
        <f>IF(O316="","",N316*O316*M316)</f>
        <v>0</v>
      </c>
      <c r="M316" s="108">
        <v>1</v>
      </c>
      <c r="N316" s="95">
        <v>1</v>
      </c>
      <c r="O316" s="109">
        <f>IF(Key!D$1="ON",P316,IF(SUM(Q316:DL316)&lt;1,"",SUM(Q316:DL316)/COUNTIF(Q316:DL316,"&gt;0")))</f>
        <v>0</v>
      </c>
      <c r="P316" s="109">
        <f>SUMIFS(Q316:DK316,Q$1:DK$1,Dashboard!$K$31)</f>
        <v>0</v>
      </c>
      <c r="U316" s="95">
        <v>33</v>
      </c>
      <c r="AA316" s="95">
        <v>25</v>
      </c>
      <c r="AH316" s="95">
        <v>75</v>
      </c>
    </row>
    <row r="317" spans="1:34" x14ac:dyDescent="0.3">
      <c r="A317" s="89" t="str">
        <f>CONCATENATE(D317,".",F317,"-",G317,".",H317,"")</f>
        <v>1.3-1.1</v>
      </c>
      <c r="B317" s="89" t="str">
        <f>IF(CONCATENATE(I317,Key!F$2)=CONCATENATE(INDEX(Dashboard!J:J,MATCH(I317,Dashboard!J:J,0),1),INDEX(Dashboard!J:K,MATCH(I317,Dashboard!J:J,0),2)),"ON",IF(Dashboard!K$32="ALL","ON","-"))</f>
        <v>-</v>
      </c>
      <c r="C317" s="96" t="s">
        <v>110</v>
      </c>
      <c r="D317" s="89">
        <f>IF(C317="ID",1,(IF(C317="PR",2,(IF(C317="DE",3,(IF(C317="RS",4,(IF(C317="RC",5,0)))))))))</f>
        <v>1</v>
      </c>
      <c r="E317" s="89" t="s">
        <v>136</v>
      </c>
      <c r="F317" s="89">
        <f>IF(E317="AM",1,(IF(E317="BE",2,(IF(E317="GV",3,(IF(E317="RA",4,(IF(E317="RM",5,(IF(E317="AC",1,(IF(E317="AT",2,(IF(E317="DS",3,(IF(E317="IP",4,(IF(E317="MA",5,(IF(E317="PT",6,(IF(E317="AE",1,(IF(E317="CM",2,(IF(E317="DP",3,(IF(E317="AN",1,(IF(E317="CO",2,(IF(E317="IM",3,(IF(E317="MI",4,(IF(E317="RP",5,(IF(E317="SC",6,0)))))))))))))))))))))))))))))))))))))))</f>
        <v>3</v>
      </c>
      <c r="G317" s="52">
        <v>1</v>
      </c>
      <c r="H317" s="90" t="s">
        <v>115</v>
      </c>
      <c r="I317" s="93" t="s">
        <v>89</v>
      </c>
      <c r="J317" s="88" t="s">
        <v>362</v>
      </c>
      <c r="K317" s="102" t="s">
        <v>363</v>
      </c>
      <c r="L317" s="117">
        <f>IF(O317="","",N317*O317*M317)</f>
        <v>0</v>
      </c>
      <c r="M317" s="108">
        <v>1</v>
      </c>
      <c r="N317" s="95">
        <v>1</v>
      </c>
      <c r="O317" s="109">
        <f>IF(Key!D$1="ON",P317,IF(SUM(Q317:DL317)&lt;1,"",SUM(Q317:DL317)/COUNTIF(Q317:DL317,"&gt;0")))</f>
        <v>0</v>
      </c>
      <c r="P317" s="109">
        <f>SUMIFS(Q317:DK317,Q$1:DK$1,Dashboard!$K$31)</f>
        <v>0</v>
      </c>
      <c r="U317" s="95">
        <v>33</v>
      </c>
      <c r="AA317" s="95">
        <v>25</v>
      </c>
      <c r="AH317" s="95">
        <v>75</v>
      </c>
    </row>
    <row r="318" spans="1:34" x14ac:dyDescent="0.3">
      <c r="A318" s="89" t="str">
        <f>CONCATENATE(D318,".",F318,"-",G318,".",H318,"")</f>
        <v>1.3-1.1</v>
      </c>
      <c r="B318" s="89" t="str">
        <f>IF(CONCATENATE(I318,Key!F$2)=CONCATENATE(INDEX(Dashboard!J:J,MATCH(I318,Dashboard!J:J,0),1),INDEX(Dashboard!J:K,MATCH(I318,Dashboard!J:J,0),2)),"ON",IF(Dashboard!K$32="ALL","ON","-"))</f>
        <v>-</v>
      </c>
      <c r="C318" s="96" t="s">
        <v>110</v>
      </c>
      <c r="D318" s="89">
        <f>IF(C318="ID",1,(IF(C318="PR",2,(IF(C318="DE",3,(IF(C318="RS",4,(IF(C318="RC",5,0)))))))))</f>
        <v>1</v>
      </c>
      <c r="E318" s="89" t="s">
        <v>136</v>
      </c>
      <c r="F318" s="89">
        <f>IF(E318="AM",1,(IF(E318="BE",2,(IF(E318="GV",3,(IF(E318="RA",4,(IF(E318="RM",5,(IF(E318="AC",1,(IF(E318="AT",2,(IF(E318="DS",3,(IF(E318="IP",4,(IF(E318="MA",5,(IF(E318="PT",6,(IF(E318="AE",1,(IF(E318="CM",2,(IF(E318="DP",3,(IF(E318="AN",1,(IF(E318="CO",2,(IF(E318="IM",3,(IF(E318="MI",4,(IF(E318="RP",5,(IF(E318="SC",6,0)))))))))))))))))))))))))))))))))))))))</f>
        <v>3</v>
      </c>
      <c r="G318" s="52">
        <v>1</v>
      </c>
      <c r="H318" s="90" t="s">
        <v>115</v>
      </c>
      <c r="I318" s="93" t="s">
        <v>89</v>
      </c>
      <c r="J318" s="88" t="s">
        <v>364</v>
      </c>
      <c r="K318" s="102" t="s">
        <v>365</v>
      </c>
      <c r="L318" s="117">
        <f>IF(O318="","",N318*O318*M318)</f>
        <v>0</v>
      </c>
      <c r="M318" s="108">
        <v>1</v>
      </c>
      <c r="N318" s="95">
        <v>1</v>
      </c>
      <c r="O318" s="109">
        <f>IF(Key!D$1="ON",P318,IF(SUM(Q318:DL318)&lt;1,"",SUM(Q318:DL318)/COUNTIF(Q318:DL318,"&gt;0")))</f>
        <v>0</v>
      </c>
      <c r="P318" s="109">
        <f>SUMIFS(Q318:DK318,Q$1:DK$1,Dashboard!$K$31)</f>
        <v>0</v>
      </c>
      <c r="U318" s="95">
        <v>33</v>
      </c>
      <c r="AA318" s="95">
        <v>25</v>
      </c>
      <c r="AH318" s="95">
        <v>75</v>
      </c>
    </row>
    <row r="319" spans="1:34" ht="15.6" x14ac:dyDescent="0.3">
      <c r="A319" s="89" t="str">
        <f>CONCATENATE(D319,".",F319,"-",G319,".",H319,"")</f>
        <v>1.3-1.1</v>
      </c>
      <c r="B319" s="89" t="str">
        <f>IF(CONCATENATE(I319,Key!F$2)=CONCATENATE(INDEX(Dashboard!J:J,MATCH(I319,Dashboard!J:J,0),1),INDEX(Dashboard!J:K,MATCH(I319,Dashboard!J:J,0),2)),"ON",IF(Dashboard!K$32="ALL","ON","-"))</f>
        <v>-</v>
      </c>
      <c r="C319" s="96" t="s">
        <v>110</v>
      </c>
      <c r="D319" s="89">
        <f>IF(C319="ID",1,(IF(C319="PR",2,(IF(C319="DE",3,(IF(C319="RS",4,(IF(C319="RC",5,0)))))))))</f>
        <v>1</v>
      </c>
      <c r="E319" s="89" t="s">
        <v>136</v>
      </c>
      <c r="F319" s="89">
        <f>IF(E319="AM",1,(IF(E319="BE",2,(IF(E319="GV",3,(IF(E319="RA",4,(IF(E319="RM",5,(IF(E319="AC",1,(IF(E319="AT",2,(IF(E319="DS",3,(IF(E319="IP",4,(IF(E319="MA",5,(IF(E319="PT",6,(IF(E319="AE",1,(IF(E319="CM",2,(IF(E319="DP",3,(IF(E319="AN",1,(IF(E319="CO",2,(IF(E319="IM",3,(IF(E319="MI",4,(IF(E319="RP",5,(IF(E319="SC",6,0)))))))))))))))))))))))))))))))))))))))</f>
        <v>3</v>
      </c>
      <c r="G319" s="52">
        <v>1</v>
      </c>
      <c r="H319" s="90" t="s">
        <v>115</v>
      </c>
      <c r="I319" s="93" t="s">
        <v>89</v>
      </c>
      <c r="J319" s="88" t="s">
        <v>366</v>
      </c>
      <c r="K319" s="102" t="s">
        <v>367</v>
      </c>
      <c r="L319" s="117">
        <f>IF(O319="","",N319*O319*M319)</f>
        <v>0</v>
      </c>
      <c r="M319" s="108">
        <v>1</v>
      </c>
      <c r="N319" s="95">
        <v>1</v>
      </c>
      <c r="O319" s="109">
        <f>IF(Key!D$1="ON",P319,IF(SUM(Q319:DL319)&lt;1,"",SUM(Q319:DL319)/COUNTIF(Q319:DL319,"&gt;0")))</f>
        <v>0</v>
      </c>
      <c r="P319" s="109">
        <f>SUMIFS(Q319:DK319,Q$1:DK$1,Dashboard!$K$31)</f>
        <v>0</v>
      </c>
      <c r="U319" s="95">
        <v>33</v>
      </c>
      <c r="AA319" s="95">
        <v>25</v>
      </c>
      <c r="AH319" s="95">
        <v>75</v>
      </c>
    </row>
    <row r="320" spans="1:34" x14ac:dyDescent="0.3">
      <c r="A320" s="89" t="str">
        <f>CONCATENATE(D320,".",F320,"-",G320,".",H320,"")</f>
        <v>1.3-1.1</v>
      </c>
      <c r="B320" s="89" t="str">
        <f>IF(CONCATENATE(I320,Key!F$2)=CONCATENATE(INDEX(Dashboard!J:J,MATCH(I320,Dashboard!J:J,0),1),INDEX(Dashboard!J:K,MATCH(I320,Dashboard!J:J,0),2)),"ON",IF(Dashboard!K$32="ALL","ON","-"))</f>
        <v>-</v>
      </c>
      <c r="C320" s="96" t="s">
        <v>110</v>
      </c>
      <c r="D320" s="89">
        <f>IF(C320="ID",1,(IF(C320="PR",2,(IF(C320="DE",3,(IF(C320="RS",4,(IF(C320="RC",5,0)))))))))</f>
        <v>1</v>
      </c>
      <c r="E320" s="89" t="s">
        <v>136</v>
      </c>
      <c r="F320" s="89">
        <f>IF(E320="AM",1,(IF(E320="BE",2,(IF(E320="GV",3,(IF(E320="RA",4,(IF(E320="RM",5,(IF(E320="AC",1,(IF(E320="AT",2,(IF(E320="DS",3,(IF(E320="IP",4,(IF(E320="MA",5,(IF(E320="PT",6,(IF(E320="AE",1,(IF(E320="CM",2,(IF(E320="DP",3,(IF(E320="AN",1,(IF(E320="CO",2,(IF(E320="IM",3,(IF(E320="MI",4,(IF(E320="RP",5,(IF(E320="SC",6,0)))))))))))))))))))))))))))))))))))))))</f>
        <v>3</v>
      </c>
      <c r="G320" s="52">
        <v>1</v>
      </c>
      <c r="H320" s="90" t="s">
        <v>115</v>
      </c>
      <c r="I320" s="93" t="s">
        <v>89</v>
      </c>
      <c r="J320" s="88" t="s">
        <v>368</v>
      </c>
      <c r="K320" s="102" t="s">
        <v>369</v>
      </c>
      <c r="L320" s="117">
        <f>IF(O320="","",N320*O320*M320)</f>
        <v>0</v>
      </c>
      <c r="M320" s="108">
        <v>1</v>
      </c>
      <c r="N320" s="95">
        <v>1</v>
      </c>
      <c r="O320" s="109">
        <f>IF(Key!D$1="ON",P320,IF(SUM(Q320:DL320)&lt;1,"",SUM(Q320:DL320)/COUNTIF(Q320:DL320,"&gt;0")))</f>
        <v>0</v>
      </c>
      <c r="P320" s="109">
        <f>SUMIFS(Q320:DK320,Q$1:DK$1,Dashboard!$K$31)</f>
        <v>0</v>
      </c>
      <c r="U320" s="95">
        <v>33</v>
      </c>
      <c r="AA320" s="95">
        <v>25</v>
      </c>
      <c r="AH320" s="95">
        <v>75</v>
      </c>
    </row>
    <row r="321" spans="1:34" x14ac:dyDescent="0.3">
      <c r="A321" s="89" t="str">
        <f>CONCATENATE(D321,".",F321,"-",G321,".",H321,"")</f>
        <v>1.3-1.1</v>
      </c>
      <c r="B321" s="89" t="str">
        <f>IF(CONCATENATE(I321,Key!F$2)=CONCATENATE(INDEX(Dashboard!J:J,MATCH(I321,Dashboard!J:J,0),1),INDEX(Dashboard!J:K,MATCH(I321,Dashboard!J:J,0),2)),"ON",IF(Dashboard!K$32="ALL","ON","-"))</f>
        <v>-</v>
      </c>
      <c r="C321" s="96" t="s">
        <v>110</v>
      </c>
      <c r="D321" s="89">
        <f>IF(C321="ID",1,(IF(C321="PR",2,(IF(C321="DE",3,(IF(C321="RS",4,(IF(C321="RC",5,0)))))))))</f>
        <v>1</v>
      </c>
      <c r="E321" s="89" t="s">
        <v>136</v>
      </c>
      <c r="F321" s="89">
        <f>IF(E321="AM",1,(IF(E321="BE",2,(IF(E321="GV",3,(IF(E321="RA",4,(IF(E321="RM",5,(IF(E321="AC",1,(IF(E321="AT",2,(IF(E321="DS",3,(IF(E321="IP",4,(IF(E321="MA",5,(IF(E321="PT",6,(IF(E321="AE",1,(IF(E321="CM",2,(IF(E321="DP",3,(IF(E321="AN",1,(IF(E321="CO",2,(IF(E321="IM",3,(IF(E321="MI",4,(IF(E321="RP",5,(IF(E321="SC",6,0)))))))))))))))))))))))))))))))))))))))</f>
        <v>3</v>
      </c>
      <c r="G321" s="52">
        <v>1</v>
      </c>
      <c r="H321" s="90" t="s">
        <v>115</v>
      </c>
      <c r="I321" s="93" t="s">
        <v>89</v>
      </c>
      <c r="J321" s="88" t="s">
        <v>370</v>
      </c>
      <c r="K321" s="102" t="s">
        <v>371</v>
      </c>
      <c r="L321" s="117">
        <f>IF(O321="","",N321*O321*M321)</f>
        <v>0</v>
      </c>
      <c r="M321" s="108">
        <v>1</v>
      </c>
      <c r="N321" s="95">
        <v>1</v>
      </c>
      <c r="O321" s="109">
        <f>IF(Key!D$1="ON",P321,IF(SUM(Q321:DL321)&lt;1,"",SUM(Q321:DL321)/COUNTIF(Q321:DL321,"&gt;0")))</f>
        <v>0</v>
      </c>
      <c r="P321" s="109">
        <f>SUMIFS(Q321:DK321,Q$1:DK$1,Dashboard!$K$31)</f>
        <v>0</v>
      </c>
      <c r="U321" s="95">
        <v>33</v>
      </c>
      <c r="AA321" s="95">
        <v>25</v>
      </c>
      <c r="AH321" s="95">
        <v>75</v>
      </c>
    </row>
    <row r="322" spans="1:34" x14ac:dyDescent="0.3">
      <c r="A322" s="89" t="str">
        <f>CONCATENATE(D322,".",F322,"-",G322,".",H322,"")</f>
        <v>1.3-1.1</v>
      </c>
      <c r="B322" s="89" t="str">
        <f>IF(CONCATENATE(I322,Key!F$2)=CONCATENATE(INDEX(Dashboard!J:J,MATCH(I322,Dashboard!J:J,0),1),INDEX(Dashboard!J:K,MATCH(I322,Dashboard!J:J,0),2)),"ON",IF(Dashboard!K$32="ALL","ON","-"))</f>
        <v>-</v>
      </c>
      <c r="C322" s="96" t="s">
        <v>110</v>
      </c>
      <c r="D322" s="89">
        <f>IF(C322="ID",1,(IF(C322="PR",2,(IF(C322="DE",3,(IF(C322="RS",4,(IF(C322="RC",5,0)))))))))</f>
        <v>1</v>
      </c>
      <c r="E322" s="89" t="s">
        <v>136</v>
      </c>
      <c r="F322" s="89">
        <f>IF(E322="AM",1,(IF(E322="BE",2,(IF(E322="GV",3,(IF(E322="RA",4,(IF(E322="RM",5,(IF(E322="AC",1,(IF(E322="AT",2,(IF(E322="DS",3,(IF(E322="IP",4,(IF(E322="MA",5,(IF(E322="PT",6,(IF(E322="AE",1,(IF(E322="CM",2,(IF(E322="DP",3,(IF(E322="AN",1,(IF(E322="CO",2,(IF(E322="IM",3,(IF(E322="MI",4,(IF(E322="RP",5,(IF(E322="SC",6,0)))))))))))))))))))))))))))))))))))))))</f>
        <v>3</v>
      </c>
      <c r="G322" s="52">
        <v>1</v>
      </c>
      <c r="H322" s="90" t="s">
        <v>115</v>
      </c>
      <c r="I322" s="93" t="s">
        <v>89</v>
      </c>
      <c r="J322" s="88" t="s">
        <v>372</v>
      </c>
      <c r="K322" s="102" t="s">
        <v>373</v>
      </c>
      <c r="L322" s="117">
        <f>IF(O322="","",N322*O322*M322)</f>
        <v>0</v>
      </c>
      <c r="M322" s="108">
        <v>1</v>
      </c>
      <c r="N322" s="95">
        <v>1</v>
      </c>
      <c r="O322" s="109">
        <f>IF(Key!D$1="ON",P322,IF(SUM(Q322:DL322)&lt;1,"",SUM(Q322:DL322)/COUNTIF(Q322:DL322,"&gt;0")))</f>
        <v>0</v>
      </c>
      <c r="P322" s="109">
        <f>SUMIFS(Q322:DK322,Q$1:DK$1,Dashboard!$K$31)</f>
        <v>0</v>
      </c>
      <c r="U322" s="95">
        <v>33</v>
      </c>
      <c r="AA322" s="95">
        <v>25</v>
      </c>
      <c r="AH322" s="95">
        <v>75</v>
      </c>
    </row>
    <row r="323" spans="1:34" x14ac:dyDescent="0.3">
      <c r="A323" s="89" t="str">
        <f>CONCATENATE(D323,".",F323,"-",G323,".",H323,"")</f>
        <v>1.3-1.1</v>
      </c>
      <c r="B323" s="89" t="str">
        <f>IF(CONCATENATE(I323,Key!F$2)=CONCATENATE(INDEX(Dashboard!J:J,MATCH(I323,Dashboard!J:J,0),1),INDEX(Dashboard!J:K,MATCH(I323,Dashboard!J:J,0),2)),"ON",IF(Dashboard!K$32="ALL","ON","-"))</f>
        <v>-</v>
      </c>
      <c r="C323" s="96" t="s">
        <v>110</v>
      </c>
      <c r="D323" s="89">
        <f>IF(C323="ID",1,(IF(C323="PR",2,(IF(C323="DE",3,(IF(C323="RS",4,(IF(C323="RC",5,0)))))))))</f>
        <v>1</v>
      </c>
      <c r="E323" s="89" t="s">
        <v>136</v>
      </c>
      <c r="F323" s="89">
        <f>IF(E323="AM",1,(IF(E323="BE",2,(IF(E323="GV",3,(IF(E323="RA",4,(IF(E323="RM",5,(IF(E323="AC",1,(IF(E323="AT",2,(IF(E323="DS",3,(IF(E323="IP",4,(IF(E323="MA",5,(IF(E323="PT",6,(IF(E323="AE",1,(IF(E323="CM",2,(IF(E323="DP",3,(IF(E323="AN",1,(IF(E323="CO",2,(IF(E323="IM",3,(IF(E323="MI",4,(IF(E323="RP",5,(IF(E323="SC",6,0)))))))))))))))))))))))))))))))))))))))</f>
        <v>3</v>
      </c>
      <c r="G323" s="52">
        <v>1</v>
      </c>
      <c r="H323" s="90" t="s">
        <v>115</v>
      </c>
      <c r="I323" s="93" t="s">
        <v>89</v>
      </c>
      <c r="J323" s="88" t="s">
        <v>374</v>
      </c>
      <c r="K323" s="102" t="s">
        <v>375</v>
      </c>
      <c r="L323" s="117">
        <f>IF(O323="","",N323*O323*M323)</f>
        <v>0</v>
      </c>
      <c r="M323" s="108">
        <v>1</v>
      </c>
      <c r="N323" s="95">
        <v>1</v>
      </c>
      <c r="O323" s="109">
        <f>IF(Key!D$1="ON",P323,IF(SUM(Q323:DL323)&lt;1,"",SUM(Q323:DL323)/COUNTIF(Q323:DL323,"&gt;0")))</f>
        <v>0</v>
      </c>
      <c r="P323" s="109">
        <f>SUMIFS(Q323:DK323,Q$1:DK$1,Dashboard!$K$31)</f>
        <v>0</v>
      </c>
      <c r="U323" s="95">
        <v>33</v>
      </c>
      <c r="AA323" s="95">
        <v>25</v>
      </c>
      <c r="AH323" s="95">
        <v>75</v>
      </c>
    </row>
    <row r="324" spans="1:34" ht="15.6" x14ac:dyDescent="0.3">
      <c r="A324" s="89" t="str">
        <f>CONCATENATE(D324,".",F324,"-",G324,".",H324,"")</f>
        <v>1.3-1.1</v>
      </c>
      <c r="B324" s="89" t="str">
        <f>IF(CONCATENATE(I324,Key!F$2)=CONCATENATE(INDEX(Dashboard!J:J,MATCH(I324,Dashboard!J:J,0),1),INDEX(Dashboard!J:K,MATCH(I324,Dashboard!J:J,0),2)),"ON",IF(Dashboard!K$32="ALL","ON","-"))</f>
        <v>-</v>
      </c>
      <c r="C324" s="96" t="s">
        <v>110</v>
      </c>
      <c r="D324" s="89">
        <f>IF(C324="ID",1,(IF(C324="PR",2,(IF(C324="DE",3,(IF(C324="RS",4,(IF(C324="RC",5,0)))))))))</f>
        <v>1</v>
      </c>
      <c r="E324" s="89" t="s">
        <v>136</v>
      </c>
      <c r="F324" s="89">
        <f>IF(E324="AM",1,(IF(E324="BE",2,(IF(E324="GV",3,(IF(E324="RA",4,(IF(E324="RM",5,(IF(E324="AC",1,(IF(E324="AT",2,(IF(E324="DS",3,(IF(E324="IP",4,(IF(E324="MA",5,(IF(E324="PT",6,(IF(E324="AE",1,(IF(E324="CM",2,(IF(E324="DP",3,(IF(E324="AN",1,(IF(E324="CO",2,(IF(E324="IM",3,(IF(E324="MI",4,(IF(E324="RP",5,(IF(E324="SC",6,0)))))))))))))))))))))))))))))))))))))))</f>
        <v>3</v>
      </c>
      <c r="G324" s="52">
        <v>1</v>
      </c>
      <c r="H324" s="90" t="s">
        <v>115</v>
      </c>
      <c r="I324" s="93" t="s">
        <v>89</v>
      </c>
      <c r="J324" s="88" t="s">
        <v>376</v>
      </c>
      <c r="K324" s="102" t="s">
        <v>377</v>
      </c>
      <c r="L324" s="117">
        <f>IF(O324="","",N324*O324*M324)</f>
        <v>0</v>
      </c>
      <c r="M324" s="108">
        <v>1</v>
      </c>
      <c r="N324" s="95">
        <v>1</v>
      </c>
      <c r="O324" s="109">
        <f>IF(Key!D$1="ON",P324,IF(SUM(Q324:DL324)&lt;1,"",SUM(Q324:DL324)/COUNTIF(Q324:DL324,"&gt;0")))</f>
        <v>0</v>
      </c>
      <c r="P324" s="109">
        <f>SUMIFS(Q324:DK324,Q$1:DK$1,Dashboard!$K$31)</f>
        <v>0</v>
      </c>
      <c r="U324" s="95">
        <v>33</v>
      </c>
      <c r="AA324" s="95">
        <v>25</v>
      </c>
      <c r="AH324" s="95">
        <v>75</v>
      </c>
    </row>
    <row r="325" spans="1:34" ht="15.6" x14ac:dyDescent="0.3">
      <c r="A325" s="89" t="str">
        <f>CONCATENATE(D325,".",F325,"-",G325,".",H325,"")</f>
        <v>1.3-1.1</v>
      </c>
      <c r="B325" s="89" t="str">
        <f>IF(CONCATENATE(I325,Key!F$2)=CONCATENATE(INDEX(Dashboard!J:J,MATCH(I325,Dashboard!J:J,0),1),INDEX(Dashboard!J:K,MATCH(I325,Dashboard!J:J,0),2)),"ON",IF(Dashboard!K$32="ALL","ON","-"))</f>
        <v>-</v>
      </c>
      <c r="C325" s="96" t="s">
        <v>110</v>
      </c>
      <c r="D325" s="89">
        <f>IF(C325="ID",1,(IF(C325="PR",2,(IF(C325="DE",3,(IF(C325="RS",4,(IF(C325="RC",5,0)))))))))</f>
        <v>1</v>
      </c>
      <c r="E325" s="89" t="s">
        <v>136</v>
      </c>
      <c r="F325" s="89">
        <f>IF(E325="AM",1,(IF(E325="BE",2,(IF(E325="GV",3,(IF(E325="RA",4,(IF(E325="RM",5,(IF(E325="AC",1,(IF(E325="AT",2,(IF(E325="DS",3,(IF(E325="IP",4,(IF(E325="MA",5,(IF(E325="PT",6,(IF(E325="AE",1,(IF(E325="CM",2,(IF(E325="DP",3,(IF(E325="AN",1,(IF(E325="CO",2,(IF(E325="IM",3,(IF(E325="MI",4,(IF(E325="RP",5,(IF(E325="SC",6,0)))))))))))))))))))))))))))))))))))))))</f>
        <v>3</v>
      </c>
      <c r="G325" s="52">
        <v>1</v>
      </c>
      <c r="H325" s="90" t="s">
        <v>115</v>
      </c>
      <c r="I325" s="93" t="s">
        <v>89</v>
      </c>
      <c r="J325" s="88" t="s">
        <v>378</v>
      </c>
      <c r="K325" s="102" t="s">
        <v>379</v>
      </c>
      <c r="L325" s="117">
        <f>IF(O325="","",N325*O325*M325)</f>
        <v>0</v>
      </c>
      <c r="M325" s="108">
        <v>1</v>
      </c>
      <c r="N325" s="95">
        <v>1</v>
      </c>
      <c r="O325" s="109">
        <f>IF(Key!D$1="ON",P325,IF(SUM(Q325:DL325)&lt;1,"",SUM(Q325:DL325)/COUNTIF(Q325:DL325,"&gt;0")))</f>
        <v>0</v>
      </c>
      <c r="P325" s="109">
        <f>SUMIFS(Q325:DK325,Q$1:DK$1,Dashboard!$K$31)</f>
        <v>0</v>
      </c>
      <c r="U325" s="95">
        <v>33</v>
      </c>
      <c r="AA325" s="95">
        <v>25</v>
      </c>
      <c r="AH325" s="95">
        <v>75</v>
      </c>
    </row>
    <row r="326" spans="1:34" ht="15.6" x14ac:dyDescent="0.3">
      <c r="A326" s="89" t="str">
        <f>CONCATENATE(D326,".",F326,"-",G326,".",H326,"")</f>
        <v>1.3-1.1</v>
      </c>
      <c r="B326" s="89" t="str">
        <f>IF(CONCATENATE(I326,Key!F$2)=CONCATENATE(INDEX(Dashboard!J:J,MATCH(I326,Dashboard!J:J,0),1),INDEX(Dashboard!J:K,MATCH(I326,Dashboard!J:J,0),2)),"ON",IF(Dashboard!K$32="ALL","ON","-"))</f>
        <v>-</v>
      </c>
      <c r="C326" s="96" t="s">
        <v>110</v>
      </c>
      <c r="D326" s="89">
        <f>IF(C326="ID",1,(IF(C326="PR",2,(IF(C326="DE",3,(IF(C326="RS",4,(IF(C326="RC",5,0)))))))))</f>
        <v>1</v>
      </c>
      <c r="E326" s="89" t="s">
        <v>136</v>
      </c>
      <c r="F326" s="89">
        <f>IF(E326="AM",1,(IF(E326="BE",2,(IF(E326="GV",3,(IF(E326="RA",4,(IF(E326="RM",5,(IF(E326="AC",1,(IF(E326="AT",2,(IF(E326="DS",3,(IF(E326="IP",4,(IF(E326="MA",5,(IF(E326="PT",6,(IF(E326="AE",1,(IF(E326="CM",2,(IF(E326="DP",3,(IF(E326="AN",1,(IF(E326="CO",2,(IF(E326="IM",3,(IF(E326="MI",4,(IF(E326="RP",5,(IF(E326="SC",6,0)))))))))))))))))))))))))))))))))))))))</f>
        <v>3</v>
      </c>
      <c r="G326" s="52">
        <v>1</v>
      </c>
      <c r="H326" s="90" t="s">
        <v>115</v>
      </c>
      <c r="I326" s="93" t="s">
        <v>89</v>
      </c>
      <c r="J326" s="88" t="s">
        <v>380</v>
      </c>
      <c r="K326" s="102" t="s">
        <v>381</v>
      </c>
      <c r="L326" s="117">
        <f>IF(O326="","",N326*O326*M326)</f>
        <v>0</v>
      </c>
      <c r="M326" s="108">
        <v>1</v>
      </c>
      <c r="N326" s="95">
        <v>1</v>
      </c>
      <c r="O326" s="109">
        <f>IF(Key!D$1="ON",P326,IF(SUM(Q326:DL326)&lt;1,"",SUM(Q326:DL326)/COUNTIF(Q326:DL326,"&gt;0")))</f>
        <v>0</v>
      </c>
      <c r="P326" s="109">
        <f>SUMIFS(Q326:DK326,Q$1:DK$1,Dashboard!$K$31)</f>
        <v>0</v>
      </c>
      <c r="U326" s="95">
        <v>33</v>
      </c>
      <c r="AA326" s="95">
        <v>25</v>
      </c>
      <c r="AH326" s="95">
        <v>75</v>
      </c>
    </row>
    <row r="327" spans="1:34" ht="15.6" x14ac:dyDescent="0.3">
      <c r="A327" s="89" t="str">
        <f>CONCATENATE(D327,".",F327,"-",G327,".",H327,"")</f>
        <v>1.3-1.1</v>
      </c>
      <c r="B327" s="89" t="str">
        <f>IF(CONCATENATE(I327,Key!F$2)=CONCATENATE(INDEX(Dashboard!J:J,MATCH(I327,Dashboard!J:J,0),1),INDEX(Dashboard!J:K,MATCH(I327,Dashboard!J:J,0),2)),"ON",IF(Dashboard!K$32="ALL","ON","-"))</f>
        <v>-</v>
      </c>
      <c r="C327" s="96" t="s">
        <v>110</v>
      </c>
      <c r="D327" s="89">
        <f>IF(C327="ID",1,(IF(C327="PR",2,(IF(C327="DE",3,(IF(C327="RS",4,(IF(C327="RC",5,0)))))))))</f>
        <v>1</v>
      </c>
      <c r="E327" s="89" t="s">
        <v>136</v>
      </c>
      <c r="F327" s="89">
        <f>IF(E327="AM",1,(IF(E327="BE",2,(IF(E327="GV",3,(IF(E327="RA",4,(IF(E327="RM",5,(IF(E327="AC",1,(IF(E327="AT",2,(IF(E327="DS",3,(IF(E327="IP",4,(IF(E327="MA",5,(IF(E327="PT",6,(IF(E327="AE",1,(IF(E327="CM",2,(IF(E327="DP",3,(IF(E327="AN",1,(IF(E327="CO",2,(IF(E327="IM",3,(IF(E327="MI",4,(IF(E327="RP",5,(IF(E327="SC",6,0)))))))))))))))))))))))))))))))))))))))</f>
        <v>3</v>
      </c>
      <c r="G327" s="52">
        <v>1</v>
      </c>
      <c r="H327" s="90" t="s">
        <v>115</v>
      </c>
      <c r="I327" s="93" t="s">
        <v>89</v>
      </c>
      <c r="J327" s="88" t="s">
        <v>382</v>
      </c>
      <c r="K327" s="102" t="s">
        <v>383</v>
      </c>
      <c r="L327" s="117">
        <f>IF(O327="","",N327*O327*M327)</f>
        <v>0</v>
      </c>
      <c r="M327" s="108">
        <v>1</v>
      </c>
      <c r="N327" s="95">
        <v>1</v>
      </c>
      <c r="O327" s="109">
        <f>IF(Key!D$1="ON",P327,IF(SUM(Q327:DL327)&lt;1,"",SUM(Q327:DL327)/COUNTIF(Q327:DL327,"&gt;0")))</f>
        <v>0</v>
      </c>
      <c r="P327" s="109">
        <f>SUMIFS(Q327:DK327,Q$1:DK$1,Dashboard!$K$31)</f>
        <v>0</v>
      </c>
      <c r="U327" s="95">
        <v>33</v>
      </c>
      <c r="AA327" s="95">
        <v>25</v>
      </c>
      <c r="AH327" s="95">
        <v>75</v>
      </c>
    </row>
    <row r="328" spans="1:34" ht="15.6" x14ac:dyDescent="0.3">
      <c r="A328" s="89" t="str">
        <f>CONCATENATE(D328,".",F328,"-",G328,".",H328,"")</f>
        <v>1.3-1.1</v>
      </c>
      <c r="B328" s="89" t="str">
        <f>IF(CONCATENATE(I328,Key!F$2)=CONCATENATE(INDEX(Dashboard!J:J,MATCH(I328,Dashboard!J:J,0),1),INDEX(Dashboard!J:K,MATCH(I328,Dashboard!J:J,0),2)),"ON",IF(Dashboard!K$32="ALL","ON","-"))</f>
        <v>-</v>
      </c>
      <c r="C328" s="88" t="s">
        <v>110</v>
      </c>
      <c r="D328" s="89">
        <f>IF(C328="ID",1,(IF(C328="PR",2,(IF(C328="DE",3,(IF(C328="RS",4,(IF(C328="RC",5,0)))))))))</f>
        <v>1</v>
      </c>
      <c r="E328" s="89" t="s">
        <v>136</v>
      </c>
      <c r="F328" s="89">
        <f>IF(E328="AM",1,(IF(E328="BE",2,(IF(E328="GV",3,(IF(E328="RA",4,(IF(E328="RM",5,(IF(E328="AC",1,(IF(E328="AT",2,(IF(E328="DS",3,(IF(E328="IP",4,(IF(E328="MA",5,(IF(E328="PT",6,(IF(E328="AE",1,(IF(E328="CM",2,(IF(E328="DP",3,(IF(E328="AN",1,(IF(E328="CO",2,(IF(E328="IM",3,(IF(E328="MI",4,(IF(E328="RP",5,(IF(E328="SC",6,0)))))))))))))))))))))))))))))))))))))))</f>
        <v>3</v>
      </c>
      <c r="G328" s="52">
        <v>1</v>
      </c>
      <c r="H328" s="90" t="s">
        <v>115</v>
      </c>
      <c r="I328" s="93" t="s">
        <v>92</v>
      </c>
      <c r="J328" s="88">
        <v>12</v>
      </c>
      <c r="K328" s="102" t="s">
        <v>5226</v>
      </c>
      <c r="L328" s="117">
        <f>IF(O328="","",N328*O328*M328)</f>
        <v>0</v>
      </c>
      <c r="M328" s="108">
        <v>1</v>
      </c>
      <c r="N328" s="95">
        <v>1</v>
      </c>
      <c r="O328" s="109">
        <f>IF(Key!D$1="ON",P328,IF(SUM(Q328:DL328)&lt;1,"",SUM(Q328:DL328)/COUNTIF(Q328:DL328,"&gt;0")))</f>
        <v>0</v>
      </c>
      <c r="P328" s="109">
        <f>SUMIFS(Q328:DK328,Q$1:DK$1,Dashboard!$K$31)</f>
        <v>0</v>
      </c>
      <c r="U328" s="95">
        <v>33</v>
      </c>
      <c r="AA328" s="95">
        <v>25</v>
      </c>
      <c r="AH328" s="95">
        <v>75</v>
      </c>
    </row>
    <row r="329" spans="1:34" ht="15.6" x14ac:dyDescent="0.3">
      <c r="A329" s="89" t="str">
        <f>CONCATENATE(D329,".",F329,"-",G329,".",H329,"")</f>
        <v>1.3-1.1</v>
      </c>
      <c r="B329" s="89" t="str">
        <f>IF(CONCATENATE(I329,Key!F$2)=CONCATENATE(INDEX(Dashboard!J:J,MATCH(I329,Dashboard!J:J,0),1),INDEX(Dashboard!J:K,MATCH(I329,Dashboard!J:J,0),2)),"ON",IF(Dashboard!K$32="ALL","ON","-"))</f>
        <v>-</v>
      </c>
      <c r="C329" s="96" t="s">
        <v>110</v>
      </c>
      <c r="D329" s="89">
        <f>IF(C329="ID",1,(IF(C329="PR",2,(IF(C329="DE",3,(IF(C329="RS",4,(IF(C329="RC",5,0)))))))))</f>
        <v>1</v>
      </c>
      <c r="E329" s="89" t="s">
        <v>136</v>
      </c>
      <c r="F329" s="89">
        <f>IF(E329="AM",1,(IF(E329="BE",2,(IF(E329="GV",3,(IF(E329="RA",4,(IF(E329="RM",5,(IF(E329="AC",1,(IF(E329="AT",2,(IF(E329="DS",3,(IF(E329="IP",4,(IF(E329="MA",5,(IF(E329="PT",6,(IF(E329="AE",1,(IF(E329="CM",2,(IF(E329="DP",3,(IF(E329="AN",1,(IF(E329="CO",2,(IF(E329="IM",3,(IF(E329="MI",4,(IF(E329="RP",5,(IF(E329="SC",6,0)))))))))))))))))))))))))))))))))))))))</f>
        <v>3</v>
      </c>
      <c r="G329" s="98">
        <v>1</v>
      </c>
      <c r="H329" s="90" t="s">
        <v>115</v>
      </c>
      <c r="I329" s="93" t="s">
        <v>92</v>
      </c>
      <c r="J329" s="88">
        <v>12.1</v>
      </c>
      <c r="K329" s="102" t="s">
        <v>5226</v>
      </c>
      <c r="L329" s="117">
        <f>IF(O329="","",N329*O329*M329)</f>
        <v>0</v>
      </c>
      <c r="M329" s="108">
        <v>1</v>
      </c>
      <c r="N329" s="95">
        <v>1</v>
      </c>
      <c r="O329" s="109">
        <f>IF(Key!D$1="ON",P329,IF(SUM(Q329:DL329)&lt;1,"",SUM(Q329:DL329)/COUNTIF(Q329:DL329,"&gt;0")))</f>
        <v>0</v>
      </c>
      <c r="P329" s="109">
        <f>SUMIFS(Q329:DK329,Q$1:DK$1,Dashboard!$K$31)</f>
        <v>0</v>
      </c>
      <c r="U329" s="95">
        <v>33</v>
      </c>
      <c r="AA329" s="95">
        <v>25</v>
      </c>
      <c r="AH329" s="95">
        <v>75</v>
      </c>
    </row>
    <row r="330" spans="1:34" ht="15.6" x14ac:dyDescent="0.3">
      <c r="A330" s="89" t="str">
        <f>CONCATENATE(D330,".",F330,"-",G330,".",H330,"")</f>
        <v>1.3-1.1</v>
      </c>
      <c r="B330" s="89" t="str">
        <f>IF(CONCATENATE(I330,Key!F$2)=CONCATENATE(INDEX(Dashboard!J:J,MATCH(I330,Dashboard!J:J,0),1),INDEX(Dashboard!J:K,MATCH(I330,Dashboard!J:J,0),2)),"ON",IF(Dashboard!K$32="ALL","ON","-"))</f>
        <v>-</v>
      </c>
      <c r="C330" s="88" t="s">
        <v>110</v>
      </c>
      <c r="D330" s="89">
        <f>IF(C330="ID",1,(IF(C330="PR",2,(IF(C330="DE",3,(IF(C330="RS",4,(IF(C330="RC",5,0)))))))))</f>
        <v>1</v>
      </c>
      <c r="E330" s="89" t="s">
        <v>136</v>
      </c>
      <c r="F330" s="89">
        <f>IF(E330="AM",1,(IF(E330="BE",2,(IF(E330="GV",3,(IF(E330="RA",4,(IF(E330="RM",5,(IF(E330="AC",1,(IF(E330="AT",2,(IF(E330="DS",3,(IF(E330="IP",4,(IF(E330="MA",5,(IF(E330="PT",6,(IF(E330="AE",1,(IF(E330="CM",2,(IF(E330="DP",3,(IF(E330="AN",1,(IF(E330="CO",2,(IF(E330="IM",3,(IF(E330="MI",4,(IF(E330="RP",5,(IF(E330="SC",6,0)))))))))))))))))))))))))))))))))))))))</f>
        <v>3</v>
      </c>
      <c r="G330" s="52">
        <v>1</v>
      </c>
      <c r="H330" s="90" t="s">
        <v>115</v>
      </c>
      <c r="I330" s="93" t="s">
        <v>92</v>
      </c>
      <c r="J330" s="88">
        <v>12.4</v>
      </c>
      <c r="K330" s="102" t="s">
        <v>5226</v>
      </c>
      <c r="L330" s="117">
        <f>IF(O330="","",N330*O330*M330)</f>
        <v>0</v>
      </c>
      <c r="M330" s="108">
        <v>1</v>
      </c>
      <c r="N330" s="95">
        <v>1</v>
      </c>
      <c r="O330" s="109">
        <f>IF(Key!D$1="ON",P330,IF(SUM(Q330:DL330)&lt;1,"",SUM(Q330:DL330)/COUNTIF(Q330:DL330,"&gt;0")))</f>
        <v>0</v>
      </c>
      <c r="P330" s="109">
        <f>SUMIFS(Q330:DK330,Q$1:DK$1,Dashboard!$K$31)</f>
        <v>0</v>
      </c>
      <c r="U330" s="95">
        <v>33</v>
      </c>
      <c r="AA330" s="95">
        <v>25</v>
      </c>
      <c r="AH330" s="95">
        <v>75</v>
      </c>
    </row>
    <row r="331" spans="1:34" x14ac:dyDescent="0.3">
      <c r="A331" s="89" t="str">
        <f>CONCATENATE(D331,".",F331,"-",G331,".",H331,"")</f>
        <v>1.3-1.1</v>
      </c>
      <c r="B331" s="89" t="str">
        <f>IF(CONCATENATE(I331,Key!F$2)=CONCATENATE(INDEX(Dashboard!J:J,MATCH(I331,Dashboard!J:J,0),1),INDEX(Dashboard!J:K,MATCH(I331,Dashboard!J:J,0),2)),"ON",IF(Dashboard!K$32="ALL","ON","-"))</f>
        <v>-</v>
      </c>
      <c r="C331" s="88" t="s">
        <v>110</v>
      </c>
      <c r="D331" s="89">
        <f>IF(C331="ID",1,(IF(C331="PR",2,(IF(C331="DE",3,(IF(C331="RS",4,(IF(C331="RC",5,0)))))))))</f>
        <v>1</v>
      </c>
      <c r="E331" s="89" t="s">
        <v>136</v>
      </c>
      <c r="F331" s="89">
        <f>IF(E331="AM",1,(IF(E331="BE",2,(IF(E331="GV",3,(IF(E331="RA",4,(IF(E331="RM",5,(IF(E331="AC",1,(IF(E331="AT",2,(IF(E331="DS",3,(IF(E331="IP",4,(IF(E331="MA",5,(IF(E331="PT",6,(IF(E331="AE",1,(IF(E331="CM",2,(IF(E331="DP",3,(IF(E331="AN",1,(IF(E331="CO",2,(IF(E331="IM",3,(IF(E331="MI",4,(IF(E331="RP",5,(IF(E331="SC",6,0)))))))))))))))))))))))))))))))))))))))</f>
        <v>3</v>
      </c>
      <c r="G331" s="52">
        <v>1</v>
      </c>
      <c r="H331" s="90" t="s">
        <v>115</v>
      </c>
      <c r="I331" s="93" t="s">
        <v>92</v>
      </c>
      <c r="J331" s="88" t="s">
        <v>137</v>
      </c>
      <c r="K331" s="102" t="s">
        <v>5226</v>
      </c>
      <c r="L331" s="117">
        <f>IF(O331="","",N331*O331*M331)</f>
        <v>0</v>
      </c>
      <c r="M331" s="108">
        <v>1</v>
      </c>
      <c r="N331" s="95">
        <v>1</v>
      </c>
      <c r="O331" s="109">
        <f>IF(Key!D$1="ON",P331,IF(SUM(Q331:DL331)&lt;1,"",SUM(Q331:DL331)/COUNTIF(Q331:DL331,"&gt;0")))</f>
        <v>0</v>
      </c>
      <c r="P331" s="109">
        <f>SUMIFS(Q331:DK331,Q$1:DK$1,Dashboard!$K$31)</f>
        <v>0</v>
      </c>
      <c r="U331" s="95">
        <v>33</v>
      </c>
      <c r="AA331" s="95">
        <v>25</v>
      </c>
      <c r="AH331" s="95">
        <v>75</v>
      </c>
    </row>
    <row r="332" spans="1:34" x14ac:dyDescent="0.3">
      <c r="A332" s="89" t="str">
        <f>CONCATENATE(D332,".",F332,"-",G332,".",H332,"")</f>
        <v>1.3-1.2</v>
      </c>
      <c r="B332" s="89" t="str">
        <f>IF(CONCATENATE(I332,Key!F$2)=CONCATENATE(INDEX(Dashboard!J:J,MATCH(I332,Dashboard!J:J,0),1),INDEX(Dashboard!J:K,MATCH(I332,Dashboard!J:J,0),2)),"ON",IF(Dashboard!K$32="ALL","ON","-"))</f>
        <v>-</v>
      </c>
      <c r="C332" s="88" t="s">
        <v>110</v>
      </c>
      <c r="D332" s="89">
        <f>IF(C332="ID",1,(IF(C332="PR",2,(IF(C332="DE",3,(IF(C332="RS",4,(IF(C332="RC",5,0)))))))))</f>
        <v>1</v>
      </c>
      <c r="E332" s="89" t="s">
        <v>136</v>
      </c>
      <c r="F332" s="89">
        <f>IF(E332="AM",1,(IF(E332="BE",2,(IF(E332="GV",3,(IF(E332="RA",4,(IF(E332="RM",5,(IF(E332="AC",1,(IF(E332="AT",2,(IF(E332="DS",3,(IF(E332="IP",4,(IF(E332="MA",5,(IF(E332="PT",6,(IF(E332="AE",1,(IF(E332="CM",2,(IF(E332="DP",3,(IF(E332="AN",1,(IF(E332="CO",2,(IF(E332="IM",3,(IF(E332="MI",4,(IF(E332="RP",5,(IF(E332="SC",6,0)))))))))))))))))))))))))))))))))))))))</f>
        <v>3</v>
      </c>
      <c r="G332" s="52">
        <v>1</v>
      </c>
      <c r="H332" s="90" t="s">
        <v>112</v>
      </c>
      <c r="I332" s="93" t="s">
        <v>60</v>
      </c>
      <c r="J332" s="87" t="s">
        <v>3134</v>
      </c>
      <c r="K332" s="51" t="s">
        <v>5247</v>
      </c>
      <c r="L332" s="117">
        <f>IF(O332="","",N332*O332*M332)</f>
        <v>0</v>
      </c>
      <c r="M332" s="108">
        <v>1</v>
      </c>
      <c r="N332" s="95">
        <v>1</v>
      </c>
      <c r="O332" s="109">
        <f>IF(Key!D$1="ON",P332,IF(SUM(Q332:DL332)&lt;1,"",SUM(Q332:DL332)/COUNTIF(Q332:DL332,"&gt;0")))</f>
        <v>0</v>
      </c>
      <c r="P332" s="109">
        <f>SUMIFS(Q332:DK332,Q$1:DK$1,Dashboard!$K$31)</f>
        <v>0</v>
      </c>
      <c r="U332" s="95">
        <v>33</v>
      </c>
      <c r="AA332" s="95">
        <v>25</v>
      </c>
      <c r="AH332" s="95">
        <v>75</v>
      </c>
    </row>
    <row r="333" spans="1:34" x14ac:dyDescent="0.3">
      <c r="A333" s="89" t="str">
        <f>CONCATENATE(D333,".",F333,"-",G333,".",H333,"")</f>
        <v>1.3-1.2</v>
      </c>
      <c r="B333" s="89" t="str">
        <f>IF(CONCATENATE(I333,Key!F$2)=CONCATENATE(INDEX(Dashboard!J:J,MATCH(I333,Dashboard!J:J,0),1),INDEX(Dashboard!J:K,MATCH(I333,Dashboard!J:J,0),2)),"ON",IF(Dashboard!K$32="ALL","ON","-"))</f>
        <v>-</v>
      </c>
      <c r="C333" s="88" t="s">
        <v>110</v>
      </c>
      <c r="D333" s="89">
        <f>IF(C333="ID",1,(IF(C333="PR",2,(IF(C333="DE",3,(IF(C333="RS",4,(IF(C333="RC",5,0)))))))))</f>
        <v>1</v>
      </c>
      <c r="E333" s="89" t="s">
        <v>136</v>
      </c>
      <c r="F333" s="89">
        <f>IF(E333="AM",1,(IF(E333="BE",2,(IF(E333="GV",3,(IF(E333="RA",4,(IF(E333="RM",5,(IF(E333="AC",1,(IF(E333="AT",2,(IF(E333="DS",3,(IF(E333="IP",4,(IF(E333="MA",5,(IF(E333="PT",6,(IF(E333="AE",1,(IF(E333="CM",2,(IF(E333="DP",3,(IF(E333="AN",1,(IF(E333="CO",2,(IF(E333="IM",3,(IF(E333="MI",4,(IF(E333="RP",5,(IF(E333="SC",6,0)))))))))))))))))))))))))))))))))))))))</f>
        <v>3</v>
      </c>
      <c r="G333" s="52">
        <v>1</v>
      </c>
      <c r="H333" s="90" t="s">
        <v>112</v>
      </c>
      <c r="I333" s="93" t="s">
        <v>60</v>
      </c>
      <c r="J333" s="87" t="s">
        <v>3135</v>
      </c>
      <c r="K333" s="51" t="s">
        <v>5248</v>
      </c>
      <c r="L333" s="117">
        <f>IF(O333="","",N333*O333*M333)</f>
        <v>0</v>
      </c>
      <c r="M333" s="108">
        <v>1</v>
      </c>
      <c r="N333" s="95">
        <v>1</v>
      </c>
      <c r="O333" s="109">
        <f>IF(Key!D$1="ON",P333,IF(SUM(Q333:DL333)&lt;1,"",SUM(Q333:DL333)/COUNTIF(Q333:DL333,"&gt;0")))</f>
        <v>0</v>
      </c>
      <c r="P333" s="109">
        <f>SUMIFS(Q333:DK333,Q$1:DK$1,Dashboard!$K$31)</f>
        <v>0</v>
      </c>
      <c r="U333" s="95">
        <v>33</v>
      </c>
      <c r="AA333" s="95">
        <v>25</v>
      </c>
      <c r="AH333" s="95">
        <v>75</v>
      </c>
    </row>
    <row r="334" spans="1:34" x14ac:dyDescent="0.3">
      <c r="A334" s="89" t="str">
        <f>CONCATENATE(D334,".",F334,"-",G334,".",H334,"")</f>
        <v>1.3-1.3</v>
      </c>
      <c r="B334" s="89" t="str">
        <f>IF(CONCATENATE(I334,Key!F$2)=CONCATENATE(INDEX(Dashboard!J:J,MATCH(I334,Dashboard!J:J,0),1),INDEX(Dashboard!J:K,MATCH(I334,Dashboard!J:J,0),2)),"ON",IF(Dashboard!K$32="ALL","ON","-"))</f>
        <v>-</v>
      </c>
      <c r="C334" s="96" t="s">
        <v>110</v>
      </c>
      <c r="D334" s="89">
        <f>IF(C334="ID",1,(IF(C334="PR",2,(IF(C334="DE",3,(IF(C334="RS",4,(IF(C334="RC",5,0)))))))))</f>
        <v>1</v>
      </c>
      <c r="E334" s="89" t="s">
        <v>136</v>
      </c>
      <c r="F334" s="89">
        <f>IF(E334="AM",1,(IF(E334="BE",2,(IF(E334="GV",3,(IF(E334="RA",4,(IF(E334="RM",5,(IF(E334="AC",1,(IF(E334="AT",2,(IF(E334="DS",3,(IF(E334="IP",4,(IF(E334="MA",5,(IF(E334="PT",6,(IF(E334="AE",1,(IF(E334="CM",2,(IF(E334="DP",3,(IF(E334="AN",1,(IF(E334="CO",2,(IF(E334="IM",3,(IF(E334="MI",4,(IF(E334="RP",5,(IF(E334="SC",6,0)))))))))))))))))))))))))))))))))))))))</f>
        <v>3</v>
      </c>
      <c r="G334" s="52">
        <v>1</v>
      </c>
      <c r="H334" s="90" t="s">
        <v>280</v>
      </c>
      <c r="I334" s="93" t="s">
        <v>60</v>
      </c>
      <c r="J334" s="87" t="s">
        <v>3136</v>
      </c>
      <c r="K334" s="51" t="s">
        <v>5249</v>
      </c>
      <c r="L334" s="117">
        <f>IF(O334="","",N334*O334*M334)</f>
        <v>0</v>
      </c>
      <c r="M334" s="108">
        <v>1</v>
      </c>
      <c r="N334" s="95">
        <v>1</v>
      </c>
      <c r="O334" s="109">
        <f>IF(Key!D$1="ON",P334,IF(SUM(Q334:DL334)&lt;1,"",SUM(Q334:DL334)/COUNTIF(Q334:DL334,"&gt;0")))</f>
        <v>0</v>
      </c>
      <c r="P334" s="109">
        <f>SUMIFS(Q334:DK334,Q$1:DK$1,Dashboard!$K$31)</f>
        <v>0</v>
      </c>
      <c r="U334" s="95">
        <v>33</v>
      </c>
      <c r="AA334" s="95">
        <v>25</v>
      </c>
      <c r="AH334" s="95">
        <v>75</v>
      </c>
    </row>
    <row r="335" spans="1:34" x14ac:dyDescent="0.3">
      <c r="A335" s="89" t="str">
        <f>CONCATENATE(D335,".",F335,"-",G335,".",H335,"")</f>
        <v>1.3-1.4</v>
      </c>
      <c r="B335" s="89" t="str">
        <f>IF(CONCATENATE(I335,Key!F$2)=CONCATENATE(INDEX(Dashboard!J:J,MATCH(I335,Dashboard!J:J,0),1),INDEX(Dashboard!J:K,MATCH(I335,Dashboard!J:J,0),2)),"ON",IF(Dashboard!K$32="ALL","ON","-"))</f>
        <v>-</v>
      </c>
      <c r="C335" s="88" t="s">
        <v>110</v>
      </c>
      <c r="D335" s="89">
        <f>IF(C335="ID",1,(IF(C335="PR",2,(IF(C335="DE",3,(IF(C335="RS",4,(IF(C335="RC",5,0)))))))))</f>
        <v>1</v>
      </c>
      <c r="E335" s="89" t="s">
        <v>136</v>
      </c>
      <c r="F335" s="89">
        <f>IF(E335="AM",1,(IF(E335="BE",2,(IF(E335="GV",3,(IF(E335="RA",4,(IF(E335="RM",5,(IF(E335="AC",1,(IF(E335="AT",2,(IF(E335="DS",3,(IF(E335="IP",4,(IF(E335="MA",5,(IF(E335="PT",6,(IF(E335="AE",1,(IF(E335="CM",2,(IF(E335="DP",3,(IF(E335="AN",1,(IF(E335="CO",2,(IF(E335="IM",3,(IF(E335="MI",4,(IF(E335="RP",5,(IF(E335="SC",6,0)))))))))))))))))))))))))))))))))))))))</f>
        <v>3</v>
      </c>
      <c r="G335" s="52">
        <v>1</v>
      </c>
      <c r="H335" s="89">
        <v>4</v>
      </c>
      <c r="I335" s="93" t="s">
        <v>60</v>
      </c>
      <c r="J335" s="88" t="s">
        <v>3133</v>
      </c>
      <c r="K335" s="51" t="s">
        <v>5246</v>
      </c>
      <c r="L335" s="117">
        <f>IF(O335="","",N335*O335*M335)</f>
        <v>0</v>
      </c>
      <c r="M335" s="108">
        <v>1</v>
      </c>
      <c r="N335" s="95">
        <v>1</v>
      </c>
      <c r="O335" s="109">
        <f>IF(Key!D$1="ON",P335,IF(SUM(Q335:DL335)&lt;1,"",SUM(Q335:DL335)/COUNTIF(Q335:DL335,"&gt;0")))</f>
        <v>0</v>
      </c>
      <c r="P335" s="109">
        <f>SUMIFS(Q335:DK335,Q$1:DK$1,Dashboard!$K$31)</f>
        <v>0</v>
      </c>
      <c r="U335" s="95">
        <v>33</v>
      </c>
      <c r="AA335" s="95">
        <v>25</v>
      </c>
      <c r="AH335" s="95">
        <v>75</v>
      </c>
    </row>
    <row r="336" spans="1:34" x14ac:dyDescent="0.3">
      <c r="A336" s="89" t="str">
        <f>CONCATENATE(D336,".",F336,"-",G336,".",H336,"")</f>
        <v>1.3-2.0</v>
      </c>
      <c r="B336" s="89" t="str">
        <f>IF(CONCATENATE(I336,Key!F$2)=CONCATENATE(INDEX(Dashboard!J:J,MATCH(I336,Dashboard!J:J,0),1),INDEX(Dashboard!J:K,MATCH(I336,Dashboard!J:J,0),2)),"ON",IF(Dashboard!K$32="ALL","ON","-"))</f>
        <v>-</v>
      </c>
      <c r="C336" s="96" t="s">
        <v>110</v>
      </c>
      <c r="D336" s="89">
        <f>IF(C336="ID",1,(IF(C336="PR",2,(IF(C336="DE",3,(IF(C336="RS",4,(IF(C336="RC",5,0)))))))))</f>
        <v>1</v>
      </c>
      <c r="E336" s="89" t="s">
        <v>136</v>
      </c>
      <c r="F336" s="89">
        <f>IF(E336="AM",1,(IF(E336="BE",2,(IF(E336="GV",3,(IF(E336="RA",4,(IF(E336="RM",5,(IF(E336="AC",1,(IF(E336="AT",2,(IF(E336="DS",3,(IF(E336="IP",4,(IF(E336="MA",5,(IF(E336="PT",6,(IF(E336="AE",1,(IF(E336="CM",2,(IF(E336="DP",3,(IF(E336="AN",1,(IF(E336="CO",2,(IF(E336="IM",3,(IF(E336="MI",4,(IF(E336="RP",5,(IF(E336="SC",6,0)))))))))))))))))))))))))))))))))))))))</f>
        <v>3</v>
      </c>
      <c r="G336" s="52">
        <v>2</v>
      </c>
      <c r="H336" s="90" t="s">
        <v>347</v>
      </c>
      <c r="I336" s="93" t="s">
        <v>2835</v>
      </c>
      <c r="J336" s="53" t="s">
        <v>2869</v>
      </c>
      <c r="K336" s="152" t="s">
        <v>2870</v>
      </c>
      <c r="L336" s="117">
        <f>IF(O336="","",N336*O336*M336)</f>
        <v>0</v>
      </c>
      <c r="M336" s="108">
        <v>1</v>
      </c>
      <c r="N336" s="95">
        <v>1</v>
      </c>
      <c r="O336" s="109">
        <f>IF(Key!D$1="ON",P336,IF(SUM(Q336:DL336)&lt;1,"",SUM(Q336:DL336)/COUNTIF(Q336:DL336,"&gt;0")))</f>
        <v>0</v>
      </c>
      <c r="P336" s="109">
        <f>SUMIFS(Q336:DK336,Q$1:DK$1,Dashboard!$K$31)</f>
        <v>0</v>
      </c>
      <c r="U336" s="95">
        <v>33</v>
      </c>
    </row>
    <row r="337" spans="1:34" x14ac:dyDescent="0.3">
      <c r="A337" s="89" t="str">
        <f>CONCATENATE(D337,".",F337,"-",G337,".",H337,"")</f>
        <v>1.3-2.1</v>
      </c>
      <c r="B337" s="89" t="str">
        <f>IF(CONCATENATE(I337,Key!F$2)=CONCATENATE(INDEX(Dashboard!J:J,MATCH(I337,Dashboard!J:J,0),1),INDEX(Dashboard!J:K,MATCH(I337,Dashboard!J:J,0),2)),"ON",IF(Dashboard!K$32="ALL","ON","-"))</f>
        <v>-</v>
      </c>
      <c r="C337" s="88" t="s">
        <v>110</v>
      </c>
      <c r="D337" s="89">
        <f>IF(C337="ID",1,(IF(C337="PR",2,(IF(C337="DE",3,(IF(C337="RS",4,(IF(C337="RC",5,0)))))))))</f>
        <v>1</v>
      </c>
      <c r="E337" s="89" t="s">
        <v>136</v>
      </c>
      <c r="F337" s="89">
        <f>IF(E337="AM",1,(IF(E337="BE",2,(IF(E337="GV",3,(IF(E337="RA",4,(IF(E337="RM",5,(IF(E337="AC",1,(IF(E337="AT",2,(IF(E337="DS",3,(IF(E337="IP",4,(IF(E337="MA",5,(IF(E337="PT",6,(IF(E337="AE",1,(IF(E337="CM",2,(IF(E337="DP",3,(IF(E337="AN",1,(IF(E337="CO",2,(IF(E337="IM",3,(IF(E337="MI",4,(IF(E337="RP",5,(IF(E337="SC",6,0)))))))))))))))))))))))))))))))))))))))</f>
        <v>3</v>
      </c>
      <c r="G337" s="52">
        <v>2</v>
      </c>
      <c r="H337" s="99">
        <v>1</v>
      </c>
      <c r="I337" s="93" t="s">
        <v>37</v>
      </c>
      <c r="J337" s="86">
        <v>19.3</v>
      </c>
      <c r="K337" s="102" t="s">
        <v>3690</v>
      </c>
      <c r="L337" s="117">
        <f>IF(O337="","",N337*O337*M337)</f>
        <v>0</v>
      </c>
      <c r="M337" s="108">
        <v>1</v>
      </c>
      <c r="N337" s="95">
        <v>1</v>
      </c>
      <c r="O337" s="109">
        <f>IF(Key!D$1="ON",P337,IF(SUM(Q337:DL337)&lt;1,"",SUM(Q337:DL337)/COUNTIF(Q337:DL337,"&gt;0")))</f>
        <v>0</v>
      </c>
      <c r="P337" s="109">
        <f>SUMIFS(Q337:DK337,Q$1:DK$1,Dashboard!$K$31)</f>
        <v>0</v>
      </c>
      <c r="U337" s="95">
        <v>33</v>
      </c>
      <c r="AA337" s="95">
        <v>25</v>
      </c>
      <c r="AH337" s="95">
        <v>75</v>
      </c>
    </row>
    <row r="338" spans="1:34" x14ac:dyDescent="0.3">
      <c r="A338" s="89" t="str">
        <f>CONCATENATE(D338,".",F338,"-",G338,".",H338,"")</f>
        <v>1.3-2.1</v>
      </c>
      <c r="B338" s="89" t="str">
        <f>IF(CONCATENATE(I338,Key!F$2)=CONCATENATE(INDEX(Dashboard!J:J,MATCH(I338,Dashboard!J:J,0),1),INDEX(Dashboard!J:K,MATCH(I338,Dashboard!J:J,0),2)),"ON",IF(Dashboard!K$32="ALL","ON","-"))</f>
        <v>-</v>
      </c>
      <c r="C338" s="88" t="s">
        <v>110</v>
      </c>
      <c r="D338" s="89">
        <f>IF(C338="ID",1,(IF(C338="PR",2,(IF(C338="DE",3,(IF(C338="RS",4,(IF(C338="RC",5,0)))))))))</f>
        <v>1</v>
      </c>
      <c r="E338" s="89" t="s">
        <v>136</v>
      </c>
      <c r="F338" s="89">
        <f>IF(E338="AM",1,(IF(E338="BE",2,(IF(E338="GV",3,(IF(E338="RA",4,(IF(E338="RM",5,(IF(E338="AC",1,(IF(E338="AT",2,(IF(E338="DS",3,(IF(E338="IP",4,(IF(E338="MA",5,(IF(E338="PT",6,(IF(E338="AE",1,(IF(E338="CM",2,(IF(E338="DP",3,(IF(E338="AN",1,(IF(E338="CO",2,(IF(E338="IM",3,(IF(E338="MI",4,(IF(E338="RP",5,(IF(E338="SC",6,0)))))))))))))))))))))))))))))))))))))))</f>
        <v>3</v>
      </c>
      <c r="G338" s="52">
        <v>2</v>
      </c>
      <c r="H338" s="99">
        <v>1</v>
      </c>
      <c r="I338" s="93" t="s">
        <v>41</v>
      </c>
      <c r="J338" s="86" t="s">
        <v>3648</v>
      </c>
      <c r="K338" s="103" t="s">
        <v>3649</v>
      </c>
      <c r="L338" s="117">
        <f>IF(O338="","",N338*O338*M338)</f>
        <v>0</v>
      </c>
      <c r="M338" s="108">
        <v>1</v>
      </c>
      <c r="N338" s="95">
        <v>1</v>
      </c>
      <c r="O338" s="109">
        <f>IF(Key!D$1="ON",P338,IF(SUM(Q338:DL338)&lt;1,"",SUM(Q338:DL338)/COUNTIF(Q338:DL338,"&gt;0")))</f>
        <v>0</v>
      </c>
      <c r="P338" s="109">
        <f>SUMIFS(Q338:DK338,Q$1:DK$1,Dashboard!$K$31)</f>
        <v>0</v>
      </c>
      <c r="U338" s="95">
        <v>33</v>
      </c>
    </row>
    <row r="339" spans="1:34" x14ac:dyDescent="0.3">
      <c r="A339" s="89" t="str">
        <f>CONCATENATE(D339,".",F339,"-",G339,".",H339,"")</f>
        <v>1.3-2.1</v>
      </c>
      <c r="B339" s="89" t="str">
        <f>IF(CONCATENATE(I339,Key!F$2)=CONCATENATE(INDEX(Dashboard!J:J,MATCH(I339,Dashboard!J:J,0),1),INDEX(Dashboard!J:K,MATCH(I339,Dashboard!J:J,0),2)),"ON",IF(Dashboard!K$32="ALL","ON","-"))</f>
        <v>-</v>
      </c>
      <c r="C339" s="96" t="s">
        <v>110</v>
      </c>
      <c r="D339" s="89">
        <f>IF(C339="ID",1,(IF(C339="PR",2,(IF(C339="DE",3,(IF(C339="RS",4,(IF(C339="RC",5,0)))))))))</f>
        <v>1</v>
      </c>
      <c r="E339" s="89" t="s">
        <v>136</v>
      </c>
      <c r="F339" s="89">
        <f>IF(E339="AM",1,(IF(E339="BE",2,(IF(E339="GV",3,(IF(E339="RA",4,(IF(E339="RM",5,(IF(E339="AC",1,(IF(E339="AT",2,(IF(E339="DS",3,(IF(E339="IP",4,(IF(E339="MA",5,(IF(E339="PT",6,(IF(E339="AE",1,(IF(E339="CM",2,(IF(E339="DP",3,(IF(E339="AN",1,(IF(E339="CO",2,(IF(E339="IM",3,(IF(E339="MI",4,(IF(E339="RP",5,(IF(E339="SC",6,0)))))))))))))))))))))))))))))))))))))))</f>
        <v>3</v>
      </c>
      <c r="G339" s="98">
        <v>2</v>
      </c>
      <c r="H339" s="90" t="s">
        <v>115</v>
      </c>
      <c r="I339" s="93" t="s">
        <v>52</v>
      </c>
      <c r="J339" s="88">
        <v>164.31399999999999</v>
      </c>
      <c r="K339" s="103" t="s">
        <v>3294</v>
      </c>
      <c r="L339" s="117">
        <f>IF(O339="","",N339*O339*M339)</f>
        <v>0</v>
      </c>
      <c r="M339" s="108">
        <v>1</v>
      </c>
      <c r="N339" s="95">
        <v>1</v>
      </c>
      <c r="O339" s="109">
        <f>IF(Key!D$1="ON",P339,IF(SUM(Q339:DL339)&lt;1,"",SUM(Q339:DL339)/COUNTIF(Q339:DL339,"&gt;0")))</f>
        <v>0</v>
      </c>
      <c r="P339" s="109">
        <f>SUMIFS(Q339:DK339,Q$1:DK$1,Dashboard!$K$31)</f>
        <v>0</v>
      </c>
      <c r="U339" s="95">
        <v>33</v>
      </c>
      <c r="AA339" s="95">
        <v>25</v>
      </c>
      <c r="AH339" s="95">
        <v>75</v>
      </c>
    </row>
    <row r="340" spans="1:34" x14ac:dyDescent="0.3">
      <c r="A340" s="89" t="str">
        <f>CONCATENATE(D340,".",F340,"-",G340,".",H340,"")</f>
        <v>1.3-2.1</v>
      </c>
      <c r="B340" s="89" t="str">
        <f>IF(CONCATENATE(I340,Key!F$2)=CONCATENATE(INDEX(Dashboard!J:J,MATCH(I340,Dashboard!J:J,0),1),INDEX(Dashboard!J:K,MATCH(I340,Dashboard!J:J,0),2)),"ON",IF(Dashboard!K$32="ALL","ON","-"))</f>
        <v>-</v>
      </c>
      <c r="C340" s="96" t="s">
        <v>110</v>
      </c>
      <c r="D340" s="89">
        <f>IF(C340="ID",1,(IF(C340="PR",2,(IF(C340="DE",3,(IF(C340="RS",4,(IF(C340="RC",5,0)))))))))</f>
        <v>1</v>
      </c>
      <c r="E340" s="89" t="s">
        <v>136</v>
      </c>
      <c r="F340" s="89">
        <f>IF(E340="AM",1,(IF(E340="BE",2,(IF(E340="GV",3,(IF(E340="RA",4,(IF(E340="RM",5,(IF(E340="AC",1,(IF(E340="AT",2,(IF(E340="DS",3,(IF(E340="IP",4,(IF(E340="MA",5,(IF(E340="PT",6,(IF(E340="AE",1,(IF(E340="CM",2,(IF(E340="DP",3,(IF(E340="AN",1,(IF(E340="CO",2,(IF(E340="IM",3,(IF(E340="MI",4,(IF(E340="RP",5,(IF(E340="SC",6,0)))))))))))))))))))))))))))))))))))))))</f>
        <v>3</v>
      </c>
      <c r="G340" s="98">
        <v>2</v>
      </c>
      <c r="H340" s="90" t="s">
        <v>115</v>
      </c>
      <c r="I340" s="93" t="s">
        <v>52</v>
      </c>
      <c r="J340" s="88" t="s">
        <v>3284</v>
      </c>
      <c r="K340" s="103" t="s">
        <v>3285</v>
      </c>
      <c r="L340" s="117">
        <f>IF(O340="","",N340*O340*M340)</f>
        <v>0</v>
      </c>
      <c r="M340" s="108">
        <v>1</v>
      </c>
      <c r="N340" s="95">
        <v>1</v>
      </c>
      <c r="O340" s="109">
        <f>IF(Key!D$1="ON",P340,IF(SUM(Q340:DL340)&lt;1,"",SUM(Q340:DL340)/COUNTIF(Q340:DL340,"&gt;0")))</f>
        <v>0</v>
      </c>
      <c r="P340" s="109">
        <f>SUMIFS(Q340:DK340,Q$1:DK$1,Dashboard!$K$31)</f>
        <v>0</v>
      </c>
      <c r="U340" s="95">
        <v>33</v>
      </c>
      <c r="AA340" s="95">
        <v>25</v>
      </c>
      <c r="AH340" s="95">
        <v>75</v>
      </c>
    </row>
    <row r="341" spans="1:34" x14ac:dyDescent="0.3">
      <c r="A341" s="89" t="str">
        <f>CONCATENATE(D341,".",F341,"-",G341,".",H341,"")</f>
        <v>1.3-2.1</v>
      </c>
      <c r="B341" s="89" t="str">
        <f>IF(CONCATENATE(I341,Key!F$2)=CONCATENATE(INDEX(Dashboard!J:J,MATCH(I341,Dashboard!J:J,0),1),INDEX(Dashboard!J:K,MATCH(I341,Dashboard!J:J,0),2)),"ON",IF(Dashboard!K$32="ALL","ON","-"))</f>
        <v>-</v>
      </c>
      <c r="C341" s="96" t="s">
        <v>110</v>
      </c>
      <c r="D341" s="89">
        <f>IF(C341="ID",1,(IF(C341="PR",2,(IF(C341="DE",3,(IF(C341="RS",4,(IF(C341="RC",5,0)))))))))</f>
        <v>1</v>
      </c>
      <c r="E341" s="89" t="s">
        <v>136</v>
      </c>
      <c r="F341" s="89">
        <f>IF(E341="AM",1,(IF(E341="BE",2,(IF(E341="GV",3,(IF(E341="RA",4,(IF(E341="RM",5,(IF(E341="AC",1,(IF(E341="AT",2,(IF(E341="DS",3,(IF(E341="IP",4,(IF(E341="MA",5,(IF(E341="PT",6,(IF(E341="AE",1,(IF(E341="CM",2,(IF(E341="DP",3,(IF(E341="AN",1,(IF(E341="CO",2,(IF(E341="IM",3,(IF(E341="MI",4,(IF(E341="RP",5,(IF(E341="SC",6,0)))))))))))))))))))))))))))))))))))))))</f>
        <v>3</v>
      </c>
      <c r="G341" s="98">
        <v>2</v>
      </c>
      <c r="H341" s="90" t="s">
        <v>115</v>
      </c>
      <c r="I341" s="93" t="s">
        <v>52</v>
      </c>
      <c r="J341" s="88" t="s">
        <v>3288</v>
      </c>
      <c r="K341" s="103" t="s">
        <v>3289</v>
      </c>
      <c r="L341" s="117">
        <f>IF(O341="","",N341*O341*M341)</f>
        <v>0</v>
      </c>
      <c r="M341" s="108">
        <v>1</v>
      </c>
      <c r="N341" s="95">
        <v>1</v>
      </c>
      <c r="O341" s="109">
        <f>IF(Key!D$1="ON",P341,IF(SUM(Q341:DL341)&lt;1,"",SUM(Q341:DL341)/COUNTIF(Q341:DL341,"&gt;0")))</f>
        <v>0</v>
      </c>
      <c r="P341" s="109">
        <f>SUMIFS(Q341:DK341,Q$1:DK$1,Dashboard!$K$31)</f>
        <v>0</v>
      </c>
      <c r="U341" s="95">
        <v>33</v>
      </c>
      <c r="AA341" s="95">
        <v>25</v>
      </c>
      <c r="AH341" s="95">
        <v>75</v>
      </c>
    </row>
    <row r="342" spans="1:34" x14ac:dyDescent="0.3">
      <c r="A342" s="89" t="str">
        <f>CONCATENATE(D342,".",F342,"-",G342,".",H342,"")</f>
        <v>1.3-2.1</v>
      </c>
      <c r="B342" s="89" t="str">
        <f>IF(CONCATENATE(I342,Key!F$2)=CONCATENATE(INDEX(Dashboard!J:J,MATCH(I342,Dashboard!J:J,0),1),INDEX(Dashboard!J:K,MATCH(I342,Dashboard!J:J,0),2)),"ON",IF(Dashboard!K$32="ALL","ON","-"))</f>
        <v>-</v>
      </c>
      <c r="C342" s="96" t="s">
        <v>110</v>
      </c>
      <c r="D342" s="89">
        <f>IF(C342="ID",1,(IF(C342="PR",2,(IF(C342="DE",3,(IF(C342="RS",4,(IF(C342="RC",5,0)))))))))</f>
        <v>1</v>
      </c>
      <c r="E342" s="89" t="s">
        <v>136</v>
      </c>
      <c r="F342" s="89">
        <f>IF(E342="AM",1,(IF(E342="BE",2,(IF(E342="GV",3,(IF(E342="RA",4,(IF(E342="RM",5,(IF(E342="AC",1,(IF(E342="AT",2,(IF(E342="DS",3,(IF(E342="IP",4,(IF(E342="MA",5,(IF(E342="PT",6,(IF(E342="AE",1,(IF(E342="CM",2,(IF(E342="DP",3,(IF(E342="AN",1,(IF(E342="CO",2,(IF(E342="IM",3,(IF(E342="MI",4,(IF(E342="RP",5,(IF(E342="SC",6,0)))))))))))))))))))))))))))))))))))))))</f>
        <v>3</v>
      </c>
      <c r="G342" s="98">
        <v>2</v>
      </c>
      <c r="H342" s="90" t="s">
        <v>115</v>
      </c>
      <c r="I342" s="93" t="s">
        <v>52</v>
      </c>
      <c r="J342" s="88" t="s">
        <v>3317</v>
      </c>
      <c r="K342" s="103" t="s">
        <v>3318</v>
      </c>
      <c r="L342" s="117">
        <f>IF(O342="","",N342*O342*M342)</f>
        <v>0</v>
      </c>
      <c r="M342" s="108">
        <v>1</v>
      </c>
      <c r="N342" s="95">
        <v>1</v>
      </c>
      <c r="O342" s="109">
        <f>IF(Key!D$1="ON",P342,IF(SUM(Q342:DL342)&lt;1,"",SUM(Q342:DL342)/COUNTIF(Q342:DL342,"&gt;0")))</f>
        <v>0</v>
      </c>
      <c r="P342" s="109">
        <f>SUMIFS(Q342:DK342,Q$1:DK$1,Dashboard!$K$31)</f>
        <v>0</v>
      </c>
      <c r="U342" s="95">
        <v>33</v>
      </c>
      <c r="AA342" s="95">
        <v>25</v>
      </c>
      <c r="AH342" s="95">
        <v>75</v>
      </c>
    </row>
    <row r="343" spans="1:34" x14ac:dyDescent="0.3">
      <c r="A343" s="89" t="str">
        <f>CONCATENATE(D343,".",F343,"-",G343,".",H343,"")</f>
        <v>1.3-2.1</v>
      </c>
      <c r="B343" s="89" t="str">
        <f>IF(CONCATENATE(I343,Key!F$2)=CONCATENATE(INDEX(Dashboard!J:J,MATCH(I343,Dashboard!J:J,0),1),INDEX(Dashboard!J:K,MATCH(I343,Dashboard!J:J,0),2)),"ON",IF(Dashboard!K$32="ALL","ON","-"))</f>
        <v>-</v>
      </c>
      <c r="C343" s="88" t="s">
        <v>110</v>
      </c>
      <c r="D343" s="89">
        <f>IF(C343="ID",1,(IF(C343="PR",2,(IF(C343="DE",3,(IF(C343="RS",4,(IF(C343="RC",5,0)))))))))</f>
        <v>1</v>
      </c>
      <c r="E343" s="89" t="s">
        <v>136</v>
      </c>
      <c r="F343" s="89">
        <f>IF(E343="AM",1,(IF(E343="BE",2,(IF(E343="GV",3,(IF(E343="RA",4,(IF(E343="RM",5,(IF(E343="AC",1,(IF(E343="AT",2,(IF(E343="DS",3,(IF(E343="IP",4,(IF(E343="MA",5,(IF(E343="PT",6,(IF(E343="AE",1,(IF(E343="CM",2,(IF(E343="DP",3,(IF(E343="AN",1,(IF(E343="CO",2,(IF(E343="IM",3,(IF(E343="MI",4,(IF(E343="RP",5,(IF(E343="SC",6,0)))))))))))))))))))))))))))))))))))))))</f>
        <v>3</v>
      </c>
      <c r="G343" s="52">
        <v>2</v>
      </c>
      <c r="H343" s="90" t="s">
        <v>115</v>
      </c>
      <c r="I343" s="93" t="s">
        <v>60</v>
      </c>
      <c r="J343" s="87" t="s">
        <v>3137</v>
      </c>
      <c r="K343" s="51" t="s">
        <v>5250</v>
      </c>
      <c r="L343" s="117">
        <f>IF(O343="","",N343*O343*M343)</f>
        <v>0</v>
      </c>
      <c r="M343" s="108">
        <v>1</v>
      </c>
      <c r="N343" s="95">
        <v>1</v>
      </c>
      <c r="O343" s="109">
        <f>IF(Key!D$1="ON",P343,IF(SUM(Q343:DL343)&lt;1,"",SUM(Q343:DL343)/COUNTIF(Q343:DL343,"&gt;0")))</f>
        <v>0</v>
      </c>
      <c r="P343" s="109">
        <f>SUMIFS(Q343:DK343,Q$1:DK$1,Dashboard!$K$31)</f>
        <v>0</v>
      </c>
      <c r="U343" s="95">
        <v>33</v>
      </c>
      <c r="AA343" s="95">
        <v>25</v>
      </c>
      <c r="AH343" s="95">
        <v>75</v>
      </c>
    </row>
    <row r="344" spans="1:34" x14ac:dyDescent="0.3">
      <c r="A344" s="89" t="str">
        <f>CONCATENATE(D344,".",F344,"-",G344,".",H344,"")</f>
        <v>1.3-2.1</v>
      </c>
      <c r="B344" s="89" t="str">
        <f>IF(CONCATENATE(I344,Key!F$2)=CONCATENATE(INDEX(Dashboard!J:J,MATCH(I344,Dashboard!J:J,0),1),INDEX(Dashboard!J:K,MATCH(I344,Dashboard!J:J,0),2)),"ON",IF(Dashboard!K$32="ALL","ON","-"))</f>
        <v>-</v>
      </c>
      <c r="C344" s="88" t="s">
        <v>110</v>
      </c>
      <c r="D344" s="89">
        <f>IF(C344="ID",1,(IF(C344="PR",2,(IF(C344="DE",3,(IF(C344="RS",4,(IF(C344="RC",5,0)))))))))</f>
        <v>1</v>
      </c>
      <c r="E344" s="89" t="s">
        <v>136</v>
      </c>
      <c r="F344" s="89">
        <f>IF(E344="AM",1,(IF(E344="BE",2,(IF(E344="GV",3,(IF(E344="RA",4,(IF(E344="RM",5,(IF(E344="AC",1,(IF(E344="AT",2,(IF(E344="DS",3,(IF(E344="IP",4,(IF(E344="MA",5,(IF(E344="PT",6,(IF(E344="AE",1,(IF(E344="CM",2,(IF(E344="DP",3,(IF(E344="AN",1,(IF(E344="CO",2,(IF(E344="IM",3,(IF(E344="MI",4,(IF(E344="RP",5,(IF(E344="SC",6,0)))))))))))))))))))))))))))))))))))))))</f>
        <v>3</v>
      </c>
      <c r="G344" s="52">
        <v>2</v>
      </c>
      <c r="H344" s="90" t="s">
        <v>115</v>
      </c>
      <c r="I344" s="93" t="s">
        <v>60</v>
      </c>
      <c r="J344" s="87" t="s">
        <v>3138</v>
      </c>
      <c r="K344" s="51" t="s">
        <v>5251</v>
      </c>
      <c r="L344" s="117">
        <f>IF(O344="","",N344*O344*M344)</f>
        <v>0</v>
      </c>
      <c r="M344" s="108">
        <v>1</v>
      </c>
      <c r="N344" s="95">
        <v>1</v>
      </c>
      <c r="O344" s="109">
        <f>IF(Key!D$1="ON",P344,IF(SUM(Q344:DL344)&lt;1,"",SUM(Q344:DL344)/COUNTIF(Q344:DL344,"&gt;0")))</f>
        <v>0</v>
      </c>
      <c r="P344" s="109">
        <f>SUMIFS(Q344:DK344,Q$1:DK$1,Dashboard!$K$31)</f>
        <v>0</v>
      </c>
      <c r="U344" s="95">
        <v>33</v>
      </c>
      <c r="AA344" s="95">
        <v>25</v>
      </c>
      <c r="AH344" s="95">
        <v>75</v>
      </c>
    </row>
    <row r="345" spans="1:34" x14ac:dyDescent="0.3">
      <c r="A345" s="89" t="str">
        <f>CONCATENATE(D345,".",F345,"-",G345,".",H345,"")</f>
        <v>1.3-2.1</v>
      </c>
      <c r="B345" s="89" t="str">
        <f>IF(CONCATENATE(I345,Key!F$2)=CONCATENATE(INDEX(Dashboard!J:J,MATCH(I345,Dashboard!J:J,0),1),INDEX(Dashboard!J:K,MATCH(I345,Dashboard!J:J,0),2)),"ON",IF(Dashboard!K$32="ALL","ON","-"))</f>
        <v>-</v>
      </c>
      <c r="C345" s="88" t="s">
        <v>110</v>
      </c>
      <c r="D345" s="89">
        <f>IF(C345="ID",1,(IF(C345="PR",2,(IF(C345="DE",3,(IF(C345="RS",4,(IF(C345="RC",5,0)))))))))</f>
        <v>1</v>
      </c>
      <c r="E345" s="89" t="s">
        <v>136</v>
      </c>
      <c r="F345" s="89">
        <f>IF(E345="AM",1,(IF(E345="BE",2,(IF(E345="GV",3,(IF(E345="RA",4,(IF(E345="RM",5,(IF(E345="AC",1,(IF(E345="AT",2,(IF(E345="DS",3,(IF(E345="IP",4,(IF(E345="MA",5,(IF(E345="PT",6,(IF(E345="AE",1,(IF(E345="CM",2,(IF(E345="DP",3,(IF(E345="AN",1,(IF(E345="CO",2,(IF(E345="IM",3,(IF(E345="MI",4,(IF(E345="RP",5,(IF(E345="SC",6,0)))))))))))))))))))))))))))))))))))))))</f>
        <v>3</v>
      </c>
      <c r="G345" s="52">
        <v>2</v>
      </c>
      <c r="H345" s="89">
        <v>1</v>
      </c>
      <c r="I345" s="93" t="s">
        <v>60</v>
      </c>
      <c r="J345" s="87" t="s">
        <v>3139</v>
      </c>
      <c r="K345" s="51" t="s">
        <v>5252</v>
      </c>
      <c r="L345" s="117">
        <f>IF(O345="","",N345*O345*M345)</f>
        <v>0</v>
      </c>
      <c r="M345" s="108">
        <v>1</v>
      </c>
      <c r="N345" s="95">
        <v>1</v>
      </c>
      <c r="O345" s="109">
        <f>IF(Key!D$1="ON",P345,IF(SUM(Q345:DL345)&lt;1,"",SUM(Q345:DL345)/COUNTIF(Q345:DL345,"&gt;0")))</f>
        <v>0</v>
      </c>
      <c r="P345" s="109">
        <f>SUMIFS(Q345:DK345,Q$1:DK$1,Dashboard!$K$31)</f>
        <v>0</v>
      </c>
      <c r="U345" s="95">
        <v>33</v>
      </c>
      <c r="AA345" s="95">
        <v>25</v>
      </c>
      <c r="AH345" s="95">
        <v>75</v>
      </c>
    </row>
    <row r="346" spans="1:34" x14ac:dyDescent="0.3">
      <c r="A346" s="89" t="str">
        <f>CONCATENATE(D346,".",F346,"-",G346,".",H346,"")</f>
        <v>1.3-2.1</v>
      </c>
      <c r="B346" s="89" t="str">
        <f>IF(CONCATENATE(I346,Key!F$2)=CONCATENATE(INDEX(Dashboard!J:J,MATCH(I346,Dashboard!J:J,0),1),INDEX(Dashboard!J:K,MATCH(I346,Dashboard!J:J,0),2)),"ON",IF(Dashboard!K$32="ALL","ON","-"))</f>
        <v>-</v>
      </c>
      <c r="C346" s="88" t="s">
        <v>110</v>
      </c>
      <c r="D346" s="89">
        <f>IF(C346="ID",1,(IF(C346="PR",2,(IF(C346="DE",3,(IF(C346="RS",4,(IF(C346="RC",5,0)))))))))</f>
        <v>1</v>
      </c>
      <c r="E346" s="89" t="s">
        <v>136</v>
      </c>
      <c r="F346" s="89">
        <f>IF(E346="AM",1,(IF(E346="BE",2,(IF(E346="GV",3,(IF(E346="RA",4,(IF(E346="RM",5,(IF(E346="AC",1,(IF(E346="AT",2,(IF(E346="DS",3,(IF(E346="IP",4,(IF(E346="MA",5,(IF(E346="PT",6,(IF(E346="AE",1,(IF(E346="CM",2,(IF(E346="DP",3,(IF(E346="AN",1,(IF(E346="CO",2,(IF(E346="IM",3,(IF(E346="MI",4,(IF(E346="RP",5,(IF(E346="SC",6,0)))))))))))))))))))))))))))))))))))))))</f>
        <v>3</v>
      </c>
      <c r="G346" s="52">
        <v>2</v>
      </c>
      <c r="H346" s="89">
        <v>1</v>
      </c>
      <c r="I346" s="93" t="s">
        <v>60</v>
      </c>
      <c r="J346" s="88" t="s">
        <v>3123</v>
      </c>
      <c r="K346" s="51" t="s">
        <v>5236</v>
      </c>
      <c r="L346" s="117">
        <f>IF(O346="","",N346*O346*M346)</f>
        <v>0</v>
      </c>
      <c r="M346" s="108">
        <v>1</v>
      </c>
      <c r="N346" s="95">
        <v>1</v>
      </c>
      <c r="O346" s="109">
        <f>IF(Key!D$1="ON",P346,IF(SUM(Q346:DL346)&lt;1,"",SUM(Q346:DL346)/COUNTIF(Q346:DL346,"&gt;0")))</f>
        <v>0</v>
      </c>
      <c r="P346" s="109">
        <f>SUMIFS(Q346:DK346,Q$1:DK$1,Dashboard!$K$31)</f>
        <v>0</v>
      </c>
      <c r="U346" s="95">
        <v>33</v>
      </c>
      <c r="AA346" s="95">
        <v>25</v>
      </c>
      <c r="AH346" s="95">
        <v>75</v>
      </c>
    </row>
    <row r="347" spans="1:34" x14ac:dyDescent="0.3">
      <c r="A347" s="89" t="str">
        <f>CONCATENATE(D347,".",F347,"-",G347,".",H347,"")</f>
        <v>1.3-2.1</v>
      </c>
      <c r="B347" s="89" t="str">
        <f>IF(CONCATENATE(I347,Key!F$2)=CONCATENATE(INDEX(Dashboard!J:J,MATCH(I347,Dashboard!J:J,0),1),INDEX(Dashboard!J:K,MATCH(I347,Dashboard!J:J,0),2)),"ON",IF(Dashboard!K$32="ALL","ON","-"))</f>
        <v>-</v>
      </c>
      <c r="C347" s="88" t="s">
        <v>110</v>
      </c>
      <c r="D347" s="89">
        <f>IF(C347="ID",1,(IF(C347="PR",2,(IF(C347="DE",3,(IF(C347="RS",4,(IF(C347="RC",5,0)))))))))</f>
        <v>1</v>
      </c>
      <c r="E347" s="89" t="s">
        <v>136</v>
      </c>
      <c r="F347" s="89">
        <f>IF(E347="AM",1,(IF(E347="BE",2,(IF(E347="GV",3,(IF(E347="RA",4,(IF(E347="RM",5,(IF(E347="AC",1,(IF(E347="AT",2,(IF(E347="DS",3,(IF(E347="IP",4,(IF(E347="MA",5,(IF(E347="PT",6,(IF(E347="AE",1,(IF(E347="CM",2,(IF(E347="DP",3,(IF(E347="AN",1,(IF(E347="CO",2,(IF(E347="IM",3,(IF(E347="MI",4,(IF(E347="RP",5,(IF(E347="SC",6,0)))))))))))))))))))))))))))))))))))))))</f>
        <v>3</v>
      </c>
      <c r="G347" s="52">
        <v>2</v>
      </c>
      <c r="H347" s="90" t="s">
        <v>115</v>
      </c>
      <c r="I347" s="93" t="s">
        <v>60</v>
      </c>
      <c r="J347" s="87" t="s">
        <v>3140</v>
      </c>
      <c r="K347" s="51" t="s">
        <v>5253</v>
      </c>
      <c r="L347" s="117">
        <f>IF(O347="","",N347*O347*M347)</f>
        <v>0</v>
      </c>
      <c r="M347" s="108">
        <v>1</v>
      </c>
      <c r="N347" s="95">
        <v>1</v>
      </c>
      <c r="O347" s="109">
        <f>IF(Key!D$1="ON",P347,IF(SUM(Q347:DL347)&lt;1,"",SUM(Q347:DL347)/COUNTIF(Q347:DL347,"&gt;0")))</f>
        <v>0</v>
      </c>
      <c r="P347" s="109">
        <f>SUMIFS(Q347:DK347,Q$1:DK$1,Dashboard!$K$31)</f>
        <v>0</v>
      </c>
      <c r="U347" s="95">
        <v>33</v>
      </c>
      <c r="AA347" s="95">
        <v>25</v>
      </c>
      <c r="AH347" s="95">
        <v>75</v>
      </c>
    </row>
    <row r="348" spans="1:34" x14ac:dyDescent="0.3">
      <c r="A348" s="89" t="str">
        <f>CONCATENATE(D348,".",F348,"-",G348,".",H348,"")</f>
        <v>1.3-2.1</v>
      </c>
      <c r="B348" s="89" t="str">
        <f>IF(CONCATENATE(I348,Key!F$2)=CONCATENATE(INDEX(Dashboard!J:J,MATCH(I348,Dashboard!J:J,0),1),INDEX(Dashboard!J:K,MATCH(I348,Dashboard!J:J,0),2)),"ON",IF(Dashboard!K$32="ALL","ON","-"))</f>
        <v>-</v>
      </c>
      <c r="C348" s="88" t="s">
        <v>110</v>
      </c>
      <c r="D348" s="89">
        <f>IF(C348="ID",1,(IF(C348="PR",2,(IF(C348="DE",3,(IF(C348="RS",4,(IF(C348="RC",5,0)))))))))</f>
        <v>1</v>
      </c>
      <c r="E348" s="89" t="s">
        <v>136</v>
      </c>
      <c r="F348" s="89">
        <f>IF(E348="AM",1,(IF(E348="BE",2,(IF(E348="GV",3,(IF(E348="RA",4,(IF(E348="RM",5,(IF(E348="AC",1,(IF(E348="AT",2,(IF(E348="DS",3,(IF(E348="IP",4,(IF(E348="MA",5,(IF(E348="PT",6,(IF(E348="AE",1,(IF(E348="CM",2,(IF(E348="DP",3,(IF(E348="AN",1,(IF(E348="CO",2,(IF(E348="IM",3,(IF(E348="MI",4,(IF(E348="RP",5,(IF(E348="SC",6,0)))))))))))))))))))))))))))))))))))))))</f>
        <v>3</v>
      </c>
      <c r="G348" s="52">
        <v>2</v>
      </c>
      <c r="H348" s="90" t="s">
        <v>115</v>
      </c>
      <c r="I348" s="93" t="s">
        <v>60</v>
      </c>
      <c r="J348" s="87" t="s">
        <v>3141</v>
      </c>
      <c r="K348" s="51" t="s">
        <v>5254</v>
      </c>
      <c r="L348" s="117">
        <f>IF(O348="","",N348*O348*M348)</f>
        <v>0</v>
      </c>
      <c r="M348" s="108">
        <v>1</v>
      </c>
      <c r="N348" s="95">
        <v>1</v>
      </c>
      <c r="O348" s="109">
        <f>IF(Key!D$1="ON",P348,IF(SUM(Q348:DL348)&lt;1,"",SUM(Q348:DL348)/COUNTIF(Q348:DL348,"&gt;0")))</f>
        <v>0</v>
      </c>
      <c r="P348" s="109">
        <f>SUMIFS(Q348:DK348,Q$1:DK$1,Dashboard!$K$31)</f>
        <v>0</v>
      </c>
      <c r="U348" s="95">
        <v>33</v>
      </c>
      <c r="AA348" s="95">
        <v>25</v>
      </c>
      <c r="AH348" s="95">
        <v>75</v>
      </c>
    </row>
    <row r="349" spans="1:34" x14ac:dyDescent="0.3">
      <c r="A349" s="89" t="str">
        <f>CONCATENATE(D349,".",F349,"-",G349,".",H349,"")</f>
        <v>1.3-2.1</v>
      </c>
      <c r="B349" s="89" t="str">
        <f>IF(CONCATENATE(I349,Key!F$2)=CONCATENATE(INDEX(Dashboard!J:J,MATCH(I349,Dashboard!J:J,0),1),INDEX(Dashboard!J:K,MATCH(I349,Dashboard!J:J,0),2)),"ON",IF(Dashboard!K$32="ALL","ON","-"))</f>
        <v>-</v>
      </c>
      <c r="C349" s="88" t="s">
        <v>110</v>
      </c>
      <c r="D349" s="89">
        <f>IF(C349="ID",1,(IF(C349="PR",2,(IF(C349="DE",3,(IF(C349="RS",4,(IF(C349="RC",5,0)))))))))</f>
        <v>1</v>
      </c>
      <c r="E349" s="89" t="s">
        <v>136</v>
      </c>
      <c r="F349" s="89">
        <f>IF(E349="AM",1,(IF(E349="BE",2,(IF(E349="GV",3,(IF(E349="RA",4,(IF(E349="RM",5,(IF(E349="AC",1,(IF(E349="AT",2,(IF(E349="DS",3,(IF(E349="IP",4,(IF(E349="MA",5,(IF(E349="PT",6,(IF(E349="AE",1,(IF(E349="CM",2,(IF(E349="DP",3,(IF(E349="AN",1,(IF(E349="CO",2,(IF(E349="IM",3,(IF(E349="MI",4,(IF(E349="RP",5,(IF(E349="SC",6,0)))))))))))))))))))))))))))))))))))))))</f>
        <v>3</v>
      </c>
      <c r="G349" s="52">
        <v>2</v>
      </c>
      <c r="H349" s="89">
        <v>1</v>
      </c>
      <c r="I349" s="93" t="s">
        <v>60</v>
      </c>
      <c r="J349" s="88" t="s">
        <v>3132</v>
      </c>
      <c r="K349" s="51" t="s">
        <v>5245</v>
      </c>
      <c r="L349" s="117">
        <f>IF(O349="","",N349*O349*M349)</f>
        <v>0</v>
      </c>
      <c r="M349" s="108">
        <v>1</v>
      </c>
      <c r="N349" s="95">
        <v>1</v>
      </c>
      <c r="O349" s="109">
        <f>IF(Key!D$1="ON",P349,IF(SUM(Q349:DL349)&lt;1,"",SUM(Q349:DL349)/COUNTIF(Q349:DL349,"&gt;0")))</f>
        <v>0</v>
      </c>
      <c r="P349" s="109">
        <f>SUMIFS(Q349:DK349,Q$1:DK$1,Dashboard!$K$31)</f>
        <v>0</v>
      </c>
      <c r="U349" s="95">
        <v>33</v>
      </c>
      <c r="AA349" s="95">
        <v>25</v>
      </c>
      <c r="AH349" s="95">
        <v>75</v>
      </c>
    </row>
    <row r="350" spans="1:34" x14ac:dyDescent="0.3">
      <c r="A350" s="89" t="str">
        <f>CONCATENATE(D350,".",F350,"-",G350,".",H350,"")</f>
        <v>1.3-2.1</v>
      </c>
      <c r="B350" s="89" t="str">
        <f>IF(CONCATENATE(I350,Key!F$2)=CONCATENATE(INDEX(Dashboard!J:J,MATCH(I350,Dashboard!J:J,0),1),INDEX(Dashboard!J:K,MATCH(I350,Dashboard!J:J,0),2)),"ON",IF(Dashboard!K$32="ALL","ON","-"))</f>
        <v>-</v>
      </c>
      <c r="C350" s="88" t="s">
        <v>110</v>
      </c>
      <c r="D350" s="89">
        <f>IF(C350="ID",1,(IF(C350="PR",2,(IF(C350="DE",3,(IF(C350="RS",4,(IF(C350="RC",5,0)))))))))</f>
        <v>1</v>
      </c>
      <c r="E350" s="89" t="s">
        <v>136</v>
      </c>
      <c r="F350" s="89">
        <f>IF(E350="AM",1,(IF(E350="BE",2,(IF(E350="GV",3,(IF(E350="RA",4,(IF(E350="RM",5,(IF(E350="AC",1,(IF(E350="AT",2,(IF(E350="DS",3,(IF(E350="IP",4,(IF(E350="MA",5,(IF(E350="PT",6,(IF(E350="AE",1,(IF(E350="CM",2,(IF(E350="DP",3,(IF(E350="AN",1,(IF(E350="CO",2,(IF(E350="IM",3,(IF(E350="MI",4,(IF(E350="RP",5,(IF(E350="SC",6,0)))))))))))))))))))))))))))))))))))))))</f>
        <v>3</v>
      </c>
      <c r="G350" s="52">
        <v>2</v>
      </c>
      <c r="H350" s="90" t="s">
        <v>115</v>
      </c>
      <c r="I350" s="93" t="s">
        <v>60</v>
      </c>
      <c r="J350" s="87" t="s">
        <v>3142</v>
      </c>
      <c r="K350" s="51" t="s">
        <v>5255</v>
      </c>
      <c r="L350" s="117">
        <f>IF(O350="","",N350*O350*M350)</f>
        <v>0</v>
      </c>
      <c r="M350" s="108">
        <v>1</v>
      </c>
      <c r="N350" s="95">
        <v>1</v>
      </c>
      <c r="O350" s="109">
        <f>IF(Key!D$1="ON",P350,IF(SUM(Q350:DL350)&lt;1,"",SUM(Q350:DL350)/COUNTIF(Q350:DL350,"&gt;0")))</f>
        <v>0</v>
      </c>
      <c r="P350" s="109">
        <f>SUMIFS(Q350:DK350,Q$1:DK$1,Dashboard!$K$31)</f>
        <v>0</v>
      </c>
      <c r="U350" s="95">
        <v>33</v>
      </c>
      <c r="AA350" s="95">
        <v>25</v>
      </c>
      <c r="AH350" s="95">
        <v>75</v>
      </c>
    </row>
    <row r="351" spans="1:34" ht="15.6" x14ac:dyDescent="0.3">
      <c r="A351" s="89" t="str">
        <f>CONCATENATE(D351,".",F351,"-",G351,".",H351,"")</f>
        <v>1.3-2.1</v>
      </c>
      <c r="B351" s="89" t="str">
        <f>IF(CONCATENATE(I351,Key!F$2)=CONCATENATE(INDEX(Dashboard!J:J,MATCH(I351,Dashboard!J:J,0),1),INDEX(Dashboard!J:K,MATCH(I351,Dashboard!J:J,0),2)),"ON",IF(Dashboard!K$32="ALL","ON","-"))</f>
        <v>-</v>
      </c>
      <c r="C351" s="88" t="s">
        <v>110</v>
      </c>
      <c r="D351" s="89">
        <f>IF(C351="ID",1,(IF(C351="PR",2,(IF(C351="DE",3,(IF(C351="RS",4,(IF(C351="RC",5,0)))))))))</f>
        <v>1</v>
      </c>
      <c r="E351" s="89" t="s">
        <v>136</v>
      </c>
      <c r="F351" s="89">
        <f>IF(E351="AM",1,(IF(E351="BE",2,(IF(E351="GV",3,(IF(E351="RA",4,(IF(E351="RM",5,(IF(E351="AC",1,(IF(E351="AT",2,(IF(E351="DS",3,(IF(E351="IP",4,(IF(E351="MA",5,(IF(E351="PT",6,(IF(E351="AE",1,(IF(E351="CM",2,(IF(E351="DP",3,(IF(E351="AN",1,(IF(E351="CO",2,(IF(E351="IM",3,(IF(E351="MI",4,(IF(E351="RP",5,(IF(E351="SC",6,0)))))))))))))))))))))))))))))))))))))))</f>
        <v>3</v>
      </c>
      <c r="G351" s="52">
        <v>2</v>
      </c>
      <c r="H351" s="89">
        <v>1</v>
      </c>
      <c r="I351" s="93" t="s">
        <v>60</v>
      </c>
      <c r="J351" s="88" t="s">
        <v>3128</v>
      </c>
      <c r="K351" s="51" t="s">
        <v>5241</v>
      </c>
      <c r="L351" s="117">
        <f>IF(O351="","",N351*O351*M351)</f>
        <v>0</v>
      </c>
      <c r="M351" s="108">
        <v>1</v>
      </c>
      <c r="N351" s="95">
        <v>1</v>
      </c>
      <c r="O351" s="109">
        <f>IF(Key!D$1="ON",P351,IF(SUM(Q351:DL351)&lt;1,"",SUM(Q351:DL351)/COUNTIF(Q351:DL351,"&gt;0")))</f>
        <v>0</v>
      </c>
      <c r="P351" s="109">
        <f>SUMIFS(Q351:DK351,Q$1:DK$1,Dashboard!$K$31)</f>
        <v>0</v>
      </c>
      <c r="U351" s="95">
        <v>33</v>
      </c>
      <c r="AA351" s="95">
        <v>25</v>
      </c>
      <c r="AH351" s="95">
        <v>75</v>
      </c>
    </row>
    <row r="352" spans="1:34" ht="15.6" x14ac:dyDescent="0.3">
      <c r="A352" s="89" t="str">
        <f>CONCATENATE(D352,".",F352,"-",G352,".",H352,"")</f>
        <v>1.3-2.1</v>
      </c>
      <c r="B352" s="89" t="str">
        <f>IF(CONCATENATE(I352,Key!F$2)=CONCATENATE(INDEX(Dashboard!J:J,MATCH(I352,Dashboard!J:J,0),1),INDEX(Dashboard!J:K,MATCH(I352,Dashboard!J:J,0),2)),"ON",IF(Dashboard!K$32="ALL","ON","-"))</f>
        <v>-</v>
      </c>
      <c r="C352" s="88" t="s">
        <v>110</v>
      </c>
      <c r="D352" s="89">
        <f>IF(C352="ID",1,(IF(C352="PR",2,(IF(C352="DE",3,(IF(C352="RS",4,(IF(C352="RC",5,0)))))))))</f>
        <v>1</v>
      </c>
      <c r="E352" s="89" t="s">
        <v>136</v>
      </c>
      <c r="F352" s="89">
        <f>IF(E352="AM",1,(IF(E352="BE",2,(IF(E352="GV",3,(IF(E352="RA",4,(IF(E352="RM",5,(IF(E352="AC",1,(IF(E352="AT",2,(IF(E352="DS",3,(IF(E352="IP",4,(IF(E352="MA",5,(IF(E352="PT",6,(IF(E352="AE",1,(IF(E352="CM",2,(IF(E352="DP",3,(IF(E352="AN",1,(IF(E352="CO",2,(IF(E352="IM",3,(IF(E352="MI",4,(IF(E352="RP",5,(IF(E352="SC",6,0)))))))))))))))))))))))))))))))))))))))</f>
        <v>3</v>
      </c>
      <c r="G352" s="52">
        <v>2</v>
      </c>
      <c r="H352" s="89">
        <v>1</v>
      </c>
      <c r="I352" s="93" t="s">
        <v>60</v>
      </c>
      <c r="J352" s="88" t="s">
        <v>3143</v>
      </c>
      <c r="K352" s="51" t="s">
        <v>5256</v>
      </c>
      <c r="L352" s="117">
        <f>IF(O352="","",N352*O352*M352)</f>
        <v>0</v>
      </c>
      <c r="M352" s="108">
        <v>1</v>
      </c>
      <c r="N352" s="95">
        <v>1</v>
      </c>
      <c r="O352" s="109">
        <f>IF(Key!D$1="ON",P352,IF(SUM(Q352:DL352)&lt;1,"",SUM(Q352:DL352)/COUNTIF(Q352:DL352,"&gt;0")))</f>
        <v>0</v>
      </c>
      <c r="P352" s="109">
        <f>SUMIFS(Q352:DK352,Q$1:DK$1,Dashboard!$K$31)</f>
        <v>0</v>
      </c>
      <c r="U352" s="95">
        <v>33</v>
      </c>
      <c r="AA352" s="95">
        <v>25</v>
      </c>
      <c r="AH352" s="95">
        <v>75</v>
      </c>
    </row>
    <row r="353" spans="1:34" ht="15.6" x14ac:dyDescent="0.3">
      <c r="A353" s="89" t="str">
        <f>CONCATENATE(D353,".",F353,"-",G353,".",H353,"")</f>
        <v>1.3-2.1</v>
      </c>
      <c r="B353" s="89" t="str">
        <f>IF(CONCATENATE(I353,Key!F$2)=CONCATENATE(INDEX(Dashboard!J:J,MATCH(I353,Dashboard!J:J,0),1),INDEX(Dashboard!J:K,MATCH(I353,Dashboard!J:J,0),2)),"ON",IF(Dashboard!K$32="ALL","ON","-"))</f>
        <v>-</v>
      </c>
      <c r="C353" s="88" t="s">
        <v>110</v>
      </c>
      <c r="D353" s="89">
        <f>IF(C353="ID",1,(IF(C353="PR",2,(IF(C353="DE",3,(IF(C353="RS",4,(IF(C353="RC",5,0)))))))))</f>
        <v>1</v>
      </c>
      <c r="E353" s="89" t="s">
        <v>136</v>
      </c>
      <c r="F353" s="89">
        <f>IF(E353="AM",1,(IF(E353="BE",2,(IF(E353="GV",3,(IF(E353="RA",4,(IF(E353="RM",5,(IF(E353="AC",1,(IF(E353="AT",2,(IF(E353="DS",3,(IF(E353="IP",4,(IF(E353="MA",5,(IF(E353="PT",6,(IF(E353="AE",1,(IF(E353="CM",2,(IF(E353="DP",3,(IF(E353="AN",1,(IF(E353="CO",2,(IF(E353="IM",3,(IF(E353="MI",4,(IF(E353="RP",5,(IF(E353="SC",6,0)))))))))))))))))))))))))))))))))))))))</f>
        <v>3</v>
      </c>
      <c r="G353" s="52">
        <v>2</v>
      </c>
      <c r="H353" s="90" t="s">
        <v>115</v>
      </c>
      <c r="I353" s="93" t="s">
        <v>77</v>
      </c>
      <c r="J353" s="87" t="s">
        <v>1020</v>
      </c>
      <c r="K353" s="102" t="s">
        <v>2077</v>
      </c>
      <c r="L353" s="117">
        <f>IF(O353="","",N353*O353*M353)</f>
        <v>0</v>
      </c>
      <c r="M353" s="108">
        <v>1</v>
      </c>
      <c r="N353" s="95">
        <v>1</v>
      </c>
      <c r="O353" s="109">
        <f>IF(Key!D$1="ON",P353,IF(SUM(Q353:DL353)&lt;1,"",SUM(Q353:DL353)/COUNTIF(Q353:DL353,"&gt;0")))</f>
        <v>0</v>
      </c>
      <c r="P353" s="109">
        <f>SUMIFS(Q353:DK353,Q$1:DK$1,Dashboard!$K$31)</f>
        <v>0</v>
      </c>
      <c r="U353" s="95">
        <v>33</v>
      </c>
      <c r="AA353" s="95">
        <v>25</v>
      </c>
      <c r="AH353" s="95">
        <v>75</v>
      </c>
    </row>
    <row r="354" spans="1:34" ht="15.6" x14ac:dyDescent="0.3">
      <c r="A354" s="89" t="str">
        <f>CONCATENATE(D354,".",F354,"-",G354,".",H354,"")</f>
        <v>1.3-2.1</v>
      </c>
      <c r="B354" s="89" t="str">
        <f>IF(CONCATENATE(I354,Key!F$2)=CONCATENATE(INDEX(Dashboard!J:J,MATCH(I354,Dashboard!J:J,0),1),INDEX(Dashboard!J:K,MATCH(I354,Dashboard!J:J,0),2)),"ON",IF(Dashboard!K$32="ALL","ON","-"))</f>
        <v>-</v>
      </c>
      <c r="C354" s="88" t="s">
        <v>110</v>
      </c>
      <c r="D354" s="89">
        <f>IF(C354="ID",1,(IF(C354="PR",2,(IF(C354="DE",3,(IF(C354="RS",4,(IF(C354="RC",5,0)))))))))</f>
        <v>1</v>
      </c>
      <c r="E354" s="89" t="s">
        <v>136</v>
      </c>
      <c r="F354" s="89">
        <f>IF(E354="AM",1,(IF(E354="BE",2,(IF(E354="GV",3,(IF(E354="RA",4,(IF(E354="RM",5,(IF(E354="AC",1,(IF(E354="AT",2,(IF(E354="DS",3,(IF(E354="IP",4,(IF(E354="MA",5,(IF(E354="PT",6,(IF(E354="AE",1,(IF(E354="CM",2,(IF(E354="DP",3,(IF(E354="AN",1,(IF(E354="CO",2,(IF(E354="IM",3,(IF(E354="MI",4,(IF(E354="RP",5,(IF(E354="SC",6,0)))))))))))))))))))))))))))))))))))))))</f>
        <v>3</v>
      </c>
      <c r="G354" s="52">
        <v>2</v>
      </c>
      <c r="H354" s="90" t="s">
        <v>115</v>
      </c>
      <c r="I354" s="93" t="s">
        <v>77</v>
      </c>
      <c r="J354" s="87" t="s">
        <v>1021</v>
      </c>
      <c r="K354" s="102" t="s">
        <v>2078</v>
      </c>
      <c r="L354" s="117">
        <f>IF(O354="","",N354*O354*M354)</f>
        <v>0</v>
      </c>
      <c r="M354" s="108">
        <v>1</v>
      </c>
      <c r="N354" s="95">
        <v>1</v>
      </c>
      <c r="O354" s="109">
        <f>IF(Key!D$1="ON",P354,IF(SUM(Q354:DL354)&lt;1,"",SUM(Q354:DL354)/COUNTIF(Q354:DL354,"&gt;0")))</f>
        <v>0</v>
      </c>
      <c r="P354" s="109">
        <f>SUMIFS(Q354:DK354,Q$1:DK$1,Dashboard!$K$31)</f>
        <v>0</v>
      </c>
      <c r="U354" s="95">
        <v>33</v>
      </c>
      <c r="AA354" s="95">
        <v>25</v>
      </c>
      <c r="AH354" s="95">
        <v>75</v>
      </c>
    </row>
    <row r="355" spans="1:34" ht="15.6" x14ac:dyDescent="0.3">
      <c r="A355" s="89" t="str">
        <f>CONCATENATE(D355,".",F355,"-",G355,".",H355,"")</f>
        <v>1.3-2.1</v>
      </c>
      <c r="B355" s="89" t="str">
        <f>IF(CONCATENATE(I355,Key!F$2)=CONCATENATE(INDEX(Dashboard!J:J,MATCH(I355,Dashboard!J:J,0),1),INDEX(Dashboard!J:K,MATCH(I355,Dashboard!J:J,0),2)),"ON",IF(Dashboard!K$32="ALL","ON","-"))</f>
        <v>-</v>
      </c>
      <c r="C355" s="88" t="s">
        <v>110</v>
      </c>
      <c r="D355" s="89">
        <f>IF(C355="ID",1,(IF(C355="PR",2,(IF(C355="DE",3,(IF(C355="RS",4,(IF(C355="RC",5,0)))))))))</f>
        <v>1</v>
      </c>
      <c r="E355" s="89" t="s">
        <v>136</v>
      </c>
      <c r="F355" s="89">
        <f>IF(E355="AM",1,(IF(E355="BE",2,(IF(E355="GV",3,(IF(E355="RA",4,(IF(E355="RM",5,(IF(E355="AC",1,(IF(E355="AT",2,(IF(E355="DS",3,(IF(E355="IP",4,(IF(E355="MA",5,(IF(E355="PT",6,(IF(E355="AE",1,(IF(E355="CM",2,(IF(E355="DP",3,(IF(E355="AN",1,(IF(E355="CO",2,(IF(E355="IM",3,(IF(E355="MI",4,(IF(E355="RP",5,(IF(E355="SC",6,0)))))))))))))))))))))))))))))))))))))))</f>
        <v>3</v>
      </c>
      <c r="G355" s="52">
        <v>2</v>
      </c>
      <c r="H355" s="90" t="s">
        <v>115</v>
      </c>
      <c r="I355" s="93" t="s">
        <v>77</v>
      </c>
      <c r="J355" s="87" t="s">
        <v>1022</v>
      </c>
      <c r="K355" s="102" t="s">
        <v>2034</v>
      </c>
      <c r="L355" s="117">
        <f>IF(O355="","",N355*O355*M355)</f>
        <v>0</v>
      </c>
      <c r="M355" s="108">
        <v>1</v>
      </c>
      <c r="N355" s="95">
        <v>1</v>
      </c>
      <c r="O355" s="109">
        <f>IF(Key!D$1="ON",P355,IF(SUM(Q355:DL355)&lt;1,"",SUM(Q355:DL355)/COUNTIF(Q355:DL355,"&gt;0")))</f>
        <v>0</v>
      </c>
      <c r="P355" s="109">
        <f>SUMIFS(Q355:DK355,Q$1:DK$1,Dashboard!$K$31)</f>
        <v>0</v>
      </c>
      <c r="U355" s="95">
        <v>33</v>
      </c>
      <c r="AA355" s="95">
        <v>25</v>
      </c>
      <c r="AH355" s="95">
        <v>75</v>
      </c>
    </row>
    <row r="356" spans="1:34" ht="15.6" x14ac:dyDescent="0.3">
      <c r="A356" s="89" t="str">
        <f>CONCATENATE(D356,".",F356,"-",G356,".",H356,"")</f>
        <v>1.3-2.1</v>
      </c>
      <c r="B356" s="89" t="str">
        <f>IF(CONCATENATE(I356,Key!F$2)=CONCATENATE(INDEX(Dashboard!J:J,MATCH(I356,Dashboard!J:J,0),1),INDEX(Dashboard!J:K,MATCH(I356,Dashboard!J:J,0),2)),"ON",IF(Dashboard!K$32="ALL","ON","-"))</f>
        <v>-</v>
      </c>
      <c r="C356" s="88" t="s">
        <v>110</v>
      </c>
      <c r="D356" s="89">
        <f>IF(C356="ID",1,(IF(C356="PR",2,(IF(C356="DE",3,(IF(C356="RS",4,(IF(C356="RC",5,0)))))))))</f>
        <v>1</v>
      </c>
      <c r="E356" s="89" t="s">
        <v>136</v>
      </c>
      <c r="F356" s="89">
        <f>IF(E356="AM",1,(IF(E356="BE",2,(IF(E356="GV",3,(IF(E356="RA",4,(IF(E356="RM",5,(IF(E356="AC",1,(IF(E356="AT",2,(IF(E356="DS",3,(IF(E356="IP",4,(IF(E356="MA",5,(IF(E356="PT",6,(IF(E356="AE",1,(IF(E356="CM",2,(IF(E356="DP",3,(IF(E356="AN",1,(IF(E356="CO",2,(IF(E356="IM",3,(IF(E356="MI",4,(IF(E356="RP",5,(IF(E356="SC",6,0)))))))))))))))))))))))))))))))))))))))</f>
        <v>3</v>
      </c>
      <c r="G356" s="98">
        <v>2</v>
      </c>
      <c r="H356" s="90" t="s">
        <v>115</v>
      </c>
      <c r="I356" s="93" t="s">
        <v>77</v>
      </c>
      <c r="J356" s="87" t="s">
        <v>1024</v>
      </c>
      <c r="K356" s="102" t="s">
        <v>2079</v>
      </c>
      <c r="L356" s="117">
        <f>IF(O356="","",N356*O356*M356)</f>
        <v>0</v>
      </c>
      <c r="M356" s="108">
        <v>1</v>
      </c>
      <c r="N356" s="95">
        <v>1</v>
      </c>
      <c r="O356" s="109">
        <f>IF(Key!D$1="ON",P356,IF(SUM(Q356:DL356)&lt;1,"",SUM(Q356:DL356)/COUNTIF(Q356:DL356,"&gt;0")))</f>
        <v>0</v>
      </c>
      <c r="P356" s="109">
        <f>SUMIFS(Q356:DK356,Q$1:DK$1,Dashboard!$K$31)</f>
        <v>0</v>
      </c>
      <c r="U356" s="95">
        <v>33</v>
      </c>
      <c r="AA356" s="95">
        <v>25</v>
      </c>
      <c r="AH356" s="95">
        <v>75</v>
      </c>
    </row>
    <row r="357" spans="1:34" x14ac:dyDescent="0.3">
      <c r="A357" s="89" t="str">
        <f>CONCATENATE(D357,".",F357,"-",G357,".",H357,"")</f>
        <v>1.3-2.1</v>
      </c>
      <c r="B357" s="89" t="str">
        <f>IF(CONCATENATE(I357,Key!F$2)=CONCATENATE(INDEX(Dashboard!J:J,MATCH(I357,Dashboard!J:J,0),1),INDEX(Dashboard!J:K,MATCH(I357,Dashboard!J:J,0),2)),"ON",IF(Dashboard!K$32="ALL","ON","-"))</f>
        <v>-</v>
      </c>
      <c r="C357" s="88" t="s">
        <v>110</v>
      </c>
      <c r="D357" s="89">
        <f>IF(C357="ID",1,(IF(C357="PR",2,(IF(C357="DE",3,(IF(C357="RS",4,(IF(C357="RC",5,0)))))))))</f>
        <v>1</v>
      </c>
      <c r="E357" s="89" t="s">
        <v>136</v>
      </c>
      <c r="F357" s="89">
        <f>IF(E357="AM",1,(IF(E357="BE",2,(IF(E357="GV",3,(IF(E357="RA",4,(IF(E357="RM",5,(IF(E357="AC",1,(IF(E357="AT",2,(IF(E357="DS",3,(IF(E357="IP",4,(IF(E357="MA",5,(IF(E357="PT",6,(IF(E357="AE",1,(IF(E357="CM",2,(IF(E357="DP",3,(IF(E357="AN",1,(IF(E357="CO",2,(IF(E357="IM",3,(IF(E357="MI",4,(IF(E357="RP",5,(IF(E357="SC",6,0)))))))))))))))))))))))))))))))))))))))</f>
        <v>3</v>
      </c>
      <c r="G357" s="98">
        <v>2</v>
      </c>
      <c r="H357" s="90" t="s">
        <v>115</v>
      </c>
      <c r="I357" s="93" t="s">
        <v>81</v>
      </c>
      <c r="J357" s="129" t="s">
        <v>1970</v>
      </c>
      <c r="K357" s="103" t="s">
        <v>1971</v>
      </c>
      <c r="L357" s="117">
        <f>IF(O357="","",N357*O357*M357)</f>
        <v>0</v>
      </c>
      <c r="M357" s="108">
        <v>1</v>
      </c>
      <c r="N357" s="95">
        <v>1</v>
      </c>
      <c r="O357" s="109">
        <f>IF(Key!D$1="ON",P357,IF(SUM(Q357:DL357)&lt;1,"",SUM(Q357:DL357)/COUNTIF(Q357:DL357,"&gt;0")))</f>
        <v>0</v>
      </c>
      <c r="P357" s="109">
        <f>SUMIFS(Q357:DK357,Q$1:DK$1,Dashboard!$K$31)</f>
        <v>0</v>
      </c>
      <c r="U357" s="95">
        <v>33</v>
      </c>
      <c r="AA357" s="95">
        <v>25</v>
      </c>
      <c r="AH357" s="95">
        <v>75</v>
      </c>
    </row>
    <row r="358" spans="1:34" x14ac:dyDescent="0.3">
      <c r="A358" s="89" t="str">
        <f>CONCATENATE(D358,".",F358,"-",G358,".",H358,"")</f>
        <v>1.3-2.1</v>
      </c>
      <c r="B358" s="89" t="str">
        <f>IF(CONCATENATE(I358,Key!F$2)=CONCATENATE(INDEX(Dashboard!J:J,MATCH(I358,Dashboard!J:J,0),1),INDEX(Dashboard!J:K,MATCH(I358,Dashboard!J:J,0),2)),"ON",IF(Dashboard!K$32="ALL","ON","-"))</f>
        <v>-</v>
      </c>
      <c r="C358" s="88" t="s">
        <v>110</v>
      </c>
      <c r="D358" s="89">
        <f>IF(C358="ID",1,(IF(C358="PR",2,(IF(C358="DE",3,(IF(C358="RS",4,(IF(C358="RC",5,0)))))))))</f>
        <v>1</v>
      </c>
      <c r="E358" s="89" t="s">
        <v>136</v>
      </c>
      <c r="F358" s="89">
        <f>IF(E358="AM",1,(IF(E358="BE",2,(IF(E358="GV",3,(IF(E358="RA",4,(IF(E358="RM",5,(IF(E358="AC",1,(IF(E358="AT",2,(IF(E358="DS",3,(IF(E358="IP",4,(IF(E358="MA",5,(IF(E358="PT",6,(IF(E358="AE",1,(IF(E358="CM",2,(IF(E358="DP",3,(IF(E358="AN",1,(IF(E358="CO",2,(IF(E358="IM",3,(IF(E358="MI",4,(IF(E358="RP",5,(IF(E358="SC",6,0)))))))))))))))))))))))))))))))))))))))</f>
        <v>3</v>
      </c>
      <c r="G358" s="52">
        <v>2</v>
      </c>
      <c r="H358" s="89">
        <v>1</v>
      </c>
      <c r="I358" s="93" t="s">
        <v>85</v>
      </c>
      <c r="J358" s="86" t="s">
        <v>724</v>
      </c>
      <c r="K358" s="119" t="s">
        <v>725</v>
      </c>
      <c r="L358" s="117">
        <f>IF(O358="","",N358*O358*M358)</f>
        <v>0</v>
      </c>
      <c r="M358" s="108">
        <v>1</v>
      </c>
      <c r="N358" s="95">
        <v>1</v>
      </c>
      <c r="O358" s="109">
        <f>IF(Key!D$1="ON",P358,IF(SUM(Q358:DL358)&lt;1,"",SUM(Q358:DL358)/COUNTIF(Q358:DL358,"&gt;0")))</f>
        <v>0</v>
      </c>
      <c r="P358" s="109">
        <f>SUMIFS(Q358:DK358,Q$1:DK$1,Dashboard!$K$31)</f>
        <v>0</v>
      </c>
      <c r="U358" s="95">
        <v>33</v>
      </c>
      <c r="AA358" s="95">
        <v>25</v>
      </c>
      <c r="AH358" s="95">
        <v>75</v>
      </c>
    </row>
    <row r="359" spans="1:34" x14ac:dyDescent="0.3">
      <c r="A359" s="89" t="str">
        <f>CONCATENATE(D359,".",F359,"-",G359,".",H359,"")</f>
        <v>1.3-2.1</v>
      </c>
      <c r="B359" s="89" t="str">
        <f>IF(CONCATENATE(I359,Key!F$2)=CONCATENATE(INDEX(Dashboard!J:J,MATCH(I359,Dashboard!J:J,0),1),INDEX(Dashboard!J:K,MATCH(I359,Dashboard!J:J,0),2)),"ON",IF(Dashboard!K$32="ALL","ON","-"))</f>
        <v>-</v>
      </c>
      <c r="C359" s="88" t="s">
        <v>110</v>
      </c>
      <c r="D359" s="89">
        <f>IF(C359="ID",1,(IF(C359="PR",2,(IF(C359="DE",3,(IF(C359="RS",4,(IF(C359="RC",5,0)))))))))</f>
        <v>1</v>
      </c>
      <c r="E359" s="89" t="s">
        <v>136</v>
      </c>
      <c r="F359" s="89">
        <f>IF(E359="AM",1,(IF(E359="BE",2,(IF(E359="GV",3,(IF(E359="RA",4,(IF(E359="RM",5,(IF(E359="AC",1,(IF(E359="AT",2,(IF(E359="DS",3,(IF(E359="IP",4,(IF(E359="MA",5,(IF(E359="PT",6,(IF(E359="AE",1,(IF(E359="CM",2,(IF(E359="DP",3,(IF(E359="AN",1,(IF(E359="CO",2,(IF(E359="IM",3,(IF(E359="MI",4,(IF(E359="RP",5,(IF(E359="SC",6,0)))))))))))))))))))))))))))))))))))))))</f>
        <v>3</v>
      </c>
      <c r="G359" s="52">
        <v>2</v>
      </c>
      <c r="H359" s="90" t="s">
        <v>115</v>
      </c>
      <c r="I359" s="93" t="s">
        <v>85</v>
      </c>
      <c r="J359" s="87" t="s">
        <v>1020</v>
      </c>
      <c r="K359" s="119" t="s">
        <v>4592</v>
      </c>
      <c r="L359" s="117">
        <f>IF(O359="","",N359*O359*M359)</f>
        <v>0</v>
      </c>
      <c r="M359" s="108">
        <v>1</v>
      </c>
      <c r="N359" s="95">
        <v>1</v>
      </c>
      <c r="O359" s="109">
        <f>IF(Key!D$1="ON",P359,IF(SUM(Q359:DL359)&lt;1,"",SUM(Q359:DL359)/COUNTIF(Q359:DL359,"&gt;0")))</f>
        <v>0</v>
      </c>
      <c r="P359" s="109">
        <f>SUMIFS(Q359:DK359,Q$1:DK$1,Dashboard!$K$31)</f>
        <v>0</v>
      </c>
      <c r="U359" s="95">
        <v>33</v>
      </c>
      <c r="AA359" s="95">
        <v>25</v>
      </c>
      <c r="AH359" s="95">
        <v>75</v>
      </c>
    </row>
    <row r="360" spans="1:34" x14ac:dyDescent="0.3">
      <c r="A360" s="89" t="str">
        <f>CONCATENATE(D360,".",F360,"-",G360,".",H360,"")</f>
        <v>1.3-2.1</v>
      </c>
      <c r="B360" s="89" t="str">
        <f>IF(CONCATENATE(I360,Key!F$2)=CONCATENATE(INDEX(Dashboard!J:J,MATCH(I360,Dashboard!J:J,0),1),INDEX(Dashboard!J:K,MATCH(I360,Dashboard!J:J,0),2)),"ON",IF(Dashboard!K$32="ALL","ON","-"))</f>
        <v>-</v>
      </c>
      <c r="C360" s="96" t="s">
        <v>110</v>
      </c>
      <c r="D360" s="89">
        <f>IF(C360="ID",1,(IF(C360="PR",2,(IF(C360="DE",3,(IF(C360="RS",4,(IF(C360="RC",5,0)))))))))</f>
        <v>1</v>
      </c>
      <c r="E360" s="89" t="s">
        <v>136</v>
      </c>
      <c r="F360" s="89">
        <f>IF(E360="AM",1,(IF(E360="BE",2,(IF(E360="GV",3,(IF(E360="RA",4,(IF(E360="RM",5,(IF(E360="AC",1,(IF(E360="AT",2,(IF(E360="DS",3,(IF(E360="IP",4,(IF(E360="MA",5,(IF(E360="PT",6,(IF(E360="AE",1,(IF(E360="CM",2,(IF(E360="DP",3,(IF(E360="AN",1,(IF(E360="CO",2,(IF(E360="IM",3,(IF(E360="MI",4,(IF(E360="RP",5,(IF(E360="SC",6,0)))))))))))))))))))))))))))))))))))))))</f>
        <v>3</v>
      </c>
      <c r="G360" s="98">
        <v>2</v>
      </c>
      <c r="H360" s="90" t="s">
        <v>115</v>
      </c>
      <c r="I360" s="93" t="s">
        <v>85</v>
      </c>
      <c r="J360" s="87" t="s">
        <v>1025</v>
      </c>
      <c r="K360" s="119" t="s">
        <v>1026</v>
      </c>
      <c r="L360" s="117">
        <f>IF(O360="","",N360*O360*M360)</f>
        <v>0</v>
      </c>
      <c r="M360" s="108">
        <v>1</v>
      </c>
      <c r="N360" s="95">
        <v>1</v>
      </c>
      <c r="O360" s="109">
        <f>IF(Key!D$1="ON",P360,IF(SUM(Q360:DL360)&lt;1,"",SUM(Q360:DL360)/COUNTIF(Q360:DL360,"&gt;0")))</f>
        <v>0</v>
      </c>
      <c r="P360" s="109">
        <f>SUMIFS(Q360:DK360,Q$1:DK$1,Dashboard!$K$31)</f>
        <v>0</v>
      </c>
      <c r="U360" s="95">
        <v>33</v>
      </c>
      <c r="AA360" s="95">
        <v>25</v>
      </c>
      <c r="AH360" s="95">
        <v>75</v>
      </c>
    </row>
    <row r="361" spans="1:34" x14ac:dyDescent="0.3">
      <c r="A361" s="89" t="str">
        <f>CONCATENATE(D361,".",F361,"-",G361,".",H361,"")</f>
        <v>1.3-2.1</v>
      </c>
      <c r="B361" s="89" t="str">
        <f>IF(CONCATENATE(I361,Key!F$2)=CONCATENATE(INDEX(Dashboard!J:J,MATCH(I361,Dashboard!J:J,0),1),INDEX(Dashboard!J:K,MATCH(I361,Dashboard!J:J,0),2)),"ON",IF(Dashboard!K$32="ALL","ON","-"))</f>
        <v>-</v>
      </c>
      <c r="C361" s="88" t="s">
        <v>110</v>
      </c>
      <c r="D361" s="89">
        <f>IF(C361="ID",1,(IF(C361="PR",2,(IF(C361="DE",3,(IF(C361="RS",4,(IF(C361="RC",5,0)))))))))</f>
        <v>1</v>
      </c>
      <c r="E361" s="89" t="s">
        <v>136</v>
      </c>
      <c r="F361" s="89">
        <f>IF(E361="AM",1,(IF(E361="BE",2,(IF(E361="GV",3,(IF(E361="RA",4,(IF(E361="RM",5,(IF(E361="AC",1,(IF(E361="AT",2,(IF(E361="DS",3,(IF(E361="IP",4,(IF(E361="MA",5,(IF(E361="PT",6,(IF(E361="AE",1,(IF(E361="CM",2,(IF(E361="DP",3,(IF(E361="AN",1,(IF(E361="CO",2,(IF(E361="IM",3,(IF(E361="MI",4,(IF(E361="RP",5,(IF(E361="SC",6,0)))))))))))))))))))))))))))))))))))))))</f>
        <v>3</v>
      </c>
      <c r="G361" s="52">
        <v>2</v>
      </c>
      <c r="H361" s="90" t="s">
        <v>115</v>
      </c>
      <c r="I361" s="93" t="s">
        <v>85</v>
      </c>
      <c r="J361" s="87" t="s">
        <v>1024</v>
      </c>
      <c r="K361" s="119" t="s">
        <v>4959</v>
      </c>
      <c r="L361" s="117">
        <f>IF(O361="","",N361*O361*M361)</f>
        <v>0</v>
      </c>
      <c r="M361" s="108">
        <v>1</v>
      </c>
      <c r="N361" s="95">
        <v>1</v>
      </c>
      <c r="O361" s="109">
        <f>IF(Key!D$1="ON",P361,IF(SUM(Q361:DL361)&lt;1,"",SUM(Q361:DL361)/COUNTIF(Q361:DL361,"&gt;0")))</f>
        <v>0</v>
      </c>
      <c r="P361" s="109">
        <f>SUMIFS(Q361:DK361,Q$1:DK$1,Dashboard!$K$31)</f>
        <v>0</v>
      </c>
      <c r="U361" s="95">
        <v>33</v>
      </c>
      <c r="AA361" s="95">
        <v>25</v>
      </c>
      <c r="AH361" s="95">
        <v>75</v>
      </c>
    </row>
    <row r="362" spans="1:34" x14ac:dyDescent="0.3">
      <c r="A362" s="89" t="str">
        <f>CONCATENATE(D362,".",F362,"-",G362,".",H362,"")</f>
        <v>1.3-2.1</v>
      </c>
      <c r="B362" s="89" t="str">
        <f>IF(CONCATENATE(I362,Key!F$2)=CONCATENATE(INDEX(Dashboard!J:J,MATCH(I362,Dashboard!J:J,0),1),INDEX(Dashboard!J:K,MATCH(I362,Dashboard!J:J,0),2)),"ON",IF(Dashboard!K$32="ALL","ON","-"))</f>
        <v>-</v>
      </c>
      <c r="C362" s="88" t="s">
        <v>110</v>
      </c>
      <c r="D362" s="89">
        <f>IF(C362="ID",1,(IF(C362="PR",2,(IF(C362="DE",3,(IF(C362="RS",4,(IF(C362="RC",5,0)))))))))</f>
        <v>1</v>
      </c>
      <c r="E362" s="89" t="s">
        <v>136</v>
      </c>
      <c r="F362" s="89">
        <f>IF(E362="AM",1,(IF(E362="BE",2,(IF(E362="GV",3,(IF(E362="RA",4,(IF(E362="RM",5,(IF(E362="AC",1,(IF(E362="AT",2,(IF(E362="DS",3,(IF(E362="IP",4,(IF(E362="MA",5,(IF(E362="PT",6,(IF(E362="AE",1,(IF(E362="CM",2,(IF(E362="DP",3,(IF(E362="AN",1,(IF(E362="CO",2,(IF(E362="IM",3,(IF(E362="MI",4,(IF(E362="RP",5,(IF(E362="SC",6,0)))))))))))))))))))))))))))))))))))))))</f>
        <v>3</v>
      </c>
      <c r="G362" s="52">
        <v>2</v>
      </c>
      <c r="H362" s="90" t="s">
        <v>115</v>
      </c>
      <c r="I362" s="93" t="s">
        <v>85</v>
      </c>
      <c r="J362" s="87" t="s">
        <v>1021</v>
      </c>
      <c r="K362" s="119" t="s">
        <v>4644</v>
      </c>
      <c r="L362" s="117">
        <f>IF(O362="","",N362*O362*M362)</f>
        <v>0</v>
      </c>
      <c r="M362" s="108">
        <v>1</v>
      </c>
      <c r="N362" s="95">
        <v>1</v>
      </c>
      <c r="O362" s="109">
        <f>IF(Key!D$1="ON",P362,IF(SUM(Q362:DL362)&lt;1,"",SUM(Q362:DL362)/COUNTIF(Q362:DL362,"&gt;0")))</f>
        <v>0</v>
      </c>
      <c r="P362" s="109">
        <f>SUMIFS(Q362:DK362,Q$1:DK$1,Dashboard!$K$31)</f>
        <v>0</v>
      </c>
      <c r="U362" s="95">
        <v>33</v>
      </c>
      <c r="AA362" s="95">
        <v>25</v>
      </c>
      <c r="AH362" s="95">
        <v>75</v>
      </c>
    </row>
    <row r="363" spans="1:34" x14ac:dyDescent="0.3">
      <c r="A363" s="89" t="str">
        <f>CONCATENATE(D363,".",F363,"-",G363,".",H363,"")</f>
        <v>1.3-2.1</v>
      </c>
      <c r="B363" s="89" t="str">
        <f>IF(CONCATENATE(I363,Key!F$2)=CONCATENATE(INDEX(Dashboard!J:J,MATCH(I363,Dashboard!J:J,0),1),INDEX(Dashboard!J:K,MATCH(I363,Dashboard!J:J,0),2)),"ON",IF(Dashboard!K$32="ALL","ON","-"))</f>
        <v>-</v>
      </c>
      <c r="C363" s="88" t="s">
        <v>110</v>
      </c>
      <c r="D363" s="89">
        <f>IF(C363="ID",1,(IF(C363="PR",2,(IF(C363="DE",3,(IF(C363="RS",4,(IF(C363="RC",5,0)))))))))</f>
        <v>1</v>
      </c>
      <c r="E363" s="89" t="s">
        <v>136</v>
      </c>
      <c r="F363" s="89">
        <f>IF(E363="AM",1,(IF(E363="BE",2,(IF(E363="GV",3,(IF(E363="RA",4,(IF(E363="RM",5,(IF(E363="AC",1,(IF(E363="AT",2,(IF(E363="DS",3,(IF(E363="IP",4,(IF(E363="MA",5,(IF(E363="PT",6,(IF(E363="AE",1,(IF(E363="CM",2,(IF(E363="DP",3,(IF(E363="AN",1,(IF(E363="CO",2,(IF(E363="IM",3,(IF(E363="MI",4,(IF(E363="RP",5,(IF(E363="SC",6,0)))))))))))))))))))))))))))))))))))))))</f>
        <v>3</v>
      </c>
      <c r="G363" s="52">
        <v>2</v>
      </c>
      <c r="H363" s="89">
        <v>1</v>
      </c>
      <c r="I363" s="93" t="s">
        <v>85</v>
      </c>
      <c r="J363" s="86" t="s">
        <v>728</v>
      </c>
      <c r="K363" s="119" t="s">
        <v>729</v>
      </c>
      <c r="L363" s="117">
        <f>IF(O363="","",N363*O363*M363)</f>
        <v>0</v>
      </c>
      <c r="M363" s="108">
        <v>1</v>
      </c>
      <c r="N363" s="95">
        <v>1</v>
      </c>
      <c r="O363" s="109">
        <f>IF(Key!D$1="ON",P363,IF(SUM(Q363:DL363)&lt;1,"",SUM(Q363:DL363)/COUNTIF(Q363:DL363,"&gt;0")))</f>
        <v>0</v>
      </c>
      <c r="P363" s="109">
        <f>SUMIFS(Q363:DK363,Q$1:DK$1,Dashboard!$K$31)</f>
        <v>0</v>
      </c>
      <c r="U363" s="95">
        <v>33</v>
      </c>
      <c r="AA363" s="95">
        <v>25</v>
      </c>
      <c r="AH363" s="95">
        <v>75</v>
      </c>
    </row>
    <row r="364" spans="1:34" x14ac:dyDescent="0.3">
      <c r="A364" s="89" t="str">
        <f>CONCATENATE(D364,".",F364,"-",G364,".",H364,"")</f>
        <v>1.3-2.1</v>
      </c>
      <c r="B364" s="89" t="str">
        <f>IF(CONCATENATE(I364,Key!F$2)=CONCATENATE(INDEX(Dashboard!J:J,MATCH(I364,Dashboard!J:J,0),1),INDEX(Dashboard!J:K,MATCH(I364,Dashboard!J:J,0),2)),"ON",IF(Dashboard!K$32="ALL","ON","-"))</f>
        <v>-</v>
      </c>
      <c r="C364" s="88" t="s">
        <v>110</v>
      </c>
      <c r="D364" s="89">
        <f>IF(C364="ID",1,(IF(C364="PR",2,(IF(C364="DE",3,(IF(C364="RS",4,(IF(C364="RC",5,0)))))))))</f>
        <v>1</v>
      </c>
      <c r="E364" s="89" t="s">
        <v>136</v>
      </c>
      <c r="F364" s="89">
        <f>IF(E364="AM",1,(IF(E364="BE",2,(IF(E364="GV",3,(IF(E364="RA",4,(IF(E364="RM",5,(IF(E364="AC",1,(IF(E364="AT",2,(IF(E364="DS",3,(IF(E364="IP",4,(IF(E364="MA",5,(IF(E364="PT",6,(IF(E364="AE",1,(IF(E364="CM",2,(IF(E364="DP",3,(IF(E364="AN",1,(IF(E364="CO",2,(IF(E364="IM",3,(IF(E364="MI",4,(IF(E364="RP",5,(IF(E364="SC",6,0)))))))))))))))))))))))))))))))))))))))</f>
        <v>3</v>
      </c>
      <c r="G364" s="52">
        <v>2</v>
      </c>
      <c r="H364" s="90" t="s">
        <v>115</v>
      </c>
      <c r="I364" s="93" t="s">
        <v>85</v>
      </c>
      <c r="J364" s="87" t="s">
        <v>1022</v>
      </c>
      <c r="K364" s="119" t="s">
        <v>1023</v>
      </c>
      <c r="L364" s="117">
        <f>IF(O364="","",N364*O364*M364)</f>
        <v>0</v>
      </c>
      <c r="M364" s="108">
        <v>1</v>
      </c>
      <c r="N364" s="95">
        <v>1</v>
      </c>
      <c r="O364" s="109">
        <f>IF(Key!D$1="ON",P364,IF(SUM(Q364:DL364)&lt;1,"",SUM(Q364:DL364)/COUNTIF(Q364:DL364,"&gt;0")))</f>
        <v>0</v>
      </c>
      <c r="P364" s="109">
        <f>SUMIFS(Q364:DK364,Q$1:DK$1,Dashboard!$K$31)</f>
        <v>0</v>
      </c>
      <c r="U364" s="95">
        <v>33</v>
      </c>
      <c r="AA364" s="95">
        <v>25</v>
      </c>
      <c r="AH364" s="95">
        <v>75</v>
      </c>
    </row>
    <row r="365" spans="1:34" x14ac:dyDescent="0.3">
      <c r="A365" s="89" t="str">
        <f>CONCATENATE(D365,".",F365,"-",G365,".",H365,"")</f>
        <v>1.3-2.1</v>
      </c>
      <c r="B365" s="89" t="str">
        <f>IF(CONCATENATE(I365,Key!F$2)=CONCATENATE(INDEX(Dashboard!J:J,MATCH(I365,Dashboard!J:J,0),1),INDEX(Dashboard!J:K,MATCH(I365,Dashboard!J:J,0),2)),"ON",IF(Dashboard!K$32="ALL","ON","-"))</f>
        <v>-</v>
      </c>
      <c r="C365" s="88" t="s">
        <v>110</v>
      </c>
      <c r="D365" s="89">
        <f>IF(C365="ID",1,(IF(C365="PR",2,(IF(C365="DE",3,(IF(C365="RS",4,(IF(C365="RC",5,0)))))))))</f>
        <v>1</v>
      </c>
      <c r="E365" s="89" t="s">
        <v>136</v>
      </c>
      <c r="F365" s="89">
        <f>IF(E365="AM",1,(IF(E365="BE",2,(IF(E365="GV",3,(IF(E365="RA",4,(IF(E365="RM",5,(IF(E365="AC",1,(IF(E365="AT",2,(IF(E365="DS",3,(IF(E365="IP",4,(IF(E365="MA",5,(IF(E365="PT",6,(IF(E365="AE",1,(IF(E365="CM",2,(IF(E365="DP",3,(IF(E365="AN",1,(IF(E365="CO",2,(IF(E365="IM",3,(IF(E365="MI",4,(IF(E365="RP",5,(IF(E365="SC",6,0)))))))))))))))))))))))))))))))))))))))</f>
        <v>3</v>
      </c>
      <c r="G365" s="52">
        <v>2</v>
      </c>
      <c r="H365" s="90" t="s">
        <v>115</v>
      </c>
      <c r="I365" s="93" t="s">
        <v>85</v>
      </c>
      <c r="J365" s="87" t="s">
        <v>1027</v>
      </c>
      <c r="K365" s="119" t="s">
        <v>1028</v>
      </c>
      <c r="L365" s="117">
        <f>IF(O365="","",N365*O365*M365)</f>
        <v>0</v>
      </c>
      <c r="M365" s="108">
        <v>1</v>
      </c>
      <c r="N365" s="95">
        <v>1</v>
      </c>
      <c r="O365" s="109">
        <f>IF(Key!D$1="ON",P365,IF(SUM(Q365:DL365)&lt;1,"",SUM(Q365:DL365)/COUNTIF(Q365:DL365,"&gt;0")))</f>
        <v>0</v>
      </c>
      <c r="P365" s="109">
        <f>SUMIFS(Q365:DK365,Q$1:DK$1,Dashboard!$K$31)</f>
        <v>0</v>
      </c>
      <c r="U365" s="95">
        <v>33</v>
      </c>
      <c r="AA365" s="95">
        <v>25</v>
      </c>
      <c r="AH365" s="95">
        <v>75</v>
      </c>
    </row>
    <row r="366" spans="1:34" x14ac:dyDescent="0.3">
      <c r="A366" s="89" t="str">
        <f>CONCATENATE(D366,".",F366,"-",G366,".",H366,"")</f>
        <v>1.3-2.1</v>
      </c>
      <c r="B366" s="89" t="str">
        <f>IF(CONCATENATE(I366,Key!F$2)=CONCATENATE(INDEX(Dashboard!J:J,MATCH(I366,Dashboard!J:J,0),1),INDEX(Dashboard!J:K,MATCH(I366,Dashboard!J:J,0),2)),"ON",IF(Dashboard!K$32="ALL","ON","-"))</f>
        <v>-</v>
      </c>
      <c r="C366" s="88" t="s">
        <v>110</v>
      </c>
      <c r="D366" s="89">
        <f>IF(C366="ID",1,(IF(C366="PR",2,(IF(C366="DE",3,(IF(C366="RS",4,(IF(C366="RC",5,0)))))))))</f>
        <v>1</v>
      </c>
      <c r="E366" s="89" t="s">
        <v>136</v>
      </c>
      <c r="F366" s="89">
        <f>IF(E366="AM",1,(IF(E366="BE",2,(IF(E366="GV",3,(IF(E366="RA",4,(IF(E366="RM",5,(IF(E366="AC",1,(IF(E366="AT",2,(IF(E366="DS",3,(IF(E366="IP",4,(IF(E366="MA",5,(IF(E366="PT",6,(IF(E366="AE",1,(IF(E366="CM",2,(IF(E366="DP",3,(IF(E366="AN",1,(IF(E366="CO",2,(IF(E366="IM",3,(IF(E366="MI",4,(IF(E366="RP",5,(IF(E366="SC",6,0)))))))))))))))))))))))))))))))))))))))</f>
        <v>3</v>
      </c>
      <c r="G366" s="52">
        <v>2</v>
      </c>
      <c r="H366" s="89">
        <v>1</v>
      </c>
      <c r="I366" s="93" t="s">
        <v>85</v>
      </c>
      <c r="J366" s="86" t="s">
        <v>3917</v>
      </c>
      <c r="K366" s="119" t="s">
        <v>3918</v>
      </c>
      <c r="L366" s="117">
        <f>IF(O366="","",N366*O366*M366)</f>
        <v>0</v>
      </c>
      <c r="M366" s="108">
        <v>1</v>
      </c>
      <c r="N366" s="95">
        <v>1</v>
      </c>
      <c r="O366" s="109">
        <f>IF(Key!D$1="ON",P366,IF(SUM(Q366:DL366)&lt;1,"",SUM(Q366:DL366)/COUNTIF(Q366:DL366,"&gt;0")))</f>
        <v>0</v>
      </c>
      <c r="P366" s="109">
        <f>SUMIFS(Q366:DK366,Q$1:DK$1,Dashboard!$K$31)</f>
        <v>0</v>
      </c>
      <c r="U366" s="95">
        <v>33</v>
      </c>
      <c r="AA366" s="95">
        <v>25</v>
      </c>
      <c r="AH366" s="95">
        <v>75</v>
      </c>
    </row>
    <row r="367" spans="1:34" x14ac:dyDescent="0.3">
      <c r="A367" s="89" t="str">
        <f>CONCATENATE(D367,".",F367,"-",G367,".",H367,"")</f>
        <v>1.3-2.1</v>
      </c>
      <c r="B367" s="89" t="str">
        <f>IF(CONCATENATE(I367,Key!F$2)=CONCATENATE(INDEX(Dashboard!J:J,MATCH(I367,Dashboard!J:J,0),1),INDEX(Dashboard!J:K,MATCH(I367,Dashboard!J:J,0),2)),"ON",IF(Dashboard!K$32="ALL","ON","-"))</f>
        <v>-</v>
      </c>
      <c r="C367" s="88" t="s">
        <v>110</v>
      </c>
      <c r="D367" s="89">
        <f>IF(C367="ID",1,(IF(C367="PR",2,(IF(C367="DE",3,(IF(C367="RS",4,(IF(C367="RC",5,0)))))))))</f>
        <v>1</v>
      </c>
      <c r="E367" s="89" t="s">
        <v>136</v>
      </c>
      <c r="F367" s="89">
        <f>IF(E367="AM",1,(IF(E367="BE",2,(IF(E367="GV",3,(IF(E367="RA",4,(IF(E367="RM",5,(IF(E367="AC",1,(IF(E367="AT",2,(IF(E367="DS",3,(IF(E367="IP",4,(IF(E367="MA",5,(IF(E367="PT",6,(IF(E367="AE",1,(IF(E367="CM",2,(IF(E367="DP",3,(IF(E367="AN",1,(IF(E367="CO",2,(IF(E367="IM",3,(IF(E367="MI",4,(IF(E367="RP",5,(IF(E367="SC",6,0)))))))))))))))))))))))))))))))))))))))</f>
        <v>3</v>
      </c>
      <c r="G367" s="52">
        <v>2</v>
      </c>
      <c r="H367" s="90" t="s">
        <v>115</v>
      </c>
      <c r="I367" s="93" t="s">
        <v>85</v>
      </c>
      <c r="J367" s="135" t="s">
        <v>666</v>
      </c>
      <c r="K367" s="143" t="s">
        <v>667</v>
      </c>
      <c r="L367" s="117">
        <f>IF(O367="","",N367*O367*M367)</f>
        <v>0</v>
      </c>
      <c r="M367" s="108">
        <v>1</v>
      </c>
      <c r="N367" s="95">
        <v>1</v>
      </c>
      <c r="O367" s="109">
        <f>IF(Key!D$1="ON",P367,IF(SUM(Q367:DL367)&lt;1,"",SUM(Q367:DL367)/COUNTIF(Q367:DL367,"&gt;0")))</f>
        <v>0</v>
      </c>
      <c r="P367" s="109">
        <f>SUMIFS(Q367:DK367,Q$1:DK$1,Dashboard!$K$31)</f>
        <v>0</v>
      </c>
      <c r="U367" s="95">
        <v>33</v>
      </c>
      <c r="AA367" s="95">
        <v>25</v>
      </c>
      <c r="AH367" s="95">
        <v>75</v>
      </c>
    </row>
    <row r="368" spans="1:34" x14ac:dyDescent="0.3">
      <c r="A368" s="89" t="str">
        <f>CONCATENATE(D368,".",F368,"-",G368,".",H368,"")</f>
        <v>1.3-2.1</v>
      </c>
      <c r="B368" s="89" t="str">
        <f>IF(CONCATENATE(I368,Key!F$2)=CONCATENATE(INDEX(Dashboard!J:J,MATCH(I368,Dashboard!J:J,0),1),INDEX(Dashboard!J:K,MATCH(I368,Dashboard!J:J,0),2)),"ON",IF(Dashboard!K$32="ALL","ON","-"))</f>
        <v>-</v>
      </c>
      <c r="C368" s="88" t="s">
        <v>110</v>
      </c>
      <c r="D368" s="89">
        <f>IF(C368="ID",1,(IF(C368="PR",2,(IF(C368="DE",3,(IF(C368="RS",4,(IF(C368="RC",5,0)))))))))</f>
        <v>1</v>
      </c>
      <c r="E368" s="89" t="s">
        <v>136</v>
      </c>
      <c r="F368" s="89">
        <f>IF(E368="AM",1,(IF(E368="BE",2,(IF(E368="GV",3,(IF(E368="RA",4,(IF(E368="RM",5,(IF(E368="AC",1,(IF(E368="AT",2,(IF(E368="DS",3,(IF(E368="IP",4,(IF(E368="MA",5,(IF(E368="PT",6,(IF(E368="AE",1,(IF(E368="CM",2,(IF(E368="DP",3,(IF(E368="AN",1,(IF(E368="CO",2,(IF(E368="IM",3,(IF(E368="MI",4,(IF(E368="RP",5,(IF(E368="SC",6,0)))))))))))))))))))))))))))))))))))))))</f>
        <v>3</v>
      </c>
      <c r="G368" s="52">
        <v>2</v>
      </c>
      <c r="H368" s="90" t="s">
        <v>115</v>
      </c>
      <c r="I368" s="93" t="s">
        <v>85</v>
      </c>
      <c r="J368" s="135" t="s">
        <v>668</v>
      </c>
      <c r="K368" s="143" t="s">
        <v>4658</v>
      </c>
      <c r="L368" s="117">
        <f>IF(O368="","",N368*O368*M368)</f>
        <v>0</v>
      </c>
      <c r="M368" s="108">
        <v>1</v>
      </c>
      <c r="N368" s="95">
        <v>1</v>
      </c>
      <c r="O368" s="109">
        <f>IF(Key!D$1="ON",P368,IF(SUM(Q368:DL368)&lt;1,"",SUM(Q368:DL368)/COUNTIF(Q368:DL368,"&gt;0")))</f>
        <v>0</v>
      </c>
      <c r="P368" s="109">
        <f>SUMIFS(Q368:DK368,Q$1:DK$1,Dashboard!$K$31)</f>
        <v>0</v>
      </c>
      <c r="U368" s="95">
        <v>33</v>
      </c>
      <c r="AA368" s="95">
        <v>25</v>
      </c>
      <c r="AH368" s="95">
        <v>75</v>
      </c>
    </row>
    <row r="369" spans="1:34" x14ac:dyDescent="0.3">
      <c r="A369" s="89" t="str">
        <f>CONCATENATE(D369,".",F369,"-",G369,".",H369,"")</f>
        <v>1.3-2.1</v>
      </c>
      <c r="B369" s="89" t="str">
        <f>IF(CONCATENATE(I369,Key!F$2)=CONCATENATE(INDEX(Dashboard!J:J,MATCH(I369,Dashboard!J:J,0),1),INDEX(Dashboard!J:K,MATCH(I369,Dashboard!J:J,0),2)),"ON",IF(Dashboard!K$32="ALL","ON","-"))</f>
        <v>-</v>
      </c>
      <c r="C369" s="88" t="s">
        <v>110</v>
      </c>
      <c r="D369" s="89">
        <f>IF(C369="ID",1,(IF(C369="PR",2,(IF(C369="DE",3,(IF(C369="RS",4,(IF(C369="RC",5,0)))))))))</f>
        <v>1</v>
      </c>
      <c r="E369" s="89" t="s">
        <v>136</v>
      </c>
      <c r="F369" s="89">
        <f>IF(E369="AM",1,(IF(E369="BE",2,(IF(E369="GV",3,(IF(E369="RA",4,(IF(E369="RM",5,(IF(E369="AC",1,(IF(E369="AT",2,(IF(E369="DS",3,(IF(E369="IP",4,(IF(E369="MA",5,(IF(E369="PT",6,(IF(E369="AE",1,(IF(E369="CM",2,(IF(E369="DP",3,(IF(E369="AN",1,(IF(E369="CO",2,(IF(E369="IM",3,(IF(E369="MI",4,(IF(E369="RP",5,(IF(E369="SC",6,0)))))))))))))))))))))))))))))))))))))))</f>
        <v>3</v>
      </c>
      <c r="G369" s="52">
        <v>2</v>
      </c>
      <c r="H369" s="89">
        <v>1</v>
      </c>
      <c r="I369" s="93" t="s">
        <v>85</v>
      </c>
      <c r="J369" s="135" t="s">
        <v>720</v>
      </c>
      <c r="K369" s="143" t="s">
        <v>721</v>
      </c>
      <c r="L369" s="117">
        <f>IF(O369="","",N369*O369*M369)</f>
        <v>0</v>
      </c>
      <c r="M369" s="108">
        <v>1</v>
      </c>
      <c r="N369" s="95">
        <v>1</v>
      </c>
      <c r="O369" s="109">
        <f>IF(Key!D$1="ON",P369,IF(SUM(Q369:DL369)&lt;1,"",SUM(Q369:DL369)/COUNTIF(Q369:DL369,"&gt;0")))</f>
        <v>0</v>
      </c>
      <c r="P369" s="109">
        <f>SUMIFS(Q369:DK369,Q$1:DK$1,Dashboard!$K$31)</f>
        <v>0</v>
      </c>
      <c r="U369" s="95">
        <v>33</v>
      </c>
      <c r="AA369" s="95">
        <v>25</v>
      </c>
      <c r="AH369" s="95">
        <v>75</v>
      </c>
    </row>
    <row r="370" spans="1:34" x14ac:dyDescent="0.3">
      <c r="A370" s="89" t="str">
        <f>CONCATENATE(D370,".",F370,"-",G370,".",H370,"")</f>
        <v>1.3-2.1</v>
      </c>
      <c r="B370" s="89" t="str">
        <f>IF(CONCATENATE(I370,Key!F$2)=CONCATENATE(INDEX(Dashboard!J:J,MATCH(I370,Dashboard!J:J,0),1),INDEX(Dashboard!J:K,MATCH(I370,Dashboard!J:J,0),2)),"ON",IF(Dashboard!K$32="ALL","ON","-"))</f>
        <v>-</v>
      </c>
      <c r="C370" s="96" t="s">
        <v>110</v>
      </c>
      <c r="D370" s="89">
        <f>IF(C370="ID",1,(IF(C370="PR",2,(IF(C370="DE",3,(IF(C370="RS",4,(IF(C370="RC",5,0)))))))))</f>
        <v>1</v>
      </c>
      <c r="E370" s="89" t="s">
        <v>136</v>
      </c>
      <c r="F370" s="89">
        <f>IF(E370="AM",1,(IF(E370="BE",2,(IF(E370="GV",3,(IF(E370="RA",4,(IF(E370="RM",5,(IF(E370="AC",1,(IF(E370="AT",2,(IF(E370="DS",3,(IF(E370="IP",4,(IF(E370="MA",5,(IF(E370="PT",6,(IF(E370="AE",1,(IF(E370="CM",2,(IF(E370="DP",3,(IF(E370="AN",1,(IF(E370="CO",2,(IF(E370="IM",3,(IF(E370="MI",4,(IF(E370="RP",5,(IF(E370="SC",6,0)))))))))))))))))))))))))))))))))))))))</f>
        <v>3</v>
      </c>
      <c r="G370" s="52">
        <v>2</v>
      </c>
      <c r="H370" s="90" t="s">
        <v>115</v>
      </c>
      <c r="I370" s="93" t="s">
        <v>89</v>
      </c>
      <c r="J370" s="88">
        <v>500.04</v>
      </c>
      <c r="K370" s="102" t="s">
        <v>384</v>
      </c>
      <c r="L370" s="117">
        <f>IF(O370="","",N370*O370*M370)</f>
        <v>0</v>
      </c>
      <c r="M370" s="108">
        <v>1</v>
      </c>
      <c r="N370" s="95">
        <v>1</v>
      </c>
      <c r="O370" s="109">
        <f>IF(Key!D$1="ON",P370,IF(SUM(Q370:DL370)&lt;1,"",SUM(Q370:DL370)/COUNTIF(Q370:DL370,"&gt;0")))</f>
        <v>0</v>
      </c>
      <c r="P370" s="109">
        <f>SUMIFS(Q370:DK370,Q$1:DK$1,Dashboard!$K$31)</f>
        <v>0</v>
      </c>
      <c r="U370" s="95">
        <v>33</v>
      </c>
      <c r="AA370" s="95">
        <v>25</v>
      </c>
      <c r="AH370" s="95">
        <v>75</v>
      </c>
    </row>
    <row r="371" spans="1:34" ht="15.6" x14ac:dyDescent="0.3">
      <c r="A371" s="89" t="str">
        <f>CONCATENATE(D371,".",F371,"-",G371,".",H371,"")</f>
        <v>1.3-2.1</v>
      </c>
      <c r="B371" s="89" t="str">
        <f>IF(CONCATENATE(I371,Key!F$2)=CONCATENATE(INDEX(Dashboard!J:J,MATCH(I371,Dashboard!J:J,0),1),INDEX(Dashboard!J:K,MATCH(I371,Dashboard!J:J,0),2)),"ON",IF(Dashboard!K$32="ALL","ON","-"))</f>
        <v>-</v>
      </c>
      <c r="C371" s="96" t="s">
        <v>110</v>
      </c>
      <c r="D371" s="89">
        <f>IF(C371="ID",1,(IF(C371="PR",2,(IF(C371="DE",3,(IF(C371="RS",4,(IF(C371="RC",5,0)))))))))</f>
        <v>1</v>
      </c>
      <c r="E371" s="89" t="s">
        <v>136</v>
      </c>
      <c r="F371" s="89">
        <f>IF(E371="AM",1,(IF(E371="BE",2,(IF(E371="GV",3,(IF(E371="RA",4,(IF(E371="RM",5,(IF(E371="AC",1,(IF(E371="AT",2,(IF(E371="DS",3,(IF(E371="IP",4,(IF(E371="MA",5,(IF(E371="PT",6,(IF(E371="AE",1,(IF(E371="CM",2,(IF(E371="DP",3,(IF(E371="AN",1,(IF(E371="CO",2,(IF(E371="IM",3,(IF(E371="MI",4,(IF(E371="RP",5,(IF(E371="SC",6,0)))))))))))))))))))))))))))))))))))))))</f>
        <v>3</v>
      </c>
      <c r="G371" s="52">
        <v>2</v>
      </c>
      <c r="H371" s="90" t="s">
        <v>115</v>
      </c>
      <c r="I371" s="93" t="s">
        <v>89</v>
      </c>
      <c r="J371" s="88" t="s">
        <v>385</v>
      </c>
      <c r="K371" s="102" t="s">
        <v>386</v>
      </c>
      <c r="L371" s="117">
        <f>IF(O371="","",N371*O371*M371)</f>
        <v>0</v>
      </c>
      <c r="M371" s="108">
        <v>1</v>
      </c>
      <c r="N371" s="95">
        <v>1</v>
      </c>
      <c r="O371" s="109">
        <f>IF(Key!D$1="ON",P371,IF(SUM(Q371:DL371)&lt;1,"",SUM(Q371:DL371)/COUNTIF(Q371:DL371,"&gt;0")))</f>
        <v>0</v>
      </c>
      <c r="P371" s="109">
        <f>SUMIFS(Q371:DK371,Q$1:DK$1,Dashboard!$K$31)</f>
        <v>0</v>
      </c>
      <c r="U371" s="95">
        <v>33</v>
      </c>
      <c r="AA371" s="95">
        <v>25</v>
      </c>
      <c r="AH371" s="95">
        <v>75</v>
      </c>
    </row>
    <row r="372" spans="1:34" x14ac:dyDescent="0.3">
      <c r="A372" s="89" t="str">
        <f>CONCATENATE(D372,".",F372,"-",G372,".",H372,"")</f>
        <v>1.3-2.1</v>
      </c>
      <c r="B372" s="89" t="str">
        <f>IF(CONCATENATE(I372,Key!F$2)=CONCATENATE(INDEX(Dashboard!J:J,MATCH(I372,Dashboard!J:J,0),1),INDEX(Dashboard!J:K,MATCH(I372,Dashboard!J:J,0),2)),"ON",IF(Dashboard!K$32="ALL","ON","-"))</f>
        <v>-</v>
      </c>
      <c r="C372" s="96" t="s">
        <v>110</v>
      </c>
      <c r="D372" s="89">
        <f>IF(C372="ID",1,(IF(C372="PR",2,(IF(C372="DE",3,(IF(C372="RS",4,(IF(C372="RC",5,0)))))))))</f>
        <v>1</v>
      </c>
      <c r="E372" s="89" t="s">
        <v>136</v>
      </c>
      <c r="F372" s="89">
        <f>IF(E372="AM",1,(IF(E372="BE",2,(IF(E372="GV",3,(IF(E372="RA",4,(IF(E372="RM",5,(IF(E372="AC",1,(IF(E372="AT",2,(IF(E372="DS",3,(IF(E372="IP",4,(IF(E372="MA",5,(IF(E372="PT",6,(IF(E372="AE",1,(IF(E372="CM",2,(IF(E372="DP",3,(IF(E372="AN",1,(IF(E372="CO",2,(IF(E372="IM",3,(IF(E372="MI",4,(IF(E372="RP",5,(IF(E372="SC",6,0)))))))))))))))))))))))))))))))))))))))</f>
        <v>3</v>
      </c>
      <c r="G372" s="52">
        <v>2</v>
      </c>
      <c r="H372" s="90" t="s">
        <v>115</v>
      </c>
      <c r="I372" s="93" t="s">
        <v>89</v>
      </c>
      <c r="J372" s="88" t="s">
        <v>387</v>
      </c>
      <c r="K372" s="102" t="s">
        <v>388</v>
      </c>
      <c r="L372" s="117">
        <f>IF(O372="","",N372*O372*M372)</f>
        <v>0</v>
      </c>
      <c r="M372" s="108">
        <v>1</v>
      </c>
      <c r="N372" s="95">
        <v>1</v>
      </c>
      <c r="O372" s="109">
        <f>IF(Key!D$1="ON",P372,IF(SUM(Q372:DL372)&lt;1,"",SUM(Q372:DL372)/COUNTIF(Q372:DL372,"&gt;0")))</f>
        <v>0</v>
      </c>
      <c r="P372" s="109">
        <f>SUMIFS(Q372:DK372,Q$1:DK$1,Dashboard!$K$31)</f>
        <v>0</v>
      </c>
      <c r="U372" s="95">
        <v>33</v>
      </c>
      <c r="AA372" s="95">
        <v>25</v>
      </c>
      <c r="AH372" s="95">
        <v>75</v>
      </c>
    </row>
    <row r="373" spans="1:34" ht="15.6" x14ac:dyDescent="0.3">
      <c r="A373" s="89" t="str">
        <f>CONCATENATE(D373,".",F373,"-",G373,".",H373,"")</f>
        <v>1.3-2.1</v>
      </c>
      <c r="B373" s="89" t="str">
        <f>IF(CONCATENATE(I373,Key!F$2)=CONCATENATE(INDEX(Dashboard!J:J,MATCH(I373,Dashboard!J:J,0),1),INDEX(Dashboard!J:K,MATCH(I373,Dashboard!J:J,0),2)),"ON",IF(Dashboard!K$32="ALL","ON","-"))</f>
        <v>-</v>
      </c>
      <c r="C373" s="96" t="s">
        <v>110</v>
      </c>
      <c r="D373" s="89">
        <f>IF(C373="ID",1,(IF(C373="PR",2,(IF(C373="DE",3,(IF(C373="RS",4,(IF(C373="RC",5,0)))))))))</f>
        <v>1</v>
      </c>
      <c r="E373" s="89" t="s">
        <v>136</v>
      </c>
      <c r="F373" s="89">
        <f>IF(E373="AM",1,(IF(E373="BE",2,(IF(E373="GV",3,(IF(E373="RA",4,(IF(E373="RM",5,(IF(E373="AC",1,(IF(E373="AT",2,(IF(E373="DS",3,(IF(E373="IP",4,(IF(E373="MA",5,(IF(E373="PT",6,(IF(E373="AE",1,(IF(E373="CM",2,(IF(E373="DP",3,(IF(E373="AN",1,(IF(E373="CO",2,(IF(E373="IM",3,(IF(E373="MI",4,(IF(E373="RP",5,(IF(E373="SC",6,0)))))))))))))))))))))))))))))))))))))))</f>
        <v>3</v>
      </c>
      <c r="G373" s="52">
        <v>2</v>
      </c>
      <c r="H373" s="90" t="s">
        <v>115</v>
      </c>
      <c r="I373" s="93" t="s">
        <v>89</v>
      </c>
      <c r="J373" s="88" t="s">
        <v>389</v>
      </c>
      <c r="K373" s="102" t="s">
        <v>390</v>
      </c>
      <c r="L373" s="117">
        <f>IF(O373="","",N373*O373*M373)</f>
        <v>0</v>
      </c>
      <c r="M373" s="108">
        <v>1</v>
      </c>
      <c r="N373" s="95">
        <v>1</v>
      </c>
      <c r="O373" s="109">
        <f>IF(Key!D$1="ON",P373,IF(SUM(Q373:DL373)&lt;1,"",SUM(Q373:DL373)/COUNTIF(Q373:DL373,"&gt;0")))</f>
        <v>0</v>
      </c>
      <c r="P373" s="109">
        <f>SUMIFS(Q373:DK373,Q$1:DK$1,Dashboard!$K$31)</f>
        <v>0</v>
      </c>
      <c r="U373" s="95">
        <v>33</v>
      </c>
      <c r="AA373" s="95">
        <v>25</v>
      </c>
      <c r="AH373" s="95">
        <v>75</v>
      </c>
    </row>
    <row r="374" spans="1:34" x14ac:dyDescent="0.3">
      <c r="A374" s="89" t="str">
        <f>CONCATENATE(D374,".",F374,"-",G374,".",H374,"")</f>
        <v>1.3-2.1</v>
      </c>
      <c r="B374" s="89" t="str">
        <f>IF(CONCATENATE(I374,Key!F$2)=CONCATENATE(INDEX(Dashboard!J:J,MATCH(I374,Dashboard!J:J,0),1),INDEX(Dashboard!J:K,MATCH(I374,Dashboard!J:J,0),2)),"ON",IF(Dashboard!K$32="ALL","ON","-"))</f>
        <v>-</v>
      </c>
      <c r="C374" s="96" t="s">
        <v>110</v>
      </c>
      <c r="D374" s="89">
        <f>IF(C374="ID",1,(IF(C374="PR",2,(IF(C374="DE",3,(IF(C374="RS",4,(IF(C374="RC",5,0)))))))))</f>
        <v>1</v>
      </c>
      <c r="E374" s="89" t="s">
        <v>136</v>
      </c>
      <c r="F374" s="89">
        <f>IF(E374="AM",1,(IF(E374="BE",2,(IF(E374="GV",3,(IF(E374="RA",4,(IF(E374="RM",5,(IF(E374="AC",1,(IF(E374="AT",2,(IF(E374="DS",3,(IF(E374="IP",4,(IF(E374="MA",5,(IF(E374="PT",6,(IF(E374="AE",1,(IF(E374="CM",2,(IF(E374="DP",3,(IF(E374="AN",1,(IF(E374="CO",2,(IF(E374="IM",3,(IF(E374="MI",4,(IF(E374="RP",5,(IF(E374="SC",6,0)))))))))))))))))))))))))))))))))))))))</f>
        <v>3</v>
      </c>
      <c r="G374" s="52">
        <v>2</v>
      </c>
      <c r="H374" s="90" t="s">
        <v>115</v>
      </c>
      <c r="I374" s="93" t="s">
        <v>89</v>
      </c>
      <c r="J374" s="88" t="s">
        <v>391</v>
      </c>
      <c r="K374" s="102" t="s">
        <v>392</v>
      </c>
      <c r="L374" s="117">
        <f>IF(O374="","",N374*O374*M374)</f>
        <v>0</v>
      </c>
      <c r="M374" s="108">
        <v>1</v>
      </c>
      <c r="N374" s="95">
        <v>1</v>
      </c>
      <c r="O374" s="109">
        <f>IF(Key!D$1="ON",P374,IF(SUM(Q374:DL374)&lt;1,"",SUM(Q374:DL374)/COUNTIF(Q374:DL374,"&gt;0")))</f>
        <v>0</v>
      </c>
      <c r="P374" s="109">
        <f>SUMIFS(Q374:DK374,Q$1:DK$1,Dashboard!$K$31)</f>
        <v>0</v>
      </c>
      <c r="U374" s="95">
        <v>33</v>
      </c>
      <c r="AA374" s="95">
        <v>25</v>
      </c>
      <c r="AH374" s="95">
        <v>75</v>
      </c>
    </row>
    <row r="375" spans="1:34" x14ac:dyDescent="0.3">
      <c r="A375" s="89" t="str">
        <f>CONCATENATE(D375,".",F375,"-",G375,".",H375,"")</f>
        <v>1.3-2.1</v>
      </c>
      <c r="B375" s="89" t="str">
        <f>IF(CONCATENATE(I375,Key!F$2)=CONCATENATE(INDEX(Dashboard!J:J,MATCH(I375,Dashboard!J:J,0),1),INDEX(Dashboard!J:K,MATCH(I375,Dashboard!J:J,0),2)),"ON",IF(Dashboard!K$32="ALL","ON","-"))</f>
        <v>-</v>
      </c>
      <c r="C375" s="88" t="s">
        <v>110</v>
      </c>
      <c r="D375" s="89">
        <f>IF(C375="ID",1,(IF(C375="PR",2,(IF(C375="DE",3,(IF(C375="RS",4,(IF(C375="RC",5,0)))))))))</f>
        <v>1</v>
      </c>
      <c r="E375" s="89" t="s">
        <v>136</v>
      </c>
      <c r="F375" s="89">
        <f>IF(E375="AM",1,(IF(E375="BE",2,(IF(E375="GV",3,(IF(E375="RA",4,(IF(E375="RM",5,(IF(E375="AC",1,(IF(E375="AT",2,(IF(E375="DS",3,(IF(E375="IP",4,(IF(E375="MA",5,(IF(E375="PT",6,(IF(E375="AE",1,(IF(E375="CM",2,(IF(E375="DP",3,(IF(E375="AN",1,(IF(E375="CO",2,(IF(E375="IM",3,(IF(E375="MI",4,(IF(E375="RP",5,(IF(E375="SC",6,0)))))))))))))))))))))))))))))))))))))))</f>
        <v>3</v>
      </c>
      <c r="G375" s="52">
        <v>2</v>
      </c>
      <c r="H375" s="90" t="s">
        <v>115</v>
      </c>
      <c r="I375" s="93" t="s">
        <v>92</v>
      </c>
      <c r="J375" s="88">
        <v>1.5</v>
      </c>
      <c r="K375" s="102" t="s">
        <v>5226</v>
      </c>
      <c r="L375" s="117">
        <f>IF(O375="","",N375*O375*M375)</f>
        <v>0</v>
      </c>
      <c r="M375" s="108">
        <v>1</v>
      </c>
      <c r="N375" s="95">
        <v>1</v>
      </c>
      <c r="O375" s="109">
        <f>IF(Key!D$1="ON",P375,IF(SUM(Q375:DL375)&lt;1,"",SUM(Q375:DL375)/COUNTIF(Q375:DL375,"&gt;0")))</f>
        <v>0</v>
      </c>
      <c r="P375" s="109">
        <f>SUMIFS(Q375:DK375,Q$1:DK$1,Dashboard!$K$31)</f>
        <v>0</v>
      </c>
      <c r="U375" s="95">
        <v>33</v>
      </c>
      <c r="AA375" s="95">
        <v>25</v>
      </c>
      <c r="AH375" s="95">
        <v>75</v>
      </c>
    </row>
    <row r="376" spans="1:34" x14ac:dyDescent="0.3">
      <c r="A376" s="89" t="str">
        <f>CONCATENATE(D376,".",F376,"-",G376,".",H376,"")</f>
        <v>1.3-2.1</v>
      </c>
      <c r="B376" s="89" t="str">
        <f>IF(CONCATENATE(I376,Key!F$2)=CONCATENATE(INDEX(Dashboard!J:J,MATCH(I376,Dashboard!J:J,0),1),INDEX(Dashboard!J:K,MATCH(I376,Dashboard!J:J,0),2)),"ON",IF(Dashboard!K$32="ALL","ON","-"))</f>
        <v>-</v>
      </c>
      <c r="C376" s="88" t="s">
        <v>110</v>
      </c>
      <c r="D376" s="89">
        <f>IF(C376="ID",1,(IF(C376="PR",2,(IF(C376="DE",3,(IF(C376="RS",4,(IF(C376="RC",5,0)))))))))</f>
        <v>1</v>
      </c>
      <c r="E376" s="89" t="s">
        <v>136</v>
      </c>
      <c r="F376" s="89">
        <f>IF(E376="AM",1,(IF(E376="BE",2,(IF(E376="GV",3,(IF(E376="RA",4,(IF(E376="RM",5,(IF(E376="AC",1,(IF(E376="AT",2,(IF(E376="DS",3,(IF(E376="IP",4,(IF(E376="MA",5,(IF(E376="PT",6,(IF(E376="AE",1,(IF(E376="CM",2,(IF(E376="DP",3,(IF(E376="AN",1,(IF(E376="CO",2,(IF(E376="IM",3,(IF(E376="MI",4,(IF(E376="RP",5,(IF(E376="SC",6,0)))))))))))))))))))))))))))))))))))))))</f>
        <v>3</v>
      </c>
      <c r="G376" s="52">
        <v>2</v>
      </c>
      <c r="H376" s="90" t="s">
        <v>115</v>
      </c>
      <c r="I376" s="93" t="s">
        <v>92</v>
      </c>
      <c r="J376" s="88">
        <v>2.5</v>
      </c>
      <c r="K376" s="102" t="s">
        <v>5226</v>
      </c>
      <c r="L376" s="117">
        <f>IF(O376="","",N376*O376*M376)</f>
        <v>0</v>
      </c>
      <c r="M376" s="108">
        <v>1</v>
      </c>
      <c r="N376" s="95">
        <v>1</v>
      </c>
      <c r="O376" s="109">
        <f>IF(Key!D$1="ON",P376,IF(SUM(Q376:DL376)&lt;1,"",SUM(Q376:DL376)/COUNTIF(Q376:DL376,"&gt;0")))</f>
        <v>0</v>
      </c>
      <c r="P376" s="109">
        <f>SUMIFS(Q376:DK376,Q$1:DK$1,Dashboard!$K$31)</f>
        <v>0</v>
      </c>
      <c r="U376" s="95">
        <v>33</v>
      </c>
      <c r="AA376" s="95">
        <v>25</v>
      </c>
      <c r="AH376" s="95">
        <v>75</v>
      </c>
    </row>
    <row r="377" spans="1:34" x14ac:dyDescent="0.3">
      <c r="A377" s="89" t="str">
        <f>CONCATENATE(D377,".",F377,"-",G377,".",H377,"")</f>
        <v>1.3-2.1</v>
      </c>
      <c r="B377" s="89" t="str">
        <f>IF(CONCATENATE(I377,Key!F$2)=CONCATENATE(INDEX(Dashboard!J:J,MATCH(I377,Dashboard!J:J,0),1),INDEX(Dashboard!J:K,MATCH(I377,Dashboard!J:J,0),2)),"ON",IF(Dashboard!K$32="ALL","ON","-"))</f>
        <v>-</v>
      </c>
      <c r="C377" s="88" t="s">
        <v>110</v>
      </c>
      <c r="D377" s="89">
        <f>IF(C377="ID",1,(IF(C377="PR",2,(IF(C377="DE",3,(IF(C377="RS",4,(IF(C377="RC",5,0)))))))))</f>
        <v>1</v>
      </c>
      <c r="E377" s="89" t="s">
        <v>136</v>
      </c>
      <c r="F377" s="89">
        <f>IF(E377="AM",1,(IF(E377="BE",2,(IF(E377="GV",3,(IF(E377="RA",4,(IF(E377="RM",5,(IF(E377="AC",1,(IF(E377="AT",2,(IF(E377="DS",3,(IF(E377="IP",4,(IF(E377="MA",5,(IF(E377="PT",6,(IF(E377="AE",1,(IF(E377="CM",2,(IF(E377="DP",3,(IF(E377="AN",1,(IF(E377="CO",2,(IF(E377="IM",3,(IF(E377="MI",4,(IF(E377="RP",5,(IF(E377="SC",6,0)))))))))))))))))))))))))))))))))))))))</f>
        <v>3</v>
      </c>
      <c r="G377" s="52">
        <v>2</v>
      </c>
      <c r="H377" s="90" t="s">
        <v>115</v>
      </c>
      <c r="I377" s="93" t="s">
        <v>92</v>
      </c>
      <c r="J377" s="88">
        <v>3.7</v>
      </c>
      <c r="K377" s="102" t="s">
        <v>5226</v>
      </c>
      <c r="L377" s="117">
        <f>IF(O377="","",N377*O377*M377)</f>
        <v>0</v>
      </c>
      <c r="M377" s="108">
        <v>1</v>
      </c>
      <c r="N377" s="95">
        <v>1</v>
      </c>
      <c r="O377" s="109">
        <f>IF(Key!D$1="ON",P377,IF(SUM(Q377:DL377)&lt;1,"",SUM(Q377:DL377)/COUNTIF(Q377:DL377,"&gt;0")))</f>
        <v>0</v>
      </c>
      <c r="P377" s="109">
        <f>SUMIFS(Q377:DK377,Q$1:DK$1,Dashboard!$K$31)</f>
        <v>0</v>
      </c>
      <c r="U377" s="95">
        <v>33</v>
      </c>
      <c r="AA377" s="95">
        <v>25</v>
      </c>
      <c r="AH377" s="95">
        <v>75</v>
      </c>
    </row>
    <row r="378" spans="1:34" x14ac:dyDescent="0.3">
      <c r="A378" s="89" t="str">
        <f>CONCATENATE(D378,".",F378,"-",G378,".",H378,"")</f>
        <v>1.3-2.1</v>
      </c>
      <c r="B378" s="89" t="str">
        <f>IF(CONCATENATE(I378,Key!F$2)=CONCATENATE(INDEX(Dashboard!J:J,MATCH(I378,Dashboard!J:J,0),1),INDEX(Dashboard!J:K,MATCH(I378,Dashboard!J:J,0),2)),"ON",IF(Dashboard!K$32="ALL","ON","-"))</f>
        <v>-</v>
      </c>
      <c r="C378" s="88" t="s">
        <v>110</v>
      </c>
      <c r="D378" s="89">
        <f>IF(C378="ID",1,(IF(C378="PR",2,(IF(C378="DE",3,(IF(C378="RS",4,(IF(C378="RC",5,0)))))))))</f>
        <v>1</v>
      </c>
      <c r="E378" s="89" t="s">
        <v>136</v>
      </c>
      <c r="F378" s="89">
        <f>IF(E378="AM",1,(IF(E378="BE",2,(IF(E378="GV",3,(IF(E378="RA",4,(IF(E378="RM",5,(IF(E378="AC",1,(IF(E378="AT",2,(IF(E378="DS",3,(IF(E378="IP",4,(IF(E378="MA",5,(IF(E378="PT",6,(IF(E378="AE",1,(IF(E378="CM",2,(IF(E378="DP",3,(IF(E378="AN",1,(IF(E378="CO",2,(IF(E378="IM",3,(IF(E378="MI",4,(IF(E378="RP",5,(IF(E378="SC",6,0)))))))))))))))))))))))))))))))))))))))</f>
        <v>3</v>
      </c>
      <c r="G378" s="52">
        <v>2</v>
      </c>
      <c r="H378" s="90" t="s">
        <v>115</v>
      </c>
      <c r="I378" s="93" t="s">
        <v>92</v>
      </c>
      <c r="J378" s="88">
        <v>4.3</v>
      </c>
      <c r="K378" s="102" t="s">
        <v>5226</v>
      </c>
      <c r="L378" s="117">
        <f>IF(O378="","",N378*O378*M378)</f>
        <v>0</v>
      </c>
      <c r="M378" s="108">
        <v>1</v>
      </c>
      <c r="N378" s="95">
        <v>1</v>
      </c>
      <c r="O378" s="109">
        <f>IF(Key!D$1="ON",P378,IF(SUM(Q378:DL378)&lt;1,"",SUM(Q378:DL378)/COUNTIF(Q378:DL378,"&gt;0")))</f>
        <v>0</v>
      </c>
      <c r="P378" s="109">
        <f>SUMIFS(Q378:DK378,Q$1:DK$1,Dashboard!$K$31)</f>
        <v>0</v>
      </c>
      <c r="U378" s="95">
        <v>33</v>
      </c>
      <c r="AA378" s="95">
        <v>25</v>
      </c>
      <c r="AH378" s="95">
        <v>75</v>
      </c>
    </row>
    <row r="379" spans="1:34" x14ac:dyDescent="0.3">
      <c r="A379" s="89" t="str">
        <f>CONCATENATE(D379,".",F379,"-",G379,".",H379,"")</f>
        <v>1.3-2.1</v>
      </c>
      <c r="B379" s="89" t="str">
        <f>IF(CONCATENATE(I379,Key!F$2)=CONCATENATE(INDEX(Dashboard!J:J,MATCH(I379,Dashboard!J:J,0),1),INDEX(Dashboard!J:K,MATCH(I379,Dashboard!J:J,0),2)),"ON",IF(Dashboard!K$32="ALL","ON","-"))</f>
        <v>-</v>
      </c>
      <c r="C379" s="88" t="s">
        <v>110</v>
      </c>
      <c r="D379" s="89">
        <f>IF(C379="ID",1,(IF(C379="PR",2,(IF(C379="DE",3,(IF(C379="RS",4,(IF(C379="RC",5,0)))))))))</f>
        <v>1</v>
      </c>
      <c r="E379" s="89" t="s">
        <v>136</v>
      </c>
      <c r="F379" s="89">
        <f>IF(E379="AM",1,(IF(E379="BE",2,(IF(E379="GV",3,(IF(E379="RA",4,(IF(E379="RM",5,(IF(E379="AC",1,(IF(E379="AT",2,(IF(E379="DS",3,(IF(E379="IP",4,(IF(E379="MA",5,(IF(E379="PT",6,(IF(E379="AE",1,(IF(E379="CM",2,(IF(E379="DP",3,(IF(E379="AN",1,(IF(E379="CO",2,(IF(E379="IM",3,(IF(E379="MI",4,(IF(E379="RP",5,(IF(E379="SC",6,0)))))))))))))))))))))))))))))))))))))))</f>
        <v>3</v>
      </c>
      <c r="G379" s="52">
        <v>2</v>
      </c>
      <c r="H379" s="90" t="s">
        <v>115</v>
      </c>
      <c r="I379" s="93" t="s">
        <v>92</v>
      </c>
      <c r="J379" s="88">
        <v>5.4</v>
      </c>
      <c r="K379" s="102" t="s">
        <v>5226</v>
      </c>
      <c r="L379" s="117">
        <f>IF(O379="","",N379*O379*M379)</f>
        <v>0</v>
      </c>
      <c r="M379" s="108">
        <v>1</v>
      </c>
      <c r="N379" s="95">
        <v>1</v>
      </c>
      <c r="O379" s="109">
        <f>IF(Key!D$1="ON",P379,IF(SUM(Q379:DL379)&lt;1,"",SUM(Q379:DL379)/COUNTIF(Q379:DL379,"&gt;0")))</f>
        <v>0</v>
      </c>
      <c r="P379" s="109">
        <f>SUMIFS(Q379:DK379,Q$1:DK$1,Dashboard!$K$31)</f>
        <v>0</v>
      </c>
      <c r="U379" s="95">
        <v>33</v>
      </c>
      <c r="AA379" s="95">
        <v>25</v>
      </c>
      <c r="AH379" s="95">
        <v>75</v>
      </c>
    </row>
    <row r="380" spans="1:34" x14ac:dyDescent="0.3">
      <c r="A380" s="89" t="str">
        <f>CONCATENATE(D380,".",F380,"-",G380,".",H380,"")</f>
        <v>1.3-2.1</v>
      </c>
      <c r="B380" s="89" t="str">
        <f>IF(CONCATENATE(I380,Key!F$2)=CONCATENATE(INDEX(Dashboard!J:J,MATCH(I380,Dashboard!J:J,0),1),INDEX(Dashboard!J:K,MATCH(I380,Dashboard!J:J,0),2)),"ON",IF(Dashboard!K$32="ALL","ON","-"))</f>
        <v>-</v>
      </c>
      <c r="C380" s="88" t="s">
        <v>110</v>
      </c>
      <c r="D380" s="89">
        <f>IF(C380="ID",1,(IF(C380="PR",2,(IF(C380="DE",3,(IF(C380="RS",4,(IF(C380="RC",5,0)))))))))</f>
        <v>1</v>
      </c>
      <c r="E380" s="89" t="s">
        <v>136</v>
      </c>
      <c r="F380" s="89">
        <f>IF(E380="AM",1,(IF(E380="BE",2,(IF(E380="GV",3,(IF(E380="RA",4,(IF(E380="RM",5,(IF(E380="AC",1,(IF(E380="AT",2,(IF(E380="DS",3,(IF(E380="IP",4,(IF(E380="MA",5,(IF(E380="PT",6,(IF(E380="AE",1,(IF(E380="CM",2,(IF(E380="DP",3,(IF(E380="AN",1,(IF(E380="CO",2,(IF(E380="IM",3,(IF(E380="MI",4,(IF(E380="RP",5,(IF(E380="SC",6,0)))))))))))))))))))))))))))))))))))))))</f>
        <v>3</v>
      </c>
      <c r="G380" s="52">
        <v>2</v>
      </c>
      <c r="H380" s="90" t="s">
        <v>115</v>
      </c>
      <c r="I380" s="93" t="s">
        <v>92</v>
      </c>
      <c r="J380" s="88">
        <v>6.7</v>
      </c>
      <c r="K380" s="102" t="s">
        <v>5226</v>
      </c>
      <c r="L380" s="117">
        <f>IF(O380="","",N380*O380*M380)</f>
        <v>0</v>
      </c>
      <c r="M380" s="108">
        <v>1</v>
      </c>
      <c r="N380" s="95">
        <v>1</v>
      </c>
      <c r="O380" s="109">
        <f>IF(Key!D$1="ON",P380,IF(SUM(Q380:DL380)&lt;1,"",SUM(Q380:DL380)/COUNTIF(Q380:DL380,"&gt;0")))</f>
        <v>0</v>
      </c>
      <c r="P380" s="109">
        <f>SUMIFS(Q380:DK380,Q$1:DK$1,Dashboard!$K$31)</f>
        <v>0</v>
      </c>
      <c r="U380" s="95">
        <v>33</v>
      </c>
      <c r="AA380" s="95">
        <v>25</v>
      </c>
      <c r="AH380" s="95">
        <v>75</v>
      </c>
    </row>
    <row r="381" spans="1:34" x14ac:dyDescent="0.3">
      <c r="A381" s="89" t="str">
        <f>CONCATENATE(D381,".",F381,"-",G381,".",H381,"")</f>
        <v>1.3-2.1</v>
      </c>
      <c r="B381" s="89" t="str">
        <f>IF(CONCATENATE(I381,Key!F$2)=CONCATENATE(INDEX(Dashboard!J:J,MATCH(I381,Dashboard!J:J,0),1),INDEX(Dashboard!J:K,MATCH(I381,Dashboard!J:J,0),2)),"ON",IF(Dashboard!K$32="ALL","ON","-"))</f>
        <v>-</v>
      </c>
      <c r="C381" s="88" t="s">
        <v>110</v>
      </c>
      <c r="D381" s="89">
        <f>IF(C381="ID",1,(IF(C381="PR",2,(IF(C381="DE",3,(IF(C381="RS",4,(IF(C381="RC",5,0)))))))))</f>
        <v>1</v>
      </c>
      <c r="E381" s="89" t="s">
        <v>136</v>
      </c>
      <c r="F381" s="89">
        <f>IF(E381="AM",1,(IF(E381="BE",2,(IF(E381="GV",3,(IF(E381="RA",4,(IF(E381="RM",5,(IF(E381="AC",1,(IF(E381="AT",2,(IF(E381="DS",3,(IF(E381="IP",4,(IF(E381="MA",5,(IF(E381="PT",6,(IF(E381="AE",1,(IF(E381="CM",2,(IF(E381="DP",3,(IF(E381="AN",1,(IF(E381="CO",2,(IF(E381="IM",3,(IF(E381="MI",4,(IF(E381="RP",5,(IF(E381="SC",6,0)))))))))))))))))))))))))))))))))))))))</f>
        <v>3</v>
      </c>
      <c r="G381" s="52">
        <v>2</v>
      </c>
      <c r="H381" s="90" t="s">
        <v>115</v>
      </c>
      <c r="I381" s="93" t="s">
        <v>92</v>
      </c>
      <c r="J381" s="88">
        <v>8.8000000000000007</v>
      </c>
      <c r="K381" s="102" t="s">
        <v>5226</v>
      </c>
      <c r="L381" s="117">
        <f>IF(O381="","",N381*O381*M381)</f>
        <v>0</v>
      </c>
      <c r="M381" s="108">
        <v>1</v>
      </c>
      <c r="N381" s="95">
        <v>1</v>
      </c>
      <c r="O381" s="109">
        <f>IF(Key!D$1="ON",P381,IF(SUM(Q381:DL381)&lt;1,"",SUM(Q381:DL381)/COUNTIF(Q381:DL381,"&gt;0")))</f>
        <v>0</v>
      </c>
      <c r="P381" s="109">
        <f>SUMIFS(Q381:DK381,Q$1:DK$1,Dashboard!$K$31)</f>
        <v>0</v>
      </c>
      <c r="U381" s="95">
        <v>33</v>
      </c>
      <c r="AA381" s="95">
        <v>25</v>
      </c>
      <c r="AH381" s="95">
        <v>75</v>
      </c>
    </row>
    <row r="382" spans="1:34" x14ac:dyDescent="0.3">
      <c r="A382" s="89" t="str">
        <f>CONCATENATE(D382,".",F382,"-",G382,".",H382,"")</f>
        <v>1.3-2.1</v>
      </c>
      <c r="B382" s="89" t="str">
        <f>IF(CONCATENATE(I382,Key!F$2)=CONCATENATE(INDEX(Dashboard!J:J,MATCH(I382,Dashboard!J:J,0),1),INDEX(Dashboard!J:K,MATCH(I382,Dashboard!J:J,0),2)),"ON",IF(Dashboard!K$32="ALL","ON","-"))</f>
        <v>-</v>
      </c>
      <c r="C382" s="96" t="s">
        <v>110</v>
      </c>
      <c r="D382" s="89">
        <f>IF(C382="ID",1,(IF(C382="PR",2,(IF(C382="DE",3,(IF(C382="RS",4,(IF(C382="RC",5,0)))))))))</f>
        <v>1</v>
      </c>
      <c r="E382" s="89" t="s">
        <v>136</v>
      </c>
      <c r="F382" s="89">
        <f>IF(E382="AM",1,(IF(E382="BE",2,(IF(E382="GV",3,(IF(E382="RA",4,(IF(E382="RM",5,(IF(E382="AC",1,(IF(E382="AT",2,(IF(E382="DS",3,(IF(E382="IP",4,(IF(E382="MA",5,(IF(E382="PT",6,(IF(E382="AE",1,(IF(E382="CM",2,(IF(E382="DP",3,(IF(E382="AN",1,(IF(E382="CO",2,(IF(E382="IM",3,(IF(E382="MI",4,(IF(E382="RP",5,(IF(E382="SC",6,0)))))))))))))))))))))))))))))))))))))))</f>
        <v>3</v>
      </c>
      <c r="G382" s="52">
        <v>2</v>
      </c>
      <c r="H382" s="90" t="s">
        <v>115</v>
      </c>
      <c r="I382" s="93" t="s">
        <v>92</v>
      </c>
      <c r="J382" s="88">
        <v>10.9</v>
      </c>
      <c r="K382" s="102" t="s">
        <v>5226</v>
      </c>
      <c r="L382" s="117">
        <f>IF(O382="","",N382*O382*M382)</f>
        <v>0</v>
      </c>
      <c r="M382" s="108">
        <v>1</v>
      </c>
      <c r="N382" s="95">
        <v>1</v>
      </c>
      <c r="O382" s="109">
        <f>IF(Key!D$1="ON",P382,IF(SUM(Q382:DL382)&lt;1,"",SUM(Q382:DL382)/COUNTIF(Q382:DL382,"&gt;0")))</f>
        <v>0</v>
      </c>
      <c r="P382" s="109">
        <f>SUMIFS(Q382:DK382,Q$1:DK$1,Dashboard!$K$31)</f>
        <v>0</v>
      </c>
      <c r="U382" s="95">
        <v>33</v>
      </c>
      <c r="AA382" s="95">
        <v>25</v>
      </c>
      <c r="AH382" s="95">
        <v>75</v>
      </c>
    </row>
    <row r="383" spans="1:34" x14ac:dyDescent="0.3">
      <c r="A383" s="89" t="str">
        <f>CONCATENATE(D383,".",F383,"-",G383,".",H383,"")</f>
        <v>1.3-2.1</v>
      </c>
      <c r="B383" s="89" t="str">
        <f>IF(CONCATENATE(I383,Key!F$2)=CONCATENATE(INDEX(Dashboard!J:J,MATCH(I383,Dashboard!J:J,0),1),INDEX(Dashboard!J:K,MATCH(I383,Dashboard!J:J,0),2)),"ON",IF(Dashboard!K$32="ALL","ON","-"))</f>
        <v>-</v>
      </c>
      <c r="C383" s="88" t="s">
        <v>110</v>
      </c>
      <c r="D383" s="89">
        <f>IF(C383="ID",1,(IF(C383="PR",2,(IF(C383="DE",3,(IF(C383="RS",4,(IF(C383="RC",5,0)))))))))</f>
        <v>1</v>
      </c>
      <c r="E383" s="89" t="s">
        <v>136</v>
      </c>
      <c r="F383" s="89">
        <f>IF(E383="AM",1,(IF(E383="BE",2,(IF(E383="GV",3,(IF(E383="RA",4,(IF(E383="RM",5,(IF(E383="AC",1,(IF(E383="AT",2,(IF(E383="DS",3,(IF(E383="IP",4,(IF(E383="MA",5,(IF(E383="PT",6,(IF(E383="AE",1,(IF(E383="CM",2,(IF(E383="DP",3,(IF(E383="AN",1,(IF(E383="CO",2,(IF(E383="IM",3,(IF(E383="MI",4,(IF(E383="RP",5,(IF(E383="SC",6,0)))))))))))))))))))))))))))))))))))))))</f>
        <v>3</v>
      </c>
      <c r="G383" s="52">
        <v>2</v>
      </c>
      <c r="H383" s="90" t="s">
        <v>115</v>
      </c>
      <c r="I383" s="93" t="s">
        <v>92</v>
      </c>
      <c r="J383" s="88">
        <v>11.6</v>
      </c>
      <c r="K383" s="102" t="s">
        <v>5226</v>
      </c>
      <c r="L383" s="117">
        <f>IF(O383="","",N383*O383*M383)</f>
        <v>0</v>
      </c>
      <c r="M383" s="108">
        <v>1</v>
      </c>
      <c r="N383" s="95">
        <v>1</v>
      </c>
      <c r="O383" s="109">
        <f>IF(Key!D$1="ON",P383,IF(SUM(Q383:DL383)&lt;1,"",SUM(Q383:DL383)/COUNTIF(Q383:DL383,"&gt;0")))</f>
        <v>0</v>
      </c>
      <c r="P383" s="109">
        <f>SUMIFS(Q383:DK383,Q$1:DK$1,Dashboard!$K$31)</f>
        <v>0</v>
      </c>
      <c r="U383" s="95">
        <v>33</v>
      </c>
      <c r="AA383" s="95">
        <v>25</v>
      </c>
      <c r="AH383" s="95">
        <v>75</v>
      </c>
    </row>
    <row r="384" spans="1:34" x14ac:dyDescent="0.3">
      <c r="A384" s="89" t="str">
        <f>CONCATENATE(D384,".",F384,"-",G384,".",H384,"")</f>
        <v>1.3-2.1</v>
      </c>
      <c r="B384" s="89" t="str">
        <f>IF(CONCATENATE(I384,Key!F$2)=CONCATENATE(INDEX(Dashboard!J:J,MATCH(I384,Dashboard!J:J,0),1),INDEX(Dashboard!J:K,MATCH(I384,Dashboard!J:J,0),2)),"ON",IF(Dashboard!K$32="ALL","ON","-"))</f>
        <v>-</v>
      </c>
      <c r="C384" s="88" t="s">
        <v>110</v>
      </c>
      <c r="D384" s="89">
        <f>IF(C384="ID",1,(IF(C384="PR",2,(IF(C384="DE",3,(IF(C384="RS",4,(IF(C384="RC",5,0)))))))))</f>
        <v>1</v>
      </c>
      <c r="E384" s="89" t="s">
        <v>136</v>
      </c>
      <c r="F384" s="89">
        <f>IF(E384="AM",1,(IF(E384="BE",2,(IF(E384="GV",3,(IF(E384="RA",4,(IF(E384="RM",5,(IF(E384="AC",1,(IF(E384="AT",2,(IF(E384="DS",3,(IF(E384="IP",4,(IF(E384="MA",5,(IF(E384="PT",6,(IF(E384="AE",1,(IF(E384="CM",2,(IF(E384="DP",3,(IF(E384="AN",1,(IF(E384="CO",2,(IF(E384="IM",3,(IF(E384="MI",4,(IF(E384="RP",5,(IF(E384="SC",6,0)))))))))))))))))))))))))))))))))))))))</f>
        <v>3</v>
      </c>
      <c r="G384" s="52">
        <v>2</v>
      </c>
      <c r="H384" s="90" t="s">
        <v>115</v>
      </c>
      <c r="I384" s="93" t="s">
        <v>92</v>
      </c>
      <c r="J384" s="88">
        <v>12.3</v>
      </c>
      <c r="K384" s="102" t="s">
        <v>5226</v>
      </c>
      <c r="L384" s="117">
        <f>IF(O384="","",N384*O384*M384)</f>
        <v>0</v>
      </c>
      <c r="M384" s="108">
        <v>1</v>
      </c>
      <c r="N384" s="95">
        <v>1</v>
      </c>
      <c r="O384" s="109">
        <f>IF(Key!D$1="ON",P384,IF(SUM(Q384:DL384)&lt;1,"",SUM(Q384:DL384)/COUNTIF(Q384:DL384,"&gt;0")))</f>
        <v>0</v>
      </c>
      <c r="P384" s="109">
        <f>SUMIFS(Q384:DK384,Q$1:DK$1,Dashboard!$K$31)</f>
        <v>0</v>
      </c>
      <c r="U384" s="95">
        <v>33</v>
      </c>
      <c r="AA384" s="95">
        <v>25</v>
      </c>
      <c r="AH384" s="95">
        <v>75</v>
      </c>
    </row>
    <row r="385" spans="1:34" x14ac:dyDescent="0.3">
      <c r="A385" s="89" t="str">
        <f>CONCATENATE(D385,".",F385,"-",G385,".",H385,"")</f>
        <v>1.3-2.1</v>
      </c>
      <c r="B385" s="89" t="str">
        <f>IF(CONCATENATE(I385,Key!F$2)=CONCATENATE(INDEX(Dashboard!J:J,MATCH(I385,Dashboard!J:J,0),1),INDEX(Dashboard!J:K,MATCH(I385,Dashboard!J:J,0),2)),"ON",IF(Dashboard!K$32="ALL","ON","-"))</f>
        <v>-</v>
      </c>
      <c r="C385" s="88" t="s">
        <v>110</v>
      </c>
      <c r="D385" s="89">
        <f>IF(C385="ID",1,(IF(C385="PR",2,(IF(C385="DE",3,(IF(C385="RS",4,(IF(C385="RC",5,0)))))))))</f>
        <v>1</v>
      </c>
      <c r="E385" s="89" t="s">
        <v>136</v>
      </c>
      <c r="F385" s="89">
        <f>IF(E385="AM",1,(IF(E385="BE",2,(IF(E385="GV",3,(IF(E385="RA",4,(IF(E385="RM",5,(IF(E385="AC",1,(IF(E385="AT",2,(IF(E385="DS",3,(IF(E385="IP",4,(IF(E385="MA",5,(IF(E385="PT",6,(IF(E385="AE",1,(IF(E385="CM",2,(IF(E385="DP",3,(IF(E385="AN",1,(IF(E385="CO",2,(IF(E385="IM",3,(IF(E385="MI",4,(IF(E385="RP",5,(IF(E385="SC",6,0)))))))))))))))))))))))))))))))))))))))</f>
        <v>3</v>
      </c>
      <c r="G385" s="52">
        <v>2</v>
      </c>
      <c r="H385" s="90" t="s">
        <v>115</v>
      </c>
      <c r="I385" s="93" t="s">
        <v>92</v>
      </c>
      <c r="J385" s="88" t="s">
        <v>138</v>
      </c>
      <c r="K385" s="102" t="s">
        <v>5226</v>
      </c>
      <c r="L385" s="117">
        <f>IF(O385="","",N385*O385*M385)</f>
        <v>0</v>
      </c>
      <c r="M385" s="108">
        <v>1</v>
      </c>
      <c r="N385" s="95">
        <v>1</v>
      </c>
      <c r="O385" s="109">
        <f>IF(Key!D$1="ON",P385,IF(SUM(Q385:DL385)&lt;1,"",SUM(Q385:DL385)/COUNTIF(Q385:DL385,"&gt;0")))</f>
        <v>0</v>
      </c>
      <c r="P385" s="109">
        <f>SUMIFS(Q385:DK385,Q$1:DK$1,Dashboard!$K$31)</f>
        <v>0</v>
      </c>
      <c r="U385" s="95">
        <v>33</v>
      </c>
      <c r="AA385" s="95">
        <v>25</v>
      </c>
      <c r="AH385" s="95">
        <v>75</v>
      </c>
    </row>
    <row r="386" spans="1:34" x14ac:dyDescent="0.3">
      <c r="A386" s="89" t="str">
        <f>CONCATENATE(D386,".",F386,"-",G386,".",H386,"")</f>
        <v>1.3-2.4</v>
      </c>
      <c r="B386" s="89" t="str">
        <f>IF(CONCATENATE(I386,Key!F$2)=CONCATENATE(INDEX(Dashboard!J:J,MATCH(I386,Dashboard!J:J,0),1),INDEX(Dashboard!J:K,MATCH(I386,Dashboard!J:J,0),2)),"ON",IF(Dashboard!K$32="ALL","ON","-"))</f>
        <v>-</v>
      </c>
      <c r="C386" s="88" t="s">
        <v>110</v>
      </c>
      <c r="D386" s="89">
        <f>IF(C386="ID",1,(IF(C386="PR",2,(IF(C386="DE",3,(IF(C386="RS",4,(IF(C386="RC",5,0)))))))))</f>
        <v>1</v>
      </c>
      <c r="E386" s="89" t="s">
        <v>136</v>
      </c>
      <c r="F386" s="89">
        <f>IF(E386="AM",1,(IF(E386="BE",2,(IF(E386="GV",3,(IF(E386="RA",4,(IF(E386="RM",5,(IF(E386="AC",1,(IF(E386="AT",2,(IF(E386="DS",3,(IF(E386="IP",4,(IF(E386="MA",5,(IF(E386="PT",6,(IF(E386="AE",1,(IF(E386="CM",2,(IF(E386="DP",3,(IF(E386="AN",1,(IF(E386="CO",2,(IF(E386="IM",3,(IF(E386="MI",4,(IF(E386="RP",5,(IF(E386="SC",6,0)))))))))))))))))))))))))))))))))))))))</f>
        <v>3</v>
      </c>
      <c r="G386" s="52">
        <v>2</v>
      </c>
      <c r="H386" s="89">
        <v>4</v>
      </c>
      <c r="I386" s="93" t="s">
        <v>60</v>
      </c>
      <c r="J386" s="88" t="s">
        <v>3123</v>
      </c>
      <c r="K386" s="51" t="s">
        <v>5236</v>
      </c>
      <c r="L386" s="117">
        <f>IF(O386="","",N386*O386*M386)</f>
        <v>0</v>
      </c>
      <c r="M386" s="108">
        <v>1</v>
      </c>
      <c r="N386" s="95">
        <v>1</v>
      </c>
      <c r="O386" s="109">
        <f>IF(Key!D$1="ON",P386,IF(SUM(Q386:DL386)&lt;1,"",SUM(Q386:DL386)/COUNTIF(Q386:DL386,"&gt;0")))</f>
        <v>0</v>
      </c>
      <c r="P386" s="109">
        <f>SUMIFS(Q386:DK386,Q$1:DK$1,Dashboard!$K$31)</f>
        <v>0</v>
      </c>
      <c r="U386" s="95">
        <v>33</v>
      </c>
      <c r="AA386" s="95">
        <v>25</v>
      </c>
      <c r="AH386" s="95">
        <v>75</v>
      </c>
    </row>
    <row r="387" spans="1:34" x14ac:dyDescent="0.3">
      <c r="A387" s="89" t="str">
        <f>CONCATENATE(D387,".",F387,"-",G387,".",H387,"")</f>
        <v>1.3-2.5</v>
      </c>
      <c r="B387" s="89" t="str">
        <f>IF(CONCATENATE(I387,Key!F$2)=CONCATENATE(INDEX(Dashboard!J:J,MATCH(I387,Dashboard!J:J,0),1),INDEX(Dashboard!J:K,MATCH(I387,Dashboard!J:J,0),2)),"ON",IF(Dashboard!K$32="ALL","ON","-"))</f>
        <v>-</v>
      </c>
      <c r="C387" s="96" t="s">
        <v>110</v>
      </c>
      <c r="D387" s="89">
        <f>IF(C387="ID",1,(IF(C387="PR",2,(IF(C387="DE",3,(IF(C387="RS",4,(IF(C387="RC",5,0)))))))))</f>
        <v>1</v>
      </c>
      <c r="E387" s="89" t="s">
        <v>136</v>
      </c>
      <c r="F387" s="89">
        <f>IF(E387="AM",1,(IF(E387="BE",2,(IF(E387="GV",3,(IF(E387="RA",4,(IF(E387="RM",5,(IF(E387="AC",1,(IF(E387="AT",2,(IF(E387="DS",3,(IF(E387="IP",4,(IF(E387="MA",5,(IF(E387="PT",6,(IF(E387="AE",1,(IF(E387="CM",2,(IF(E387="DP",3,(IF(E387="AN",1,(IF(E387="CO",2,(IF(E387="IM",3,(IF(E387="MI",4,(IF(E387="RP",5,(IF(E387="SC",6,0)))))))))))))))))))))))))))))))))))))))</f>
        <v>3</v>
      </c>
      <c r="G387" s="98">
        <v>2</v>
      </c>
      <c r="H387" s="90" t="s">
        <v>123</v>
      </c>
      <c r="I387" s="93" t="s">
        <v>77</v>
      </c>
      <c r="J387" s="87" t="s">
        <v>1025</v>
      </c>
      <c r="K387" s="102" t="s">
        <v>2080</v>
      </c>
      <c r="L387" s="117">
        <f>IF(O387="","",N387*O387*M387)</f>
        <v>0</v>
      </c>
      <c r="M387" s="108">
        <v>1</v>
      </c>
      <c r="N387" s="95">
        <v>1</v>
      </c>
      <c r="O387" s="109">
        <f>IF(Key!D$1="ON",P387,IF(SUM(Q387:DL387)&lt;1,"",SUM(Q387:DL387)/COUNTIF(Q387:DL387,"&gt;0")))</f>
        <v>0</v>
      </c>
      <c r="P387" s="109">
        <f>SUMIFS(Q387:DK387,Q$1:DK$1,Dashboard!$K$31)</f>
        <v>0</v>
      </c>
      <c r="U387" s="95">
        <v>33</v>
      </c>
      <c r="AA387" s="95">
        <v>25</v>
      </c>
      <c r="AH387" s="95">
        <v>75</v>
      </c>
    </row>
    <row r="388" spans="1:34" x14ac:dyDescent="0.3">
      <c r="A388" s="89" t="str">
        <f>CONCATENATE(D388,".",F388,"-",G388,".",H388,"")</f>
        <v>1.3-2.5</v>
      </c>
      <c r="B388" s="89" t="str">
        <f>IF(CONCATENATE(I388,Key!F$2)=CONCATENATE(INDEX(Dashboard!J:J,MATCH(I388,Dashboard!J:J,0),1),INDEX(Dashboard!J:K,MATCH(I388,Dashboard!J:J,0),2)),"ON",IF(Dashboard!K$32="ALL","ON","-"))</f>
        <v>-</v>
      </c>
      <c r="C388" s="88" t="s">
        <v>110</v>
      </c>
      <c r="D388" s="89">
        <f>IF(C388="ID",1,(IF(C388="PR",2,(IF(C388="DE",3,(IF(C388="RS",4,(IF(C388="RC",5,0)))))))))</f>
        <v>1</v>
      </c>
      <c r="E388" s="89" t="s">
        <v>136</v>
      </c>
      <c r="F388" s="89">
        <f>IF(E388="AM",1,(IF(E388="BE",2,(IF(E388="GV",3,(IF(E388="RA",4,(IF(E388="RM",5,(IF(E388="AC",1,(IF(E388="AT",2,(IF(E388="DS",3,(IF(E388="IP",4,(IF(E388="MA",5,(IF(E388="PT",6,(IF(E388="AE",1,(IF(E388="CM",2,(IF(E388="DP",3,(IF(E388="AN",1,(IF(E388="CO",2,(IF(E388="IM",3,(IF(E388="MI",4,(IF(E388="RP",5,(IF(E388="SC",6,0)))))))))))))))))))))))))))))))))))))))</f>
        <v>3</v>
      </c>
      <c r="G388" s="52">
        <v>2</v>
      </c>
      <c r="H388" s="90" t="s">
        <v>123</v>
      </c>
      <c r="I388" s="93" t="s">
        <v>77</v>
      </c>
      <c r="J388" s="87" t="s">
        <v>1027</v>
      </c>
      <c r="K388" s="102" t="s">
        <v>2081</v>
      </c>
      <c r="L388" s="117">
        <f>IF(O388="","",N388*O388*M388)</f>
        <v>0</v>
      </c>
      <c r="M388" s="108">
        <v>1</v>
      </c>
      <c r="N388" s="95">
        <v>1</v>
      </c>
      <c r="O388" s="109">
        <f>IF(Key!D$1="ON",P388,IF(SUM(Q388:DL388)&lt;1,"",SUM(Q388:DL388)/COUNTIF(Q388:DL388,"&gt;0")))</f>
        <v>0</v>
      </c>
      <c r="P388" s="109">
        <f>SUMIFS(Q388:DK388,Q$1:DK$1,Dashboard!$K$31)</f>
        <v>0</v>
      </c>
      <c r="U388" s="95">
        <v>33</v>
      </c>
      <c r="AA388" s="95">
        <v>25</v>
      </c>
      <c r="AH388" s="95">
        <v>75</v>
      </c>
    </row>
    <row r="389" spans="1:34" x14ac:dyDescent="0.3">
      <c r="A389" s="89" t="str">
        <f>CONCATENATE(D389,".",F389,"-",G389,".",H389,"")</f>
        <v>1.3-3.0</v>
      </c>
      <c r="B389" s="89" t="str">
        <f>IF(CONCATENATE(I389,Key!F$2)=CONCATENATE(INDEX(Dashboard!J:J,MATCH(I389,Dashboard!J:J,0),1),INDEX(Dashboard!J:K,MATCH(I389,Dashboard!J:J,0),2)),"ON",IF(Dashboard!K$32="ALL","ON","-"))</f>
        <v>-</v>
      </c>
      <c r="C389" s="96" t="s">
        <v>110</v>
      </c>
      <c r="D389" s="89">
        <f>IF(C389="ID",1,(IF(C389="PR",2,(IF(C389="DE",3,(IF(C389="RS",4,(IF(C389="RC",5,0)))))))))</f>
        <v>1</v>
      </c>
      <c r="E389" s="89" t="s">
        <v>136</v>
      </c>
      <c r="F389" s="89">
        <f>IF(E389="AM",1,(IF(E389="BE",2,(IF(E389="GV",3,(IF(E389="RA",4,(IF(E389="RM",5,(IF(E389="AC",1,(IF(E389="AT",2,(IF(E389="DS",3,(IF(E389="IP",4,(IF(E389="MA",5,(IF(E389="PT",6,(IF(E389="AE",1,(IF(E389="CM",2,(IF(E389="DP",3,(IF(E389="AN",1,(IF(E389="CO",2,(IF(E389="IM",3,(IF(E389="MI",4,(IF(E389="RP",5,(IF(E389="SC",6,0)))))))))))))))))))))))))))))))))))))))</f>
        <v>3</v>
      </c>
      <c r="G389" s="52">
        <v>3</v>
      </c>
      <c r="H389" s="90" t="s">
        <v>347</v>
      </c>
      <c r="I389" s="93" t="s">
        <v>2835</v>
      </c>
      <c r="J389" s="53" t="s">
        <v>2871</v>
      </c>
      <c r="K389" s="152" t="s">
        <v>2872</v>
      </c>
      <c r="L389" s="117">
        <f>IF(O389="","",N389*O389*M389)</f>
        <v>0</v>
      </c>
      <c r="M389" s="108">
        <v>1</v>
      </c>
      <c r="N389" s="95">
        <v>1</v>
      </c>
      <c r="O389" s="109">
        <f>IF(Key!D$1="ON",P389,IF(SUM(Q389:DL389)&lt;1,"",SUM(Q389:DL389)/COUNTIF(Q389:DL389,"&gt;0")))</f>
        <v>0</v>
      </c>
      <c r="P389" s="109">
        <f>SUMIFS(Q389:DK389,Q$1:DK$1,Dashboard!$K$31)</f>
        <v>0</v>
      </c>
      <c r="U389" s="95">
        <v>33</v>
      </c>
    </row>
    <row r="390" spans="1:34" x14ac:dyDescent="0.3">
      <c r="A390" s="89" t="str">
        <f>CONCATENATE(D390,".",F390,"-",G390,".",H390,"")</f>
        <v>1.3-3.1</v>
      </c>
      <c r="B390" s="89" t="str">
        <f>IF(CONCATENATE(I390,Key!F$2)=CONCATENATE(INDEX(Dashboard!J:J,MATCH(I390,Dashboard!J:J,0),1),INDEX(Dashboard!J:K,MATCH(I390,Dashboard!J:J,0),2)),"ON",IF(Dashboard!K$32="ALL","ON","-"))</f>
        <v>-</v>
      </c>
      <c r="C390" s="96" t="s">
        <v>110</v>
      </c>
      <c r="D390" s="89">
        <f>IF(C390="ID",1,(IF(C390="PR",2,(IF(C390="DE",3,(IF(C390="RS",4,(IF(C390="RC",5,0)))))))))</f>
        <v>1</v>
      </c>
      <c r="E390" s="89" t="s">
        <v>136</v>
      </c>
      <c r="F390" s="89">
        <f>IF(E390="AM",1,(IF(E390="BE",2,(IF(E390="GV",3,(IF(E390="RA",4,(IF(E390="RM",5,(IF(E390="AC",1,(IF(E390="AT",2,(IF(E390="DS",3,(IF(E390="IP",4,(IF(E390="MA",5,(IF(E390="PT",6,(IF(E390="AE",1,(IF(E390="CM",2,(IF(E390="DP",3,(IF(E390="AN",1,(IF(E390="CO",2,(IF(E390="IM",3,(IF(E390="MI",4,(IF(E390="RP",5,(IF(E390="SC",6,0)))))))))))))))))))))))))))))))))))))))</f>
        <v>3</v>
      </c>
      <c r="G390" s="98">
        <v>3</v>
      </c>
      <c r="H390" s="90" t="s">
        <v>115</v>
      </c>
      <c r="I390" s="93" t="s">
        <v>52</v>
      </c>
      <c r="J390" s="88">
        <v>164.31399999999999</v>
      </c>
      <c r="K390" s="103" t="s">
        <v>3294</v>
      </c>
      <c r="L390" s="117">
        <f>IF(O390="","",N390*O390*M390)</f>
        <v>0</v>
      </c>
      <c r="M390" s="108">
        <v>1</v>
      </c>
      <c r="N390" s="95">
        <v>1</v>
      </c>
      <c r="O390" s="109">
        <f>IF(Key!D$1="ON",P390,IF(SUM(Q390:DL390)&lt;1,"",SUM(Q390:DL390)/COUNTIF(Q390:DL390,"&gt;0")))</f>
        <v>0</v>
      </c>
      <c r="P390" s="109">
        <f>SUMIFS(Q390:DK390,Q$1:DK$1,Dashboard!$K$31)</f>
        <v>0</v>
      </c>
      <c r="U390" s="95">
        <v>33</v>
      </c>
      <c r="AA390" s="95">
        <v>25</v>
      </c>
      <c r="AH390" s="95">
        <v>75</v>
      </c>
    </row>
    <row r="391" spans="1:34" ht="15.6" x14ac:dyDescent="0.3">
      <c r="A391" s="89" t="str">
        <f>CONCATENATE(D391,".",F391,"-",G391,".",H391,"")</f>
        <v>1.3-3.1</v>
      </c>
      <c r="B391" s="89" t="str">
        <f>IF(CONCATENATE(I391,Key!F$2)=CONCATENATE(INDEX(Dashboard!J:J,MATCH(I391,Dashboard!J:J,0),1),INDEX(Dashboard!J:K,MATCH(I391,Dashboard!J:J,0),2)),"ON",IF(Dashboard!K$32="ALL","ON","-"))</f>
        <v>-</v>
      </c>
      <c r="C391" s="96" t="s">
        <v>110</v>
      </c>
      <c r="D391" s="89">
        <f>IF(C391="ID",1,(IF(C391="PR",2,(IF(C391="DE",3,(IF(C391="RS",4,(IF(C391="RC",5,0)))))))))</f>
        <v>1</v>
      </c>
      <c r="E391" s="89" t="s">
        <v>136</v>
      </c>
      <c r="F391" s="89">
        <f>IF(E391="AM",1,(IF(E391="BE",2,(IF(E391="GV",3,(IF(E391="RA",4,(IF(E391="RM",5,(IF(E391="AC",1,(IF(E391="AT",2,(IF(E391="DS",3,(IF(E391="IP",4,(IF(E391="MA",5,(IF(E391="PT",6,(IF(E391="AE",1,(IF(E391="CM",2,(IF(E391="DP",3,(IF(E391="AN",1,(IF(E391="CO",2,(IF(E391="IM",3,(IF(E391="MI",4,(IF(E391="RP",5,(IF(E391="SC",6,0)))))))))))))))))))))))))))))))))))))))</f>
        <v>3</v>
      </c>
      <c r="G391" s="98">
        <v>3</v>
      </c>
      <c r="H391" s="90" t="s">
        <v>115</v>
      </c>
      <c r="I391" s="93" t="s">
        <v>52</v>
      </c>
      <c r="J391" s="88" t="s">
        <v>3319</v>
      </c>
      <c r="K391" s="103" t="s">
        <v>3320</v>
      </c>
      <c r="L391" s="117">
        <f>IF(O391="","",N391*O391*M391)</f>
        <v>0</v>
      </c>
      <c r="M391" s="108">
        <v>1</v>
      </c>
      <c r="N391" s="95">
        <v>1</v>
      </c>
      <c r="O391" s="109">
        <f>IF(Key!D$1="ON",P391,IF(SUM(Q391:DL391)&lt;1,"",SUM(Q391:DL391)/COUNTIF(Q391:DL391,"&gt;0")))</f>
        <v>0</v>
      </c>
      <c r="P391" s="109">
        <f>SUMIFS(Q391:DK391,Q$1:DK$1,Dashboard!$K$31)</f>
        <v>0</v>
      </c>
      <c r="U391" s="95">
        <v>33</v>
      </c>
      <c r="AA391" s="95">
        <v>25</v>
      </c>
      <c r="AH391" s="95">
        <v>75</v>
      </c>
    </row>
    <row r="392" spans="1:34" x14ac:dyDescent="0.3">
      <c r="A392" s="89" t="str">
        <f>CONCATENATE(D392,".",F392,"-",G392,".",H392,"")</f>
        <v>1.3-3.1</v>
      </c>
      <c r="B392" s="89" t="str">
        <f>IF(CONCATENATE(I392,Key!F$2)=CONCATENATE(INDEX(Dashboard!J:J,MATCH(I392,Dashboard!J:J,0),1),INDEX(Dashboard!J:K,MATCH(I392,Dashboard!J:J,0),2)),"ON",IF(Dashboard!K$32="ALL","ON","-"))</f>
        <v>-</v>
      </c>
      <c r="C392" s="96" t="s">
        <v>110</v>
      </c>
      <c r="D392" s="89">
        <f>IF(C392="ID",1,(IF(C392="PR",2,(IF(C392="DE",3,(IF(C392="RS",4,(IF(C392="RC",5,0)))))))))</f>
        <v>1</v>
      </c>
      <c r="E392" s="89" t="s">
        <v>136</v>
      </c>
      <c r="F392" s="89">
        <f>IF(E392="AM",1,(IF(E392="BE",2,(IF(E392="GV",3,(IF(E392="RA",4,(IF(E392="RM",5,(IF(E392="AC",1,(IF(E392="AT",2,(IF(E392="DS",3,(IF(E392="IP",4,(IF(E392="MA",5,(IF(E392="PT",6,(IF(E392="AE",1,(IF(E392="CM",2,(IF(E392="DP",3,(IF(E392="AN",1,(IF(E392="CO",2,(IF(E392="IM",3,(IF(E392="MI",4,(IF(E392="RP",5,(IF(E392="SC",6,0)))))))))))))))))))))))))))))))))))))))</f>
        <v>3</v>
      </c>
      <c r="G392" s="98">
        <v>3</v>
      </c>
      <c r="H392" s="90" t="s">
        <v>115</v>
      </c>
      <c r="I392" s="93" t="s">
        <v>52</v>
      </c>
      <c r="J392" s="88" t="s">
        <v>3321</v>
      </c>
      <c r="K392" s="103" t="s">
        <v>3322</v>
      </c>
      <c r="L392" s="117">
        <f>IF(O392="","",N392*O392*M392)</f>
        <v>0</v>
      </c>
      <c r="M392" s="108">
        <v>1</v>
      </c>
      <c r="N392" s="95">
        <v>1</v>
      </c>
      <c r="O392" s="109">
        <f>IF(Key!D$1="ON",P392,IF(SUM(Q392:DL392)&lt;1,"",SUM(Q392:DL392)/COUNTIF(Q392:DL392,"&gt;0")))</f>
        <v>0</v>
      </c>
      <c r="P392" s="109">
        <f>SUMIFS(Q392:DK392,Q$1:DK$1,Dashboard!$K$31)</f>
        <v>0</v>
      </c>
      <c r="U392" s="95">
        <v>33</v>
      </c>
      <c r="AA392" s="95">
        <v>25</v>
      </c>
      <c r="AH392" s="95">
        <v>75</v>
      </c>
    </row>
    <row r="393" spans="1:34" x14ac:dyDescent="0.3">
      <c r="A393" s="89" t="str">
        <f>CONCATENATE(D393,".",F393,"-",G393,".",H393,"")</f>
        <v>1.3-3.1</v>
      </c>
      <c r="B393" s="89" t="str">
        <f>IF(CONCATENATE(I393,Key!F$2)=CONCATENATE(INDEX(Dashboard!J:J,MATCH(I393,Dashboard!J:J,0),1),INDEX(Dashboard!J:K,MATCH(I393,Dashboard!J:J,0),2)),"ON",IF(Dashboard!K$32="ALL","ON","-"))</f>
        <v>-</v>
      </c>
      <c r="C393" s="88" t="s">
        <v>110</v>
      </c>
      <c r="D393" s="89">
        <f>IF(C393="ID",1,(IF(C393="PR",2,(IF(C393="DE",3,(IF(C393="RS",4,(IF(C393="RC",5,0)))))))))</f>
        <v>1</v>
      </c>
      <c r="E393" s="89" t="s">
        <v>136</v>
      </c>
      <c r="F393" s="89">
        <f>IF(E393="AM",1,(IF(E393="BE",2,(IF(E393="GV",3,(IF(E393="RA",4,(IF(E393="RM",5,(IF(E393="AC",1,(IF(E393="AT",2,(IF(E393="DS",3,(IF(E393="IP",4,(IF(E393="MA",5,(IF(E393="PT",6,(IF(E393="AE",1,(IF(E393="CM",2,(IF(E393="DP",3,(IF(E393="AN",1,(IF(E393="CO",2,(IF(E393="IM",3,(IF(E393="MI",4,(IF(E393="RP",5,(IF(E393="SC",6,0)))))))))))))))))))))))))))))))))))))))</f>
        <v>3</v>
      </c>
      <c r="G393" s="52">
        <v>3</v>
      </c>
      <c r="H393" s="90" t="s">
        <v>115</v>
      </c>
      <c r="I393" s="93" t="s">
        <v>60</v>
      </c>
      <c r="J393" s="87" t="s">
        <v>3144</v>
      </c>
      <c r="K393" s="51" t="s">
        <v>5257</v>
      </c>
      <c r="L393" s="117">
        <f>IF(O393="","",N393*O393*M393)</f>
        <v>0</v>
      </c>
      <c r="M393" s="108">
        <v>1</v>
      </c>
      <c r="N393" s="95">
        <v>1</v>
      </c>
      <c r="O393" s="109">
        <f>IF(Key!D$1="ON",P393,IF(SUM(Q393:DL393)&lt;1,"",SUM(Q393:DL393)/COUNTIF(Q393:DL393,"&gt;0")))</f>
        <v>0</v>
      </c>
      <c r="P393" s="109">
        <f>SUMIFS(Q393:DK393,Q$1:DK$1,Dashboard!$K$31)</f>
        <v>0</v>
      </c>
      <c r="U393" s="95">
        <v>33</v>
      </c>
      <c r="AA393" s="95">
        <v>25</v>
      </c>
      <c r="AH393" s="95">
        <v>75</v>
      </c>
    </row>
    <row r="394" spans="1:34" x14ac:dyDescent="0.3">
      <c r="A394" s="89" t="str">
        <f>CONCATENATE(D394,".",F394,"-",G394,".",H394,"")</f>
        <v>1.3-3.1</v>
      </c>
      <c r="B394" s="89" t="str">
        <f>IF(CONCATENATE(I394,Key!F$2)=CONCATENATE(INDEX(Dashboard!J:J,MATCH(I394,Dashboard!J:J,0),1),INDEX(Dashboard!J:K,MATCH(I394,Dashboard!J:J,0),2)),"ON",IF(Dashboard!K$32="ALL","ON","-"))</f>
        <v>-</v>
      </c>
      <c r="C394" s="88" t="s">
        <v>110</v>
      </c>
      <c r="D394" s="89">
        <f>IF(C394="ID",1,(IF(C394="PR",2,(IF(C394="DE",3,(IF(C394="RS",4,(IF(C394="RC",5,0)))))))))</f>
        <v>1</v>
      </c>
      <c r="E394" s="89" t="s">
        <v>136</v>
      </c>
      <c r="F394" s="89">
        <f>IF(E394="AM",1,(IF(E394="BE",2,(IF(E394="GV",3,(IF(E394="RA",4,(IF(E394="RM",5,(IF(E394="AC",1,(IF(E394="AT",2,(IF(E394="DS",3,(IF(E394="IP",4,(IF(E394="MA",5,(IF(E394="PT",6,(IF(E394="AE",1,(IF(E394="CM",2,(IF(E394="DP",3,(IF(E394="AN",1,(IF(E394="CO",2,(IF(E394="IM",3,(IF(E394="MI",4,(IF(E394="RP",5,(IF(E394="SC",6,0)))))))))))))))))))))))))))))))))))))))</f>
        <v>3</v>
      </c>
      <c r="G394" s="52">
        <v>3</v>
      </c>
      <c r="H394" s="89">
        <v>1</v>
      </c>
      <c r="I394" s="93" t="s">
        <v>60</v>
      </c>
      <c r="J394" s="88" t="s">
        <v>3145</v>
      </c>
      <c r="K394" s="51" t="s">
        <v>5258</v>
      </c>
      <c r="L394" s="117">
        <f>IF(O394="","",N394*O394*M394)</f>
        <v>0</v>
      </c>
      <c r="M394" s="108">
        <v>1</v>
      </c>
      <c r="N394" s="95">
        <v>1</v>
      </c>
      <c r="O394" s="109">
        <f>IF(Key!D$1="ON",P394,IF(SUM(Q394:DL394)&lt;1,"",SUM(Q394:DL394)/COUNTIF(Q394:DL394,"&gt;0")))</f>
        <v>0</v>
      </c>
      <c r="P394" s="109">
        <f>SUMIFS(Q394:DK394,Q$1:DK$1,Dashboard!$K$31)</f>
        <v>0</v>
      </c>
      <c r="U394" s="95">
        <v>33</v>
      </c>
      <c r="AA394" s="95">
        <v>25</v>
      </c>
      <c r="AH394" s="95">
        <v>75</v>
      </c>
    </row>
    <row r="395" spans="1:34" x14ac:dyDescent="0.3">
      <c r="A395" s="89" t="str">
        <f>CONCATENATE(D395,".",F395,"-",G395,".",H395,"")</f>
        <v>1.3-3.1</v>
      </c>
      <c r="B395" s="89" t="str">
        <f>IF(CONCATENATE(I395,Key!F$2)=CONCATENATE(INDEX(Dashboard!J:J,MATCH(I395,Dashboard!J:J,0),1),INDEX(Dashboard!J:K,MATCH(I395,Dashboard!J:J,0),2)),"ON",IF(Dashboard!K$32="ALL","ON","-"))</f>
        <v>-</v>
      </c>
      <c r="C395" s="88" t="s">
        <v>110</v>
      </c>
      <c r="D395" s="89">
        <f>IF(C395="ID",1,(IF(C395="PR",2,(IF(C395="DE",3,(IF(C395="RS",4,(IF(C395="RC",5,0)))))))))</f>
        <v>1</v>
      </c>
      <c r="E395" s="89" t="s">
        <v>136</v>
      </c>
      <c r="F395" s="89">
        <f>IF(E395="AM",1,(IF(E395="BE",2,(IF(E395="GV",3,(IF(E395="RA",4,(IF(E395="RM",5,(IF(E395="AC",1,(IF(E395="AT",2,(IF(E395="DS",3,(IF(E395="IP",4,(IF(E395="MA",5,(IF(E395="PT",6,(IF(E395="AE",1,(IF(E395="CM",2,(IF(E395="DP",3,(IF(E395="AN",1,(IF(E395="CO",2,(IF(E395="IM",3,(IF(E395="MI",4,(IF(E395="RP",5,(IF(E395="SC",6,0)))))))))))))))))))))))))))))))))))))))</f>
        <v>3</v>
      </c>
      <c r="G395" s="52">
        <v>3</v>
      </c>
      <c r="H395" s="89">
        <v>1</v>
      </c>
      <c r="I395" s="93" t="s">
        <v>60</v>
      </c>
      <c r="J395" s="88" t="s">
        <v>3145</v>
      </c>
      <c r="K395" s="51" t="s">
        <v>5258</v>
      </c>
      <c r="L395" s="117">
        <f>IF(O395="","",N395*O395*M395)</f>
        <v>0</v>
      </c>
      <c r="M395" s="108">
        <v>1</v>
      </c>
      <c r="N395" s="95">
        <v>1</v>
      </c>
      <c r="O395" s="109">
        <f>IF(Key!D$1="ON",P395,IF(SUM(Q395:DL395)&lt;1,"",SUM(Q395:DL395)/COUNTIF(Q395:DL395,"&gt;0")))</f>
        <v>0</v>
      </c>
      <c r="P395" s="109">
        <f>SUMIFS(Q395:DK395,Q$1:DK$1,Dashboard!$K$31)</f>
        <v>0</v>
      </c>
      <c r="U395" s="95">
        <v>33</v>
      </c>
      <c r="AA395" s="95">
        <v>25</v>
      </c>
      <c r="AH395" s="95">
        <v>75</v>
      </c>
    </row>
    <row r="396" spans="1:34" x14ac:dyDescent="0.3">
      <c r="A396" s="89" t="str">
        <f>CONCATENATE(D396,".",F396,"-",G396,".",H396,"")</f>
        <v>1.3-3.1</v>
      </c>
      <c r="B396" s="89" t="str">
        <f>IF(CONCATENATE(I396,Key!F$2)=CONCATENATE(INDEX(Dashboard!J:J,MATCH(I396,Dashboard!J:J,0),1),INDEX(Dashboard!J:K,MATCH(I396,Dashboard!J:J,0),2)),"ON",IF(Dashboard!K$32="ALL","ON","-"))</f>
        <v>-</v>
      </c>
      <c r="C396" s="88" t="s">
        <v>110</v>
      </c>
      <c r="D396" s="89">
        <f>IF(C396="ID",1,(IF(C396="PR",2,(IF(C396="DE",3,(IF(C396="RS",4,(IF(C396="RC",5,0)))))))))</f>
        <v>1</v>
      </c>
      <c r="E396" s="89" t="s">
        <v>136</v>
      </c>
      <c r="F396" s="89">
        <f>IF(E396="AM",1,(IF(E396="BE",2,(IF(E396="GV",3,(IF(E396="RA",4,(IF(E396="RM",5,(IF(E396="AC",1,(IF(E396="AT",2,(IF(E396="DS",3,(IF(E396="IP",4,(IF(E396="MA",5,(IF(E396="PT",6,(IF(E396="AE",1,(IF(E396="CM",2,(IF(E396="DP",3,(IF(E396="AN",1,(IF(E396="CO",2,(IF(E396="IM",3,(IF(E396="MI",4,(IF(E396="RP",5,(IF(E396="SC",6,0)))))))))))))))))))))))))))))))))))))))</f>
        <v>3</v>
      </c>
      <c r="G396" s="52">
        <v>3</v>
      </c>
      <c r="H396" s="90" t="s">
        <v>115</v>
      </c>
      <c r="I396" s="93" t="s">
        <v>60</v>
      </c>
      <c r="J396" s="87" t="s">
        <v>3146</v>
      </c>
      <c r="K396" s="51" t="s">
        <v>5259</v>
      </c>
      <c r="L396" s="117">
        <f>IF(O396="","",N396*O396*M396)</f>
        <v>0</v>
      </c>
      <c r="M396" s="108">
        <v>1</v>
      </c>
      <c r="N396" s="95">
        <v>1</v>
      </c>
      <c r="O396" s="109">
        <f>IF(Key!D$1="ON",P396,IF(SUM(Q396:DL396)&lt;1,"",SUM(Q396:DL396)/COUNTIF(Q396:DL396,"&gt;0")))</f>
        <v>0</v>
      </c>
      <c r="P396" s="109">
        <f>SUMIFS(Q396:DK396,Q$1:DK$1,Dashboard!$K$31)</f>
        <v>0</v>
      </c>
      <c r="U396" s="95">
        <v>33</v>
      </c>
      <c r="AA396" s="95">
        <v>25</v>
      </c>
      <c r="AH396" s="95">
        <v>75</v>
      </c>
    </row>
    <row r="397" spans="1:34" x14ac:dyDescent="0.3">
      <c r="A397" s="89" t="str">
        <f>CONCATENATE(D397,".",F397,"-",G397,".",H397,"")</f>
        <v>1.3-3.1</v>
      </c>
      <c r="B397" s="89" t="str">
        <f>IF(CONCATENATE(I397,Key!F$2)=CONCATENATE(INDEX(Dashboard!J:J,MATCH(I397,Dashboard!J:J,0),1),INDEX(Dashboard!J:K,MATCH(I397,Dashboard!J:J,0),2)),"ON",IF(Dashboard!K$32="ALL","ON","-"))</f>
        <v>-</v>
      </c>
      <c r="C397" s="88" t="s">
        <v>110</v>
      </c>
      <c r="D397" s="89">
        <f>IF(C397="ID",1,(IF(C397="PR",2,(IF(C397="DE",3,(IF(C397="RS",4,(IF(C397="RC",5,0)))))))))</f>
        <v>1</v>
      </c>
      <c r="E397" s="89" t="s">
        <v>136</v>
      </c>
      <c r="F397" s="89">
        <f>IF(E397="AM",1,(IF(E397="BE",2,(IF(E397="GV",3,(IF(E397="RA",4,(IF(E397="RM",5,(IF(E397="AC",1,(IF(E397="AT",2,(IF(E397="DS",3,(IF(E397="IP",4,(IF(E397="MA",5,(IF(E397="PT",6,(IF(E397="AE",1,(IF(E397="CM",2,(IF(E397="DP",3,(IF(E397="AN",1,(IF(E397="CO",2,(IF(E397="IM",3,(IF(E397="MI",4,(IF(E397="RP",5,(IF(E397="SC",6,0)))))))))))))))))))))))))))))))))))))))</f>
        <v>3</v>
      </c>
      <c r="G397" s="52">
        <v>3</v>
      </c>
      <c r="H397" s="89">
        <v>1</v>
      </c>
      <c r="I397" s="93" t="s">
        <v>60</v>
      </c>
      <c r="J397" s="88" t="s">
        <v>3147</v>
      </c>
      <c r="K397" s="51" t="s">
        <v>5260</v>
      </c>
      <c r="L397" s="117">
        <f>IF(O397="","",N397*O397*M397)</f>
        <v>0</v>
      </c>
      <c r="M397" s="108">
        <v>1</v>
      </c>
      <c r="N397" s="95">
        <v>1</v>
      </c>
      <c r="O397" s="109">
        <f>IF(Key!D$1="ON",P397,IF(SUM(Q397:DL397)&lt;1,"",SUM(Q397:DL397)/COUNTIF(Q397:DL397,"&gt;0")))</f>
        <v>0</v>
      </c>
      <c r="P397" s="109">
        <f>SUMIFS(Q397:DK397,Q$1:DK$1,Dashboard!$K$31)</f>
        <v>0</v>
      </c>
      <c r="U397" s="95">
        <v>33</v>
      </c>
      <c r="AA397" s="95">
        <v>25</v>
      </c>
      <c r="AH397" s="95">
        <v>75</v>
      </c>
    </row>
    <row r="398" spans="1:34" x14ac:dyDescent="0.3">
      <c r="A398" s="89" t="str">
        <f>CONCATENATE(D398,".",F398,"-",G398,".",H398,"")</f>
        <v>1.3-3.1</v>
      </c>
      <c r="B398" s="89" t="str">
        <f>IF(CONCATENATE(I398,Key!F$2)=CONCATENATE(INDEX(Dashboard!J:J,MATCH(I398,Dashboard!J:J,0),1),INDEX(Dashboard!J:K,MATCH(I398,Dashboard!J:J,0),2)),"ON",IF(Dashboard!K$32="ALL","ON","-"))</f>
        <v>-</v>
      </c>
      <c r="C398" s="88" t="s">
        <v>110</v>
      </c>
      <c r="D398" s="89">
        <f>IF(C398="ID",1,(IF(C398="PR",2,(IF(C398="DE",3,(IF(C398="RS",4,(IF(C398="RC",5,0)))))))))</f>
        <v>1</v>
      </c>
      <c r="E398" s="89" t="s">
        <v>136</v>
      </c>
      <c r="F398" s="89">
        <f>IF(E398="AM",1,(IF(E398="BE",2,(IF(E398="GV",3,(IF(E398="RA",4,(IF(E398="RM",5,(IF(E398="AC",1,(IF(E398="AT",2,(IF(E398="DS",3,(IF(E398="IP",4,(IF(E398="MA",5,(IF(E398="PT",6,(IF(E398="AE",1,(IF(E398="CM",2,(IF(E398="DP",3,(IF(E398="AN",1,(IF(E398="CO",2,(IF(E398="IM",3,(IF(E398="MI",4,(IF(E398="RP",5,(IF(E398="SC",6,0)))))))))))))))))))))))))))))))))))))))</f>
        <v>3</v>
      </c>
      <c r="G398" s="52">
        <v>3</v>
      </c>
      <c r="H398" s="90" t="s">
        <v>115</v>
      </c>
      <c r="I398" s="93" t="s">
        <v>60</v>
      </c>
      <c r="J398" s="87" t="s">
        <v>3148</v>
      </c>
      <c r="K398" s="51" t="s">
        <v>5261</v>
      </c>
      <c r="L398" s="117">
        <f>IF(O398="","",N398*O398*M398)</f>
        <v>0</v>
      </c>
      <c r="M398" s="108">
        <v>1</v>
      </c>
      <c r="N398" s="95">
        <v>1</v>
      </c>
      <c r="O398" s="109">
        <f>IF(Key!D$1="ON",P398,IF(SUM(Q398:DL398)&lt;1,"",SUM(Q398:DL398)/COUNTIF(Q398:DL398,"&gt;0")))</f>
        <v>0</v>
      </c>
      <c r="P398" s="109">
        <f>SUMIFS(Q398:DK398,Q$1:DK$1,Dashboard!$K$31)</f>
        <v>0</v>
      </c>
      <c r="U398" s="95">
        <v>33</v>
      </c>
      <c r="AA398" s="95">
        <v>25</v>
      </c>
      <c r="AH398" s="95">
        <v>75</v>
      </c>
    </row>
    <row r="399" spans="1:34" x14ac:dyDescent="0.3">
      <c r="A399" s="89" t="str">
        <f>CONCATENATE(D399,".",F399,"-",G399,".",H399,"")</f>
        <v>1.3-3.1</v>
      </c>
      <c r="B399" s="89" t="str">
        <f>IF(CONCATENATE(I399,Key!F$2)=CONCATENATE(INDEX(Dashboard!J:J,MATCH(I399,Dashboard!J:J,0),1),INDEX(Dashboard!J:K,MATCH(I399,Dashboard!J:J,0),2)),"ON",IF(Dashboard!K$32="ALL","ON","-"))</f>
        <v>-</v>
      </c>
      <c r="C399" s="88" t="s">
        <v>110</v>
      </c>
      <c r="D399" s="89">
        <f>IF(C399="ID",1,(IF(C399="PR",2,(IF(C399="DE",3,(IF(C399="RS",4,(IF(C399="RC",5,0)))))))))</f>
        <v>1</v>
      </c>
      <c r="E399" s="89" t="s">
        <v>136</v>
      </c>
      <c r="F399" s="89">
        <f>IF(E399="AM",1,(IF(E399="BE",2,(IF(E399="GV",3,(IF(E399="RA",4,(IF(E399="RM",5,(IF(E399="AC",1,(IF(E399="AT",2,(IF(E399="DS",3,(IF(E399="IP",4,(IF(E399="MA",5,(IF(E399="PT",6,(IF(E399="AE",1,(IF(E399="CM",2,(IF(E399="DP",3,(IF(E399="AN",1,(IF(E399="CO",2,(IF(E399="IM",3,(IF(E399="MI",4,(IF(E399="RP",5,(IF(E399="SC",6,0)))))))))))))))))))))))))))))))))))))))</f>
        <v>3</v>
      </c>
      <c r="G399" s="52">
        <v>3</v>
      </c>
      <c r="H399" s="89">
        <v>1</v>
      </c>
      <c r="I399" s="93" t="s">
        <v>60</v>
      </c>
      <c r="J399" s="88" t="s">
        <v>3149</v>
      </c>
      <c r="K399" s="51" t="s">
        <v>5262</v>
      </c>
      <c r="L399" s="117">
        <f>IF(O399="","",N399*O399*M399)</f>
        <v>0</v>
      </c>
      <c r="M399" s="108">
        <v>1</v>
      </c>
      <c r="N399" s="95">
        <v>1</v>
      </c>
      <c r="O399" s="109">
        <f>IF(Key!D$1="ON",P399,IF(SUM(Q399:DL399)&lt;1,"",SUM(Q399:DL399)/COUNTIF(Q399:DL399,"&gt;0")))</f>
        <v>0</v>
      </c>
      <c r="P399" s="109">
        <f>SUMIFS(Q399:DK399,Q$1:DK$1,Dashboard!$K$31)</f>
        <v>0</v>
      </c>
      <c r="U399" s="95">
        <v>33</v>
      </c>
      <c r="AA399" s="95">
        <v>25</v>
      </c>
      <c r="AH399" s="95">
        <v>75</v>
      </c>
    </row>
    <row r="400" spans="1:34" x14ac:dyDescent="0.3">
      <c r="A400" s="89" t="str">
        <f>CONCATENATE(D400,".",F400,"-",G400,".",H400,"")</f>
        <v>1.3-3.1</v>
      </c>
      <c r="B400" s="89" t="str">
        <f>IF(CONCATENATE(I400,Key!F$2)=CONCATENATE(INDEX(Dashboard!J:J,MATCH(I400,Dashboard!J:J,0),1),INDEX(Dashboard!J:K,MATCH(I400,Dashboard!J:J,0),2)),"ON",IF(Dashboard!K$32="ALL","ON","-"))</f>
        <v>-</v>
      </c>
      <c r="C400" s="88" t="s">
        <v>110</v>
      </c>
      <c r="D400" s="89">
        <f>IF(C400="ID",1,(IF(C400="PR",2,(IF(C400="DE",3,(IF(C400="RS",4,(IF(C400="RC",5,0)))))))))</f>
        <v>1</v>
      </c>
      <c r="E400" s="89" t="s">
        <v>136</v>
      </c>
      <c r="F400" s="89">
        <f>IF(E400="AM",1,(IF(E400="BE",2,(IF(E400="GV",3,(IF(E400="RA",4,(IF(E400="RM",5,(IF(E400="AC",1,(IF(E400="AT",2,(IF(E400="DS",3,(IF(E400="IP",4,(IF(E400="MA",5,(IF(E400="PT",6,(IF(E400="AE",1,(IF(E400="CM",2,(IF(E400="DP",3,(IF(E400="AN",1,(IF(E400="CO",2,(IF(E400="IM",3,(IF(E400="MI",4,(IF(E400="RP",5,(IF(E400="SC",6,0)))))))))))))))))))))))))))))))))))))))</f>
        <v>3</v>
      </c>
      <c r="G400" s="52">
        <v>3</v>
      </c>
      <c r="H400" s="90" t="s">
        <v>115</v>
      </c>
      <c r="I400" s="93" t="s">
        <v>60</v>
      </c>
      <c r="J400" s="87" t="s">
        <v>3150</v>
      </c>
      <c r="K400" s="51" t="s">
        <v>5263</v>
      </c>
      <c r="L400" s="117">
        <f>IF(O400="","",N400*O400*M400)</f>
        <v>0</v>
      </c>
      <c r="M400" s="108">
        <v>1</v>
      </c>
      <c r="N400" s="95">
        <v>1</v>
      </c>
      <c r="O400" s="109">
        <f>IF(Key!D$1="ON",P400,IF(SUM(Q400:DL400)&lt;1,"",SUM(Q400:DL400)/COUNTIF(Q400:DL400,"&gt;0")))</f>
        <v>0</v>
      </c>
      <c r="P400" s="109">
        <f>SUMIFS(Q400:DK400,Q$1:DK$1,Dashboard!$K$31)</f>
        <v>0</v>
      </c>
      <c r="U400" s="95">
        <v>33</v>
      </c>
      <c r="AA400" s="95">
        <v>25</v>
      </c>
      <c r="AH400" s="95">
        <v>75</v>
      </c>
    </row>
    <row r="401" spans="1:34" x14ac:dyDescent="0.3">
      <c r="A401" s="89" t="str">
        <f>CONCATENATE(D401,".",F401,"-",G401,".",H401,"")</f>
        <v>1.3-3.1</v>
      </c>
      <c r="B401" s="89" t="str">
        <f>IF(CONCATENATE(I401,Key!F$2)=CONCATENATE(INDEX(Dashboard!J:J,MATCH(I401,Dashboard!J:J,0),1),INDEX(Dashboard!J:K,MATCH(I401,Dashboard!J:J,0),2)),"ON",IF(Dashboard!K$32="ALL","ON","-"))</f>
        <v>-</v>
      </c>
      <c r="C401" s="88" t="s">
        <v>110</v>
      </c>
      <c r="D401" s="89">
        <f>IF(C401="ID",1,(IF(C401="PR",2,(IF(C401="DE",3,(IF(C401="RS",4,(IF(C401="RC",5,0)))))))))</f>
        <v>1</v>
      </c>
      <c r="E401" s="89" t="s">
        <v>136</v>
      </c>
      <c r="F401" s="89">
        <f>IF(E401="AM",1,(IF(E401="BE",2,(IF(E401="GV",3,(IF(E401="RA",4,(IF(E401="RM",5,(IF(E401="AC",1,(IF(E401="AT",2,(IF(E401="DS",3,(IF(E401="IP",4,(IF(E401="MA",5,(IF(E401="PT",6,(IF(E401="AE",1,(IF(E401="CM",2,(IF(E401="DP",3,(IF(E401="AN",1,(IF(E401="CO",2,(IF(E401="IM",3,(IF(E401="MI",4,(IF(E401="RP",5,(IF(E401="SC",6,0)))))))))))))))))))))))))))))))))))))))</f>
        <v>3</v>
      </c>
      <c r="G401" s="52">
        <v>3</v>
      </c>
      <c r="H401" s="90" t="s">
        <v>115</v>
      </c>
      <c r="I401" s="93" t="s">
        <v>77</v>
      </c>
      <c r="J401" s="87" t="s">
        <v>1029</v>
      </c>
      <c r="K401" s="102" t="s">
        <v>2082</v>
      </c>
      <c r="L401" s="117">
        <f>IF(O401="","",N401*O401*M401)</f>
        <v>0</v>
      </c>
      <c r="M401" s="108">
        <v>1</v>
      </c>
      <c r="N401" s="95">
        <v>1</v>
      </c>
      <c r="O401" s="109">
        <f>IF(Key!D$1="ON",P401,IF(SUM(Q401:DL401)&lt;1,"",SUM(Q401:DL401)/COUNTIF(Q401:DL401,"&gt;0")))</f>
        <v>0</v>
      </c>
      <c r="P401" s="109">
        <f>SUMIFS(Q401:DK401,Q$1:DK$1,Dashboard!$K$31)</f>
        <v>0</v>
      </c>
      <c r="U401" s="95">
        <v>33</v>
      </c>
      <c r="AA401" s="95">
        <v>25</v>
      </c>
      <c r="AH401" s="95">
        <v>75</v>
      </c>
    </row>
    <row r="402" spans="1:34" x14ac:dyDescent="0.3">
      <c r="A402" s="89" t="str">
        <f>CONCATENATE(D402,".",F402,"-",G402,".",H402,"")</f>
        <v>1.3-3.1</v>
      </c>
      <c r="B402" s="89" t="str">
        <f>IF(CONCATENATE(I402,Key!F$2)=CONCATENATE(INDEX(Dashboard!J:J,MATCH(I402,Dashboard!J:J,0),1),INDEX(Dashboard!J:K,MATCH(I402,Dashboard!J:J,0),2)),"ON",IF(Dashboard!K$32="ALL","ON","-"))</f>
        <v>-</v>
      </c>
      <c r="C402" s="88" t="s">
        <v>110</v>
      </c>
      <c r="D402" s="89">
        <f>IF(C402="ID",1,(IF(C402="PR",2,(IF(C402="DE",3,(IF(C402="RS",4,(IF(C402="RC",5,0)))))))))</f>
        <v>1</v>
      </c>
      <c r="E402" s="89" t="s">
        <v>136</v>
      </c>
      <c r="F402" s="89">
        <f>IF(E402="AM",1,(IF(E402="BE",2,(IF(E402="GV",3,(IF(E402="RA",4,(IF(E402="RM",5,(IF(E402="AC",1,(IF(E402="AT",2,(IF(E402="DS",3,(IF(E402="IP",4,(IF(E402="MA",5,(IF(E402="PT",6,(IF(E402="AE",1,(IF(E402="CM",2,(IF(E402="DP",3,(IF(E402="AN",1,(IF(E402="CO",2,(IF(E402="IM",3,(IF(E402="MI",4,(IF(E402="RP",5,(IF(E402="SC",6,0)))))))))))))))))))))))))))))))))))))))</f>
        <v>3</v>
      </c>
      <c r="G402" s="98">
        <v>3</v>
      </c>
      <c r="H402" s="90" t="s">
        <v>115</v>
      </c>
      <c r="I402" s="93" t="s">
        <v>81</v>
      </c>
      <c r="J402" s="129" t="s">
        <v>1948</v>
      </c>
      <c r="K402" s="103" t="s">
        <v>1949</v>
      </c>
      <c r="L402" s="117">
        <f>IF(O402="","",N402*O402*M402)</f>
        <v>0</v>
      </c>
      <c r="M402" s="108">
        <v>1</v>
      </c>
      <c r="N402" s="95">
        <v>1</v>
      </c>
      <c r="O402" s="109">
        <f>IF(Key!D$1="ON",P402,IF(SUM(Q402:DL402)&lt;1,"",SUM(Q402:DL402)/COUNTIF(Q402:DL402,"&gt;0")))</f>
        <v>0</v>
      </c>
      <c r="P402" s="109">
        <f>SUMIFS(Q402:DK402,Q$1:DK$1,Dashboard!$K$31)</f>
        <v>0</v>
      </c>
      <c r="U402" s="95">
        <v>33</v>
      </c>
      <c r="AA402" s="95">
        <v>25</v>
      </c>
      <c r="AH402" s="95">
        <v>75</v>
      </c>
    </row>
    <row r="403" spans="1:34" x14ac:dyDescent="0.3">
      <c r="A403" s="89" t="str">
        <f>CONCATENATE(D403,".",F403,"-",G403,".",H403,"")</f>
        <v>1.3-3.1</v>
      </c>
      <c r="B403" s="89" t="str">
        <f>IF(CONCATENATE(I403,Key!F$2)=CONCATENATE(INDEX(Dashboard!J:J,MATCH(I403,Dashboard!J:J,0),1),INDEX(Dashboard!J:K,MATCH(I403,Dashboard!J:J,0),2)),"ON",IF(Dashboard!K$32="ALL","ON","-"))</f>
        <v>-</v>
      </c>
      <c r="C403" s="88" t="s">
        <v>110</v>
      </c>
      <c r="D403" s="89">
        <f>IF(C403="ID",1,(IF(C403="PR",2,(IF(C403="DE",3,(IF(C403="RS",4,(IF(C403="RC",5,0)))))))))</f>
        <v>1</v>
      </c>
      <c r="E403" s="89" t="s">
        <v>136</v>
      </c>
      <c r="F403" s="89">
        <f>IF(E403="AM",1,(IF(E403="BE",2,(IF(E403="GV",3,(IF(E403="RA",4,(IF(E403="RM",5,(IF(E403="AC",1,(IF(E403="AT",2,(IF(E403="DS",3,(IF(E403="IP",4,(IF(E403="MA",5,(IF(E403="PT",6,(IF(E403="AE",1,(IF(E403="CM",2,(IF(E403="DP",3,(IF(E403="AN",1,(IF(E403="CO",2,(IF(E403="IM",3,(IF(E403="MI",4,(IF(E403="RP",5,(IF(E403="SC",6,0)))))))))))))))))))))))))))))))))))))))</f>
        <v>3</v>
      </c>
      <c r="G403" s="98">
        <v>3</v>
      </c>
      <c r="H403" s="90" t="s">
        <v>115</v>
      </c>
      <c r="I403" s="93" t="s">
        <v>81</v>
      </c>
      <c r="J403" s="129" t="s">
        <v>1978</v>
      </c>
      <c r="K403" s="103" t="s">
        <v>1979</v>
      </c>
      <c r="L403" s="117">
        <f>IF(O403="","",N403*O403*M403)</f>
        <v>0</v>
      </c>
      <c r="M403" s="108">
        <v>1</v>
      </c>
      <c r="N403" s="95">
        <v>1</v>
      </c>
      <c r="O403" s="109">
        <f>IF(Key!D$1="ON",P403,IF(SUM(Q403:DL403)&lt;1,"",SUM(Q403:DL403)/COUNTIF(Q403:DL403,"&gt;0")))</f>
        <v>0</v>
      </c>
      <c r="P403" s="109">
        <f>SUMIFS(Q403:DK403,Q$1:DK$1,Dashboard!$K$31)</f>
        <v>0</v>
      </c>
      <c r="U403" s="95">
        <v>33</v>
      </c>
      <c r="AA403" s="95">
        <v>25</v>
      </c>
      <c r="AH403" s="95">
        <v>75</v>
      </c>
    </row>
    <row r="404" spans="1:34" x14ac:dyDescent="0.3">
      <c r="A404" s="89" t="str">
        <f>CONCATENATE(D404,".",F404,"-",G404,".",H404,"")</f>
        <v>1.3-3.1</v>
      </c>
      <c r="B404" s="89" t="str">
        <f>IF(CONCATENATE(I404,Key!F$2)=CONCATENATE(INDEX(Dashboard!J:J,MATCH(I404,Dashboard!J:J,0),1),INDEX(Dashboard!J:K,MATCH(I404,Dashboard!J:J,0),2)),"ON",IF(Dashboard!K$32="ALL","ON","-"))</f>
        <v>-</v>
      </c>
      <c r="C404" s="88" t="s">
        <v>110</v>
      </c>
      <c r="D404" s="89">
        <f>IF(C404="ID",1,(IF(C404="PR",2,(IF(C404="DE",3,(IF(C404="RS",4,(IF(C404="RC",5,0)))))))))</f>
        <v>1</v>
      </c>
      <c r="E404" s="89" t="s">
        <v>136</v>
      </c>
      <c r="F404" s="89">
        <f>IF(E404="AM",1,(IF(E404="BE",2,(IF(E404="GV",3,(IF(E404="RA",4,(IF(E404="RM",5,(IF(E404="AC",1,(IF(E404="AT",2,(IF(E404="DS",3,(IF(E404="IP",4,(IF(E404="MA",5,(IF(E404="PT",6,(IF(E404="AE",1,(IF(E404="CM",2,(IF(E404="DP",3,(IF(E404="AN",1,(IF(E404="CO",2,(IF(E404="IM",3,(IF(E404="MI",4,(IF(E404="RP",5,(IF(E404="SC",6,0)))))))))))))))))))))))))))))))))))))))</f>
        <v>3</v>
      </c>
      <c r="G404" s="98">
        <v>3</v>
      </c>
      <c r="H404" s="90" t="s">
        <v>115</v>
      </c>
      <c r="I404" s="93" t="s">
        <v>81</v>
      </c>
      <c r="J404" s="129" t="s">
        <v>1980</v>
      </c>
      <c r="K404" s="103" t="s">
        <v>1981</v>
      </c>
      <c r="L404" s="117">
        <f>IF(O404="","",N404*O404*M404)</f>
        <v>0</v>
      </c>
      <c r="M404" s="108">
        <v>1</v>
      </c>
      <c r="N404" s="95">
        <v>1</v>
      </c>
      <c r="O404" s="109">
        <f>IF(Key!D$1="ON",P404,IF(SUM(Q404:DL404)&lt;1,"",SUM(Q404:DL404)/COUNTIF(Q404:DL404,"&gt;0")))</f>
        <v>0</v>
      </c>
      <c r="P404" s="109">
        <f>SUMIFS(Q404:DK404,Q$1:DK$1,Dashboard!$K$31)</f>
        <v>0</v>
      </c>
      <c r="U404" s="95">
        <v>33</v>
      </c>
      <c r="AA404" s="95">
        <v>25</v>
      </c>
      <c r="AH404" s="95">
        <v>75</v>
      </c>
    </row>
    <row r="405" spans="1:34" x14ac:dyDescent="0.3">
      <c r="A405" s="89" t="str">
        <f>CONCATENATE(D405,".",F405,"-",G405,".",H405,"")</f>
        <v>1.3-3.1</v>
      </c>
      <c r="B405" s="89" t="str">
        <f>IF(CONCATENATE(I405,Key!F$2)=CONCATENATE(INDEX(Dashboard!J:J,MATCH(I405,Dashboard!J:J,0),1),INDEX(Dashboard!J:K,MATCH(I405,Dashboard!J:J,0),2)),"ON",IF(Dashboard!K$32="ALL","ON","-"))</f>
        <v>-</v>
      </c>
      <c r="C405" s="88" t="s">
        <v>110</v>
      </c>
      <c r="D405" s="89">
        <f>IF(C405="ID",1,(IF(C405="PR",2,(IF(C405="DE",3,(IF(C405="RS",4,(IF(C405="RC",5,0)))))))))</f>
        <v>1</v>
      </c>
      <c r="E405" s="89" t="s">
        <v>136</v>
      </c>
      <c r="F405" s="89">
        <f>IF(E405="AM",1,(IF(E405="BE",2,(IF(E405="GV",3,(IF(E405="RA",4,(IF(E405="RM",5,(IF(E405="AC",1,(IF(E405="AT",2,(IF(E405="DS",3,(IF(E405="IP",4,(IF(E405="MA",5,(IF(E405="PT",6,(IF(E405="AE",1,(IF(E405="CM",2,(IF(E405="DP",3,(IF(E405="AN",1,(IF(E405="CO",2,(IF(E405="IM",3,(IF(E405="MI",4,(IF(E405="RP",5,(IF(E405="SC",6,0)))))))))))))))))))))))))))))))))))))))</f>
        <v>3</v>
      </c>
      <c r="G405" s="98">
        <v>3</v>
      </c>
      <c r="H405" s="90" t="s">
        <v>115</v>
      </c>
      <c r="I405" s="93" t="s">
        <v>81</v>
      </c>
      <c r="J405" s="129" t="s">
        <v>2002</v>
      </c>
      <c r="K405" s="103" t="s">
        <v>2003</v>
      </c>
      <c r="L405" s="117">
        <f>IF(O405="","",N405*O405*M405)</f>
        <v>0</v>
      </c>
      <c r="M405" s="108">
        <v>1</v>
      </c>
      <c r="N405" s="95">
        <v>1</v>
      </c>
      <c r="O405" s="109">
        <f>IF(Key!D$1="ON",P405,IF(SUM(Q405:DL405)&lt;1,"",SUM(Q405:DL405)/COUNTIF(Q405:DL405,"&gt;0")))</f>
        <v>0</v>
      </c>
      <c r="P405" s="109">
        <f>SUMIFS(Q405:DK405,Q$1:DK$1,Dashboard!$K$31)</f>
        <v>0</v>
      </c>
      <c r="U405" s="95">
        <v>33</v>
      </c>
      <c r="AA405" s="95">
        <v>25</v>
      </c>
      <c r="AH405" s="95">
        <v>75</v>
      </c>
    </row>
    <row r="406" spans="1:34" x14ac:dyDescent="0.3">
      <c r="A406" s="89" t="str">
        <f>CONCATENATE(D406,".",F406,"-",G406,".",H406,"")</f>
        <v>1.3-3.1</v>
      </c>
      <c r="B406" s="89" t="str">
        <f>IF(CONCATENATE(I406,Key!F$2)=CONCATENATE(INDEX(Dashboard!J:J,MATCH(I406,Dashboard!J:J,0),1),INDEX(Dashboard!J:K,MATCH(I406,Dashboard!J:J,0),2)),"ON",IF(Dashboard!K$32="ALL","ON","-"))</f>
        <v>-</v>
      </c>
      <c r="C406" s="88" t="s">
        <v>110</v>
      </c>
      <c r="D406" s="89">
        <f>IF(C406="ID",1,(IF(C406="PR",2,(IF(C406="DE",3,(IF(C406="RS",4,(IF(C406="RC",5,0)))))))))</f>
        <v>1</v>
      </c>
      <c r="E406" s="89" t="s">
        <v>136</v>
      </c>
      <c r="F406" s="89">
        <f>IF(E406="AM",1,(IF(E406="BE",2,(IF(E406="GV",3,(IF(E406="RA",4,(IF(E406="RM",5,(IF(E406="AC",1,(IF(E406="AT",2,(IF(E406="DS",3,(IF(E406="IP",4,(IF(E406="MA",5,(IF(E406="PT",6,(IF(E406="AE",1,(IF(E406="CM",2,(IF(E406="DP",3,(IF(E406="AN",1,(IF(E406="CO",2,(IF(E406="IM",3,(IF(E406="MI",4,(IF(E406="RP",5,(IF(E406="SC",6,0)))))))))))))))))))))))))))))))))))))))</f>
        <v>3</v>
      </c>
      <c r="G406" s="98">
        <v>3</v>
      </c>
      <c r="H406" s="90" t="s">
        <v>115</v>
      </c>
      <c r="I406" s="93" t="s">
        <v>81</v>
      </c>
      <c r="J406" s="129" t="s">
        <v>1994</v>
      </c>
      <c r="K406" s="103" t="s">
        <v>1995</v>
      </c>
      <c r="L406" s="117">
        <f>IF(O406="","",N406*O406*M406)</f>
        <v>0</v>
      </c>
      <c r="M406" s="108">
        <v>1</v>
      </c>
      <c r="N406" s="95">
        <v>1</v>
      </c>
      <c r="O406" s="109">
        <f>IF(Key!D$1="ON",P406,IF(SUM(Q406:DL406)&lt;1,"",SUM(Q406:DL406)/COUNTIF(Q406:DL406,"&gt;0")))</f>
        <v>0</v>
      </c>
      <c r="P406" s="109">
        <f>SUMIFS(Q406:DK406,Q$1:DK$1,Dashboard!$K$31)</f>
        <v>0</v>
      </c>
      <c r="U406" s="95">
        <v>33</v>
      </c>
      <c r="AA406" s="95">
        <v>25</v>
      </c>
      <c r="AH406" s="95">
        <v>75</v>
      </c>
    </row>
    <row r="407" spans="1:34" x14ac:dyDescent="0.3">
      <c r="A407" s="89" t="str">
        <f>CONCATENATE(D407,".",F407,"-",G407,".",H407,"")</f>
        <v>1.3-3.1</v>
      </c>
      <c r="B407" s="89" t="str">
        <f>IF(CONCATENATE(I407,Key!F$2)=CONCATENATE(INDEX(Dashboard!J:J,MATCH(I407,Dashboard!J:J,0),1),INDEX(Dashboard!J:K,MATCH(I407,Dashboard!J:J,0),2)),"ON",IF(Dashboard!K$32="ALL","ON","-"))</f>
        <v>-</v>
      </c>
      <c r="C407" s="88" t="s">
        <v>110</v>
      </c>
      <c r="D407" s="89">
        <f>IF(C407="ID",1,(IF(C407="PR",2,(IF(C407="DE",3,(IF(C407="RS",4,(IF(C407="RC",5,0)))))))))</f>
        <v>1</v>
      </c>
      <c r="E407" s="89" t="s">
        <v>136</v>
      </c>
      <c r="F407" s="89">
        <f>IF(E407="AM",1,(IF(E407="BE",2,(IF(E407="GV",3,(IF(E407="RA",4,(IF(E407="RM",5,(IF(E407="AC",1,(IF(E407="AT",2,(IF(E407="DS",3,(IF(E407="IP",4,(IF(E407="MA",5,(IF(E407="PT",6,(IF(E407="AE",1,(IF(E407="CM",2,(IF(E407="DP",3,(IF(E407="AN",1,(IF(E407="CO",2,(IF(E407="IM",3,(IF(E407="MI",4,(IF(E407="RP",5,(IF(E407="SC",6,0)))))))))))))))))))))))))))))))))))))))</f>
        <v>3</v>
      </c>
      <c r="G407" s="98">
        <v>3</v>
      </c>
      <c r="H407" s="90" t="s">
        <v>115</v>
      </c>
      <c r="I407" s="93" t="s">
        <v>81</v>
      </c>
      <c r="J407" s="129" t="s">
        <v>1996</v>
      </c>
      <c r="K407" s="103" t="s">
        <v>1997</v>
      </c>
      <c r="L407" s="117">
        <f>IF(O407="","",N407*O407*M407)</f>
        <v>0</v>
      </c>
      <c r="M407" s="108">
        <v>1</v>
      </c>
      <c r="N407" s="95">
        <v>1</v>
      </c>
      <c r="O407" s="109">
        <f>IF(Key!D$1="ON",P407,IF(SUM(Q407:DL407)&lt;1,"",SUM(Q407:DL407)/COUNTIF(Q407:DL407,"&gt;0")))</f>
        <v>0</v>
      </c>
      <c r="P407" s="109">
        <f>SUMIFS(Q407:DK407,Q$1:DK$1,Dashboard!$K$31)</f>
        <v>0</v>
      </c>
      <c r="U407" s="95">
        <v>33</v>
      </c>
      <c r="AA407" s="95">
        <v>25</v>
      </c>
      <c r="AH407" s="95">
        <v>75</v>
      </c>
    </row>
    <row r="408" spans="1:34" x14ac:dyDescent="0.3">
      <c r="A408" s="89" t="str">
        <f>CONCATENATE(D408,".",F408,"-",G408,".",H408,"")</f>
        <v>1.3-3.1</v>
      </c>
      <c r="B408" s="89" t="str">
        <f>IF(CONCATENATE(I408,Key!F$2)=CONCATENATE(INDEX(Dashboard!J:J,MATCH(I408,Dashboard!J:J,0),1),INDEX(Dashboard!J:K,MATCH(I408,Dashboard!J:J,0),2)),"ON",IF(Dashboard!K$32="ALL","ON","-"))</f>
        <v>-</v>
      </c>
      <c r="C408" s="88" t="s">
        <v>110</v>
      </c>
      <c r="D408" s="89">
        <f>IF(C408="ID",1,(IF(C408="PR",2,(IF(C408="DE",3,(IF(C408="RS",4,(IF(C408="RC",5,0)))))))))</f>
        <v>1</v>
      </c>
      <c r="E408" s="89" t="s">
        <v>136</v>
      </c>
      <c r="F408" s="89">
        <f>IF(E408="AM",1,(IF(E408="BE",2,(IF(E408="GV",3,(IF(E408="RA",4,(IF(E408="RM",5,(IF(E408="AC",1,(IF(E408="AT",2,(IF(E408="DS",3,(IF(E408="IP",4,(IF(E408="MA",5,(IF(E408="PT",6,(IF(E408="AE",1,(IF(E408="CM",2,(IF(E408="DP",3,(IF(E408="AN",1,(IF(E408="CO",2,(IF(E408="IM",3,(IF(E408="MI",4,(IF(E408="RP",5,(IF(E408="SC",6,0)))))))))))))))))))))))))))))))))))))))</f>
        <v>3</v>
      </c>
      <c r="G408" s="98">
        <v>3</v>
      </c>
      <c r="H408" s="90" t="s">
        <v>115</v>
      </c>
      <c r="I408" s="93" t="s">
        <v>81</v>
      </c>
      <c r="J408" s="129" t="s">
        <v>1956</v>
      </c>
      <c r="K408" s="103" t="s">
        <v>1957</v>
      </c>
      <c r="L408" s="117">
        <f>IF(O408="","",N408*O408*M408)</f>
        <v>0</v>
      </c>
      <c r="M408" s="108">
        <v>1</v>
      </c>
      <c r="N408" s="95">
        <v>1</v>
      </c>
      <c r="O408" s="109">
        <f>IF(Key!D$1="ON",P408,IF(SUM(Q408:DL408)&lt;1,"",SUM(Q408:DL408)/COUNTIF(Q408:DL408,"&gt;0")))</f>
        <v>0</v>
      </c>
      <c r="P408" s="109">
        <f>SUMIFS(Q408:DK408,Q$1:DK$1,Dashboard!$K$31)</f>
        <v>0</v>
      </c>
      <c r="U408" s="95">
        <v>33</v>
      </c>
      <c r="AA408" s="95">
        <v>25</v>
      </c>
      <c r="AH408" s="95">
        <v>75</v>
      </c>
    </row>
    <row r="409" spans="1:34" x14ac:dyDescent="0.3">
      <c r="A409" s="89" t="str">
        <f>CONCATENATE(D409,".",F409,"-",G409,".",H409,"")</f>
        <v>1.3-3.1</v>
      </c>
      <c r="B409" s="89" t="str">
        <f>IF(CONCATENATE(I409,Key!F$2)=CONCATENATE(INDEX(Dashboard!J:J,MATCH(I409,Dashboard!J:J,0),1),INDEX(Dashboard!J:K,MATCH(I409,Dashboard!J:J,0),2)),"ON",IF(Dashboard!K$32="ALL","ON","-"))</f>
        <v>-</v>
      </c>
      <c r="C409" s="88" t="s">
        <v>110</v>
      </c>
      <c r="D409" s="89">
        <f>IF(C409="ID",1,(IF(C409="PR",2,(IF(C409="DE",3,(IF(C409="RS",4,(IF(C409="RC",5,0)))))))))</f>
        <v>1</v>
      </c>
      <c r="E409" s="89" t="s">
        <v>136</v>
      </c>
      <c r="F409" s="89">
        <f>IF(E409="AM",1,(IF(E409="BE",2,(IF(E409="GV",3,(IF(E409="RA",4,(IF(E409="RM",5,(IF(E409="AC",1,(IF(E409="AT",2,(IF(E409="DS",3,(IF(E409="IP",4,(IF(E409="MA",5,(IF(E409="PT",6,(IF(E409="AE",1,(IF(E409="CM",2,(IF(E409="DP",3,(IF(E409="AN",1,(IF(E409="CO",2,(IF(E409="IM",3,(IF(E409="MI",4,(IF(E409="RP",5,(IF(E409="SC",6,0)))))))))))))))))))))))))))))))))))))))</f>
        <v>3</v>
      </c>
      <c r="G409" s="98">
        <v>3</v>
      </c>
      <c r="H409" s="90" t="s">
        <v>115</v>
      </c>
      <c r="I409" s="93" t="s">
        <v>81</v>
      </c>
      <c r="J409" s="129" t="s">
        <v>1984</v>
      </c>
      <c r="K409" s="103" t="s">
        <v>1985</v>
      </c>
      <c r="L409" s="117">
        <f>IF(O409="","",N409*O409*M409)</f>
        <v>0</v>
      </c>
      <c r="M409" s="108">
        <v>1</v>
      </c>
      <c r="N409" s="95">
        <v>1</v>
      </c>
      <c r="O409" s="109">
        <f>IF(Key!D$1="ON",P409,IF(SUM(Q409:DL409)&lt;1,"",SUM(Q409:DL409)/COUNTIF(Q409:DL409,"&gt;0")))</f>
        <v>0</v>
      </c>
      <c r="P409" s="109">
        <f>SUMIFS(Q409:DK409,Q$1:DK$1,Dashboard!$K$31)</f>
        <v>0</v>
      </c>
      <c r="U409" s="95">
        <v>33</v>
      </c>
      <c r="AA409" s="95">
        <v>25</v>
      </c>
      <c r="AH409" s="95">
        <v>75</v>
      </c>
    </row>
    <row r="410" spans="1:34" x14ac:dyDescent="0.3">
      <c r="A410" s="89" t="str">
        <f>CONCATENATE(D410,".",F410,"-",G410,".",H410,"")</f>
        <v>1.3-3.1</v>
      </c>
      <c r="B410" s="89" t="str">
        <f>IF(CONCATENATE(I410,Key!F$2)=CONCATENATE(INDEX(Dashboard!J:J,MATCH(I410,Dashboard!J:J,0),1),INDEX(Dashboard!J:K,MATCH(I410,Dashboard!J:J,0),2)),"ON",IF(Dashboard!K$32="ALL","ON","-"))</f>
        <v>-</v>
      </c>
      <c r="C410" s="88" t="s">
        <v>110</v>
      </c>
      <c r="D410" s="89">
        <f>IF(C410="ID",1,(IF(C410="PR",2,(IF(C410="DE",3,(IF(C410="RS",4,(IF(C410="RC",5,0)))))))))</f>
        <v>1</v>
      </c>
      <c r="E410" s="89" t="s">
        <v>136</v>
      </c>
      <c r="F410" s="89">
        <f>IF(E410="AM",1,(IF(E410="BE",2,(IF(E410="GV",3,(IF(E410="RA",4,(IF(E410="RM",5,(IF(E410="AC",1,(IF(E410="AT",2,(IF(E410="DS",3,(IF(E410="IP",4,(IF(E410="MA",5,(IF(E410="PT",6,(IF(E410="AE",1,(IF(E410="CM",2,(IF(E410="DP",3,(IF(E410="AN",1,(IF(E410="CO",2,(IF(E410="IM",3,(IF(E410="MI",4,(IF(E410="RP",5,(IF(E410="SC",6,0)))))))))))))))))))))))))))))))))))))))</f>
        <v>3</v>
      </c>
      <c r="G410" s="98">
        <v>3</v>
      </c>
      <c r="H410" s="90" t="s">
        <v>115</v>
      </c>
      <c r="I410" s="93" t="s">
        <v>81</v>
      </c>
      <c r="J410" s="129" t="s">
        <v>1998</v>
      </c>
      <c r="K410" s="103" t="s">
        <v>1999</v>
      </c>
      <c r="L410" s="117">
        <f>IF(O410="","",N410*O410*M410)</f>
        <v>0</v>
      </c>
      <c r="M410" s="108">
        <v>1</v>
      </c>
      <c r="N410" s="95">
        <v>1</v>
      </c>
      <c r="O410" s="109">
        <f>IF(Key!D$1="ON",P410,IF(SUM(Q410:DL410)&lt;1,"",SUM(Q410:DL410)/COUNTIF(Q410:DL410,"&gt;0")))</f>
        <v>0</v>
      </c>
      <c r="P410" s="109">
        <f>SUMIFS(Q410:DK410,Q$1:DK$1,Dashboard!$K$31)</f>
        <v>0</v>
      </c>
      <c r="U410" s="95">
        <v>33</v>
      </c>
      <c r="AA410" s="95">
        <v>25</v>
      </c>
      <c r="AH410" s="95">
        <v>75</v>
      </c>
    </row>
    <row r="411" spans="1:34" x14ac:dyDescent="0.3">
      <c r="A411" s="89" t="str">
        <f>CONCATENATE(D411,".",F411,"-",G411,".",H411,"")</f>
        <v>1.3-3.1</v>
      </c>
      <c r="B411" s="89" t="str">
        <f>IF(CONCATENATE(I411,Key!F$2)=CONCATENATE(INDEX(Dashboard!J:J,MATCH(I411,Dashboard!J:J,0),1),INDEX(Dashboard!J:K,MATCH(I411,Dashboard!J:J,0),2)),"ON",IF(Dashboard!K$32="ALL","ON","-"))</f>
        <v>-</v>
      </c>
      <c r="C411" s="88" t="s">
        <v>110</v>
      </c>
      <c r="D411" s="89">
        <f>IF(C411="ID",1,(IF(C411="PR",2,(IF(C411="DE",3,(IF(C411="RS",4,(IF(C411="RC",5,0)))))))))</f>
        <v>1</v>
      </c>
      <c r="E411" s="89" t="s">
        <v>136</v>
      </c>
      <c r="F411" s="89">
        <f>IF(E411="AM",1,(IF(E411="BE",2,(IF(E411="GV",3,(IF(E411="RA",4,(IF(E411="RM",5,(IF(E411="AC",1,(IF(E411="AT",2,(IF(E411="DS",3,(IF(E411="IP",4,(IF(E411="MA",5,(IF(E411="PT",6,(IF(E411="AE",1,(IF(E411="CM",2,(IF(E411="DP",3,(IF(E411="AN",1,(IF(E411="CO",2,(IF(E411="IM",3,(IF(E411="MI",4,(IF(E411="RP",5,(IF(E411="SC",6,0)))))))))))))))))))))))))))))))))))))))</f>
        <v>3</v>
      </c>
      <c r="G411" s="98">
        <v>3</v>
      </c>
      <c r="H411" s="90" t="s">
        <v>115</v>
      </c>
      <c r="I411" s="93" t="s">
        <v>81</v>
      </c>
      <c r="J411" s="129" t="s">
        <v>2000</v>
      </c>
      <c r="K411" s="103" t="s">
        <v>2001</v>
      </c>
      <c r="L411" s="117">
        <f>IF(O411="","",N411*O411*M411)</f>
        <v>0</v>
      </c>
      <c r="M411" s="108">
        <v>1</v>
      </c>
      <c r="N411" s="95">
        <v>1</v>
      </c>
      <c r="O411" s="109">
        <f>IF(Key!D$1="ON",P411,IF(SUM(Q411:DL411)&lt;1,"",SUM(Q411:DL411)/COUNTIF(Q411:DL411,"&gt;0")))</f>
        <v>0</v>
      </c>
      <c r="P411" s="109">
        <f>SUMIFS(Q411:DK411,Q$1:DK$1,Dashboard!$K$31)</f>
        <v>0</v>
      </c>
      <c r="U411" s="95">
        <v>33</v>
      </c>
      <c r="AA411" s="95">
        <v>25</v>
      </c>
      <c r="AH411" s="95">
        <v>75</v>
      </c>
    </row>
    <row r="412" spans="1:34" x14ac:dyDescent="0.3">
      <c r="A412" s="89" t="str">
        <f>CONCATENATE(D412,".",F412,"-",G412,".",H412,"")</f>
        <v>1.3-3.1</v>
      </c>
      <c r="B412" s="89" t="str">
        <f>IF(CONCATENATE(I412,Key!F$2)=CONCATENATE(INDEX(Dashboard!J:J,MATCH(I412,Dashboard!J:J,0),1),INDEX(Dashboard!J:K,MATCH(I412,Dashboard!J:J,0),2)),"ON",IF(Dashboard!K$32="ALL","ON","-"))</f>
        <v>-</v>
      </c>
      <c r="C412" s="88" t="s">
        <v>110</v>
      </c>
      <c r="D412" s="89">
        <f>IF(C412="ID",1,(IF(C412="PR",2,(IF(C412="DE",3,(IF(C412="RS",4,(IF(C412="RC",5,0)))))))))</f>
        <v>1</v>
      </c>
      <c r="E412" s="89" t="s">
        <v>136</v>
      </c>
      <c r="F412" s="89">
        <f>IF(E412="AM",1,(IF(E412="BE",2,(IF(E412="GV",3,(IF(E412="RA",4,(IF(E412="RM",5,(IF(E412="AC",1,(IF(E412="AT",2,(IF(E412="DS",3,(IF(E412="IP",4,(IF(E412="MA",5,(IF(E412="PT",6,(IF(E412="AE",1,(IF(E412="CM",2,(IF(E412="DP",3,(IF(E412="AN",1,(IF(E412="CO",2,(IF(E412="IM",3,(IF(E412="MI",4,(IF(E412="RP",5,(IF(E412="SC",6,0)))))))))))))))))))))))))))))))))))))))</f>
        <v>3</v>
      </c>
      <c r="G412" s="52">
        <v>3</v>
      </c>
      <c r="H412" s="89">
        <v>1</v>
      </c>
      <c r="I412" s="93" t="s">
        <v>85</v>
      </c>
      <c r="J412" s="86" t="s">
        <v>5220</v>
      </c>
      <c r="K412" s="119" t="s">
        <v>742</v>
      </c>
      <c r="L412" s="117">
        <f>IF(O412="","",N412*O412*M412)</f>
        <v>0</v>
      </c>
      <c r="M412" s="108">
        <v>1</v>
      </c>
      <c r="N412" s="95">
        <v>1</v>
      </c>
      <c r="O412" s="109">
        <f>IF(Key!D$1="ON",P412,IF(SUM(Q412:DL412)&lt;1,"",SUM(Q412:DL412)/COUNTIF(Q412:DL412,"&gt;0")))</f>
        <v>0</v>
      </c>
      <c r="P412" s="109">
        <f>SUMIFS(Q412:DK412,Q$1:DK$1,Dashboard!$K$31)</f>
        <v>0</v>
      </c>
      <c r="U412" s="95">
        <v>33</v>
      </c>
      <c r="AA412" s="95">
        <v>25</v>
      </c>
      <c r="AH412" s="95">
        <v>75</v>
      </c>
    </row>
    <row r="413" spans="1:34" x14ac:dyDescent="0.3">
      <c r="A413" s="89" t="str">
        <f>CONCATENATE(D413,".",F413,"-",G413,".",H413,"")</f>
        <v>1.3-3.1</v>
      </c>
      <c r="B413" s="89" t="str">
        <f>IF(CONCATENATE(I413,Key!F$2)=CONCATENATE(INDEX(Dashboard!J:J,MATCH(I413,Dashboard!J:J,0),1),INDEX(Dashboard!J:K,MATCH(I413,Dashboard!J:J,0),2)),"ON",IF(Dashboard!K$32="ALL","ON","-"))</f>
        <v>-</v>
      </c>
      <c r="C413" s="88" t="s">
        <v>110</v>
      </c>
      <c r="D413" s="89">
        <f>IF(C413="ID",1,(IF(C413="PR",2,(IF(C413="DE",3,(IF(C413="RS",4,(IF(C413="RC",5,0)))))))))</f>
        <v>1</v>
      </c>
      <c r="E413" s="89" t="s">
        <v>136</v>
      </c>
      <c r="F413" s="89">
        <f>IF(E413="AM",1,(IF(E413="BE",2,(IF(E413="GV",3,(IF(E413="RA",4,(IF(E413="RM",5,(IF(E413="AC",1,(IF(E413="AT",2,(IF(E413="DS",3,(IF(E413="IP",4,(IF(E413="MA",5,(IF(E413="PT",6,(IF(E413="AE",1,(IF(E413="CM",2,(IF(E413="DP",3,(IF(E413="AN",1,(IF(E413="CO",2,(IF(E413="IM",3,(IF(E413="MI",4,(IF(E413="RP",5,(IF(E413="SC",6,0)))))))))))))))))))))))))))))))))))))))</f>
        <v>3</v>
      </c>
      <c r="G413" s="98">
        <v>3</v>
      </c>
      <c r="H413" s="90" t="s">
        <v>115</v>
      </c>
      <c r="I413" s="93" t="s">
        <v>85</v>
      </c>
      <c r="J413" s="86" t="s">
        <v>999</v>
      </c>
      <c r="K413" s="119" t="s">
        <v>1000</v>
      </c>
      <c r="L413" s="117">
        <f>IF(O413="","",N413*O413*M413)</f>
        <v>0</v>
      </c>
      <c r="M413" s="108">
        <v>1</v>
      </c>
      <c r="N413" s="95">
        <v>1</v>
      </c>
      <c r="O413" s="109">
        <f>IF(Key!D$1="ON",P413,IF(SUM(Q413:DL413)&lt;1,"",SUM(Q413:DL413)/COUNTIF(Q413:DL413,"&gt;0")))</f>
        <v>0</v>
      </c>
      <c r="P413" s="109">
        <f>SUMIFS(Q413:DK413,Q$1:DK$1,Dashboard!$K$31)</f>
        <v>0</v>
      </c>
      <c r="U413" s="95">
        <v>33</v>
      </c>
      <c r="AA413" s="95">
        <v>25</v>
      </c>
      <c r="AH413" s="95">
        <v>75</v>
      </c>
    </row>
    <row r="414" spans="1:34" x14ac:dyDescent="0.3">
      <c r="A414" s="89" t="str">
        <f>CONCATENATE(D414,".",F414,"-",G414,".",H414,"")</f>
        <v>1.3-3.1</v>
      </c>
      <c r="B414" s="89" t="str">
        <f>IF(CONCATENATE(I414,Key!F$2)=CONCATENATE(INDEX(Dashboard!J:J,MATCH(I414,Dashboard!J:J,0),1),INDEX(Dashboard!J:K,MATCH(I414,Dashboard!J:J,0),2)),"ON",IF(Dashboard!K$32="ALL","ON","-"))</f>
        <v>-</v>
      </c>
      <c r="C414" s="88" t="s">
        <v>110</v>
      </c>
      <c r="D414" s="89">
        <f>IF(C414="ID",1,(IF(C414="PR",2,(IF(C414="DE",3,(IF(C414="RS",4,(IF(C414="RC",5,0)))))))))</f>
        <v>1</v>
      </c>
      <c r="E414" s="89" t="s">
        <v>136</v>
      </c>
      <c r="F414" s="89">
        <f>IF(E414="AM",1,(IF(E414="BE",2,(IF(E414="GV",3,(IF(E414="RA",4,(IF(E414="RM",5,(IF(E414="AC",1,(IF(E414="AT",2,(IF(E414="DS",3,(IF(E414="IP",4,(IF(E414="MA",5,(IF(E414="PT",6,(IF(E414="AE",1,(IF(E414="CM",2,(IF(E414="DP",3,(IF(E414="AN",1,(IF(E414="CO",2,(IF(E414="IM",3,(IF(E414="MI",4,(IF(E414="RP",5,(IF(E414="SC",6,0)))))))))))))))))))))))))))))))))))))))</f>
        <v>3</v>
      </c>
      <c r="G414" s="52">
        <v>3</v>
      </c>
      <c r="H414" s="90" t="s">
        <v>115</v>
      </c>
      <c r="I414" s="93" t="s">
        <v>85</v>
      </c>
      <c r="J414" s="87" t="s">
        <v>1029</v>
      </c>
      <c r="K414" s="119" t="s">
        <v>4958</v>
      </c>
      <c r="L414" s="117">
        <f>IF(O414="","",N414*O414*M414)</f>
        <v>0</v>
      </c>
      <c r="M414" s="108">
        <v>1</v>
      </c>
      <c r="N414" s="95">
        <v>1</v>
      </c>
      <c r="O414" s="109">
        <f>IF(Key!D$1="ON",P414,IF(SUM(Q414:DL414)&lt;1,"",SUM(Q414:DL414)/COUNTIF(Q414:DL414,"&gt;0")))</f>
        <v>0</v>
      </c>
      <c r="P414" s="109">
        <f>SUMIFS(Q414:DK414,Q$1:DK$1,Dashboard!$K$31)</f>
        <v>0</v>
      </c>
      <c r="U414" s="95">
        <v>33</v>
      </c>
      <c r="AA414" s="95">
        <v>25</v>
      </c>
      <c r="AH414" s="95">
        <v>75</v>
      </c>
    </row>
    <row r="415" spans="1:34" x14ac:dyDescent="0.3">
      <c r="A415" s="89" t="str">
        <f>CONCATENATE(D415,".",F415,"-",G415,".",H415,"")</f>
        <v>1.3-3.1</v>
      </c>
      <c r="B415" s="89" t="str">
        <f>IF(CONCATENATE(I415,Key!F$2)=CONCATENATE(INDEX(Dashboard!J:J,MATCH(I415,Dashboard!J:J,0),1),INDEX(Dashboard!J:K,MATCH(I415,Dashboard!J:J,0),2)),"ON",IF(Dashboard!K$32="ALL","ON","-"))</f>
        <v>-</v>
      </c>
      <c r="C415" s="96" t="s">
        <v>110</v>
      </c>
      <c r="D415" s="89">
        <f>IF(C415="ID",1,(IF(C415="PR",2,(IF(C415="DE",3,(IF(C415="RS",4,(IF(C415="RC",5,0)))))))))</f>
        <v>1</v>
      </c>
      <c r="E415" s="89" t="s">
        <v>136</v>
      </c>
      <c r="F415" s="89">
        <f>IF(E415="AM",1,(IF(E415="BE",2,(IF(E415="GV",3,(IF(E415="RA",4,(IF(E415="RM",5,(IF(E415="AC",1,(IF(E415="AT",2,(IF(E415="DS",3,(IF(E415="IP",4,(IF(E415="MA",5,(IF(E415="PT",6,(IF(E415="AE",1,(IF(E415="CM",2,(IF(E415="DP",3,(IF(E415="AN",1,(IF(E415="CO",2,(IF(E415="IM",3,(IF(E415="MI",4,(IF(E415="RP",5,(IF(E415="SC",6,0)))))))))))))))))))))))))))))))))))))))</f>
        <v>3</v>
      </c>
      <c r="G415" s="98">
        <v>3</v>
      </c>
      <c r="H415" s="90" t="s">
        <v>115</v>
      </c>
      <c r="I415" s="93" t="s">
        <v>85</v>
      </c>
      <c r="J415" s="87" t="s">
        <v>1606</v>
      </c>
      <c r="K415" s="119" t="s">
        <v>1607</v>
      </c>
      <c r="L415" s="117">
        <f>IF(O415="","",N415*O415*M415)</f>
        <v>0</v>
      </c>
      <c r="M415" s="108">
        <v>1</v>
      </c>
      <c r="N415" s="95">
        <v>1</v>
      </c>
      <c r="O415" s="109">
        <f>IF(Key!D$1="ON",P415,IF(SUM(Q415:DL415)&lt;1,"",SUM(Q415:DL415)/COUNTIF(Q415:DL415,"&gt;0")))</f>
        <v>0</v>
      </c>
      <c r="P415" s="109">
        <f>SUMIFS(Q415:DK415,Q$1:DK$1,Dashboard!$K$31)</f>
        <v>0</v>
      </c>
      <c r="U415" s="95">
        <v>33</v>
      </c>
      <c r="AA415" s="95">
        <v>25</v>
      </c>
      <c r="AH415" s="95">
        <v>75</v>
      </c>
    </row>
    <row r="416" spans="1:34" x14ac:dyDescent="0.3">
      <c r="A416" s="89" t="str">
        <f>CONCATENATE(D416,".",F416,"-",G416,".",H416,"")</f>
        <v>1.3-3.1</v>
      </c>
      <c r="B416" s="89" t="str">
        <f>IF(CONCATENATE(I416,Key!F$2)=CONCATENATE(INDEX(Dashboard!J:J,MATCH(I416,Dashboard!J:J,0),1),INDEX(Dashboard!J:K,MATCH(I416,Dashboard!J:J,0),2)),"ON",IF(Dashboard!K$32="ALL","ON","-"))</f>
        <v>-</v>
      </c>
      <c r="C416" s="88" t="s">
        <v>110</v>
      </c>
      <c r="D416" s="89">
        <f>IF(C416="ID",1,(IF(C416="PR",2,(IF(C416="DE",3,(IF(C416="RS",4,(IF(C416="RC",5,0)))))))))</f>
        <v>1</v>
      </c>
      <c r="E416" s="89" t="s">
        <v>136</v>
      </c>
      <c r="F416" s="89">
        <f>IF(E416="AM",1,(IF(E416="BE",2,(IF(E416="GV",3,(IF(E416="RA",4,(IF(E416="RM",5,(IF(E416="AC",1,(IF(E416="AT",2,(IF(E416="DS",3,(IF(E416="IP",4,(IF(E416="MA",5,(IF(E416="PT",6,(IF(E416="AE",1,(IF(E416="CM",2,(IF(E416="DP",3,(IF(E416="AN",1,(IF(E416="CO",2,(IF(E416="IM",3,(IF(E416="MI",4,(IF(E416="RP",5,(IF(E416="SC",6,0)))))))))))))))))))))))))))))))))))))))</f>
        <v>3</v>
      </c>
      <c r="G416" s="52">
        <v>3</v>
      </c>
      <c r="H416" s="90" t="s">
        <v>115</v>
      </c>
      <c r="I416" s="93" t="s">
        <v>85</v>
      </c>
      <c r="J416" s="86" t="s">
        <v>3920</v>
      </c>
      <c r="K416" s="119" t="s">
        <v>4889</v>
      </c>
      <c r="L416" s="117">
        <f>IF(O416="","",N416*O416*M416)</f>
        <v>0</v>
      </c>
      <c r="M416" s="108">
        <v>1</v>
      </c>
      <c r="N416" s="95">
        <v>1</v>
      </c>
      <c r="O416" s="109">
        <f>IF(Key!D$1="ON",P416,IF(SUM(Q416:DL416)&lt;1,"",SUM(Q416:DL416)/COUNTIF(Q416:DL416,"&gt;0")))</f>
        <v>0</v>
      </c>
      <c r="P416" s="109">
        <f>SUMIFS(Q416:DK416,Q$1:DK$1,Dashboard!$K$31)</f>
        <v>0</v>
      </c>
      <c r="U416" s="95">
        <v>33</v>
      </c>
      <c r="AA416" s="95">
        <v>25</v>
      </c>
      <c r="AH416" s="95">
        <v>75</v>
      </c>
    </row>
    <row r="417" spans="1:34" x14ac:dyDescent="0.3">
      <c r="A417" s="89" t="str">
        <f>CONCATENATE(D417,".",F417,"-",G417,".",H417,"")</f>
        <v>1.3-3.1</v>
      </c>
      <c r="B417" s="89" t="str">
        <f>IF(CONCATENATE(I417,Key!F$2)=CONCATENATE(INDEX(Dashboard!J:J,MATCH(I417,Dashboard!J:J,0),1),INDEX(Dashboard!J:K,MATCH(I417,Dashboard!J:J,0),2)),"ON",IF(Dashboard!K$32="ALL","ON","-"))</f>
        <v>-</v>
      </c>
      <c r="C417" s="88" t="s">
        <v>110</v>
      </c>
      <c r="D417" s="89">
        <f>IF(C417="ID",1,(IF(C417="PR",2,(IF(C417="DE",3,(IF(C417="RS",4,(IF(C417="RC",5,0)))))))))</f>
        <v>1</v>
      </c>
      <c r="E417" s="89" t="s">
        <v>136</v>
      </c>
      <c r="F417" s="89">
        <f>IF(E417="AM",1,(IF(E417="BE",2,(IF(E417="GV",3,(IF(E417="RA",4,(IF(E417="RM",5,(IF(E417="AC",1,(IF(E417="AT",2,(IF(E417="DS",3,(IF(E417="IP",4,(IF(E417="MA",5,(IF(E417="PT",6,(IF(E417="AE",1,(IF(E417="CM",2,(IF(E417="DP",3,(IF(E417="AN",1,(IF(E417="CO",2,(IF(E417="IM",3,(IF(E417="MI",4,(IF(E417="RP",5,(IF(E417="SC",6,0)))))))))))))))))))))))))))))))))))))))</f>
        <v>3</v>
      </c>
      <c r="G417" s="52">
        <v>3</v>
      </c>
      <c r="H417" s="90" t="s">
        <v>115</v>
      </c>
      <c r="I417" s="93" t="s">
        <v>85</v>
      </c>
      <c r="J417" s="86" t="s">
        <v>832</v>
      </c>
      <c r="K417" s="119" t="s">
        <v>5083</v>
      </c>
      <c r="L417" s="117">
        <f>IF(O417="","",N417*O417*M417)</f>
        <v>0</v>
      </c>
      <c r="M417" s="108">
        <v>0.9</v>
      </c>
      <c r="N417" s="95">
        <v>1</v>
      </c>
      <c r="O417" s="109">
        <f>IF(Key!D$1="ON",P417,IF(SUM(Q417:DL417)&lt;1,"",SUM(Q417:DL417)/COUNTIF(Q417:DL417,"&gt;0")))</f>
        <v>0</v>
      </c>
      <c r="P417" s="109">
        <f>SUMIFS(Q417:DK417,Q$1:DK$1,Dashboard!$K$31)</f>
        <v>0</v>
      </c>
      <c r="S417" s="95">
        <v>1</v>
      </c>
      <c r="T417" s="95">
        <v>80</v>
      </c>
      <c r="U417" s="95">
        <v>33</v>
      </c>
      <c r="W417" s="95">
        <v>50</v>
      </c>
      <c r="AA417" s="95">
        <v>25</v>
      </c>
      <c r="AH417" s="95">
        <v>75</v>
      </c>
    </row>
    <row r="418" spans="1:34" x14ac:dyDescent="0.3">
      <c r="A418" s="89" t="str">
        <f>CONCATENATE(D418,".",F418,"-",G418,".",H418,"")</f>
        <v>1.3-3.1</v>
      </c>
      <c r="B418" s="89" t="str">
        <f>IF(CONCATENATE(I418,Key!F$2)=CONCATENATE(INDEX(Dashboard!J:J,MATCH(I418,Dashboard!J:J,0),1),INDEX(Dashboard!J:K,MATCH(I418,Dashboard!J:J,0),2)),"ON",IF(Dashboard!K$32="ALL","ON","-"))</f>
        <v>-</v>
      </c>
      <c r="C418" s="88" t="s">
        <v>110</v>
      </c>
      <c r="D418" s="89">
        <f>IF(C418="ID",1,(IF(C418="PR",2,(IF(C418="DE",3,(IF(C418="RS",4,(IF(C418="RC",5,0)))))))))</f>
        <v>1</v>
      </c>
      <c r="E418" s="89" t="s">
        <v>136</v>
      </c>
      <c r="F418" s="89">
        <f>IF(E418="AM",1,(IF(E418="BE",2,(IF(E418="GV",3,(IF(E418="RA",4,(IF(E418="RM",5,(IF(E418="AC",1,(IF(E418="AT",2,(IF(E418="DS",3,(IF(E418="IP",4,(IF(E418="MA",5,(IF(E418="PT",6,(IF(E418="AE",1,(IF(E418="CM",2,(IF(E418="DP",3,(IF(E418="AN",1,(IF(E418="CO",2,(IF(E418="IM",3,(IF(E418="MI",4,(IF(E418="RP",5,(IF(E418="SC",6,0)))))))))))))))))))))))))))))))))))))))</f>
        <v>3</v>
      </c>
      <c r="G418" s="52">
        <v>3</v>
      </c>
      <c r="H418" s="90" t="s">
        <v>115</v>
      </c>
      <c r="I418" s="93" t="s">
        <v>85</v>
      </c>
      <c r="J418" s="86" t="s">
        <v>3915</v>
      </c>
      <c r="K418" s="119" t="s">
        <v>4877</v>
      </c>
      <c r="L418" s="117">
        <f>IF(O418="","",N418*O418*M418)</f>
        <v>0</v>
      </c>
      <c r="M418" s="108">
        <v>1</v>
      </c>
      <c r="N418" s="95">
        <v>1</v>
      </c>
      <c r="O418" s="109">
        <f>IF(Key!D$1="ON",P418,IF(SUM(Q418:DL418)&lt;1,"",SUM(Q418:DL418)/COUNTIF(Q418:DL418,"&gt;0")))</f>
        <v>0</v>
      </c>
      <c r="P418" s="109">
        <f>SUMIFS(Q418:DK418,Q$1:DK$1,Dashboard!$K$31)</f>
        <v>0</v>
      </c>
      <c r="U418" s="95">
        <v>33</v>
      </c>
      <c r="AA418" s="95">
        <v>25</v>
      </c>
      <c r="AH418" s="95">
        <v>75</v>
      </c>
    </row>
    <row r="419" spans="1:34" x14ac:dyDescent="0.3">
      <c r="A419" s="89" t="str">
        <f>CONCATENATE(D419,".",F419,"-",G419,".",H419,"")</f>
        <v>1.3-3.1</v>
      </c>
      <c r="B419" s="89" t="str">
        <f>IF(CONCATENATE(I419,Key!F$2)=CONCATENATE(INDEX(Dashboard!J:J,MATCH(I419,Dashboard!J:J,0),1),INDEX(Dashboard!J:K,MATCH(I419,Dashboard!J:J,0),2)),"ON",IF(Dashboard!K$32="ALL","ON","-"))</f>
        <v>-</v>
      </c>
      <c r="C419" s="88" t="s">
        <v>110</v>
      </c>
      <c r="D419" s="89">
        <f>IF(C419="ID",1,(IF(C419="PR",2,(IF(C419="DE",3,(IF(C419="RS",4,(IF(C419="RC",5,0)))))))))</f>
        <v>1</v>
      </c>
      <c r="E419" s="89" t="s">
        <v>136</v>
      </c>
      <c r="F419" s="89">
        <f>IF(E419="AM",1,(IF(E419="BE",2,(IF(E419="GV",3,(IF(E419="RA",4,(IF(E419="RM",5,(IF(E419="AC",1,(IF(E419="AT",2,(IF(E419="DS",3,(IF(E419="IP",4,(IF(E419="MA",5,(IF(E419="PT",6,(IF(E419="AE",1,(IF(E419="CM",2,(IF(E419="DP",3,(IF(E419="AN",1,(IF(E419="CO",2,(IF(E419="IM",3,(IF(E419="MI",4,(IF(E419="RP",5,(IF(E419="SC",6,0)))))))))))))))))))))))))))))))))))))))</f>
        <v>3</v>
      </c>
      <c r="G419" s="52">
        <v>3</v>
      </c>
      <c r="H419" s="90" t="s">
        <v>115</v>
      </c>
      <c r="I419" s="93" t="s">
        <v>85</v>
      </c>
      <c r="J419" s="86" t="s">
        <v>3921</v>
      </c>
      <c r="K419" s="119" t="s">
        <v>4890</v>
      </c>
      <c r="L419" s="117">
        <f>IF(O419="","",N419*O419*M419)</f>
        <v>0</v>
      </c>
      <c r="M419" s="108">
        <v>1</v>
      </c>
      <c r="N419" s="95">
        <v>1</v>
      </c>
      <c r="O419" s="109">
        <f>IF(Key!D$1="ON",P419,IF(SUM(Q419:DL419)&lt;1,"",SUM(Q419:DL419)/COUNTIF(Q419:DL419,"&gt;0")))</f>
        <v>0</v>
      </c>
      <c r="P419" s="109">
        <f>SUMIFS(Q419:DK419,Q$1:DK$1,Dashboard!$K$31)</f>
        <v>0</v>
      </c>
      <c r="U419" s="95">
        <v>33</v>
      </c>
      <c r="AA419" s="95">
        <v>25</v>
      </c>
      <c r="AH419" s="95">
        <v>75</v>
      </c>
    </row>
    <row r="420" spans="1:34" x14ac:dyDescent="0.3">
      <c r="A420" s="89" t="str">
        <f>CONCATENATE(D420,".",F420,"-",G420,".",H420,"")</f>
        <v>1.3-3.1</v>
      </c>
      <c r="B420" s="89" t="str">
        <f>IF(CONCATENATE(I420,Key!F$2)=CONCATENATE(INDEX(Dashboard!J:J,MATCH(I420,Dashboard!J:J,0),1),INDEX(Dashboard!J:K,MATCH(I420,Dashboard!J:J,0),2)),"ON",IF(Dashboard!K$32="ALL","ON","-"))</f>
        <v>-</v>
      </c>
      <c r="C420" s="88" t="s">
        <v>110</v>
      </c>
      <c r="D420" s="89">
        <f>IF(C420="ID",1,(IF(C420="PR",2,(IF(C420="DE",3,(IF(C420="RS",4,(IF(C420="RC",5,0)))))))))</f>
        <v>1</v>
      </c>
      <c r="E420" s="89" t="s">
        <v>136</v>
      </c>
      <c r="F420" s="89">
        <f>IF(E420="AM",1,(IF(E420="BE",2,(IF(E420="GV",3,(IF(E420="RA",4,(IF(E420="RM",5,(IF(E420="AC",1,(IF(E420="AT",2,(IF(E420="DS",3,(IF(E420="IP",4,(IF(E420="MA",5,(IF(E420="PT",6,(IF(E420="AE",1,(IF(E420="CM",2,(IF(E420="DP",3,(IF(E420="AN",1,(IF(E420="CO",2,(IF(E420="IM",3,(IF(E420="MI",4,(IF(E420="RP",5,(IF(E420="SC",6,0)))))))))))))))))))))))))))))))))))))))</f>
        <v>3</v>
      </c>
      <c r="G420" s="52">
        <v>3</v>
      </c>
      <c r="H420" s="89">
        <v>1</v>
      </c>
      <c r="I420" s="93" t="s">
        <v>85</v>
      </c>
      <c r="J420" s="86" t="s">
        <v>1014</v>
      </c>
      <c r="K420" s="119" t="s">
        <v>754</v>
      </c>
      <c r="L420" s="117">
        <f>IF(O420="","",N420*O420*M420)</f>
        <v>0</v>
      </c>
      <c r="M420" s="108">
        <v>1</v>
      </c>
      <c r="N420" s="95">
        <v>1</v>
      </c>
      <c r="O420" s="109">
        <f>IF(Key!D$1="ON",P420,IF(SUM(Q420:DL420)&lt;1,"",SUM(Q420:DL420)/COUNTIF(Q420:DL420,"&gt;0")))</f>
        <v>0</v>
      </c>
      <c r="P420" s="109">
        <f>SUMIFS(Q420:DK420,Q$1:DK$1,Dashboard!$K$31)</f>
        <v>0</v>
      </c>
      <c r="U420" s="95">
        <v>33</v>
      </c>
      <c r="AA420" s="95">
        <v>25</v>
      </c>
      <c r="AH420" s="95">
        <v>75</v>
      </c>
    </row>
    <row r="421" spans="1:34" x14ac:dyDescent="0.3">
      <c r="A421" s="89" t="str">
        <f>CONCATENATE(D421,".",F421,"-",G421,".",H421,"")</f>
        <v>1.3-3.1</v>
      </c>
      <c r="B421" s="89" t="str">
        <f>IF(CONCATENATE(I421,Key!F$2)=CONCATENATE(INDEX(Dashboard!J:J,MATCH(I421,Dashboard!J:J,0),1),INDEX(Dashboard!J:K,MATCH(I421,Dashboard!J:J,0),2)),"ON",IF(Dashboard!K$32="ALL","ON","-"))</f>
        <v>-</v>
      </c>
      <c r="C421" s="88" t="s">
        <v>110</v>
      </c>
      <c r="D421" s="89">
        <f>IF(C421="ID",1,(IF(C421="PR",2,(IF(C421="DE",3,(IF(C421="RS",4,(IF(C421="RC",5,0)))))))))</f>
        <v>1</v>
      </c>
      <c r="E421" s="89" t="s">
        <v>136</v>
      </c>
      <c r="F421" s="89">
        <f>IF(E421="AM",1,(IF(E421="BE",2,(IF(E421="GV",3,(IF(E421="RA",4,(IF(E421="RM",5,(IF(E421="AC",1,(IF(E421="AT",2,(IF(E421="DS",3,(IF(E421="IP",4,(IF(E421="MA",5,(IF(E421="PT",6,(IF(E421="AE",1,(IF(E421="CM",2,(IF(E421="DP",3,(IF(E421="AN",1,(IF(E421="CO",2,(IF(E421="IM",3,(IF(E421="MI",4,(IF(E421="RP",5,(IF(E421="SC",6,0)))))))))))))))))))))))))))))))))))))))</f>
        <v>3</v>
      </c>
      <c r="G421" s="52">
        <v>3</v>
      </c>
      <c r="H421" s="90" t="s">
        <v>115</v>
      </c>
      <c r="I421" s="93" t="s">
        <v>85</v>
      </c>
      <c r="J421" s="86" t="s">
        <v>3919</v>
      </c>
      <c r="K421" s="119" t="s">
        <v>4888</v>
      </c>
      <c r="L421" s="117">
        <f>IF(O421="","",N421*O421*M421)</f>
        <v>0</v>
      </c>
      <c r="M421" s="108">
        <v>1</v>
      </c>
      <c r="N421" s="95">
        <v>1</v>
      </c>
      <c r="O421" s="109">
        <f>IF(Key!D$1="ON",P421,IF(SUM(Q421:DL421)&lt;1,"",SUM(Q421:DL421)/COUNTIF(Q421:DL421,"&gt;0")))</f>
        <v>0</v>
      </c>
      <c r="P421" s="109">
        <f>SUMIFS(Q421:DK421,Q$1:DK$1,Dashboard!$K$31)</f>
        <v>0</v>
      </c>
      <c r="U421" s="95">
        <v>33</v>
      </c>
      <c r="AA421" s="95">
        <v>25</v>
      </c>
      <c r="AH421" s="95">
        <v>75</v>
      </c>
    </row>
    <row r="422" spans="1:34" x14ac:dyDescent="0.3">
      <c r="A422" s="89" t="str">
        <f>CONCATENATE(D422,".",F422,"-",G422,".",H422,"")</f>
        <v>1.3-3.1</v>
      </c>
      <c r="B422" s="89" t="str">
        <f>IF(CONCATENATE(I422,Key!F$2)=CONCATENATE(INDEX(Dashboard!J:J,MATCH(I422,Dashboard!J:J,0),1),INDEX(Dashboard!J:K,MATCH(I422,Dashboard!J:J,0),2)),"ON",IF(Dashboard!K$32="ALL","ON","-"))</f>
        <v>-</v>
      </c>
      <c r="C422" s="88" t="s">
        <v>110</v>
      </c>
      <c r="D422" s="89">
        <f>IF(C422="ID",1,(IF(C422="PR",2,(IF(C422="DE",3,(IF(C422="RS",4,(IF(C422="RC",5,0)))))))))</f>
        <v>1</v>
      </c>
      <c r="E422" s="89" t="s">
        <v>136</v>
      </c>
      <c r="F422" s="89">
        <f>IF(E422="AM",1,(IF(E422="BE",2,(IF(E422="GV",3,(IF(E422="RA",4,(IF(E422="RM",5,(IF(E422="AC",1,(IF(E422="AT",2,(IF(E422="DS",3,(IF(E422="IP",4,(IF(E422="MA",5,(IF(E422="PT",6,(IF(E422="AE",1,(IF(E422="CM",2,(IF(E422="DP",3,(IF(E422="AN",1,(IF(E422="CO",2,(IF(E422="IM",3,(IF(E422="MI",4,(IF(E422="RP",5,(IF(E422="SC",6,0)))))))))))))))))))))))))))))))))))))))</f>
        <v>3</v>
      </c>
      <c r="G422" s="52">
        <v>3</v>
      </c>
      <c r="H422" s="89">
        <v>1</v>
      </c>
      <c r="I422" s="93" t="s">
        <v>85</v>
      </c>
      <c r="J422" s="86" t="s">
        <v>722</v>
      </c>
      <c r="K422" s="119" t="s">
        <v>723</v>
      </c>
      <c r="L422" s="117">
        <f>IF(O422="","",N422*O422*M422)</f>
        <v>0</v>
      </c>
      <c r="M422" s="108">
        <v>1</v>
      </c>
      <c r="N422" s="95">
        <v>1</v>
      </c>
      <c r="O422" s="109">
        <f>IF(Key!D$1="ON",P422,IF(SUM(Q422:DL422)&lt;1,"",SUM(Q422:DL422)/COUNTIF(Q422:DL422,"&gt;0")))</f>
        <v>0</v>
      </c>
      <c r="P422" s="109">
        <f>SUMIFS(Q422:DK422,Q$1:DK$1,Dashboard!$K$31)</f>
        <v>0</v>
      </c>
      <c r="U422" s="95">
        <v>33</v>
      </c>
      <c r="AA422" s="95">
        <v>25</v>
      </c>
      <c r="AH422" s="95">
        <v>75</v>
      </c>
    </row>
    <row r="423" spans="1:34" x14ac:dyDescent="0.3">
      <c r="A423" s="89" t="str">
        <f>CONCATENATE(D423,".",F423,"-",G423,".",H423,"")</f>
        <v>1.3-3.1</v>
      </c>
      <c r="B423" s="89" t="str">
        <f>IF(CONCATENATE(I423,Key!F$2)=CONCATENATE(INDEX(Dashboard!J:J,MATCH(I423,Dashboard!J:J,0),1),INDEX(Dashboard!J:K,MATCH(I423,Dashboard!J:J,0),2)),"ON",IF(Dashboard!K$32="ALL","ON","-"))</f>
        <v>-</v>
      </c>
      <c r="C423" s="88" t="s">
        <v>110</v>
      </c>
      <c r="D423" s="89">
        <f>IF(C423="ID",1,(IF(C423="PR",2,(IF(C423="DE",3,(IF(C423="RS",4,(IF(C423="RC",5,0)))))))))</f>
        <v>1</v>
      </c>
      <c r="E423" s="89" t="s">
        <v>136</v>
      </c>
      <c r="F423" s="89">
        <f>IF(E423="AM",1,(IF(E423="BE",2,(IF(E423="GV",3,(IF(E423="RA",4,(IF(E423="RM",5,(IF(E423="AC",1,(IF(E423="AT",2,(IF(E423="DS",3,(IF(E423="IP",4,(IF(E423="MA",5,(IF(E423="PT",6,(IF(E423="AE",1,(IF(E423="CM",2,(IF(E423="DP",3,(IF(E423="AN",1,(IF(E423="CO",2,(IF(E423="IM",3,(IF(E423="MI",4,(IF(E423="RP",5,(IF(E423="SC",6,0)))))))))))))))))))))))))))))))))))))))</f>
        <v>3</v>
      </c>
      <c r="G423" s="52">
        <v>3</v>
      </c>
      <c r="H423" s="89">
        <v>1</v>
      </c>
      <c r="I423" s="93" t="s">
        <v>85</v>
      </c>
      <c r="J423" s="135" t="s">
        <v>751</v>
      </c>
      <c r="K423" s="143" t="s">
        <v>4893</v>
      </c>
      <c r="L423" s="117">
        <f>IF(O423="","",N423*O423*M423)</f>
        <v>0</v>
      </c>
      <c r="M423" s="108">
        <v>1</v>
      </c>
      <c r="N423" s="95">
        <v>1</v>
      </c>
      <c r="O423" s="109">
        <f>IF(Key!D$1="ON",P423,IF(SUM(Q423:DL423)&lt;1,"",SUM(Q423:DL423)/COUNTIF(Q423:DL423,"&gt;0")))</f>
        <v>0</v>
      </c>
      <c r="P423" s="109">
        <f>SUMIFS(Q423:DK423,Q$1:DK$1,Dashboard!$K$31)</f>
        <v>0</v>
      </c>
      <c r="U423" s="95">
        <v>33</v>
      </c>
      <c r="AA423" s="95">
        <v>25</v>
      </c>
      <c r="AH423" s="95">
        <v>75</v>
      </c>
    </row>
    <row r="424" spans="1:34" x14ac:dyDescent="0.3">
      <c r="A424" s="89" t="str">
        <f>CONCATENATE(D424,".",F424,"-",G424,".",H424,"")</f>
        <v>1.3-3.1</v>
      </c>
      <c r="B424" s="89" t="str">
        <f>IF(CONCATENATE(I424,Key!F$2)=CONCATENATE(INDEX(Dashboard!J:J,MATCH(I424,Dashboard!J:J,0),1),INDEX(Dashboard!J:K,MATCH(I424,Dashboard!J:J,0),2)),"ON",IF(Dashboard!K$32="ALL","ON","-"))</f>
        <v>-</v>
      </c>
      <c r="C424" s="88" t="s">
        <v>110</v>
      </c>
      <c r="D424" s="89">
        <f>IF(C424="ID",1,(IF(C424="PR",2,(IF(C424="DE",3,(IF(C424="RS",4,(IF(C424="RC",5,0)))))))))</f>
        <v>1</v>
      </c>
      <c r="E424" s="89" t="s">
        <v>136</v>
      </c>
      <c r="F424" s="89">
        <f>IF(E424="AM",1,(IF(E424="BE",2,(IF(E424="GV",3,(IF(E424="RA",4,(IF(E424="RM",5,(IF(E424="AC",1,(IF(E424="AT",2,(IF(E424="DS",3,(IF(E424="IP",4,(IF(E424="MA",5,(IF(E424="PT",6,(IF(E424="AE",1,(IF(E424="CM",2,(IF(E424="DP",3,(IF(E424="AN",1,(IF(E424="CO",2,(IF(E424="IM",3,(IF(E424="MI",4,(IF(E424="RP",5,(IF(E424="SC",6,0)))))))))))))))))))))))))))))))))))))))</f>
        <v>3</v>
      </c>
      <c r="G424" s="52">
        <v>3</v>
      </c>
      <c r="H424" s="89">
        <v>1</v>
      </c>
      <c r="I424" s="93" t="s">
        <v>85</v>
      </c>
      <c r="J424" s="135" t="s">
        <v>752</v>
      </c>
      <c r="K424" s="143" t="s">
        <v>4894</v>
      </c>
      <c r="L424" s="117">
        <f>IF(O424="","",N424*O424*M424)</f>
        <v>0</v>
      </c>
      <c r="M424" s="108">
        <v>1</v>
      </c>
      <c r="N424" s="95">
        <v>1</v>
      </c>
      <c r="O424" s="109">
        <f>IF(Key!D$1="ON",P424,IF(SUM(Q424:DL424)&lt;1,"",SUM(Q424:DL424)/COUNTIF(Q424:DL424,"&gt;0")))</f>
        <v>0</v>
      </c>
      <c r="P424" s="109">
        <f>SUMIFS(Q424:DK424,Q$1:DK$1,Dashboard!$K$31)</f>
        <v>0</v>
      </c>
      <c r="U424" s="95">
        <v>33</v>
      </c>
      <c r="AA424" s="95">
        <v>25</v>
      </c>
      <c r="AH424" s="95">
        <v>75</v>
      </c>
    </row>
    <row r="425" spans="1:34" x14ac:dyDescent="0.3">
      <c r="A425" s="89" t="str">
        <f>CONCATENATE(D425,".",F425,"-",G425,".",H425,"")</f>
        <v>1.3-3.1</v>
      </c>
      <c r="B425" s="89" t="str">
        <f>IF(CONCATENATE(I425,Key!F$2)=CONCATENATE(INDEX(Dashboard!J:J,MATCH(I425,Dashboard!J:J,0),1),INDEX(Dashboard!J:K,MATCH(I425,Dashboard!J:J,0),2)),"ON",IF(Dashboard!K$32="ALL","ON","-"))</f>
        <v>-</v>
      </c>
      <c r="C425" s="88" t="s">
        <v>110</v>
      </c>
      <c r="D425" s="89">
        <f>IF(C425="ID",1,(IF(C425="PR",2,(IF(C425="DE",3,(IF(C425="RS",4,(IF(C425="RC",5,0)))))))))</f>
        <v>1</v>
      </c>
      <c r="E425" s="89" t="s">
        <v>136</v>
      </c>
      <c r="F425" s="89">
        <f>IF(E425="AM",1,(IF(E425="BE",2,(IF(E425="GV",3,(IF(E425="RA",4,(IF(E425="RM",5,(IF(E425="AC",1,(IF(E425="AT",2,(IF(E425="DS",3,(IF(E425="IP",4,(IF(E425="MA",5,(IF(E425="PT",6,(IF(E425="AE",1,(IF(E425="CM",2,(IF(E425="DP",3,(IF(E425="AN",1,(IF(E425="CO",2,(IF(E425="IM",3,(IF(E425="MI",4,(IF(E425="RP",5,(IF(E425="SC",6,0)))))))))))))))))))))))))))))))))))))))</f>
        <v>3</v>
      </c>
      <c r="G425" s="52">
        <v>3</v>
      </c>
      <c r="H425" s="89">
        <v>1</v>
      </c>
      <c r="I425" s="93" t="s">
        <v>85</v>
      </c>
      <c r="J425" s="135" t="s">
        <v>864</v>
      </c>
      <c r="K425" s="143" t="s">
        <v>5156</v>
      </c>
      <c r="L425" s="117">
        <f>IF(O425="","",N425*O425*M425)</f>
        <v>0</v>
      </c>
      <c r="M425" s="108">
        <v>1</v>
      </c>
      <c r="N425" s="95">
        <v>1</v>
      </c>
      <c r="O425" s="109">
        <f>IF(Key!D$1="ON",P425,IF(SUM(Q425:DL425)&lt;1,"",SUM(Q425:DL425)/COUNTIF(Q425:DL425,"&gt;0")))</f>
        <v>0</v>
      </c>
      <c r="P425" s="109">
        <f>SUMIFS(Q425:DK425,Q$1:DK$1,Dashboard!$K$31)</f>
        <v>0</v>
      </c>
      <c r="U425" s="95">
        <v>33</v>
      </c>
      <c r="AA425" s="95">
        <v>25</v>
      </c>
      <c r="AH425" s="95">
        <v>75</v>
      </c>
    </row>
    <row r="426" spans="1:34" x14ac:dyDescent="0.3">
      <c r="A426" s="89" t="str">
        <f>CONCATENATE(D426,".",F426,"-",G426,".",H426,"")</f>
        <v>1.3-3.1</v>
      </c>
      <c r="B426" s="89" t="str">
        <f>IF(CONCATENATE(I426,Key!F$2)=CONCATENATE(INDEX(Dashboard!J:J,MATCH(I426,Dashboard!J:J,0),1),INDEX(Dashboard!J:K,MATCH(I426,Dashboard!J:J,0),2)),"ON",IF(Dashboard!K$32="ALL","ON","-"))</f>
        <v>-</v>
      </c>
      <c r="C426" s="88" t="s">
        <v>110</v>
      </c>
      <c r="D426" s="89">
        <f>IF(C426="ID",1,(IF(C426="PR",2,(IF(C426="DE",3,(IF(C426="RS",4,(IF(C426="RC",5,0)))))))))</f>
        <v>1</v>
      </c>
      <c r="E426" s="89" t="s">
        <v>136</v>
      </c>
      <c r="F426" s="89">
        <f>IF(E426="AM",1,(IF(E426="BE",2,(IF(E426="GV",3,(IF(E426="RA",4,(IF(E426="RM",5,(IF(E426="AC",1,(IF(E426="AT",2,(IF(E426="DS",3,(IF(E426="IP",4,(IF(E426="MA",5,(IF(E426="PT",6,(IF(E426="AE",1,(IF(E426="CM",2,(IF(E426="DP",3,(IF(E426="AN",1,(IF(E426="CO",2,(IF(E426="IM",3,(IF(E426="MI",4,(IF(E426="RP",5,(IF(E426="SC",6,0)))))))))))))))))))))))))))))))))))))))</f>
        <v>3</v>
      </c>
      <c r="G426" s="52">
        <v>3</v>
      </c>
      <c r="H426" s="89">
        <v>1</v>
      </c>
      <c r="I426" s="93" t="s">
        <v>85</v>
      </c>
      <c r="J426" s="135" t="s">
        <v>749</v>
      </c>
      <c r="K426" s="143" t="s">
        <v>4891</v>
      </c>
      <c r="L426" s="117">
        <f>IF(O426="","",N426*O426*M426)</f>
        <v>0</v>
      </c>
      <c r="M426" s="108">
        <v>1</v>
      </c>
      <c r="N426" s="95">
        <v>1</v>
      </c>
      <c r="O426" s="109">
        <f>IF(Key!D$1="ON",P426,IF(SUM(Q426:DL426)&lt;1,"",SUM(Q426:DL426)/COUNTIF(Q426:DL426,"&gt;0")))</f>
        <v>0</v>
      </c>
      <c r="P426" s="109">
        <f>SUMIFS(Q426:DK426,Q$1:DK$1,Dashboard!$K$31)</f>
        <v>0</v>
      </c>
      <c r="U426" s="95">
        <v>33</v>
      </c>
      <c r="AA426" s="95">
        <v>25</v>
      </c>
      <c r="AH426" s="95">
        <v>75</v>
      </c>
    </row>
    <row r="427" spans="1:34" x14ac:dyDescent="0.3">
      <c r="A427" s="89" t="str">
        <f>CONCATENATE(D427,".",F427,"-",G427,".",H427,"")</f>
        <v>1.3-3.1</v>
      </c>
      <c r="B427" s="89" t="str">
        <f>IF(CONCATENATE(I427,Key!F$2)=CONCATENATE(INDEX(Dashboard!J:J,MATCH(I427,Dashboard!J:J,0),1),INDEX(Dashboard!J:K,MATCH(I427,Dashboard!J:J,0),2)),"ON",IF(Dashboard!K$32="ALL","ON","-"))</f>
        <v>-</v>
      </c>
      <c r="C427" s="88" t="s">
        <v>110</v>
      </c>
      <c r="D427" s="89">
        <f>IF(C427="ID",1,(IF(C427="PR",2,(IF(C427="DE",3,(IF(C427="RS",4,(IF(C427="RC",5,0)))))))))</f>
        <v>1</v>
      </c>
      <c r="E427" s="89" t="s">
        <v>136</v>
      </c>
      <c r="F427" s="89">
        <f>IF(E427="AM",1,(IF(E427="BE",2,(IF(E427="GV",3,(IF(E427="RA",4,(IF(E427="RM",5,(IF(E427="AC",1,(IF(E427="AT",2,(IF(E427="DS",3,(IF(E427="IP",4,(IF(E427="MA",5,(IF(E427="PT",6,(IF(E427="AE",1,(IF(E427="CM",2,(IF(E427="DP",3,(IF(E427="AN",1,(IF(E427="CO",2,(IF(E427="IM",3,(IF(E427="MI",4,(IF(E427="RP",5,(IF(E427="SC",6,0)))))))))))))))))))))))))))))))))))))))</f>
        <v>3</v>
      </c>
      <c r="G427" s="52">
        <v>3</v>
      </c>
      <c r="H427" s="89">
        <v>1</v>
      </c>
      <c r="I427" s="93" t="s">
        <v>85</v>
      </c>
      <c r="J427" s="135" t="s">
        <v>750</v>
      </c>
      <c r="K427" s="143" t="s">
        <v>4892</v>
      </c>
      <c r="L427" s="117">
        <f>IF(O427="","",N427*O427*M427)</f>
        <v>0</v>
      </c>
      <c r="M427" s="108">
        <v>1</v>
      </c>
      <c r="N427" s="95">
        <v>1</v>
      </c>
      <c r="O427" s="109">
        <f>IF(Key!D$1="ON",P427,IF(SUM(Q427:DL427)&lt;1,"",SUM(Q427:DL427)/COUNTIF(Q427:DL427,"&gt;0")))</f>
        <v>0</v>
      </c>
      <c r="P427" s="109">
        <f>SUMIFS(Q427:DK427,Q$1:DK$1,Dashboard!$K$31)</f>
        <v>0</v>
      </c>
      <c r="U427" s="95">
        <v>33</v>
      </c>
      <c r="AA427" s="95">
        <v>25</v>
      </c>
      <c r="AH427" s="95">
        <v>75</v>
      </c>
    </row>
    <row r="428" spans="1:34" x14ac:dyDescent="0.3">
      <c r="A428" s="89" t="str">
        <f>CONCATENATE(D428,".",F428,"-",G428,".",H428,"")</f>
        <v>1.3-3.1</v>
      </c>
      <c r="B428" s="89" t="str">
        <f>IF(CONCATENATE(I428,Key!F$2)=CONCATENATE(INDEX(Dashboard!J:J,MATCH(I428,Dashboard!J:J,0),1),INDEX(Dashboard!J:K,MATCH(I428,Dashboard!J:J,0),2)),"ON",IF(Dashboard!K$32="ALL","ON","-"))</f>
        <v>-</v>
      </c>
      <c r="C428" s="96" t="s">
        <v>110</v>
      </c>
      <c r="D428" s="89">
        <f>IF(C428="ID",1,(IF(C428="PR",2,(IF(C428="DE",3,(IF(C428="RS",4,(IF(C428="RC",5,0)))))))))</f>
        <v>1</v>
      </c>
      <c r="E428" s="89" t="s">
        <v>136</v>
      </c>
      <c r="F428" s="89">
        <f>IF(E428="AM",1,(IF(E428="BE",2,(IF(E428="GV",3,(IF(E428="RA",4,(IF(E428="RM",5,(IF(E428="AC",1,(IF(E428="AT",2,(IF(E428="DS",3,(IF(E428="IP",4,(IF(E428="MA",5,(IF(E428="PT",6,(IF(E428="AE",1,(IF(E428="CM",2,(IF(E428="DP",3,(IF(E428="AN",1,(IF(E428="CO",2,(IF(E428="IM",3,(IF(E428="MI",4,(IF(E428="RP",5,(IF(E428="SC",6,0)))))))))))))))))))))))))))))))))))))))</f>
        <v>3</v>
      </c>
      <c r="G428" s="52">
        <v>3</v>
      </c>
      <c r="H428" s="90" t="s">
        <v>115</v>
      </c>
      <c r="I428" s="93" t="s">
        <v>89</v>
      </c>
      <c r="J428" s="88">
        <v>500.19</v>
      </c>
      <c r="K428" s="102" t="s">
        <v>393</v>
      </c>
      <c r="L428" s="117">
        <f>IF(O428="","",N428*O428*M428)</f>
        <v>0</v>
      </c>
      <c r="M428" s="108">
        <v>1</v>
      </c>
      <c r="N428" s="95">
        <v>1</v>
      </c>
      <c r="O428" s="109">
        <f>IF(Key!D$1="ON",P428,IF(SUM(Q428:DL428)&lt;1,"",SUM(Q428:DL428)/COUNTIF(Q428:DL428,"&gt;0")))</f>
        <v>0</v>
      </c>
      <c r="P428" s="109">
        <f>SUMIFS(Q428:DK428,Q$1:DK$1,Dashboard!$K$31)</f>
        <v>0</v>
      </c>
      <c r="U428" s="95">
        <v>33</v>
      </c>
      <c r="AA428" s="95">
        <v>25</v>
      </c>
      <c r="AH428" s="95">
        <v>75</v>
      </c>
    </row>
    <row r="429" spans="1:34" x14ac:dyDescent="0.3">
      <c r="A429" s="89" t="str">
        <f>CONCATENATE(D429,".",F429,"-",G429,".",H429,"")</f>
        <v>1.3-3.1</v>
      </c>
      <c r="B429" s="89" t="str">
        <f>IF(CONCATENATE(I429,Key!F$2)=CONCATENATE(INDEX(Dashboard!J:J,MATCH(I429,Dashboard!J:J,0),1),INDEX(Dashboard!J:K,MATCH(I429,Dashboard!J:J,0),2)),"ON",IF(Dashboard!K$32="ALL","ON","-"))</f>
        <v>-</v>
      </c>
      <c r="C429" s="96" t="s">
        <v>110</v>
      </c>
      <c r="D429" s="89">
        <f>IF(C429="ID",1,(IF(C429="PR",2,(IF(C429="DE",3,(IF(C429="RS",4,(IF(C429="RC",5,0)))))))))</f>
        <v>1</v>
      </c>
      <c r="E429" s="89" t="s">
        <v>136</v>
      </c>
      <c r="F429" s="89">
        <f>IF(E429="AM",1,(IF(E429="BE",2,(IF(E429="GV",3,(IF(E429="RA",4,(IF(E429="RM",5,(IF(E429="AC",1,(IF(E429="AT",2,(IF(E429="DS",3,(IF(E429="IP",4,(IF(E429="MA",5,(IF(E429="PT",6,(IF(E429="AE",1,(IF(E429="CM",2,(IF(E429="DP",3,(IF(E429="AN",1,(IF(E429="CO",2,(IF(E429="IM",3,(IF(E429="MI",4,(IF(E429="RP",5,(IF(E429="SC",6,0)))))))))))))))))))))))))))))))))))))))</f>
        <v>3</v>
      </c>
      <c r="G429" s="52">
        <v>3</v>
      </c>
      <c r="H429" s="90" t="s">
        <v>115</v>
      </c>
      <c r="I429" s="93" t="s">
        <v>89</v>
      </c>
      <c r="J429" s="88">
        <v>500.21</v>
      </c>
      <c r="K429" s="102" t="s">
        <v>394</v>
      </c>
      <c r="L429" s="117">
        <f>IF(O429="","",N429*O429*M429)</f>
        <v>0</v>
      </c>
      <c r="M429" s="108">
        <v>1</v>
      </c>
      <c r="N429" s="95">
        <v>1</v>
      </c>
      <c r="O429" s="109">
        <f>IF(Key!D$1="ON",P429,IF(SUM(Q429:DL429)&lt;1,"",SUM(Q429:DL429)/COUNTIF(Q429:DL429,"&gt;0")))</f>
        <v>0</v>
      </c>
      <c r="P429" s="109">
        <f>SUMIFS(Q429:DK429,Q$1:DK$1,Dashboard!$K$31)</f>
        <v>0</v>
      </c>
      <c r="U429" s="95">
        <v>33</v>
      </c>
      <c r="AA429" s="95">
        <v>25</v>
      </c>
      <c r="AH429" s="95">
        <v>75</v>
      </c>
    </row>
    <row r="430" spans="1:34" x14ac:dyDescent="0.3">
      <c r="A430" s="89" t="str">
        <f>CONCATENATE(D430,".",F430,"-",G430,".",H430,"")</f>
        <v>1.3-3.1</v>
      </c>
      <c r="B430" s="89" t="str">
        <f>IF(CONCATENATE(I430,Key!F$2)=CONCATENATE(INDEX(Dashboard!J:J,MATCH(I430,Dashboard!J:J,0),1),INDEX(Dashboard!J:K,MATCH(I430,Dashboard!J:J,0),2)),"ON",IF(Dashboard!K$32="ALL","ON","-"))</f>
        <v>-</v>
      </c>
      <c r="C430" s="96" t="s">
        <v>110</v>
      </c>
      <c r="D430" s="89">
        <f>IF(C430="ID",1,(IF(C430="PR",2,(IF(C430="DE",3,(IF(C430="RS",4,(IF(C430="RC",5,0)))))))))</f>
        <v>1</v>
      </c>
      <c r="E430" s="89" t="s">
        <v>136</v>
      </c>
      <c r="F430" s="89">
        <f>IF(E430="AM",1,(IF(E430="BE",2,(IF(E430="GV",3,(IF(E430="RA",4,(IF(E430="RM",5,(IF(E430="AC",1,(IF(E430="AT",2,(IF(E430="DS",3,(IF(E430="IP",4,(IF(E430="MA",5,(IF(E430="PT",6,(IF(E430="AE",1,(IF(E430="CM",2,(IF(E430="DP",3,(IF(E430="AN",1,(IF(E430="CO",2,(IF(E430="IM",3,(IF(E430="MI",4,(IF(E430="RP",5,(IF(E430="SC",6,0)))))))))))))))))))))))))))))))))))))))</f>
        <v>3</v>
      </c>
      <c r="G430" s="52">
        <v>3</v>
      </c>
      <c r="H430" s="90" t="s">
        <v>115</v>
      </c>
      <c r="I430" s="93" t="s">
        <v>89</v>
      </c>
      <c r="J430" s="88">
        <v>500.22</v>
      </c>
      <c r="K430" s="102" t="s">
        <v>395</v>
      </c>
      <c r="L430" s="117">
        <f>IF(O430="","",N430*O430*M430)</f>
        <v>0</v>
      </c>
      <c r="M430" s="108">
        <v>1</v>
      </c>
      <c r="N430" s="95">
        <v>1</v>
      </c>
      <c r="O430" s="109">
        <f>IF(Key!D$1="ON",P430,IF(SUM(Q430:DL430)&lt;1,"",SUM(Q430:DL430)/COUNTIF(Q430:DL430,"&gt;0")))</f>
        <v>0</v>
      </c>
      <c r="P430" s="109">
        <f>SUMIFS(Q430:DK430,Q$1:DK$1,Dashboard!$K$31)</f>
        <v>0</v>
      </c>
      <c r="U430" s="95">
        <v>33</v>
      </c>
      <c r="AA430" s="95">
        <v>25</v>
      </c>
      <c r="AH430" s="95">
        <v>75</v>
      </c>
    </row>
    <row r="431" spans="1:34" x14ac:dyDescent="0.3">
      <c r="A431" s="89" t="str">
        <f>CONCATENATE(D431,".",F431,"-",G431,".",H431,"")</f>
        <v>1.3-3.1</v>
      </c>
      <c r="B431" s="89" t="str">
        <f>IF(CONCATENATE(I431,Key!F$2)=CONCATENATE(INDEX(Dashboard!J:J,MATCH(I431,Dashboard!J:J,0),1),INDEX(Dashboard!J:K,MATCH(I431,Dashboard!J:J,0),2)),"ON",IF(Dashboard!K$32="ALL","ON","-"))</f>
        <v>-</v>
      </c>
      <c r="C431" s="96" t="s">
        <v>110</v>
      </c>
      <c r="D431" s="89">
        <f>IF(C431="ID",1,(IF(C431="PR",2,(IF(C431="DE",3,(IF(C431="RS",4,(IF(C431="RC",5,0)))))))))</f>
        <v>1</v>
      </c>
      <c r="E431" s="89" t="s">
        <v>136</v>
      </c>
      <c r="F431" s="89">
        <f>IF(E431="AM",1,(IF(E431="BE",2,(IF(E431="GV",3,(IF(E431="RA",4,(IF(E431="RM",5,(IF(E431="AC",1,(IF(E431="AT",2,(IF(E431="DS",3,(IF(E431="IP",4,(IF(E431="MA",5,(IF(E431="PT",6,(IF(E431="AE",1,(IF(E431="CM",2,(IF(E431="DP",3,(IF(E431="AN",1,(IF(E431="CO",2,(IF(E431="IM",3,(IF(E431="MI",4,(IF(E431="RP",5,(IF(E431="SC",6,0)))))))))))))))))))))))))))))))))))))))</f>
        <v>3</v>
      </c>
      <c r="G431" s="52">
        <v>3</v>
      </c>
      <c r="H431" s="90" t="s">
        <v>115</v>
      </c>
      <c r="I431" s="93" t="s">
        <v>89</v>
      </c>
      <c r="J431" s="88" t="s">
        <v>396</v>
      </c>
      <c r="K431" s="102" t="s">
        <v>397</v>
      </c>
      <c r="L431" s="117">
        <f>IF(O431="","",N431*O431*M431)</f>
        <v>0</v>
      </c>
      <c r="M431" s="108">
        <v>1</v>
      </c>
      <c r="N431" s="95">
        <v>1</v>
      </c>
      <c r="O431" s="109">
        <f>IF(Key!D$1="ON",P431,IF(SUM(Q431:DL431)&lt;1,"",SUM(Q431:DL431)/COUNTIF(Q431:DL431,"&gt;0")))</f>
        <v>0</v>
      </c>
      <c r="P431" s="109">
        <f>SUMIFS(Q431:DK431,Q$1:DK$1,Dashboard!$K$31)</f>
        <v>0</v>
      </c>
      <c r="U431" s="95">
        <v>33</v>
      </c>
      <c r="AA431" s="95">
        <v>25</v>
      </c>
      <c r="AH431" s="95">
        <v>75</v>
      </c>
    </row>
    <row r="432" spans="1:34" x14ac:dyDescent="0.3">
      <c r="A432" s="89" t="str">
        <f>CONCATENATE(D432,".",F432,"-",G432,".",H432,"")</f>
        <v>1.3-3.1</v>
      </c>
      <c r="B432" s="89" t="str">
        <f>IF(CONCATENATE(I432,Key!F$2)=CONCATENATE(INDEX(Dashboard!J:J,MATCH(I432,Dashboard!J:J,0),1),INDEX(Dashboard!J:K,MATCH(I432,Dashboard!J:J,0),2)),"ON",IF(Dashboard!K$32="ALL","ON","-"))</f>
        <v>-</v>
      </c>
      <c r="C432" s="96" t="s">
        <v>110</v>
      </c>
      <c r="D432" s="89">
        <f>IF(C432="ID",1,(IF(C432="PR",2,(IF(C432="DE",3,(IF(C432="RS",4,(IF(C432="RC",5,0)))))))))</f>
        <v>1</v>
      </c>
      <c r="E432" s="89" t="s">
        <v>136</v>
      </c>
      <c r="F432" s="89">
        <f>IF(E432="AM",1,(IF(E432="BE",2,(IF(E432="GV",3,(IF(E432="RA",4,(IF(E432="RM",5,(IF(E432="AC",1,(IF(E432="AT",2,(IF(E432="DS",3,(IF(E432="IP",4,(IF(E432="MA",5,(IF(E432="PT",6,(IF(E432="AE",1,(IF(E432="CM",2,(IF(E432="DP",3,(IF(E432="AN",1,(IF(E432="CO",2,(IF(E432="IM",3,(IF(E432="MI",4,(IF(E432="RP",5,(IF(E432="SC",6,0)))))))))))))))))))))))))))))))))))))))</f>
        <v>3</v>
      </c>
      <c r="G432" s="52">
        <v>3</v>
      </c>
      <c r="H432" s="90" t="s">
        <v>115</v>
      </c>
      <c r="I432" s="93" t="s">
        <v>89</v>
      </c>
      <c r="J432" s="88" t="s">
        <v>398</v>
      </c>
      <c r="K432" s="102" t="s">
        <v>399</v>
      </c>
      <c r="L432" s="117">
        <f>IF(O432="","",N432*O432*M432)</f>
        <v>0</v>
      </c>
      <c r="M432" s="108">
        <v>1</v>
      </c>
      <c r="N432" s="95">
        <v>1</v>
      </c>
      <c r="O432" s="109">
        <f>IF(Key!D$1="ON",P432,IF(SUM(Q432:DL432)&lt;1,"",SUM(Q432:DL432)/COUNTIF(Q432:DL432,"&gt;0")))</f>
        <v>0</v>
      </c>
      <c r="P432" s="109">
        <f>SUMIFS(Q432:DK432,Q$1:DK$1,Dashboard!$K$31)</f>
        <v>0</v>
      </c>
      <c r="U432" s="95">
        <v>33</v>
      </c>
      <c r="AA432" s="95">
        <v>25</v>
      </c>
      <c r="AH432" s="95">
        <v>75</v>
      </c>
    </row>
    <row r="433" spans="1:34" x14ac:dyDescent="0.3">
      <c r="A433" s="89" t="str">
        <f>CONCATENATE(D433,".",F433,"-",G433,".",H433,"")</f>
        <v>1.3-3.1</v>
      </c>
      <c r="B433" s="89" t="str">
        <f>IF(CONCATENATE(I433,Key!F$2)=CONCATENATE(INDEX(Dashboard!J:J,MATCH(I433,Dashboard!J:J,0),1),INDEX(Dashboard!J:K,MATCH(I433,Dashboard!J:J,0),2)),"ON",IF(Dashboard!K$32="ALL","ON","-"))</f>
        <v>-</v>
      </c>
      <c r="C433" s="96" t="s">
        <v>110</v>
      </c>
      <c r="D433" s="89">
        <f>IF(C433="ID",1,(IF(C433="PR",2,(IF(C433="DE",3,(IF(C433="RS",4,(IF(C433="RC",5,0)))))))))</f>
        <v>1</v>
      </c>
      <c r="E433" s="89" t="s">
        <v>136</v>
      </c>
      <c r="F433" s="89">
        <f>IF(E433="AM",1,(IF(E433="BE",2,(IF(E433="GV",3,(IF(E433="RA",4,(IF(E433="RM",5,(IF(E433="AC",1,(IF(E433="AT",2,(IF(E433="DS",3,(IF(E433="IP",4,(IF(E433="MA",5,(IF(E433="PT",6,(IF(E433="AE",1,(IF(E433="CM",2,(IF(E433="DP",3,(IF(E433="AN",1,(IF(E433="CO",2,(IF(E433="IM",3,(IF(E433="MI",4,(IF(E433="RP",5,(IF(E433="SC",6,0)))))))))))))))))))))))))))))))))))))))</f>
        <v>3</v>
      </c>
      <c r="G433" s="52">
        <v>3</v>
      </c>
      <c r="H433" s="90" t="s">
        <v>115</v>
      </c>
      <c r="I433" s="93" t="s">
        <v>89</v>
      </c>
      <c r="J433" s="88" t="s">
        <v>400</v>
      </c>
      <c r="K433" s="102" t="s">
        <v>401</v>
      </c>
      <c r="L433" s="117">
        <f>IF(O433="","",N433*O433*M433)</f>
        <v>0</v>
      </c>
      <c r="M433" s="108">
        <v>1</v>
      </c>
      <c r="N433" s="95">
        <v>1</v>
      </c>
      <c r="O433" s="109">
        <f>IF(Key!D$1="ON",P433,IF(SUM(Q433:DL433)&lt;1,"",SUM(Q433:DL433)/COUNTIF(Q433:DL433,"&gt;0")))</f>
        <v>0</v>
      </c>
      <c r="P433" s="109">
        <f>SUMIFS(Q433:DK433,Q$1:DK$1,Dashboard!$K$31)</f>
        <v>0</v>
      </c>
      <c r="U433" s="95">
        <v>33</v>
      </c>
      <c r="AA433" s="95">
        <v>25</v>
      </c>
      <c r="AH433" s="95">
        <v>75</v>
      </c>
    </row>
    <row r="434" spans="1:34" x14ac:dyDescent="0.3">
      <c r="A434" s="89" t="str">
        <f>CONCATENATE(D434,".",F434,"-",G434,".",H434,"")</f>
        <v>1.3-3.1</v>
      </c>
      <c r="B434" s="89" t="str">
        <f>IF(CONCATENATE(I434,Key!F$2)=CONCATENATE(INDEX(Dashboard!J:J,MATCH(I434,Dashboard!J:J,0),1),INDEX(Dashboard!J:K,MATCH(I434,Dashboard!J:J,0),2)),"ON",IF(Dashboard!K$32="ALL","ON","-"))</f>
        <v>-</v>
      </c>
      <c r="C434" s="96" t="s">
        <v>110</v>
      </c>
      <c r="D434" s="89">
        <f>IF(C434="ID",1,(IF(C434="PR",2,(IF(C434="DE",3,(IF(C434="RS",4,(IF(C434="RC",5,0)))))))))</f>
        <v>1</v>
      </c>
      <c r="E434" s="89" t="s">
        <v>136</v>
      </c>
      <c r="F434" s="89">
        <f>IF(E434="AM",1,(IF(E434="BE",2,(IF(E434="GV",3,(IF(E434="RA",4,(IF(E434="RM",5,(IF(E434="AC",1,(IF(E434="AT",2,(IF(E434="DS",3,(IF(E434="IP",4,(IF(E434="MA",5,(IF(E434="PT",6,(IF(E434="AE",1,(IF(E434="CM",2,(IF(E434="DP",3,(IF(E434="AN",1,(IF(E434="CO",2,(IF(E434="IM",3,(IF(E434="MI",4,(IF(E434="RP",5,(IF(E434="SC",6,0)))))))))))))))))))))))))))))))))))))))</f>
        <v>3</v>
      </c>
      <c r="G434" s="52">
        <v>3</v>
      </c>
      <c r="H434" s="90" t="s">
        <v>115</v>
      </c>
      <c r="I434" s="93" t="s">
        <v>89</v>
      </c>
      <c r="J434" s="88" t="s">
        <v>402</v>
      </c>
      <c r="K434" s="102" t="s">
        <v>403</v>
      </c>
      <c r="L434" s="117">
        <f>IF(O434="","",N434*O434*M434)</f>
        <v>0</v>
      </c>
      <c r="M434" s="108">
        <v>1</v>
      </c>
      <c r="N434" s="95">
        <v>1</v>
      </c>
      <c r="O434" s="109">
        <f>IF(Key!D$1="ON",P434,IF(SUM(Q434:DL434)&lt;1,"",SUM(Q434:DL434)/COUNTIF(Q434:DL434,"&gt;0")))</f>
        <v>0</v>
      </c>
      <c r="P434" s="109">
        <f>SUMIFS(Q434:DK434,Q$1:DK$1,Dashboard!$K$31)</f>
        <v>0</v>
      </c>
      <c r="U434" s="95">
        <v>33</v>
      </c>
      <c r="AA434" s="95">
        <v>25</v>
      </c>
      <c r="AH434" s="95">
        <v>75</v>
      </c>
    </row>
    <row r="435" spans="1:34" x14ac:dyDescent="0.3">
      <c r="A435" s="89" t="str">
        <f>CONCATENATE(D435,".",F435,"-",G435,".",H435,"")</f>
        <v>1.3-3.1</v>
      </c>
      <c r="B435" s="89" t="str">
        <f>IF(CONCATENATE(I435,Key!F$2)=CONCATENATE(INDEX(Dashboard!J:J,MATCH(I435,Dashboard!J:J,0),1),INDEX(Dashboard!J:K,MATCH(I435,Dashboard!J:J,0),2)),"ON",IF(Dashboard!K$32="ALL","ON","-"))</f>
        <v>-</v>
      </c>
      <c r="C435" s="96" t="s">
        <v>110</v>
      </c>
      <c r="D435" s="89">
        <f>IF(C435="ID",1,(IF(C435="PR",2,(IF(C435="DE",3,(IF(C435="RS",4,(IF(C435="RC",5,0)))))))))</f>
        <v>1</v>
      </c>
      <c r="E435" s="89" t="s">
        <v>136</v>
      </c>
      <c r="F435" s="89">
        <f>IF(E435="AM",1,(IF(E435="BE",2,(IF(E435="GV",3,(IF(E435="RA",4,(IF(E435="RM",5,(IF(E435="AC",1,(IF(E435="AT",2,(IF(E435="DS",3,(IF(E435="IP",4,(IF(E435="MA",5,(IF(E435="PT",6,(IF(E435="AE",1,(IF(E435="CM",2,(IF(E435="DP",3,(IF(E435="AN",1,(IF(E435="CO",2,(IF(E435="IM",3,(IF(E435="MI",4,(IF(E435="RP",5,(IF(E435="SC",6,0)))))))))))))))))))))))))))))))))))))))</f>
        <v>3</v>
      </c>
      <c r="G435" s="52">
        <v>3</v>
      </c>
      <c r="H435" s="90" t="s">
        <v>115</v>
      </c>
      <c r="I435" s="93" t="s">
        <v>89</v>
      </c>
      <c r="J435" s="88" t="s">
        <v>404</v>
      </c>
      <c r="K435" s="102" t="s">
        <v>405</v>
      </c>
      <c r="L435" s="117">
        <f>IF(O435="","",N435*O435*M435)</f>
        <v>0</v>
      </c>
      <c r="M435" s="108">
        <v>1</v>
      </c>
      <c r="N435" s="95">
        <v>1</v>
      </c>
      <c r="O435" s="109">
        <f>IF(Key!D$1="ON",P435,IF(SUM(Q435:DL435)&lt;1,"",SUM(Q435:DL435)/COUNTIF(Q435:DL435,"&gt;0")))</f>
        <v>0</v>
      </c>
      <c r="P435" s="109">
        <f>SUMIFS(Q435:DK435,Q$1:DK$1,Dashboard!$K$31)</f>
        <v>0</v>
      </c>
      <c r="U435" s="95">
        <v>33</v>
      </c>
      <c r="AA435" s="95">
        <v>25</v>
      </c>
      <c r="AH435" s="95">
        <v>75</v>
      </c>
    </row>
    <row r="436" spans="1:34" x14ac:dyDescent="0.3">
      <c r="A436" s="89" t="str">
        <f>CONCATENATE(D436,".",F436,"-",G436,".",H436,"")</f>
        <v>1.3-3.1</v>
      </c>
      <c r="B436" s="89" t="str">
        <f>IF(CONCATENATE(I436,Key!F$2)=CONCATENATE(INDEX(Dashboard!J:J,MATCH(I436,Dashboard!J:J,0),1),INDEX(Dashboard!J:K,MATCH(I436,Dashboard!J:J,0),2)),"ON",IF(Dashboard!K$32="ALL","ON","-"))</f>
        <v>-</v>
      </c>
      <c r="C436" s="96" t="s">
        <v>110</v>
      </c>
      <c r="D436" s="89">
        <f>IF(C436="ID",1,(IF(C436="PR",2,(IF(C436="DE",3,(IF(C436="RS",4,(IF(C436="RC",5,0)))))))))</f>
        <v>1</v>
      </c>
      <c r="E436" s="89" t="s">
        <v>136</v>
      </c>
      <c r="F436" s="89">
        <f>IF(E436="AM",1,(IF(E436="BE",2,(IF(E436="GV",3,(IF(E436="RA",4,(IF(E436="RM",5,(IF(E436="AC",1,(IF(E436="AT",2,(IF(E436="DS",3,(IF(E436="IP",4,(IF(E436="MA",5,(IF(E436="PT",6,(IF(E436="AE",1,(IF(E436="CM",2,(IF(E436="DP",3,(IF(E436="AN",1,(IF(E436="CO",2,(IF(E436="IM",3,(IF(E436="MI",4,(IF(E436="RP",5,(IF(E436="SC",6,0)))))))))))))))))))))))))))))))))))))))</f>
        <v>3</v>
      </c>
      <c r="G436" s="52">
        <v>3</v>
      </c>
      <c r="H436" s="90" t="s">
        <v>115</v>
      </c>
      <c r="I436" s="93" t="s">
        <v>89</v>
      </c>
      <c r="J436" s="88" t="s">
        <v>406</v>
      </c>
      <c r="K436" s="102" t="s">
        <v>407</v>
      </c>
      <c r="L436" s="117">
        <f>IF(O436="","",N436*O436*M436)</f>
        <v>0</v>
      </c>
      <c r="M436" s="108">
        <v>1</v>
      </c>
      <c r="N436" s="95">
        <v>1</v>
      </c>
      <c r="O436" s="109">
        <f>IF(Key!D$1="ON",P436,IF(SUM(Q436:DL436)&lt;1,"",SUM(Q436:DL436)/COUNTIF(Q436:DL436,"&gt;0")))</f>
        <v>0</v>
      </c>
      <c r="P436" s="109">
        <f>SUMIFS(Q436:DK436,Q$1:DK$1,Dashboard!$K$31)</f>
        <v>0</v>
      </c>
      <c r="U436" s="95">
        <v>33</v>
      </c>
      <c r="AA436" s="95">
        <v>25</v>
      </c>
      <c r="AH436" s="95">
        <v>75</v>
      </c>
    </row>
    <row r="437" spans="1:34" x14ac:dyDescent="0.3">
      <c r="A437" s="89" t="str">
        <f>CONCATENATE(D437,".",F437,"-",G437,".",H437,"")</f>
        <v>1.3-3.1</v>
      </c>
      <c r="B437" s="89" t="str">
        <f>IF(CONCATENATE(I437,Key!F$2)=CONCATENATE(INDEX(Dashboard!J:J,MATCH(I437,Dashboard!J:J,0),1),INDEX(Dashboard!J:K,MATCH(I437,Dashboard!J:J,0),2)),"ON",IF(Dashboard!K$32="ALL","ON","-"))</f>
        <v>-</v>
      </c>
      <c r="C437" s="96" t="s">
        <v>110</v>
      </c>
      <c r="D437" s="89">
        <f>IF(C437="ID",1,(IF(C437="PR",2,(IF(C437="DE",3,(IF(C437="RS",4,(IF(C437="RC",5,0)))))))))</f>
        <v>1</v>
      </c>
      <c r="E437" s="89" t="s">
        <v>136</v>
      </c>
      <c r="F437" s="89">
        <f>IF(E437="AM",1,(IF(E437="BE",2,(IF(E437="GV",3,(IF(E437="RA",4,(IF(E437="RM",5,(IF(E437="AC",1,(IF(E437="AT",2,(IF(E437="DS",3,(IF(E437="IP",4,(IF(E437="MA",5,(IF(E437="PT",6,(IF(E437="AE",1,(IF(E437="CM",2,(IF(E437="DP",3,(IF(E437="AN",1,(IF(E437="CO",2,(IF(E437="IM",3,(IF(E437="MI",4,(IF(E437="RP",5,(IF(E437="SC",6,0)))))))))))))))))))))))))))))))))))))))</f>
        <v>3</v>
      </c>
      <c r="G437" s="52">
        <v>3</v>
      </c>
      <c r="H437" s="90" t="s">
        <v>115</v>
      </c>
      <c r="I437" s="93" t="s">
        <v>89</v>
      </c>
      <c r="J437" s="88" t="s">
        <v>408</v>
      </c>
      <c r="K437" s="102" t="s">
        <v>409</v>
      </c>
      <c r="L437" s="117">
        <f>IF(O437="","",N437*O437*M437)</f>
        <v>0</v>
      </c>
      <c r="M437" s="108">
        <v>1</v>
      </c>
      <c r="N437" s="95">
        <v>1</v>
      </c>
      <c r="O437" s="109">
        <f>IF(Key!D$1="ON",P437,IF(SUM(Q437:DL437)&lt;1,"",SUM(Q437:DL437)/COUNTIF(Q437:DL437,"&gt;0")))</f>
        <v>0</v>
      </c>
      <c r="P437" s="109">
        <f>SUMIFS(Q437:DK437,Q$1:DK$1,Dashboard!$K$31)</f>
        <v>0</v>
      </c>
      <c r="U437" s="95">
        <v>33</v>
      </c>
      <c r="AA437" s="95">
        <v>25</v>
      </c>
      <c r="AH437" s="95">
        <v>75</v>
      </c>
    </row>
    <row r="438" spans="1:34" x14ac:dyDescent="0.3">
      <c r="A438" s="89" t="str">
        <f>CONCATENATE(D438,".",F438,"-",G438,".",H438,"")</f>
        <v>1.3-3.1</v>
      </c>
      <c r="B438" s="89" t="str">
        <f>IF(CONCATENATE(I438,Key!F$2)=CONCATENATE(INDEX(Dashboard!J:J,MATCH(I438,Dashboard!J:J,0),1),INDEX(Dashboard!J:K,MATCH(I438,Dashboard!J:J,0),2)),"ON",IF(Dashboard!K$32="ALL","ON","-"))</f>
        <v>-</v>
      </c>
      <c r="C438" s="96" t="s">
        <v>110</v>
      </c>
      <c r="D438" s="89">
        <f>IF(C438="ID",1,(IF(C438="PR",2,(IF(C438="DE",3,(IF(C438="RS",4,(IF(C438="RC",5,0)))))))))</f>
        <v>1</v>
      </c>
      <c r="E438" s="89" t="s">
        <v>136</v>
      </c>
      <c r="F438" s="89">
        <f>IF(E438="AM",1,(IF(E438="BE",2,(IF(E438="GV",3,(IF(E438="RA",4,(IF(E438="RM",5,(IF(E438="AC",1,(IF(E438="AT",2,(IF(E438="DS",3,(IF(E438="IP",4,(IF(E438="MA",5,(IF(E438="PT",6,(IF(E438="AE",1,(IF(E438="CM",2,(IF(E438="DP",3,(IF(E438="AN",1,(IF(E438="CO",2,(IF(E438="IM",3,(IF(E438="MI",4,(IF(E438="RP",5,(IF(E438="SC",6,0)))))))))))))))))))))))))))))))))))))))</f>
        <v>3</v>
      </c>
      <c r="G438" s="52">
        <v>3</v>
      </c>
      <c r="H438" s="90" t="s">
        <v>115</v>
      </c>
      <c r="I438" s="93" t="s">
        <v>89</v>
      </c>
      <c r="J438" s="88" t="s">
        <v>410</v>
      </c>
      <c r="K438" s="102" t="s">
        <v>411</v>
      </c>
      <c r="L438" s="117">
        <f>IF(O438="","",N438*O438*M438)</f>
        <v>0</v>
      </c>
      <c r="M438" s="108">
        <v>1</v>
      </c>
      <c r="N438" s="95">
        <v>1</v>
      </c>
      <c r="O438" s="109">
        <f>IF(Key!D$1="ON",P438,IF(SUM(Q438:DL438)&lt;1,"",SUM(Q438:DL438)/COUNTIF(Q438:DL438,"&gt;0")))</f>
        <v>0</v>
      </c>
      <c r="P438" s="109">
        <f>SUMIFS(Q438:DK438,Q$1:DK$1,Dashboard!$K$31)</f>
        <v>0</v>
      </c>
      <c r="U438" s="95">
        <v>33</v>
      </c>
      <c r="AA438" s="95">
        <v>25</v>
      </c>
      <c r="AH438" s="95">
        <v>75</v>
      </c>
    </row>
    <row r="439" spans="1:34" x14ac:dyDescent="0.3">
      <c r="A439" s="89" t="str">
        <f>CONCATENATE(D439,".",F439,"-",G439,".",H439,"")</f>
        <v>1.3-3.1</v>
      </c>
      <c r="B439" s="89" t="str">
        <f>IF(CONCATENATE(I439,Key!F$2)=CONCATENATE(INDEX(Dashboard!J:J,MATCH(I439,Dashboard!J:J,0),1),INDEX(Dashboard!J:K,MATCH(I439,Dashboard!J:J,0),2)),"ON",IF(Dashboard!K$32="ALL","ON","-"))</f>
        <v>-</v>
      </c>
      <c r="C439" s="96" t="s">
        <v>110</v>
      </c>
      <c r="D439" s="89">
        <f>IF(C439="ID",1,(IF(C439="PR",2,(IF(C439="DE",3,(IF(C439="RS",4,(IF(C439="RC",5,0)))))))))</f>
        <v>1</v>
      </c>
      <c r="E439" s="89" t="s">
        <v>136</v>
      </c>
      <c r="F439" s="89">
        <f>IF(E439="AM",1,(IF(E439="BE",2,(IF(E439="GV",3,(IF(E439="RA",4,(IF(E439="RM",5,(IF(E439="AC",1,(IF(E439="AT",2,(IF(E439="DS",3,(IF(E439="IP",4,(IF(E439="MA",5,(IF(E439="PT",6,(IF(E439="AE",1,(IF(E439="CM",2,(IF(E439="DP",3,(IF(E439="AN",1,(IF(E439="CO",2,(IF(E439="IM",3,(IF(E439="MI",4,(IF(E439="RP",5,(IF(E439="SC",6,0)))))))))))))))))))))))))))))))))))))))</f>
        <v>3</v>
      </c>
      <c r="G439" s="52">
        <v>3</v>
      </c>
      <c r="H439" s="90" t="s">
        <v>115</v>
      </c>
      <c r="I439" s="93" t="s">
        <v>89</v>
      </c>
      <c r="J439" s="88" t="s">
        <v>412</v>
      </c>
      <c r="K439" s="102" t="s">
        <v>413</v>
      </c>
      <c r="L439" s="117">
        <f>IF(O439="","",N439*O439*M439)</f>
        <v>0</v>
      </c>
      <c r="M439" s="108">
        <v>1</v>
      </c>
      <c r="N439" s="95">
        <v>1</v>
      </c>
      <c r="O439" s="109">
        <f>IF(Key!D$1="ON",P439,IF(SUM(Q439:DL439)&lt;1,"",SUM(Q439:DL439)/COUNTIF(Q439:DL439,"&gt;0")))</f>
        <v>0</v>
      </c>
      <c r="P439" s="109">
        <f>SUMIFS(Q439:DK439,Q$1:DK$1,Dashboard!$K$31)</f>
        <v>0</v>
      </c>
      <c r="U439" s="95">
        <v>33</v>
      </c>
      <c r="AA439" s="95">
        <v>25</v>
      </c>
      <c r="AH439" s="95">
        <v>75</v>
      </c>
    </row>
    <row r="440" spans="1:34" x14ac:dyDescent="0.3">
      <c r="A440" s="89" t="str">
        <f>CONCATENATE(D440,".",F440,"-",G440,".",H440,"")</f>
        <v>1.3-3.1</v>
      </c>
      <c r="B440" s="89" t="str">
        <f>IF(CONCATENATE(I440,Key!F$2)=CONCATENATE(INDEX(Dashboard!J:J,MATCH(I440,Dashboard!J:J,0),1),INDEX(Dashboard!J:K,MATCH(I440,Dashboard!J:J,0),2)),"ON",IF(Dashboard!K$32="ALL","ON","-"))</f>
        <v>-</v>
      </c>
      <c r="C440" s="96" t="s">
        <v>110</v>
      </c>
      <c r="D440" s="89">
        <f>IF(C440="ID",1,(IF(C440="PR",2,(IF(C440="DE",3,(IF(C440="RS",4,(IF(C440="RC",5,0)))))))))</f>
        <v>1</v>
      </c>
      <c r="E440" s="89" t="s">
        <v>136</v>
      </c>
      <c r="F440" s="89">
        <f>IF(E440="AM",1,(IF(E440="BE",2,(IF(E440="GV",3,(IF(E440="RA",4,(IF(E440="RM",5,(IF(E440="AC",1,(IF(E440="AT",2,(IF(E440="DS",3,(IF(E440="IP",4,(IF(E440="MA",5,(IF(E440="PT",6,(IF(E440="AE",1,(IF(E440="CM",2,(IF(E440="DP",3,(IF(E440="AN",1,(IF(E440="CO",2,(IF(E440="IM",3,(IF(E440="MI",4,(IF(E440="RP",5,(IF(E440="SC",6,0)))))))))))))))))))))))))))))))))))))))</f>
        <v>3</v>
      </c>
      <c r="G440" s="52">
        <v>3</v>
      </c>
      <c r="H440" s="90" t="s">
        <v>115</v>
      </c>
      <c r="I440" s="93" t="s">
        <v>89</v>
      </c>
      <c r="J440" s="88" t="s">
        <v>414</v>
      </c>
      <c r="K440" s="102" t="s">
        <v>415</v>
      </c>
      <c r="L440" s="117">
        <f>IF(O440="","",N440*O440*M440)</f>
        <v>0</v>
      </c>
      <c r="M440" s="108">
        <v>1</v>
      </c>
      <c r="N440" s="95">
        <v>1</v>
      </c>
      <c r="O440" s="109">
        <f>IF(Key!D$1="ON",P440,IF(SUM(Q440:DL440)&lt;1,"",SUM(Q440:DL440)/COUNTIF(Q440:DL440,"&gt;0")))</f>
        <v>0</v>
      </c>
      <c r="P440" s="109">
        <f>SUMIFS(Q440:DK440,Q$1:DK$1,Dashboard!$K$31)</f>
        <v>0</v>
      </c>
      <c r="U440" s="95">
        <v>33</v>
      </c>
      <c r="AA440" s="95">
        <v>25</v>
      </c>
      <c r="AH440" s="95">
        <v>75</v>
      </c>
    </row>
    <row r="441" spans="1:34" x14ac:dyDescent="0.3">
      <c r="A441" s="89" t="str">
        <f>CONCATENATE(D441,".",F441,"-",G441,".",H441,"")</f>
        <v>1.3-3.1</v>
      </c>
      <c r="B441" s="89" t="str">
        <f>IF(CONCATENATE(I441,Key!F$2)=CONCATENATE(INDEX(Dashboard!J:J,MATCH(I441,Dashboard!J:J,0),1),INDEX(Dashboard!J:K,MATCH(I441,Dashboard!J:J,0),2)),"ON",IF(Dashboard!K$32="ALL","ON","-"))</f>
        <v>-</v>
      </c>
      <c r="C441" s="96" t="s">
        <v>110</v>
      </c>
      <c r="D441" s="89">
        <f>IF(C441="ID",1,(IF(C441="PR",2,(IF(C441="DE",3,(IF(C441="RS",4,(IF(C441="RC",5,0)))))))))</f>
        <v>1</v>
      </c>
      <c r="E441" s="89" t="s">
        <v>136</v>
      </c>
      <c r="F441" s="89">
        <f>IF(E441="AM",1,(IF(E441="BE",2,(IF(E441="GV",3,(IF(E441="RA",4,(IF(E441="RM",5,(IF(E441="AC",1,(IF(E441="AT",2,(IF(E441="DS",3,(IF(E441="IP",4,(IF(E441="MA",5,(IF(E441="PT",6,(IF(E441="AE",1,(IF(E441="CM",2,(IF(E441="DP",3,(IF(E441="AN",1,(IF(E441="CO",2,(IF(E441="IM",3,(IF(E441="MI",4,(IF(E441="RP",5,(IF(E441="SC",6,0)))))))))))))))))))))))))))))))))))))))</f>
        <v>3</v>
      </c>
      <c r="G441" s="52">
        <v>3</v>
      </c>
      <c r="H441" s="90" t="s">
        <v>115</v>
      </c>
      <c r="I441" s="93" t="s">
        <v>89</v>
      </c>
      <c r="J441" s="88" t="s">
        <v>416</v>
      </c>
      <c r="K441" s="102" t="s">
        <v>417</v>
      </c>
      <c r="L441" s="117">
        <f>IF(O441="","",N441*O441*M441)</f>
        <v>0</v>
      </c>
      <c r="M441" s="108">
        <v>1</v>
      </c>
      <c r="N441" s="95">
        <v>1</v>
      </c>
      <c r="O441" s="109">
        <f>IF(Key!D$1="ON",P441,IF(SUM(Q441:DL441)&lt;1,"",SUM(Q441:DL441)/COUNTIF(Q441:DL441,"&gt;0")))</f>
        <v>0</v>
      </c>
      <c r="P441" s="109">
        <f>SUMIFS(Q441:DK441,Q$1:DK$1,Dashboard!$K$31)</f>
        <v>0</v>
      </c>
      <c r="U441" s="95">
        <v>33</v>
      </c>
      <c r="AA441" s="95">
        <v>25</v>
      </c>
      <c r="AH441" s="95">
        <v>75</v>
      </c>
    </row>
    <row r="442" spans="1:34" x14ac:dyDescent="0.3">
      <c r="A442" s="89" t="str">
        <f>CONCATENATE(D442,".",F442,"-",G442,".",H442,"")</f>
        <v>1.3-3.1</v>
      </c>
      <c r="B442" s="89" t="str">
        <f>IF(CONCATENATE(I442,Key!F$2)=CONCATENATE(INDEX(Dashboard!J:J,MATCH(I442,Dashboard!J:J,0),1),INDEX(Dashboard!J:K,MATCH(I442,Dashboard!J:J,0),2)),"ON",IF(Dashboard!K$32="ALL","ON","-"))</f>
        <v>-</v>
      </c>
      <c r="C442" s="96" t="s">
        <v>110</v>
      </c>
      <c r="D442" s="89">
        <f>IF(C442="ID",1,(IF(C442="PR",2,(IF(C442="DE",3,(IF(C442="RS",4,(IF(C442="RC",5,0)))))))))</f>
        <v>1</v>
      </c>
      <c r="E442" s="89" t="s">
        <v>136</v>
      </c>
      <c r="F442" s="89">
        <f>IF(E442="AM",1,(IF(E442="BE",2,(IF(E442="GV",3,(IF(E442="RA",4,(IF(E442="RM",5,(IF(E442="AC",1,(IF(E442="AT",2,(IF(E442="DS",3,(IF(E442="IP",4,(IF(E442="MA",5,(IF(E442="PT",6,(IF(E442="AE",1,(IF(E442="CM",2,(IF(E442="DP",3,(IF(E442="AN",1,(IF(E442="CO",2,(IF(E442="IM",3,(IF(E442="MI",4,(IF(E442="RP",5,(IF(E442="SC",6,0)))))))))))))))))))))))))))))))))))))))</f>
        <v>3</v>
      </c>
      <c r="G442" s="52">
        <v>3</v>
      </c>
      <c r="H442" s="90" t="s">
        <v>115</v>
      </c>
      <c r="I442" s="93" t="s">
        <v>89</v>
      </c>
      <c r="J442" s="88" t="s">
        <v>418</v>
      </c>
      <c r="K442" s="102" t="s">
        <v>419</v>
      </c>
      <c r="L442" s="117">
        <f>IF(O442="","",N442*O442*M442)</f>
        <v>0</v>
      </c>
      <c r="M442" s="108">
        <v>1</v>
      </c>
      <c r="N442" s="95">
        <v>1</v>
      </c>
      <c r="O442" s="109">
        <f>IF(Key!D$1="ON",P442,IF(SUM(Q442:DL442)&lt;1,"",SUM(Q442:DL442)/COUNTIF(Q442:DL442,"&gt;0")))</f>
        <v>0</v>
      </c>
      <c r="P442" s="109">
        <f>SUMIFS(Q442:DK442,Q$1:DK$1,Dashboard!$K$31)</f>
        <v>0</v>
      </c>
      <c r="U442" s="95">
        <v>33</v>
      </c>
      <c r="AA442" s="95">
        <v>25</v>
      </c>
      <c r="AH442" s="95">
        <v>75</v>
      </c>
    </row>
    <row r="443" spans="1:34" ht="15.6" x14ac:dyDescent="0.3">
      <c r="A443" s="89" t="str">
        <f>CONCATENATE(D443,".",F443,"-",G443,".",H443,"")</f>
        <v>1.3-3.1</v>
      </c>
      <c r="B443" s="89" t="str">
        <f>IF(CONCATENATE(I443,Key!F$2)=CONCATENATE(INDEX(Dashboard!J:J,MATCH(I443,Dashboard!J:J,0),1),INDEX(Dashboard!J:K,MATCH(I443,Dashboard!J:J,0),2)),"ON",IF(Dashboard!K$32="ALL","ON","-"))</f>
        <v>-</v>
      </c>
      <c r="C443" s="96" t="s">
        <v>110</v>
      </c>
      <c r="D443" s="89">
        <f>IF(C443="ID",1,(IF(C443="PR",2,(IF(C443="DE",3,(IF(C443="RS",4,(IF(C443="RC",5,0)))))))))</f>
        <v>1</v>
      </c>
      <c r="E443" s="89" t="s">
        <v>136</v>
      </c>
      <c r="F443" s="89">
        <f>IF(E443="AM",1,(IF(E443="BE",2,(IF(E443="GV",3,(IF(E443="RA",4,(IF(E443="RM",5,(IF(E443="AC",1,(IF(E443="AT",2,(IF(E443="DS",3,(IF(E443="IP",4,(IF(E443="MA",5,(IF(E443="PT",6,(IF(E443="AE",1,(IF(E443="CM",2,(IF(E443="DP",3,(IF(E443="AN",1,(IF(E443="CO",2,(IF(E443="IM",3,(IF(E443="MI",4,(IF(E443="RP",5,(IF(E443="SC",6,0)))))))))))))))))))))))))))))))))))))))</f>
        <v>3</v>
      </c>
      <c r="G443" s="52">
        <v>3</v>
      </c>
      <c r="H443" s="90" t="s">
        <v>115</v>
      </c>
      <c r="I443" s="93" t="s">
        <v>89</v>
      </c>
      <c r="J443" s="88" t="s">
        <v>420</v>
      </c>
      <c r="K443" s="102" t="s">
        <v>421</v>
      </c>
      <c r="L443" s="117">
        <f>IF(O443="","",N443*O443*M443)</f>
        <v>0</v>
      </c>
      <c r="M443" s="108">
        <v>1</v>
      </c>
      <c r="N443" s="95">
        <v>1</v>
      </c>
      <c r="O443" s="109">
        <f>IF(Key!D$1="ON",P443,IF(SUM(Q443:DL443)&lt;1,"",SUM(Q443:DL443)/COUNTIF(Q443:DL443,"&gt;0")))</f>
        <v>0</v>
      </c>
      <c r="P443" s="109">
        <f>SUMIFS(Q443:DK443,Q$1:DK$1,Dashboard!$K$31)</f>
        <v>0</v>
      </c>
      <c r="U443" s="95">
        <v>33</v>
      </c>
      <c r="AA443" s="95">
        <v>25</v>
      </c>
      <c r="AH443" s="95">
        <v>75</v>
      </c>
    </row>
    <row r="444" spans="1:34" x14ac:dyDescent="0.3">
      <c r="A444" s="89" t="str">
        <f>CONCATENATE(D444,".",F444,"-",G444,".",H444,"")</f>
        <v>1.3-3.1</v>
      </c>
      <c r="B444" s="89" t="str">
        <f>IF(CONCATENATE(I444,Key!F$2)=CONCATENATE(INDEX(Dashboard!J:J,MATCH(I444,Dashboard!J:J,0),1),INDEX(Dashboard!J:K,MATCH(I444,Dashboard!J:J,0),2)),"ON",IF(Dashboard!K$32="ALL","ON","-"))</f>
        <v>-</v>
      </c>
      <c r="C444" s="96" t="s">
        <v>110</v>
      </c>
      <c r="D444" s="89">
        <f>IF(C444="ID",1,(IF(C444="PR",2,(IF(C444="DE",3,(IF(C444="RS",4,(IF(C444="RC",5,0)))))))))</f>
        <v>1</v>
      </c>
      <c r="E444" s="89" t="s">
        <v>136</v>
      </c>
      <c r="F444" s="89">
        <f>IF(E444="AM",1,(IF(E444="BE",2,(IF(E444="GV",3,(IF(E444="RA",4,(IF(E444="RM",5,(IF(E444="AC",1,(IF(E444="AT",2,(IF(E444="DS",3,(IF(E444="IP",4,(IF(E444="MA",5,(IF(E444="PT",6,(IF(E444="AE",1,(IF(E444="CM",2,(IF(E444="DP",3,(IF(E444="AN",1,(IF(E444="CO",2,(IF(E444="IM",3,(IF(E444="MI",4,(IF(E444="RP",5,(IF(E444="SC",6,0)))))))))))))))))))))))))))))))))))))))</f>
        <v>3</v>
      </c>
      <c r="G444" s="52">
        <v>3</v>
      </c>
      <c r="H444" s="90" t="s">
        <v>115</v>
      </c>
      <c r="I444" s="93" t="s">
        <v>89</v>
      </c>
      <c r="J444" s="88" t="s">
        <v>422</v>
      </c>
      <c r="K444" s="102" t="s">
        <v>423</v>
      </c>
      <c r="L444" s="117">
        <f>IF(O444="","",N444*O444*M444)</f>
        <v>0</v>
      </c>
      <c r="M444" s="108">
        <v>1</v>
      </c>
      <c r="N444" s="95">
        <v>1</v>
      </c>
      <c r="O444" s="109">
        <f>IF(Key!D$1="ON",P444,IF(SUM(Q444:DL444)&lt;1,"",SUM(Q444:DL444)/COUNTIF(Q444:DL444,"&gt;0")))</f>
        <v>0</v>
      </c>
      <c r="P444" s="109">
        <f>SUMIFS(Q444:DK444,Q$1:DK$1,Dashboard!$K$31)</f>
        <v>0</v>
      </c>
      <c r="U444" s="95">
        <v>33</v>
      </c>
      <c r="AA444" s="95">
        <v>25</v>
      </c>
      <c r="AH444" s="95">
        <v>75</v>
      </c>
    </row>
    <row r="445" spans="1:34" x14ac:dyDescent="0.3">
      <c r="A445" s="89" t="str">
        <f>CONCATENATE(D445,".",F445,"-",G445,".",H445,"")</f>
        <v>1.3-3.1</v>
      </c>
      <c r="B445" s="89" t="str">
        <f>IF(CONCATENATE(I445,Key!F$2)=CONCATENATE(INDEX(Dashboard!J:J,MATCH(I445,Dashboard!J:J,0),1),INDEX(Dashboard!J:K,MATCH(I445,Dashboard!J:J,0),2)),"ON",IF(Dashboard!K$32="ALL","ON","-"))</f>
        <v>-</v>
      </c>
      <c r="C445" s="96" t="s">
        <v>110</v>
      </c>
      <c r="D445" s="89">
        <f>IF(C445="ID",1,(IF(C445="PR",2,(IF(C445="DE",3,(IF(C445="RS",4,(IF(C445="RC",5,0)))))))))</f>
        <v>1</v>
      </c>
      <c r="E445" s="89" t="s">
        <v>136</v>
      </c>
      <c r="F445" s="89">
        <f>IF(E445="AM",1,(IF(E445="BE",2,(IF(E445="GV",3,(IF(E445="RA",4,(IF(E445="RM",5,(IF(E445="AC",1,(IF(E445="AT",2,(IF(E445="DS",3,(IF(E445="IP",4,(IF(E445="MA",5,(IF(E445="PT",6,(IF(E445="AE",1,(IF(E445="CM",2,(IF(E445="DP",3,(IF(E445="AN",1,(IF(E445="CO",2,(IF(E445="IM",3,(IF(E445="MI",4,(IF(E445="RP",5,(IF(E445="SC",6,0)))))))))))))))))))))))))))))))))))))))</f>
        <v>3</v>
      </c>
      <c r="G445" s="52">
        <v>3</v>
      </c>
      <c r="H445" s="90" t="s">
        <v>115</v>
      </c>
      <c r="I445" s="93" t="s">
        <v>89</v>
      </c>
      <c r="J445" s="88" t="s">
        <v>424</v>
      </c>
      <c r="K445" s="102" t="s">
        <v>425</v>
      </c>
      <c r="L445" s="117">
        <f>IF(O445="","",N445*O445*M445)</f>
        <v>0</v>
      </c>
      <c r="M445" s="108">
        <v>1</v>
      </c>
      <c r="N445" s="95">
        <v>1</v>
      </c>
      <c r="O445" s="109">
        <f>IF(Key!D$1="ON",P445,IF(SUM(Q445:DL445)&lt;1,"",SUM(Q445:DL445)/COUNTIF(Q445:DL445,"&gt;0")))</f>
        <v>0</v>
      </c>
      <c r="P445" s="109">
        <f>SUMIFS(Q445:DK445,Q$1:DK$1,Dashboard!$K$31)</f>
        <v>0</v>
      </c>
      <c r="U445" s="95">
        <v>33</v>
      </c>
      <c r="AA445" s="95">
        <v>25</v>
      </c>
      <c r="AH445" s="95">
        <v>75</v>
      </c>
    </row>
    <row r="446" spans="1:34" x14ac:dyDescent="0.3">
      <c r="A446" s="89" t="str">
        <f>CONCATENATE(D446,".",F446,"-",G446,".",H446,"")</f>
        <v>1.3-3.1</v>
      </c>
      <c r="B446" s="89" t="str">
        <f>IF(CONCATENATE(I446,Key!F$2)=CONCATENATE(INDEX(Dashboard!J:J,MATCH(I446,Dashboard!J:J,0),1),INDEX(Dashboard!J:K,MATCH(I446,Dashboard!J:J,0),2)),"ON",IF(Dashboard!K$32="ALL","ON","-"))</f>
        <v>-</v>
      </c>
      <c r="C446" s="96" t="s">
        <v>110</v>
      </c>
      <c r="D446" s="89">
        <f>IF(C446="ID",1,(IF(C446="PR",2,(IF(C446="DE",3,(IF(C446="RS",4,(IF(C446="RC",5,0)))))))))</f>
        <v>1</v>
      </c>
      <c r="E446" s="89" t="s">
        <v>136</v>
      </c>
      <c r="F446" s="89">
        <f>IF(E446="AM",1,(IF(E446="BE",2,(IF(E446="GV",3,(IF(E446="RA",4,(IF(E446="RM",5,(IF(E446="AC",1,(IF(E446="AT",2,(IF(E446="DS",3,(IF(E446="IP",4,(IF(E446="MA",5,(IF(E446="PT",6,(IF(E446="AE",1,(IF(E446="CM",2,(IF(E446="DP",3,(IF(E446="AN",1,(IF(E446="CO",2,(IF(E446="IM",3,(IF(E446="MI",4,(IF(E446="RP",5,(IF(E446="SC",6,0)))))))))))))))))))))))))))))))))))))))</f>
        <v>3</v>
      </c>
      <c r="G446" s="52">
        <v>3</v>
      </c>
      <c r="H446" s="90" t="s">
        <v>115</v>
      </c>
      <c r="I446" s="93" t="s">
        <v>89</v>
      </c>
      <c r="J446" s="88" t="s">
        <v>426</v>
      </c>
      <c r="K446" s="102" t="s">
        <v>427</v>
      </c>
      <c r="L446" s="117">
        <f>IF(O446="","",N446*O446*M446)</f>
        <v>0</v>
      </c>
      <c r="M446" s="108">
        <v>1</v>
      </c>
      <c r="N446" s="95">
        <v>1</v>
      </c>
      <c r="O446" s="109">
        <f>IF(Key!D$1="ON",P446,IF(SUM(Q446:DL446)&lt;1,"",SUM(Q446:DL446)/COUNTIF(Q446:DL446,"&gt;0")))</f>
        <v>0</v>
      </c>
      <c r="P446" s="109">
        <f>SUMIFS(Q446:DK446,Q$1:DK$1,Dashboard!$K$31)</f>
        <v>0</v>
      </c>
      <c r="U446" s="95">
        <v>33</v>
      </c>
      <c r="AA446" s="95">
        <v>25</v>
      </c>
      <c r="AH446" s="95">
        <v>75</v>
      </c>
    </row>
    <row r="447" spans="1:34" x14ac:dyDescent="0.3">
      <c r="A447" s="89" t="str">
        <f>CONCATENATE(D447,".",F447,"-",G447,".",H447,"")</f>
        <v>1.3-3.1</v>
      </c>
      <c r="B447" s="89" t="str">
        <f>IF(CONCATENATE(I447,Key!F$2)=CONCATENATE(INDEX(Dashboard!J:J,MATCH(I447,Dashboard!J:J,0),1),INDEX(Dashboard!J:K,MATCH(I447,Dashboard!J:J,0),2)),"ON",IF(Dashboard!K$32="ALL","ON","-"))</f>
        <v>-</v>
      </c>
      <c r="C447" s="96" t="s">
        <v>110</v>
      </c>
      <c r="D447" s="89">
        <f>IF(C447="ID",1,(IF(C447="PR",2,(IF(C447="DE",3,(IF(C447="RS",4,(IF(C447="RC",5,0)))))))))</f>
        <v>1</v>
      </c>
      <c r="E447" s="89" t="s">
        <v>136</v>
      </c>
      <c r="F447" s="89">
        <f>IF(E447="AM",1,(IF(E447="BE",2,(IF(E447="GV",3,(IF(E447="RA",4,(IF(E447="RM",5,(IF(E447="AC",1,(IF(E447="AT",2,(IF(E447="DS",3,(IF(E447="IP",4,(IF(E447="MA",5,(IF(E447="PT",6,(IF(E447="AE",1,(IF(E447="CM",2,(IF(E447="DP",3,(IF(E447="AN",1,(IF(E447="CO",2,(IF(E447="IM",3,(IF(E447="MI",4,(IF(E447="RP",5,(IF(E447="SC",6,0)))))))))))))))))))))))))))))))))))))))</f>
        <v>3</v>
      </c>
      <c r="G447" s="52">
        <v>3</v>
      </c>
      <c r="H447" s="90" t="s">
        <v>115</v>
      </c>
      <c r="I447" s="93" t="s">
        <v>89</v>
      </c>
      <c r="J447" s="88" t="s">
        <v>428</v>
      </c>
      <c r="K447" s="102" t="s">
        <v>429</v>
      </c>
      <c r="L447" s="117">
        <f>IF(O447="","",N447*O447*M447)</f>
        <v>0</v>
      </c>
      <c r="M447" s="108">
        <v>1</v>
      </c>
      <c r="N447" s="95">
        <v>1</v>
      </c>
      <c r="O447" s="109">
        <f>IF(Key!D$1="ON",P447,IF(SUM(Q447:DL447)&lt;1,"",SUM(Q447:DL447)/COUNTIF(Q447:DL447,"&gt;0")))</f>
        <v>0</v>
      </c>
      <c r="P447" s="109">
        <f>SUMIFS(Q447:DK447,Q$1:DK$1,Dashboard!$K$31)</f>
        <v>0</v>
      </c>
      <c r="U447" s="95">
        <v>33</v>
      </c>
      <c r="AA447" s="95">
        <v>25</v>
      </c>
      <c r="AH447" s="95">
        <v>75</v>
      </c>
    </row>
    <row r="448" spans="1:34" x14ac:dyDescent="0.3">
      <c r="A448" s="89" t="str">
        <f>CONCATENATE(D448,".",F448,"-",G448,".",H448,"")</f>
        <v>1.3-3.1</v>
      </c>
      <c r="B448" s="89" t="str">
        <f>IF(CONCATENATE(I448,Key!F$2)=CONCATENATE(INDEX(Dashboard!J:J,MATCH(I448,Dashboard!J:J,0),1),INDEX(Dashboard!J:K,MATCH(I448,Dashboard!J:J,0),2)),"ON",IF(Dashboard!K$32="ALL","ON","-"))</f>
        <v>-</v>
      </c>
      <c r="C448" s="96" t="s">
        <v>110</v>
      </c>
      <c r="D448" s="89">
        <f>IF(C448="ID",1,(IF(C448="PR",2,(IF(C448="DE",3,(IF(C448="RS",4,(IF(C448="RC",5,0)))))))))</f>
        <v>1</v>
      </c>
      <c r="E448" s="89" t="s">
        <v>136</v>
      </c>
      <c r="F448" s="89">
        <f>IF(E448="AM",1,(IF(E448="BE",2,(IF(E448="GV",3,(IF(E448="RA",4,(IF(E448="RM",5,(IF(E448="AC",1,(IF(E448="AT",2,(IF(E448="DS",3,(IF(E448="IP",4,(IF(E448="MA",5,(IF(E448="PT",6,(IF(E448="AE",1,(IF(E448="CM",2,(IF(E448="DP",3,(IF(E448="AN",1,(IF(E448="CO",2,(IF(E448="IM",3,(IF(E448="MI",4,(IF(E448="RP",5,(IF(E448="SC",6,0)))))))))))))))))))))))))))))))))))))))</f>
        <v>3</v>
      </c>
      <c r="G448" s="52">
        <v>3</v>
      </c>
      <c r="H448" s="90" t="s">
        <v>115</v>
      </c>
      <c r="I448" s="93" t="s">
        <v>89</v>
      </c>
      <c r="J448" s="88" t="s">
        <v>430</v>
      </c>
      <c r="K448" s="102" t="s">
        <v>431</v>
      </c>
      <c r="L448" s="117">
        <f>IF(O448="","",N448*O448*M448)</f>
        <v>0</v>
      </c>
      <c r="M448" s="108">
        <v>1</v>
      </c>
      <c r="N448" s="95">
        <v>1</v>
      </c>
      <c r="O448" s="109">
        <f>IF(Key!D$1="ON",P448,IF(SUM(Q448:DL448)&lt;1,"",SUM(Q448:DL448)/COUNTIF(Q448:DL448,"&gt;0")))</f>
        <v>0</v>
      </c>
      <c r="P448" s="109">
        <f>SUMIFS(Q448:DK448,Q$1:DK$1,Dashboard!$K$31)</f>
        <v>0</v>
      </c>
      <c r="U448" s="95">
        <v>33</v>
      </c>
      <c r="AA448" s="95">
        <v>25</v>
      </c>
      <c r="AH448" s="95">
        <v>75</v>
      </c>
    </row>
    <row r="449" spans="1:34" x14ac:dyDescent="0.3">
      <c r="A449" s="89" t="str">
        <f>CONCATENATE(D449,".",F449,"-",G449,".",H449,"")</f>
        <v>1.3-3.1</v>
      </c>
      <c r="B449" s="89" t="str">
        <f>IF(CONCATENATE(I449,Key!F$2)=CONCATENATE(INDEX(Dashboard!J:J,MATCH(I449,Dashboard!J:J,0),1),INDEX(Dashboard!J:K,MATCH(I449,Dashboard!J:J,0),2)),"ON",IF(Dashboard!K$32="ALL","ON","-"))</f>
        <v>-</v>
      </c>
      <c r="C449" s="96" t="s">
        <v>110</v>
      </c>
      <c r="D449" s="89">
        <f>IF(C449="ID",1,(IF(C449="PR",2,(IF(C449="DE",3,(IF(C449="RS",4,(IF(C449="RC",5,0)))))))))</f>
        <v>1</v>
      </c>
      <c r="E449" s="89" t="s">
        <v>136</v>
      </c>
      <c r="F449" s="89">
        <f>IF(E449="AM",1,(IF(E449="BE",2,(IF(E449="GV",3,(IF(E449="RA",4,(IF(E449="RM",5,(IF(E449="AC",1,(IF(E449="AT",2,(IF(E449="DS",3,(IF(E449="IP",4,(IF(E449="MA",5,(IF(E449="PT",6,(IF(E449="AE",1,(IF(E449="CM",2,(IF(E449="DP",3,(IF(E449="AN",1,(IF(E449="CO",2,(IF(E449="IM",3,(IF(E449="MI",4,(IF(E449="RP",5,(IF(E449="SC",6,0)))))))))))))))))))))))))))))))))))))))</f>
        <v>3</v>
      </c>
      <c r="G449" s="52">
        <v>3</v>
      </c>
      <c r="H449" s="90" t="s">
        <v>115</v>
      </c>
      <c r="I449" s="93" t="s">
        <v>89</v>
      </c>
      <c r="J449" s="88" t="s">
        <v>432</v>
      </c>
      <c r="K449" s="102" t="s">
        <v>433</v>
      </c>
      <c r="L449" s="117">
        <f>IF(O449="","",N449*O449*M449)</f>
        <v>0</v>
      </c>
      <c r="M449" s="108">
        <v>1</v>
      </c>
      <c r="N449" s="95">
        <v>1</v>
      </c>
      <c r="O449" s="109">
        <f>IF(Key!D$1="ON",P449,IF(SUM(Q449:DL449)&lt;1,"",SUM(Q449:DL449)/COUNTIF(Q449:DL449,"&gt;0")))</f>
        <v>0</v>
      </c>
      <c r="P449" s="109">
        <f>SUMIFS(Q449:DK449,Q$1:DK$1,Dashboard!$K$31)</f>
        <v>0</v>
      </c>
      <c r="U449" s="95">
        <v>33</v>
      </c>
      <c r="AA449" s="95">
        <v>25</v>
      </c>
      <c r="AH449" s="95">
        <v>75</v>
      </c>
    </row>
    <row r="450" spans="1:34" x14ac:dyDescent="0.3">
      <c r="A450" s="89" t="str">
        <f>CONCATENATE(D450,".",F450,"-",G450,".",H450,"")</f>
        <v>1.3-3.2</v>
      </c>
      <c r="B450" s="89" t="str">
        <f>IF(CONCATENATE(I450,Key!F$2)=CONCATENATE(INDEX(Dashboard!J:J,MATCH(I450,Dashboard!J:J,0),1),INDEX(Dashboard!J:K,MATCH(I450,Dashboard!J:J,0),2)),"ON",IF(Dashboard!K$32="ALL","ON","-"))</f>
        <v>-</v>
      </c>
      <c r="C450" s="88" t="s">
        <v>110</v>
      </c>
      <c r="D450" s="89">
        <f>IF(C450="ID",1,(IF(C450="PR",2,(IF(C450="DE",3,(IF(C450="RS",4,(IF(C450="RC",5,0)))))))))</f>
        <v>1</v>
      </c>
      <c r="E450" s="89" t="s">
        <v>136</v>
      </c>
      <c r="F450" s="89">
        <f>IF(E450="AM",1,(IF(E450="BE",2,(IF(E450="GV",3,(IF(E450="RA",4,(IF(E450="RM",5,(IF(E450="AC",1,(IF(E450="AT",2,(IF(E450="DS",3,(IF(E450="IP",4,(IF(E450="MA",5,(IF(E450="PT",6,(IF(E450="AE",1,(IF(E450="CM",2,(IF(E450="DP",3,(IF(E450="AN",1,(IF(E450="CO",2,(IF(E450="IM",3,(IF(E450="MI",4,(IF(E450="RP",5,(IF(E450="SC",6,0)))))))))))))))))))))))))))))))))))))))</f>
        <v>3</v>
      </c>
      <c r="G450" s="52">
        <v>3</v>
      </c>
      <c r="H450" s="90" t="s">
        <v>112</v>
      </c>
      <c r="I450" s="93" t="s">
        <v>60</v>
      </c>
      <c r="J450" s="87" t="s">
        <v>3151</v>
      </c>
      <c r="K450" s="51" t="s">
        <v>5264</v>
      </c>
      <c r="L450" s="117">
        <f>IF(O450="","",N450*O450*M450)</f>
        <v>0</v>
      </c>
      <c r="M450" s="108">
        <v>1</v>
      </c>
      <c r="N450" s="95">
        <v>1</v>
      </c>
      <c r="O450" s="109">
        <f>IF(Key!D$1="ON",P450,IF(SUM(Q450:DL450)&lt;1,"",SUM(Q450:DL450)/COUNTIF(Q450:DL450,"&gt;0")))</f>
        <v>0</v>
      </c>
      <c r="P450" s="109">
        <f>SUMIFS(Q450:DK450,Q$1:DK$1,Dashboard!$K$31)</f>
        <v>0</v>
      </c>
      <c r="U450" s="95">
        <v>33</v>
      </c>
      <c r="AA450" s="95">
        <v>25</v>
      </c>
      <c r="AH450" s="95">
        <v>75</v>
      </c>
    </row>
    <row r="451" spans="1:34" x14ac:dyDescent="0.3">
      <c r="A451" s="89" t="str">
        <f>CONCATENATE(D451,".",F451,"-",G451,".",H451,"")</f>
        <v>1.3-3.2</v>
      </c>
      <c r="B451" s="89" t="str">
        <f>IF(CONCATENATE(I451,Key!F$2)=CONCATENATE(INDEX(Dashboard!J:J,MATCH(I451,Dashboard!J:J,0),1),INDEX(Dashboard!J:K,MATCH(I451,Dashboard!J:J,0),2)),"ON",IF(Dashboard!K$32="ALL","ON","-"))</f>
        <v>-</v>
      </c>
      <c r="C451" s="88" t="s">
        <v>110</v>
      </c>
      <c r="D451" s="89">
        <f>IF(C451="ID",1,(IF(C451="PR",2,(IF(C451="DE",3,(IF(C451="RS",4,(IF(C451="RC",5,0)))))))))</f>
        <v>1</v>
      </c>
      <c r="E451" s="89" t="s">
        <v>136</v>
      </c>
      <c r="F451" s="89">
        <f>IF(E451="AM",1,(IF(E451="BE",2,(IF(E451="GV",3,(IF(E451="RA",4,(IF(E451="RM",5,(IF(E451="AC",1,(IF(E451="AT",2,(IF(E451="DS",3,(IF(E451="IP",4,(IF(E451="MA",5,(IF(E451="PT",6,(IF(E451="AE",1,(IF(E451="CM",2,(IF(E451="DP",3,(IF(E451="AN",1,(IF(E451="CO",2,(IF(E451="IM",3,(IF(E451="MI",4,(IF(E451="RP",5,(IF(E451="SC",6,0)))))))))))))))))))))))))))))))))))))))</f>
        <v>3</v>
      </c>
      <c r="G451" s="98">
        <v>3</v>
      </c>
      <c r="H451" s="90" t="s">
        <v>112</v>
      </c>
      <c r="I451" s="93" t="s">
        <v>77</v>
      </c>
      <c r="J451" s="87" t="s">
        <v>1030</v>
      </c>
      <c r="K451" s="102" t="s">
        <v>2083</v>
      </c>
      <c r="L451" s="117">
        <f>IF(O451="","",N451*O451*M451)</f>
        <v>0</v>
      </c>
      <c r="M451" s="108">
        <v>1</v>
      </c>
      <c r="N451" s="95">
        <v>1</v>
      </c>
      <c r="O451" s="109">
        <f>IF(Key!D$1="ON",P451,IF(SUM(Q451:DL451)&lt;1,"",SUM(Q451:DL451)/COUNTIF(Q451:DL451,"&gt;0")))</f>
        <v>0</v>
      </c>
      <c r="P451" s="109">
        <f>SUMIFS(Q451:DK451,Q$1:DK$1,Dashboard!$K$31)</f>
        <v>0</v>
      </c>
      <c r="U451" s="95">
        <v>33</v>
      </c>
      <c r="AA451" s="95">
        <v>25</v>
      </c>
      <c r="AH451" s="95">
        <v>75</v>
      </c>
    </row>
    <row r="452" spans="1:34" x14ac:dyDescent="0.3">
      <c r="A452" s="89" t="str">
        <f>CONCATENATE(D452,".",F452,"-",G452,".",H452,"")</f>
        <v>1.3-3.2</v>
      </c>
      <c r="B452" s="89" t="str">
        <f>IF(CONCATENATE(I452,Key!F$2)=CONCATENATE(INDEX(Dashboard!J:J,MATCH(I452,Dashboard!J:J,0),1),INDEX(Dashboard!J:K,MATCH(I452,Dashboard!J:J,0),2)),"ON",IF(Dashboard!K$32="ALL","ON","-"))</f>
        <v>-</v>
      </c>
      <c r="C452" s="88" t="s">
        <v>110</v>
      </c>
      <c r="D452" s="89">
        <f>IF(C452="ID",1,(IF(C452="PR",2,(IF(C452="DE",3,(IF(C452="RS",4,(IF(C452="RC",5,0)))))))))</f>
        <v>1</v>
      </c>
      <c r="E452" s="89" t="s">
        <v>136</v>
      </c>
      <c r="F452" s="89">
        <f>IF(E452="AM",1,(IF(E452="BE",2,(IF(E452="GV",3,(IF(E452="RA",4,(IF(E452="RM",5,(IF(E452="AC",1,(IF(E452="AT",2,(IF(E452="DS",3,(IF(E452="IP",4,(IF(E452="MA",5,(IF(E452="PT",6,(IF(E452="AE",1,(IF(E452="CM",2,(IF(E452="DP",3,(IF(E452="AN",1,(IF(E452="CO",2,(IF(E452="IM",3,(IF(E452="MI",4,(IF(E452="RP",5,(IF(E452="SC",6,0)))))))))))))))))))))))))))))))))))))))</f>
        <v>3</v>
      </c>
      <c r="G452" s="52">
        <v>3</v>
      </c>
      <c r="H452" s="90" t="s">
        <v>112</v>
      </c>
      <c r="I452" s="93" t="s">
        <v>85</v>
      </c>
      <c r="J452" s="87" t="s">
        <v>1030</v>
      </c>
      <c r="K452" s="119" t="s">
        <v>4960</v>
      </c>
      <c r="L452" s="117">
        <f>IF(O452="","",N452*O452*M452)</f>
        <v>0</v>
      </c>
      <c r="M452" s="108">
        <v>1</v>
      </c>
      <c r="N452" s="95">
        <v>1</v>
      </c>
      <c r="O452" s="109">
        <f>IF(Key!D$1="ON",P452,IF(SUM(Q452:DL452)&lt;1,"",SUM(Q452:DL452)/COUNTIF(Q452:DL452,"&gt;0")))</f>
        <v>0</v>
      </c>
      <c r="P452" s="109">
        <f>SUMIFS(Q452:DK452,Q$1:DK$1,Dashboard!$K$31)</f>
        <v>0</v>
      </c>
      <c r="U452" s="95">
        <v>33</v>
      </c>
      <c r="AA452" s="95">
        <v>25</v>
      </c>
      <c r="AH452" s="95">
        <v>75</v>
      </c>
    </row>
    <row r="453" spans="1:34" ht="15.6" x14ac:dyDescent="0.3">
      <c r="A453" s="89" t="str">
        <f>CONCATENATE(D453,".",F453,"-",G453,".",H453,"")</f>
        <v>1.3-4.0</v>
      </c>
      <c r="B453" s="89" t="str">
        <f>IF(CONCATENATE(I453,Key!F$2)=CONCATENATE(INDEX(Dashboard!J:J,MATCH(I453,Dashboard!J:J,0),1),INDEX(Dashboard!J:K,MATCH(I453,Dashboard!J:J,0),2)),"ON",IF(Dashboard!K$32="ALL","ON","-"))</f>
        <v>-</v>
      </c>
      <c r="C453" s="96" t="s">
        <v>110</v>
      </c>
      <c r="D453" s="89">
        <f>IF(C453="ID",1,(IF(C453="PR",2,(IF(C453="DE",3,(IF(C453="RS",4,(IF(C453="RC",5,0)))))))))</f>
        <v>1</v>
      </c>
      <c r="E453" s="89" t="s">
        <v>136</v>
      </c>
      <c r="F453" s="89">
        <f>IF(E453="AM",1,(IF(E453="BE",2,(IF(E453="GV",3,(IF(E453="RA",4,(IF(E453="RM",5,(IF(E453="AC",1,(IF(E453="AT",2,(IF(E453="DS",3,(IF(E453="IP",4,(IF(E453="MA",5,(IF(E453="PT",6,(IF(E453="AE",1,(IF(E453="CM",2,(IF(E453="DP",3,(IF(E453="AN",1,(IF(E453="CO",2,(IF(E453="IM",3,(IF(E453="MI",4,(IF(E453="RP",5,(IF(E453="SC",6,0)))))))))))))))))))))))))))))))))))))))</f>
        <v>3</v>
      </c>
      <c r="G453" s="52">
        <v>4</v>
      </c>
      <c r="H453" s="90" t="s">
        <v>347</v>
      </c>
      <c r="I453" s="93" t="s">
        <v>2835</v>
      </c>
      <c r="J453" s="53" t="s">
        <v>2873</v>
      </c>
      <c r="K453" s="152" t="s">
        <v>2874</v>
      </c>
      <c r="L453" s="117">
        <f>IF(O453="","",N453*O453*M453)</f>
        <v>0</v>
      </c>
      <c r="M453" s="108">
        <v>1</v>
      </c>
      <c r="N453" s="95">
        <v>1</v>
      </c>
      <c r="O453" s="109">
        <f>IF(Key!D$1="ON",P453,IF(SUM(Q453:DL453)&lt;1,"",SUM(Q453:DL453)/COUNTIF(Q453:DL453,"&gt;0")))</f>
        <v>0</v>
      </c>
      <c r="P453" s="109">
        <f>SUMIFS(Q453:DK453,Q$1:DK$1,Dashboard!$K$31)</f>
        <v>0</v>
      </c>
      <c r="U453" s="95">
        <v>33</v>
      </c>
    </row>
    <row r="454" spans="1:34" ht="15.6" x14ac:dyDescent="0.3">
      <c r="A454" s="89" t="str">
        <f>CONCATENATE(D454,".",F454,"-",G454,".",H454,"")</f>
        <v>1.3-4.1</v>
      </c>
      <c r="B454" s="89" t="str">
        <f>IF(CONCATENATE(I454,Key!F$2)=CONCATENATE(INDEX(Dashboard!J:J,MATCH(I454,Dashboard!J:J,0),1),INDEX(Dashboard!J:K,MATCH(I454,Dashboard!J:J,0),2)),"ON",IF(Dashboard!K$32="ALL","ON","-"))</f>
        <v>-</v>
      </c>
      <c r="C454" s="96" t="s">
        <v>110</v>
      </c>
      <c r="D454" s="89">
        <f>IF(C454="ID",1,(IF(C454="PR",2,(IF(C454="DE",3,(IF(C454="RS",4,(IF(C454="RC",5,0)))))))))</f>
        <v>1</v>
      </c>
      <c r="E454" s="89" t="s">
        <v>136</v>
      </c>
      <c r="F454" s="89">
        <f>IF(E454="AM",1,(IF(E454="BE",2,(IF(E454="GV",3,(IF(E454="RA",4,(IF(E454="RM",5,(IF(E454="AC",1,(IF(E454="AT",2,(IF(E454="DS",3,(IF(E454="IP",4,(IF(E454="MA",5,(IF(E454="PT",6,(IF(E454="AE",1,(IF(E454="CM",2,(IF(E454="DP",3,(IF(E454="AN",1,(IF(E454="CO",2,(IF(E454="IM",3,(IF(E454="MI",4,(IF(E454="RP",5,(IF(E454="SC",6,0)))))))))))))))))))))))))))))))))))))))</f>
        <v>3</v>
      </c>
      <c r="G454" s="98">
        <v>4</v>
      </c>
      <c r="H454" s="90" t="s">
        <v>115</v>
      </c>
      <c r="I454" s="93" t="s">
        <v>52</v>
      </c>
      <c r="J454" s="88" t="s">
        <v>3323</v>
      </c>
      <c r="K454" s="103" t="s">
        <v>3324</v>
      </c>
      <c r="L454" s="117">
        <f>IF(O454="","",N454*O454*M454)</f>
        <v>0</v>
      </c>
      <c r="M454" s="108">
        <v>1</v>
      </c>
      <c r="N454" s="95">
        <v>1</v>
      </c>
      <c r="O454" s="109">
        <f>IF(Key!D$1="ON",P454,IF(SUM(Q454:DL454)&lt;1,"",SUM(Q454:DL454)/COUNTIF(Q454:DL454,"&gt;0")))</f>
        <v>0</v>
      </c>
      <c r="P454" s="109">
        <f>SUMIFS(Q454:DK454,Q$1:DK$1,Dashboard!$K$31)</f>
        <v>0</v>
      </c>
      <c r="U454" s="95">
        <v>33</v>
      </c>
      <c r="AA454" s="95">
        <v>25</v>
      </c>
      <c r="AH454" s="95">
        <v>75</v>
      </c>
    </row>
    <row r="455" spans="1:34" x14ac:dyDescent="0.3">
      <c r="A455" s="89" t="str">
        <f>CONCATENATE(D455,".",F455,"-",G455,".",H455,"")</f>
        <v>1.3-4.1</v>
      </c>
      <c r="B455" s="89" t="str">
        <f>IF(CONCATENATE(I455,Key!F$2)=CONCATENATE(INDEX(Dashboard!J:J,MATCH(I455,Dashboard!J:J,0),1),INDEX(Dashboard!J:K,MATCH(I455,Dashboard!J:J,0),2)),"ON",IF(Dashboard!K$32="ALL","ON","-"))</f>
        <v>-</v>
      </c>
      <c r="C455" s="88" t="s">
        <v>110</v>
      </c>
      <c r="D455" s="89">
        <f>IF(C455="ID",1,(IF(C455="PR",2,(IF(C455="DE",3,(IF(C455="RS",4,(IF(C455="RC",5,0)))))))))</f>
        <v>1</v>
      </c>
      <c r="E455" s="89" t="s">
        <v>136</v>
      </c>
      <c r="F455" s="89">
        <f>IF(E455="AM",1,(IF(E455="BE",2,(IF(E455="GV",3,(IF(E455="RA",4,(IF(E455="RM",5,(IF(E455="AC",1,(IF(E455="AT",2,(IF(E455="DS",3,(IF(E455="IP",4,(IF(E455="MA",5,(IF(E455="PT",6,(IF(E455="AE",1,(IF(E455="CM",2,(IF(E455="DP",3,(IF(E455="AN",1,(IF(E455="CO",2,(IF(E455="IM",3,(IF(E455="MI",4,(IF(E455="RP",5,(IF(E455="SC",6,0)))))))))))))))))))))))))))))))))))))))</f>
        <v>3</v>
      </c>
      <c r="G455" s="52">
        <v>4</v>
      </c>
      <c r="H455" s="90" t="s">
        <v>115</v>
      </c>
      <c r="I455" s="93" t="s">
        <v>60</v>
      </c>
      <c r="J455" s="87" t="s">
        <v>3141</v>
      </c>
      <c r="K455" s="51" t="s">
        <v>5254</v>
      </c>
      <c r="L455" s="117">
        <f>IF(O455="","",N455*O455*M455)</f>
        <v>0</v>
      </c>
      <c r="M455" s="108">
        <v>1</v>
      </c>
      <c r="N455" s="95">
        <v>1</v>
      </c>
      <c r="O455" s="109">
        <f>IF(Key!D$1="ON",P455,IF(SUM(Q455:DL455)&lt;1,"",SUM(Q455:DL455)/COUNTIF(Q455:DL455,"&gt;0")))</f>
        <v>0</v>
      </c>
      <c r="P455" s="109">
        <f>SUMIFS(Q455:DK455,Q$1:DK$1,Dashboard!$K$31)</f>
        <v>0</v>
      </c>
      <c r="U455" s="95">
        <v>33</v>
      </c>
      <c r="AA455" s="95">
        <v>25</v>
      </c>
      <c r="AH455" s="95">
        <v>75</v>
      </c>
    </row>
    <row r="456" spans="1:34" ht="15.6" x14ac:dyDescent="0.3">
      <c r="A456" s="89" t="str">
        <f>CONCATENATE(D456,".",F456,"-",G456,".",H456,"")</f>
        <v>1.3-4.1</v>
      </c>
      <c r="B456" s="89" t="str">
        <f>IF(CONCATENATE(I456,Key!F$2)=CONCATENATE(INDEX(Dashboard!J:J,MATCH(I456,Dashboard!J:J,0),1),INDEX(Dashboard!J:K,MATCH(I456,Dashboard!J:J,0),2)),"ON",IF(Dashboard!K$32="ALL","ON","-"))</f>
        <v>-</v>
      </c>
      <c r="C456" s="88" t="s">
        <v>110</v>
      </c>
      <c r="D456" s="89">
        <f>IF(C456="ID",1,(IF(C456="PR",2,(IF(C456="DE",3,(IF(C456="RS",4,(IF(C456="RC",5,0)))))))))</f>
        <v>1</v>
      </c>
      <c r="E456" s="89" t="s">
        <v>136</v>
      </c>
      <c r="F456" s="89">
        <f>IF(E456="AM",1,(IF(E456="BE",2,(IF(E456="GV",3,(IF(E456="RA",4,(IF(E456="RM",5,(IF(E456="AC",1,(IF(E456="AT",2,(IF(E456="DS",3,(IF(E456="IP",4,(IF(E456="MA",5,(IF(E456="PT",6,(IF(E456="AE",1,(IF(E456="CM",2,(IF(E456="DP",3,(IF(E456="AN",1,(IF(E456="CO",2,(IF(E456="IM",3,(IF(E456="MI",4,(IF(E456="RP",5,(IF(E456="SC",6,0)))))))))))))))))))))))))))))))))))))))</f>
        <v>3</v>
      </c>
      <c r="G456" s="52">
        <v>4</v>
      </c>
      <c r="H456" s="90" t="s">
        <v>115</v>
      </c>
      <c r="I456" s="93" t="s">
        <v>60</v>
      </c>
      <c r="J456" s="87" t="s">
        <v>3152</v>
      </c>
      <c r="K456" s="51" t="s">
        <v>5265</v>
      </c>
      <c r="L456" s="117">
        <f>IF(O456="","",N456*O456*M456)</f>
        <v>0</v>
      </c>
      <c r="M456" s="108">
        <v>1</v>
      </c>
      <c r="N456" s="95">
        <v>1</v>
      </c>
      <c r="O456" s="109">
        <f>IF(Key!D$1="ON",P456,IF(SUM(Q456:DL456)&lt;1,"",SUM(Q456:DL456)/COUNTIF(Q456:DL456,"&gt;0")))</f>
        <v>0</v>
      </c>
      <c r="P456" s="109">
        <f>SUMIFS(Q456:DK456,Q$1:DK$1,Dashboard!$K$31)</f>
        <v>0</v>
      </c>
      <c r="U456" s="95">
        <v>33</v>
      </c>
      <c r="AA456" s="95">
        <v>25</v>
      </c>
      <c r="AH456" s="95">
        <v>75</v>
      </c>
    </row>
    <row r="457" spans="1:34" x14ac:dyDescent="0.3">
      <c r="A457" s="89" t="str">
        <f>CONCATENATE(D457,".",F457,"-",G457,".",H457,"")</f>
        <v>1.3-4.1</v>
      </c>
      <c r="B457" s="89" t="str">
        <f>IF(CONCATENATE(I457,Key!F$2)=CONCATENATE(INDEX(Dashboard!J:J,MATCH(I457,Dashboard!J:J,0),1),INDEX(Dashboard!J:K,MATCH(I457,Dashboard!J:J,0),2)),"ON",IF(Dashboard!K$32="ALL","ON","-"))</f>
        <v>-</v>
      </c>
      <c r="C457" s="88" t="s">
        <v>110</v>
      </c>
      <c r="D457" s="89">
        <f>IF(C457="ID",1,(IF(C457="PR",2,(IF(C457="DE",3,(IF(C457="RS",4,(IF(C457="RC",5,0)))))))))</f>
        <v>1</v>
      </c>
      <c r="E457" s="89" t="s">
        <v>136</v>
      </c>
      <c r="F457" s="89">
        <f>IF(E457="AM",1,(IF(E457="BE",2,(IF(E457="GV",3,(IF(E457="RA",4,(IF(E457="RM",5,(IF(E457="AC",1,(IF(E457="AT",2,(IF(E457="DS",3,(IF(E457="IP",4,(IF(E457="MA",5,(IF(E457="PT",6,(IF(E457="AE",1,(IF(E457="CM",2,(IF(E457="DP",3,(IF(E457="AN",1,(IF(E457="CO",2,(IF(E457="IM",3,(IF(E457="MI",4,(IF(E457="RP",5,(IF(E457="SC",6,0)))))))))))))))))))))))))))))))))))))))</f>
        <v>3</v>
      </c>
      <c r="G457" s="98">
        <v>4</v>
      </c>
      <c r="H457" s="89">
        <v>1</v>
      </c>
      <c r="I457" s="93" t="s">
        <v>60</v>
      </c>
      <c r="J457" s="88" t="s">
        <v>3133</v>
      </c>
      <c r="K457" s="51" t="s">
        <v>5246</v>
      </c>
      <c r="L457" s="117">
        <f>IF(O457="","",N457*O457*M457)</f>
        <v>0</v>
      </c>
      <c r="M457" s="108">
        <v>1</v>
      </c>
      <c r="N457" s="95">
        <v>1</v>
      </c>
      <c r="O457" s="109">
        <f>IF(Key!D$1="ON",P457,IF(SUM(Q457:DL457)&lt;1,"",SUM(Q457:DL457)/COUNTIF(Q457:DL457,"&gt;0")))</f>
        <v>0</v>
      </c>
      <c r="P457" s="109">
        <f>SUMIFS(Q457:DK457,Q$1:DK$1,Dashboard!$K$31)</f>
        <v>0</v>
      </c>
      <c r="U457" s="95">
        <v>33</v>
      </c>
      <c r="AA457" s="95">
        <v>25</v>
      </c>
      <c r="AH457" s="95">
        <v>75</v>
      </c>
    </row>
    <row r="458" spans="1:34" x14ac:dyDescent="0.3">
      <c r="A458" s="89" t="str">
        <f>CONCATENATE(D458,".",F458,"-",G458,".",H458,"")</f>
        <v>1.3-4.1</v>
      </c>
      <c r="B458" s="89" t="str">
        <f>IF(CONCATENATE(I458,Key!F$2)=CONCATENATE(INDEX(Dashboard!J:J,MATCH(I458,Dashboard!J:J,0),1),INDEX(Dashboard!J:K,MATCH(I458,Dashboard!J:J,0),2)),"ON",IF(Dashboard!K$32="ALL","ON","-"))</f>
        <v>-</v>
      </c>
      <c r="C458" s="88" t="s">
        <v>110</v>
      </c>
      <c r="D458" s="89">
        <f>IF(C458="ID",1,(IF(C458="PR",2,(IF(C458="DE",3,(IF(C458="RS",4,(IF(C458="RC",5,0)))))))))</f>
        <v>1</v>
      </c>
      <c r="E458" s="89" t="s">
        <v>136</v>
      </c>
      <c r="F458" s="89">
        <f>IF(E458="AM",1,(IF(E458="BE",2,(IF(E458="GV",3,(IF(E458="RA",4,(IF(E458="RM",5,(IF(E458="AC",1,(IF(E458="AT",2,(IF(E458="DS",3,(IF(E458="IP",4,(IF(E458="MA",5,(IF(E458="PT",6,(IF(E458="AE",1,(IF(E458="CM",2,(IF(E458="DP",3,(IF(E458="AN",1,(IF(E458="CO",2,(IF(E458="IM",3,(IF(E458="MI",4,(IF(E458="RP",5,(IF(E458="SC",6,0)))))))))))))))))))))))))))))))))))))))</f>
        <v>3</v>
      </c>
      <c r="G458" s="98">
        <v>4</v>
      </c>
      <c r="H458" s="90" t="s">
        <v>115</v>
      </c>
      <c r="I458" s="93" t="s">
        <v>77</v>
      </c>
      <c r="J458" s="87" t="s">
        <v>1031</v>
      </c>
      <c r="K458" s="102" t="s">
        <v>2084</v>
      </c>
      <c r="L458" s="117">
        <f>IF(O458="","",N458*O458*M458)</f>
        <v>0</v>
      </c>
      <c r="M458" s="108">
        <v>1</v>
      </c>
      <c r="N458" s="95">
        <v>1</v>
      </c>
      <c r="O458" s="109">
        <f>IF(Key!D$1="ON",P458,IF(SUM(Q458:DL458)&lt;1,"",SUM(Q458:DL458)/COUNTIF(Q458:DL458,"&gt;0")))</f>
        <v>0</v>
      </c>
      <c r="P458" s="109">
        <f>SUMIFS(Q458:DK458,Q$1:DK$1,Dashboard!$K$31)</f>
        <v>0</v>
      </c>
      <c r="U458" s="95">
        <v>33</v>
      </c>
      <c r="AA458" s="95">
        <v>25</v>
      </c>
      <c r="AH458" s="95">
        <v>75</v>
      </c>
    </row>
    <row r="459" spans="1:34" x14ac:dyDescent="0.3">
      <c r="A459" s="89" t="str">
        <f>CONCATENATE(D459,".",F459,"-",G459,".",H459,"")</f>
        <v>1.3-4.1</v>
      </c>
      <c r="B459" s="89" t="str">
        <f>IF(CONCATENATE(I459,Key!F$2)=CONCATENATE(INDEX(Dashboard!J:J,MATCH(I459,Dashboard!J:J,0),1),INDEX(Dashboard!J:K,MATCH(I459,Dashboard!J:J,0),2)),"ON",IF(Dashboard!K$32="ALL","ON","-"))</f>
        <v>-</v>
      </c>
      <c r="C459" s="96" t="s">
        <v>110</v>
      </c>
      <c r="D459" s="89">
        <f>IF(C459="ID",1,(IF(C459="PR",2,(IF(C459="DE",3,(IF(C459="RS",4,(IF(C459="RC",5,0)))))))))</f>
        <v>1</v>
      </c>
      <c r="E459" s="89" t="s">
        <v>136</v>
      </c>
      <c r="F459" s="89">
        <f>IF(E459="AM",1,(IF(E459="BE",2,(IF(E459="GV",3,(IF(E459="RA",4,(IF(E459="RM",5,(IF(E459="AC",1,(IF(E459="AT",2,(IF(E459="DS",3,(IF(E459="IP",4,(IF(E459="MA",5,(IF(E459="PT",6,(IF(E459="AE",1,(IF(E459="CM",2,(IF(E459="DP",3,(IF(E459="AN",1,(IF(E459="CO",2,(IF(E459="IM",3,(IF(E459="MI",4,(IF(E459="RP",5,(IF(E459="SC",6,0)))))))))))))))))))))))))))))))))))))))</f>
        <v>3</v>
      </c>
      <c r="G459" s="98">
        <v>4</v>
      </c>
      <c r="H459" s="90" t="s">
        <v>115</v>
      </c>
      <c r="I459" s="93" t="s">
        <v>77</v>
      </c>
      <c r="J459" s="87" t="s">
        <v>1032</v>
      </c>
      <c r="K459" s="102" t="s">
        <v>2085</v>
      </c>
      <c r="L459" s="117">
        <f>IF(O459="","",N459*O459*M459)</f>
        <v>0</v>
      </c>
      <c r="M459" s="108">
        <v>1</v>
      </c>
      <c r="N459" s="95">
        <v>1</v>
      </c>
      <c r="O459" s="109">
        <f>IF(Key!D$1="ON",P459,IF(SUM(Q459:DL459)&lt;1,"",SUM(Q459:DL459)/COUNTIF(Q459:DL459,"&gt;0")))</f>
        <v>0</v>
      </c>
      <c r="P459" s="109">
        <f>SUMIFS(Q459:DK459,Q$1:DK$1,Dashboard!$K$31)</f>
        <v>0</v>
      </c>
      <c r="U459" s="95">
        <v>33</v>
      </c>
      <c r="AA459" s="95">
        <v>25</v>
      </c>
      <c r="AH459" s="95">
        <v>75</v>
      </c>
    </row>
    <row r="460" spans="1:34" x14ac:dyDescent="0.3">
      <c r="A460" s="89" t="str">
        <f>CONCATENATE(D460,".",F460,"-",G460,".",H460,"")</f>
        <v>1.3-4.1</v>
      </c>
      <c r="B460" s="89" t="str">
        <f>IF(CONCATENATE(I460,Key!F$2)=CONCATENATE(INDEX(Dashboard!J:J,MATCH(I460,Dashboard!J:J,0),1),INDEX(Dashboard!J:K,MATCH(I460,Dashboard!J:J,0),2)),"ON",IF(Dashboard!K$32="ALL","ON","-"))</f>
        <v>-</v>
      </c>
      <c r="C460" s="88" t="s">
        <v>110</v>
      </c>
      <c r="D460" s="89">
        <f>IF(C460="ID",1,(IF(C460="PR",2,(IF(C460="DE",3,(IF(C460="RS",4,(IF(C460="RC",5,0)))))))))</f>
        <v>1</v>
      </c>
      <c r="E460" s="89" t="s">
        <v>136</v>
      </c>
      <c r="F460" s="89">
        <f>IF(E460="AM",1,(IF(E460="BE",2,(IF(E460="GV",3,(IF(E460="RA",4,(IF(E460="RM",5,(IF(E460="AC",1,(IF(E460="AT",2,(IF(E460="DS",3,(IF(E460="IP",4,(IF(E460="MA",5,(IF(E460="PT",6,(IF(E460="AE",1,(IF(E460="CM",2,(IF(E460="DP",3,(IF(E460="AN",1,(IF(E460="CO",2,(IF(E460="IM",3,(IF(E460="MI",4,(IF(E460="RP",5,(IF(E460="SC",6,0)))))))))))))))))))))))))))))))))))))))</f>
        <v>3</v>
      </c>
      <c r="G460" s="98">
        <v>4</v>
      </c>
      <c r="H460" s="90" t="s">
        <v>115</v>
      </c>
      <c r="I460" s="93" t="s">
        <v>81</v>
      </c>
      <c r="J460" s="129" t="s">
        <v>1952</v>
      </c>
      <c r="K460" s="103" t="s">
        <v>1953</v>
      </c>
      <c r="L460" s="117">
        <f>IF(O460="","",N460*O460*M460)</f>
        <v>0</v>
      </c>
      <c r="M460" s="108">
        <v>1</v>
      </c>
      <c r="N460" s="95">
        <v>1</v>
      </c>
      <c r="O460" s="109">
        <f>IF(Key!D$1="ON",P460,IF(SUM(Q460:DL460)&lt;1,"",SUM(Q460:DL460)/COUNTIF(Q460:DL460,"&gt;0")))</f>
        <v>0</v>
      </c>
      <c r="P460" s="109">
        <f>SUMIFS(Q460:DK460,Q$1:DK$1,Dashboard!$K$31)</f>
        <v>0</v>
      </c>
      <c r="U460" s="95">
        <v>33</v>
      </c>
      <c r="AA460" s="95">
        <v>25</v>
      </c>
      <c r="AH460" s="95">
        <v>75</v>
      </c>
    </row>
    <row r="461" spans="1:34" x14ac:dyDescent="0.3">
      <c r="A461" s="89" t="str">
        <f>CONCATENATE(D461,".",F461,"-",G461,".",H461,"")</f>
        <v>1.3-4.1</v>
      </c>
      <c r="B461" s="89" t="str">
        <f>IF(CONCATENATE(I461,Key!F$2)=CONCATENATE(INDEX(Dashboard!J:J,MATCH(I461,Dashboard!J:J,0),1),INDEX(Dashboard!J:K,MATCH(I461,Dashboard!J:J,0),2)),"ON",IF(Dashboard!K$32="ALL","ON","-"))</f>
        <v>-</v>
      </c>
      <c r="C461" s="88" t="s">
        <v>110</v>
      </c>
      <c r="D461" s="89">
        <f>IF(C461="ID",1,(IF(C461="PR",2,(IF(C461="DE",3,(IF(C461="RS",4,(IF(C461="RC",5,0)))))))))</f>
        <v>1</v>
      </c>
      <c r="E461" s="89" t="s">
        <v>136</v>
      </c>
      <c r="F461" s="89">
        <f>IF(E461="AM",1,(IF(E461="BE",2,(IF(E461="GV",3,(IF(E461="RA",4,(IF(E461="RM",5,(IF(E461="AC",1,(IF(E461="AT",2,(IF(E461="DS",3,(IF(E461="IP",4,(IF(E461="MA",5,(IF(E461="PT",6,(IF(E461="AE",1,(IF(E461="CM",2,(IF(E461="DP",3,(IF(E461="AN",1,(IF(E461="CO",2,(IF(E461="IM",3,(IF(E461="MI",4,(IF(E461="RP",5,(IF(E461="SC",6,0)))))))))))))))))))))))))))))))))))))))</f>
        <v>3</v>
      </c>
      <c r="G461" s="98">
        <v>4</v>
      </c>
      <c r="H461" s="90" t="s">
        <v>115</v>
      </c>
      <c r="I461" s="93" t="s">
        <v>85</v>
      </c>
      <c r="J461" s="87" t="s">
        <v>1031</v>
      </c>
      <c r="K461" s="119" t="s">
        <v>4514</v>
      </c>
      <c r="L461" s="117">
        <f>IF(O461="","",N461*O461*M461)</f>
        <v>0</v>
      </c>
      <c r="M461" s="108">
        <v>1</v>
      </c>
      <c r="N461" s="95">
        <v>1</v>
      </c>
      <c r="O461" s="109">
        <f>IF(Key!D$1="ON",P461,IF(SUM(Q461:DL461)&lt;1,"",SUM(Q461:DL461)/COUNTIF(Q461:DL461,"&gt;0")))</f>
        <v>0</v>
      </c>
      <c r="P461" s="109">
        <f>SUMIFS(Q461:DK461,Q$1:DK$1,Dashboard!$K$31)</f>
        <v>0</v>
      </c>
      <c r="U461" s="95">
        <v>33</v>
      </c>
      <c r="AA461" s="95">
        <v>25</v>
      </c>
      <c r="AH461" s="95">
        <v>75</v>
      </c>
    </row>
    <row r="462" spans="1:34" x14ac:dyDescent="0.3">
      <c r="A462" s="89" t="str">
        <f>CONCATENATE(D462,".",F462,"-",G462,".",H462,"")</f>
        <v>1.3-4.1</v>
      </c>
      <c r="B462" s="89" t="str">
        <f>IF(CONCATENATE(I462,Key!F$2)=CONCATENATE(INDEX(Dashboard!J:J,MATCH(I462,Dashboard!J:J,0),1),INDEX(Dashboard!J:K,MATCH(I462,Dashboard!J:J,0),2)),"ON",IF(Dashboard!K$32="ALL","ON","-"))</f>
        <v>-</v>
      </c>
      <c r="C462" s="88" t="s">
        <v>110</v>
      </c>
      <c r="D462" s="89">
        <f>IF(C462="ID",1,(IF(C462="PR",2,(IF(C462="DE",3,(IF(C462="RS",4,(IF(C462="RC",5,0)))))))))</f>
        <v>1</v>
      </c>
      <c r="E462" s="89" t="s">
        <v>136</v>
      </c>
      <c r="F462" s="89">
        <f>IF(E462="AM",1,(IF(E462="BE",2,(IF(E462="GV",3,(IF(E462="RA",4,(IF(E462="RM",5,(IF(E462="AC",1,(IF(E462="AT",2,(IF(E462="DS",3,(IF(E462="IP",4,(IF(E462="MA",5,(IF(E462="PT",6,(IF(E462="AE",1,(IF(E462="CM",2,(IF(E462="DP",3,(IF(E462="AN",1,(IF(E462="CO",2,(IF(E462="IM",3,(IF(E462="MI",4,(IF(E462="RP",5,(IF(E462="SC",6,0)))))))))))))))))))))))))))))))))))))))</f>
        <v>3</v>
      </c>
      <c r="G462" s="52">
        <v>4</v>
      </c>
      <c r="H462" s="90" t="s">
        <v>115</v>
      </c>
      <c r="I462" s="93" t="s">
        <v>85</v>
      </c>
      <c r="J462" s="87" t="s">
        <v>1034</v>
      </c>
      <c r="K462" s="119" t="s">
        <v>1035</v>
      </c>
      <c r="L462" s="117">
        <f>IF(O462="","",N462*O462*M462)</f>
        <v>0</v>
      </c>
      <c r="M462" s="108">
        <v>1</v>
      </c>
      <c r="N462" s="95">
        <v>1</v>
      </c>
      <c r="O462" s="109">
        <f>IF(Key!D$1="ON",P462,IF(SUM(Q462:DL462)&lt;1,"",SUM(Q462:DL462)/COUNTIF(Q462:DL462,"&gt;0")))</f>
        <v>0</v>
      </c>
      <c r="P462" s="109">
        <f>SUMIFS(Q462:DK462,Q$1:DK$1,Dashboard!$K$31)</f>
        <v>0</v>
      </c>
      <c r="U462" s="95">
        <v>33</v>
      </c>
      <c r="AA462" s="95">
        <v>25</v>
      </c>
      <c r="AH462" s="95">
        <v>75</v>
      </c>
    </row>
    <row r="463" spans="1:34" x14ac:dyDescent="0.3">
      <c r="A463" s="89" t="str">
        <f>CONCATENATE(D463,".",F463,"-",G463,".",H463,"")</f>
        <v>1.3-4.1</v>
      </c>
      <c r="B463" s="89" t="str">
        <f>IF(CONCATENATE(I463,Key!F$2)=CONCATENATE(INDEX(Dashboard!J:J,MATCH(I463,Dashboard!J:J,0),1),INDEX(Dashboard!J:K,MATCH(I463,Dashboard!J:J,0),2)),"ON",IF(Dashboard!K$32="ALL","ON","-"))</f>
        <v>-</v>
      </c>
      <c r="C463" s="96" t="s">
        <v>110</v>
      </c>
      <c r="D463" s="89">
        <f>IF(C463="ID",1,(IF(C463="PR",2,(IF(C463="DE",3,(IF(C463="RS",4,(IF(C463="RC",5,0)))))))))</f>
        <v>1</v>
      </c>
      <c r="E463" s="89" t="s">
        <v>136</v>
      </c>
      <c r="F463" s="89">
        <f>IF(E463="AM",1,(IF(E463="BE",2,(IF(E463="GV",3,(IF(E463="RA",4,(IF(E463="RM",5,(IF(E463="AC",1,(IF(E463="AT",2,(IF(E463="DS",3,(IF(E463="IP",4,(IF(E463="MA",5,(IF(E463="PT",6,(IF(E463="AE",1,(IF(E463="CM",2,(IF(E463="DP",3,(IF(E463="AN",1,(IF(E463="CO",2,(IF(E463="IM",3,(IF(E463="MI",4,(IF(E463="RP",5,(IF(E463="SC",6,0)))))))))))))))))))))))))))))))))))))))</f>
        <v>3</v>
      </c>
      <c r="G463" s="98">
        <v>4</v>
      </c>
      <c r="H463" s="90" t="s">
        <v>115</v>
      </c>
      <c r="I463" s="93" t="s">
        <v>85</v>
      </c>
      <c r="J463" s="87" t="s">
        <v>1032</v>
      </c>
      <c r="K463" s="119" t="s">
        <v>1033</v>
      </c>
      <c r="L463" s="117">
        <f>IF(O463="","",N463*O463*M463)</f>
        <v>0</v>
      </c>
      <c r="M463" s="108">
        <v>1</v>
      </c>
      <c r="N463" s="95">
        <v>1</v>
      </c>
      <c r="O463" s="109">
        <f>IF(Key!D$1="ON",P463,IF(SUM(Q463:DL463)&lt;1,"",SUM(Q463:DL463)/COUNTIF(Q463:DL463,"&gt;0")))</f>
        <v>0</v>
      </c>
      <c r="P463" s="109">
        <f>SUMIFS(Q463:DK463,Q$1:DK$1,Dashboard!$K$31)</f>
        <v>0</v>
      </c>
      <c r="U463" s="95">
        <v>33</v>
      </c>
      <c r="AA463" s="95">
        <v>25</v>
      </c>
      <c r="AH463" s="95">
        <v>75</v>
      </c>
    </row>
    <row r="464" spans="1:34" x14ac:dyDescent="0.3">
      <c r="A464" s="89" t="str">
        <f>CONCATENATE(D464,".",F464,"-",G464,".",H464,"")</f>
        <v>1.3-4.1</v>
      </c>
      <c r="B464" s="89" t="str">
        <f>IF(CONCATENATE(I464,Key!F$2)=CONCATENATE(INDEX(Dashboard!J:J,MATCH(I464,Dashboard!J:J,0),1),INDEX(Dashboard!J:K,MATCH(I464,Dashboard!J:J,0),2)),"ON",IF(Dashboard!K$32="ALL","ON","-"))</f>
        <v>-</v>
      </c>
      <c r="C464" s="88" t="s">
        <v>110</v>
      </c>
      <c r="D464" s="89">
        <f>IF(C464="ID",1,(IF(C464="PR",2,(IF(C464="DE",3,(IF(C464="RS",4,(IF(C464="RC",5,0)))))))))</f>
        <v>1</v>
      </c>
      <c r="E464" s="89" t="s">
        <v>136</v>
      </c>
      <c r="F464" s="89">
        <f>IF(E464="AM",1,(IF(E464="BE",2,(IF(E464="GV",3,(IF(E464="RA",4,(IF(E464="RM",5,(IF(E464="AC",1,(IF(E464="AT",2,(IF(E464="DS",3,(IF(E464="IP",4,(IF(E464="MA",5,(IF(E464="PT",6,(IF(E464="AE",1,(IF(E464="CM",2,(IF(E464="DP",3,(IF(E464="AN",1,(IF(E464="CO",2,(IF(E464="IM",3,(IF(E464="MI",4,(IF(E464="RP",5,(IF(E464="SC",6,0)))))))))))))))))))))))))))))))))))))))</f>
        <v>3</v>
      </c>
      <c r="G464" s="52">
        <v>4</v>
      </c>
      <c r="H464" s="90" t="s">
        <v>115</v>
      </c>
      <c r="I464" s="93" t="s">
        <v>85</v>
      </c>
      <c r="J464" s="135" t="s">
        <v>664</v>
      </c>
      <c r="K464" s="143" t="s">
        <v>4655</v>
      </c>
      <c r="L464" s="117">
        <f>IF(O464="","",N464*O464*M464)</f>
        <v>0</v>
      </c>
      <c r="M464" s="108">
        <v>1</v>
      </c>
      <c r="N464" s="95">
        <v>1</v>
      </c>
      <c r="O464" s="109">
        <f>IF(Key!D$1="ON",P464,IF(SUM(Q464:DL464)&lt;1,"",SUM(Q464:DL464)/COUNTIF(Q464:DL464,"&gt;0")))</f>
        <v>0</v>
      </c>
      <c r="P464" s="109">
        <f>SUMIFS(Q464:DK464,Q$1:DK$1,Dashboard!$K$31)</f>
        <v>0</v>
      </c>
      <c r="U464" s="95">
        <v>33</v>
      </c>
      <c r="AA464" s="95">
        <v>25</v>
      </c>
      <c r="AH464" s="95">
        <v>75</v>
      </c>
    </row>
    <row r="465" spans="1:34" x14ac:dyDescent="0.3">
      <c r="A465" s="89" t="str">
        <f>CONCATENATE(D465,".",F465,"-",G465,".",H465,"")</f>
        <v>1.3-4.1</v>
      </c>
      <c r="B465" s="89" t="str">
        <f>IF(CONCATENATE(I465,Key!F$2)=CONCATENATE(INDEX(Dashboard!J:J,MATCH(I465,Dashboard!J:J,0),1),INDEX(Dashboard!J:K,MATCH(I465,Dashboard!J:J,0),2)),"ON",IF(Dashboard!K$32="ALL","ON","-"))</f>
        <v>-</v>
      </c>
      <c r="C465" s="88" t="s">
        <v>110</v>
      </c>
      <c r="D465" s="89">
        <f>IF(C465="ID",1,(IF(C465="PR",2,(IF(C465="DE",3,(IF(C465="RS",4,(IF(C465="RC",5,0)))))))))</f>
        <v>1</v>
      </c>
      <c r="E465" s="89" t="s">
        <v>136</v>
      </c>
      <c r="F465" s="89">
        <f>IF(E465="AM",1,(IF(E465="BE",2,(IF(E465="GV",3,(IF(E465="RA",4,(IF(E465="RM",5,(IF(E465="AC",1,(IF(E465="AT",2,(IF(E465="DS",3,(IF(E465="IP",4,(IF(E465="MA",5,(IF(E465="PT",6,(IF(E465="AE",1,(IF(E465="CM",2,(IF(E465="DP",3,(IF(E465="AN",1,(IF(E465="CO",2,(IF(E465="IM",3,(IF(E465="MI",4,(IF(E465="RP",5,(IF(E465="SC",6,0)))))))))))))))))))))))))))))))))))))))</f>
        <v>3</v>
      </c>
      <c r="G465" s="52">
        <v>4</v>
      </c>
      <c r="H465" s="90" t="s">
        <v>115</v>
      </c>
      <c r="I465" s="93" t="s">
        <v>85</v>
      </c>
      <c r="J465" s="135" t="s">
        <v>665</v>
      </c>
      <c r="K465" s="143" t="s">
        <v>4656</v>
      </c>
      <c r="L465" s="117">
        <f>IF(O465="","",N465*O465*M465)</f>
        <v>0</v>
      </c>
      <c r="M465" s="108">
        <v>1</v>
      </c>
      <c r="N465" s="95">
        <v>1</v>
      </c>
      <c r="O465" s="109">
        <f>IF(Key!D$1="ON",P465,IF(SUM(Q465:DL465)&lt;1,"",SUM(Q465:DL465)/COUNTIF(Q465:DL465,"&gt;0")))</f>
        <v>0</v>
      </c>
      <c r="P465" s="109">
        <f>SUMIFS(Q465:DK465,Q$1:DK$1,Dashboard!$K$31)</f>
        <v>0</v>
      </c>
      <c r="U465" s="95">
        <v>33</v>
      </c>
      <c r="AA465" s="95">
        <v>25</v>
      </c>
      <c r="AH465" s="95">
        <v>75</v>
      </c>
    </row>
    <row r="466" spans="1:34" x14ac:dyDescent="0.3">
      <c r="A466" s="89" t="str">
        <f>CONCATENATE(D466,".",F466,"-",G466,".",H466,"")</f>
        <v>1.3-4.1</v>
      </c>
      <c r="B466" s="89" t="str">
        <f>IF(CONCATENATE(I466,Key!F$2)=CONCATENATE(INDEX(Dashboard!J:J,MATCH(I466,Dashboard!J:J,0),1),INDEX(Dashboard!J:K,MATCH(I466,Dashboard!J:J,0),2)),"ON",IF(Dashboard!K$32="ALL","ON","-"))</f>
        <v>-</v>
      </c>
      <c r="C466" s="96" t="s">
        <v>110</v>
      </c>
      <c r="D466" s="89">
        <f>IF(C466="ID",1,(IF(C466="PR",2,(IF(C466="DE",3,(IF(C466="RS",4,(IF(C466="RC",5,0)))))))))</f>
        <v>1</v>
      </c>
      <c r="E466" s="89" t="s">
        <v>136</v>
      </c>
      <c r="F466" s="89">
        <f>IF(E466="AM",1,(IF(E466="BE",2,(IF(E466="GV",3,(IF(E466="RA",4,(IF(E466="RM",5,(IF(E466="AC",1,(IF(E466="AT",2,(IF(E466="DS",3,(IF(E466="IP",4,(IF(E466="MA",5,(IF(E466="PT",6,(IF(E466="AE",1,(IF(E466="CM",2,(IF(E466="DP",3,(IF(E466="AN",1,(IF(E466="CO",2,(IF(E466="IM",3,(IF(E466="MI",4,(IF(E466="RP",5,(IF(E466="SC",6,0)))))))))))))))))))))))))))))))))))))))</f>
        <v>3</v>
      </c>
      <c r="G466" s="52">
        <v>4</v>
      </c>
      <c r="H466" s="90" t="s">
        <v>115</v>
      </c>
      <c r="I466" s="93" t="s">
        <v>89</v>
      </c>
      <c r="J466" s="88">
        <v>500</v>
      </c>
      <c r="K466" s="102" t="s">
        <v>434</v>
      </c>
      <c r="L466" s="117">
        <f>IF(O466="","",N466*O466*M466)</f>
        <v>0</v>
      </c>
      <c r="M466" s="108">
        <v>1</v>
      </c>
      <c r="N466" s="95">
        <v>1</v>
      </c>
      <c r="O466" s="109">
        <f>IF(Key!D$1="ON",P466,IF(SUM(Q466:DL466)&lt;1,"",SUM(Q466:DL466)/COUNTIF(Q466:DL466,"&gt;0")))</f>
        <v>0</v>
      </c>
      <c r="P466" s="109">
        <f>SUMIFS(Q466:DK466,Q$1:DK$1,Dashboard!$K$31)</f>
        <v>0</v>
      </c>
      <c r="U466" s="95">
        <v>33</v>
      </c>
      <c r="AA466" s="95">
        <v>25</v>
      </c>
      <c r="AH466" s="95">
        <v>75</v>
      </c>
    </row>
    <row r="467" spans="1:34" ht="15.6" x14ac:dyDescent="0.3">
      <c r="A467" s="89" t="str">
        <f>CONCATENATE(D467,".",F467,"-",G467,".",H467,"")</f>
        <v>1.3-4.1</v>
      </c>
      <c r="B467" s="89" t="str">
        <f>IF(CONCATENATE(I467,Key!F$2)=CONCATENATE(INDEX(Dashboard!J:J,MATCH(I467,Dashboard!J:J,0),1),INDEX(Dashboard!J:K,MATCH(I467,Dashboard!J:J,0),2)),"ON",IF(Dashboard!K$32="ALL","ON","-"))</f>
        <v>-</v>
      </c>
      <c r="C467" s="96" t="s">
        <v>110</v>
      </c>
      <c r="D467" s="89">
        <f>IF(C467="ID",1,(IF(C467="PR",2,(IF(C467="DE",3,(IF(C467="RS",4,(IF(C467="RC",5,0)))))))))</f>
        <v>1</v>
      </c>
      <c r="E467" s="89" t="s">
        <v>136</v>
      </c>
      <c r="F467" s="89">
        <f>IF(E467="AM",1,(IF(E467="BE",2,(IF(E467="GV",3,(IF(E467="RA",4,(IF(E467="RM",5,(IF(E467="AC",1,(IF(E467="AT",2,(IF(E467="DS",3,(IF(E467="IP",4,(IF(E467="MA",5,(IF(E467="PT",6,(IF(E467="AE",1,(IF(E467="CM",2,(IF(E467="DP",3,(IF(E467="AN",1,(IF(E467="CO",2,(IF(E467="IM",3,(IF(E467="MI",4,(IF(E467="RP",5,(IF(E467="SC",6,0)))))))))))))))))))))))))))))))))))))))</f>
        <v>3</v>
      </c>
      <c r="G467" s="52">
        <v>4</v>
      </c>
      <c r="H467" s="90" t="s">
        <v>115</v>
      </c>
      <c r="I467" s="93" t="s">
        <v>89</v>
      </c>
      <c r="J467" s="88" t="s">
        <v>351</v>
      </c>
      <c r="K467" s="102" t="s">
        <v>352</v>
      </c>
      <c r="L467" s="117">
        <f>IF(O467="","",N467*O467*M467)</f>
        <v>0</v>
      </c>
      <c r="M467" s="108">
        <v>1</v>
      </c>
      <c r="N467" s="95">
        <v>1</v>
      </c>
      <c r="O467" s="109">
        <f>IF(Key!D$1="ON",P467,IF(SUM(Q467:DL467)&lt;1,"",SUM(Q467:DL467)/COUNTIF(Q467:DL467,"&gt;0")))</f>
        <v>0</v>
      </c>
      <c r="P467" s="109">
        <f>SUMIFS(Q467:DK467,Q$1:DK$1,Dashboard!$K$31)</f>
        <v>0</v>
      </c>
      <c r="U467" s="95">
        <v>33</v>
      </c>
      <c r="AA467" s="95">
        <v>25</v>
      </c>
      <c r="AH467" s="95">
        <v>75</v>
      </c>
    </row>
    <row r="468" spans="1:34" x14ac:dyDescent="0.3">
      <c r="A468" s="89" t="str">
        <f>CONCATENATE(D468,".",F468,"-",G468,".",H468,"")</f>
        <v>1.3-4.1</v>
      </c>
      <c r="B468" s="89" t="str">
        <f>IF(CONCATENATE(I468,Key!F$2)=CONCATENATE(INDEX(Dashboard!J:J,MATCH(I468,Dashboard!J:J,0),1),INDEX(Dashboard!J:K,MATCH(I468,Dashboard!J:J,0),2)),"ON",IF(Dashboard!K$32="ALL","ON","-"))</f>
        <v>-</v>
      </c>
      <c r="C468" s="88" t="s">
        <v>110</v>
      </c>
      <c r="D468" s="89">
        <f>IF(C468="ID",1,(IF(C468="PR",2,(IF(C468="DE",3,(IF(C468="RS",4,(IF(C468="RC",5,0)))))))))</f>
        <v>1</v>
      </c>
      <c r="E468" s="89" t="s">
        <v>136</v>
      </c>
      <c r="F468" s="89">
        <f>IF(E468="AM",1,(IF(E468="BE",2,(IF(E468="GV",3,(IF(E468="RA",4,(IF(E468="RM",5,(IF(E468="AC",1,(IF(E468="AT",2,(IF(E468="DS",3,(IF(E468="IP",4,(IF(E468="MA",5,(IF(E468="PT",6,(IF(E468="AE",1,(IF(E468="CM",2,(IF(E468="DP",3,(IF(E468="AN",1,(IF(E468="CO",2,(IF(E468="IM",3,(IF(E468="MI",4,(IF(E468="RP",5,(IF(E468="SC",6,0)))))))))))))))))))))))))))))))))))))))</f>
        <v>3</v>
      </c>
      <c r="G468" s="52">
        <v>4</v>
      </c>
      <c r="H468" s="90" t="s">
        <v>115</v>
      </c>
      <c r="I468" s="93" t="s">
        <v>92</v>
      </c>
      <c r="J468" s="88">
        <v>8.1</v>
      </c>
      <c r="K468" s="102" t="s">
        <v>5226</v>
      </c>
      <c r="L468" s="117">
        <f>IF(O468="","",N468*O468*M468)</f>
        <v>0</v>
      </c>
      <c r="M468" s="108">
        <v>1</v>
      </c>
      <c r="N468" s="95">
        <v>1</v>
      </c>
      <c r="O468" s="109">
        <f>IF(Key!D$1="ON",P468,IF(SUM(Q468:DL468)&lt;1,"",SUM(Q468:DL468)/COUNTIF(Q468:DL468,"&gt;0")))</f>
        <v>0</v>
      </c>
      <c r="P468" s="109">
        <f>SUMIFS(Q468:DK468,Q$1:DK$1,Dashboard!$K$31)</f>
        <v>0</v>
      </c>
      <c r="U468" s="95">
        <v>33</v>
      </c>
      <c r="AA468" s="95">
        <v>25</v>
      </c>
      <c r="AH468" s="95">
        <v>75</v>
      </c>
    </row>
    <row r="469" spans="1:34" x14ac:dyDescent="0.3">
      <c r="A469" s="89" t="str">
        <f>CONCATENATE(D469,".",F469,"-",G469,".",H469,"")</f>
        <v>1.3-4.1</v>
      </c>
      <c r="B469" s="89" t="str">
        <f>IF(CONCATENATE(I469,Key!F$2)=CONCATENATE(INDEX(Dashboard!J:J,MATCH(I469,Dashboard!J:J,0),1),INDEX(Dashboard!J:K,MATCH(I469,Dashboard!J:J,0),2)),"ON",IF(Dashboard!K$32="ALL","ON","-"))</f>
        <v>-</v>
      </c>
      <c r="C469" s="96" t="s">
        <v>110</v>
      </c>
      <c r="D469" s="89">
        <f>IF(C469="ID",1,(IF(C469="PR",2,(IF(C469="DE",3,(IF(C469="RS",4,(IF(C469="RC",5,0)))))))))</f>
        <v>1</v>
      </c>
      <c r="E469" s="89" t="s">
        <v>136</v>
      </c>
      <c r="F469" s="89">
        <f>IF(E469="AM",1,(IF(E469="BE",2,(IF(E469="GV",3,(IF(E469="RA",4,(IF(E469="RM",5,(IF(E469="AC",1,(IF(E469="AT",2,(IF(E469="DS",3,(IF(E469="IP",4,(IF(E469="MA",5,(IF(E469="PT",6,(IF(E469="AE",1,(IF(E469="CM",2,(IF(E469="DP",3,(IF(E469="AN",1,(IF(E469="CO",2,(IF(E469="IM",3,(IF(E469="MI",4,(IF(E469="RP",5,(IF(E469="SC",6,0)))))))))))))))))))))))))))))))))))))))</f>
        <v>3</v>
      </c>
      <c r="G469" s="98">
        <v>4</v>
      </c>
      <c r="H469" s="90" t="s">
        <v>115</v>
      </c>
      <c r="I469" s="93" t="s">
        <v>92</v>
      </c>
      <c r="J469" s="87">
        <v>12.2</v>
      </c>
      <c r="K469" s="102" t="s">
        <v>5226</v>
      </c>
      <c r="L469" s="117">
        <f>IF(O469="","",N469*O469*M469)</f>
        <v>0</v>
      </c>
      <c r="M469" s="108">
        <v>1</v>
      </c>
      <c r="N469" s="95">
        <v>1</v>
      </c>
      <c r="O469" s="109">
        <f>IF(Key!D$1="ON",P469,IF(SUM(Q469:DL469)&lt;1,"",SUM(Q469:DL469)/COUNTIF(Q469:DL469,"&gt;0")))</f>
        <v>0</v>
      </c>
      <c r="P469" s="109">
        <f>SUMIFS(Q469:DK469,Q$1:DK$1,Dashboard!$K$31)</f>
        <v>0</v>
      </c>
      <c r="U469" s="95">
        <v>33</v>
      </c>
      <c r="AA469" s="95">
        <v>25</v>
      </c>
      <c r="AH469" s="95">
        <v>75</v>
      </c>
    </row>
    <row r="470" spans="1:34" x14ac:dyDescent="0.3">
      <c r="A470" s="89" t="str">
        <f>CONCATENATE(D470,".",F470,"-",G470,".",H470,"")</f>
        <v>1.3-4.1</v>
      </c>
      <c r="B470" s="89" t="str">
        <f>IF(CONCATENATE(I470,Key!F$2)=CONCATENATE(INDEX(Dashboard!J:J,MATCH(I470,Dashboard!J:J,0),1),INDEX(Dashboard!J:K,MATCH(I470,Dashboard!J:J,0),2)),"ON",IF(Dashboard!K$32="ALL","ON","-"))</f>
        <v>-</v>
      </c>
      <c r="C470" s="96" t="s">
        <v>110</v>
      </c>
      <c r="D470" s="89">
        <f>IF(C470="ID",1,(IF(C470="PR",2,(IF(C470="DE",3,(IF(C470="RS",4,(IF(C470="RC",5,0)))))))))</f>
        <v>1</v>
      </c>
      <c r="E470" s="89" t="s">
        <v>136</v>
      </c>
      <c r="F470" s="89">
        <f>IF(E470="AM",1,(IF(E470="BE",2,(IF(E470="GV",3,(IF(E470="RA",4,(IF(E470="RM",5,(IF(E470="AC",1,(IF(E470="AT",2,(IF(E470="DS",3,(IF(E470="IP",4,(IF(E470="MA",5,(IF(E470="PT",6,(IF(E470="AE",1,(IF(E470="CM",2,(IF(E470="DP",3,(IF(E470="AN",1,(IF(E470="CO",2,(IF(E470="IM",3,(IF(E470="MI",4,(IF(E470="RP",5,(IF(E470="SC",6,0)))))))))))))))))))))))))))))))))))))))</f>
        <v>3</v>
      </c>
      <c r="G470" s="52">
        <v>4</v>
      </c>
      <c r="H470" s="90" t="s">
        <v>115</v>
      </c>
      <c r="I470" s="93" t="s">
        <v>92</v>
      </c>
      <c r="J470" s="88" t="s">
        <v>139</v>
      </c>
      <c r="K470" s="102" t="s">
        <v>5226</v>
      </c>
      <c r="L470" s="117">
        <f>IF(O470="","",N470*O470*M470)</f>
        <v>0</v>
      </c>
      <c r="M470" s="108">
        <v>1</v>
      </c>
      <c r="N470" s="95">
        <v>1</v>
      </c>
      <c r="O470" s="109">
        <f>IF(Key!D$1="ON",P470,IF(SUM(Q470:DL470)&lt;1,"",SUM(Q470:DL470)/COUNTIF(Q470:DL470,"&gt;0")))</f>
        <v>0</v>
      </c>
      <c r="P470" s="109">
        <f>SUMIFS(Q470:DK470,Q$1:DK$1,Dashboard!$K$31)</f>
        <v>0</v>
      </c>
      <c r="U470" s="95">
        <v>33</v>
      </c>
      <c r="AA470" s="95">
        <v>25</v>
      </c>
      <c r="AH470" s="95">
        <v>75</v>
      </c>
    </row>
    <row r="471" spans="1:34" x14ac:dyDescent="0.3">
      <c r="A471" s="89" t="str">
        <f>CONCATENATE(D471,".",F471,"-",G471,".",H471,"")</f>
        <v>1.3-4.3</v>
      </c>
      <c r="B471" s="89" t="str">
        <f>IF(CONCATENATE(I471,Key!F$2)=CONCATENATE(INDEX(Dashboard!J:J,MATCH(I471,Dashboard!J:J,0),1),INDEX(Dashboard!J:K,MATCH(I471,Dashboard!J:J,0),2)),"ON",IF(Dashboard!K$32="ALL","ON","-"))</f>
        <v>-</v>
      </c>
      <c r="C471" s="88" t="s">
        <v>110</v>
      </c>
      <c r="D471" s="89">
        <f>IF(C471="ID",1,(IF(C471="PR",2,(IF(C471="DE",3,(IF(C471="RS",4,(IF(C471="RC",5,0)))))))))</f>
        <v>1</v>
      </c>
      <c r="E471" s="89" t="s">
        <v>136</v>
      </c>
      <c r="F471" s="89">
        <f>IF(E471="AM",1,(IF(E471="BE",2,(IF(E471="GV",3,(IF(E471="RA",4,(IF(E471="RM",5,(IF(E471="AC",1,(IF(E471="AT",2,(IF(E471="DS",3,(IF(E471="IP",4,(IF(E471="MA",5,(IF(E471="PT",6,(IF(E471="AE",1,(IF(E471="CM",2,(IF(E471="DP",3,(IF(E471="AN",1,(IF(E471="CO",2,(IF(E471="IM",3,(IF(E471="MI",4,(IF(E471="RP",5,(IF(E471="SC",6,0)))))))))))))))))))))))))))))))))))))))</f>
        <v>3</v>
      </c>
      <c r="G471" s="52">
        <v>4</v>
      </c>
      <c r="H471" s="90" t="s">
        <v>280</v>
      </c>
      <c r="I471" s="93" t="s">
        <v>60</v>
      </c>
      <c r="J471" s="87" t="s">
        <v>3153</v>
      </c>
      <c r="K471" s="51" t="s">
        <v>5266</v>
      </c>
      <c r="L471" s="117">
        <f>IF(O471="","",N471*O471*M471)</f>
        <v>0</v>
      </c>
      <c r="M471" s="108">
        <v>1</v>
      </c>
      <c r="N471" s="95">
        <v>1</v>
      </c>
      <c r="O471" s="109">
        <f>IF(Key!D$1="ON",P471,IF(SUM(Q471:DL471)&lt;1,"",SUM(Q471:DL471)/COUNTIF(Q471:DL471,"&gt;0")))</f>
        <v>0</v>
      </c>
      <c r="P471" s="109">
        <f>SUMIFS(Q471:DK471,Q$1:DK$1,Dashboard!$K$31)</f>
        <v>0</v>
      </c>
      <c r="U471" s="95">
        <v>33</v>
      </c>
      <c r="AA471" s="95">
        <v>25</v>
      </c>
      <c r="AH471" s="95">
        <v>75</v>
      </c>
    </row>
    <row r="472" spans="1:34" x14ac:dyDescent="0.3">
      <c r="A472" s="89" t="str">
        <f>CONCATENATE(D472,".",F472,"-",G472,".",H472,"")</f>
        <v>1.3-4.3</v>
      </c>
      <c r="B472" s="89" t="str">
        <f>IF(CONCATENATE(I472,Key!F$2)=CONCATENATE(INDEX(Dashboard!J:J,MATCH(I472,Dashboard!J:J,0),1),INDEX(Dashboard!J:K,MATCH(I472,Dashboard!J:J,0),2)),"ON",IF(Dashboard!K$32="ALL","ON","-"))</f>
        <v>-</v>
      </c>
      <c r="C472" s="88" t="s">
        <v>110</v>
      </c>
      <c r="D472" s="89">
        <f>IF(C472="ID",1,(IF(C472="PR",2,(IF(C472="DE",3,(IF(C472="RS",4,(IF(C472="RC",5,0)))))))))</f>
        <v>1</v>
      </c>
      <c r="E472" s="89" t="s">
        <v>136</v>
      </c>
      <c r="F472" s="89">
        <f>IF(E472="AM",1,(IF(E472="BE",2,(IF(E472="GV",3,(IF(E472="RA",4,(IF(E472="RM",5,(IF(E472="AC",1,(IF(E472="AT",2,(IF(E472="DS",3,(IF(E472="IP",4,(IF(E472="MA",5,(IF(E472="PT",6,(IF(E472="AE",1,(IF(E472="CM",2,(IF(E472="DP",3,(IF(E472="AN",1,(IF(E472="CO",2,(IF(E472="IM",3,(IF(E472="MI",4,(IF(E472="RP",5,(IF(E472="SC",6,0)))))))))))))))))))))))))))))))))))))))</f>
        <v>3</v>
      </c>
      <c r="G472" s="52">
        <v>4</v>
      </c>
      <c r="H472" s="90" t="s">
        <v>280</v>
      </c>
      <c r="I472" s="93" t="s">
        <v>60</v>
      </c>
      <c r="J472" s="87" t="s">
        <v>3154</v>
      </c>
      <c r="K472" s="51" t="s">
        <v>5267</v>
      </c>
      <c r="L472" s="117">
        <f>IF(O472="","",N472*O472*M472)</f>
        <v>0</v>
      </c>
      <c r="M472" s="108">
        <v>1</v>
      </c>
      <c r="N472" s="95">
        <v>1</v>
      </c>
      <c r="O472" s="109">
        <f>IF(Key!D$1="ON",P472,IF(SUM(Q472:DL472)&lt;1,"",SUM(Q472:DL472)/COUNTIF(Q472:DL472,"&gt;0")))</f>
        <v>0</v>
      </c>
      <c r="P472" s="109">
        <f>SUMIFS(Q472:DK472,Q$1:DK$1,Dashboard!$K$31)</f>
        <v>0</v>
      </c>
      <c r="U472" s="95">
        <v>33</v>
      </c>
      <c r="AA472" s="95">
        <v>25</v>
      </c>
      <c r="AH472" s="95">
        <v>75</v>
      </c>
    </row>
    <row r="473" spans="1:34" x14ac:dyDescent="0.3">
      <c r="A473" s="89" t="str">
        <f>CONCATENATE(D473,".",F473,"-",G473,".",H473,"")</f>
        <v>1.3-4.5</v>
      </c>
      <c r="B473" s="89" t="str">
        <f>IF(CONCATENATE(I473,Key!F$2)=CONCATENATE(INDEX(Dashboard!J:J,MATCH(I473,Dashboard!J:J,0),1),INDEX(Dashboard!J:K,MATCH(I473,Dashboard!J:J,0),2)),"ON",IF(Dashboard!K$32="ALL","ON","-"))</f>
        <v>-</v>
      </c>
      <c r="C473" s="88" t="s">
        <v>110</v>
      </c>
      <c r="D473" s="89">
        <f>IF(C473="ID",1,(IF(C473="PR",2,(IF(C473="DE",3,(IF(C473="RS",4,(IF(C473="RC",5,0)))))))))</f>
        <v>1</v>
      </c>
      <c r="E473" s="89" t="s">
        <v>136</v>
      </c>
      <c r="F473" s="89">
        <f>IF(E473="AM",1,(IF(E473="BE",2,(IF(E473="GV",3,(IF(E473="RA",4,(IF(E473="RM",5,(IF(E473="AC",1,(IF(E473="AT",2,(IF(E473="DS",3,(IF(E473="IP",4,(IF(E473="MA",5,(IF(E473="PT",6,(IF(E473="AE",1,(IF(E473="CM",2,(IF(E473="DP",3,(IF(E473="AN",1,(IF(E473="CO",2,(IF(E473="IM",3,(IF(E473="MI",4,(IF(E473="RP",5,(IF(E473="SC",6,0)))))))))))))))))))))))))))))))))))))))</f>
        <v>3</v>
      </c>
      <c r="G473" s="52">
        <v>4</v>
      </c>
      <c r="H473" s="90" t="s">
        <v>123</v>
      </c>
      <c r="I473" s="93" t="s">
        <v>77</v>
      </c>
      <c r="J473" s="87" t="s">
        <v>1034</v>
      </c>
      <c r="K473" s="102" t="s">
        <v>2086</v>
      </c>
      <c r="L473" s="117">
        <f>IF(O473="","",N473*O473*M473)</f>
        <v>0</v>
      </c>
      <c r="M473" s="108">
        <v>1</v>
      </c>
      <c r="N473" s="95">
        <v>1</v>
      </c>
      <c r="O473" s="109">
        <f>IF(Key!D$1="ON",P473,IF(SUM(Q473:DL473)&lt;1,"",SUM(Q473:DL473)/COUNTIF(Q473:DL473,"&gt;0")))</f>
        <v>0</v>
      </c>
      <c r="P473" s="109">
        <f>SUMIFS(Q473:DK473,Q$1:DK$1,Dashboard!$K$31)</f>
        <v>0</v>
      </c>
      <c r="U473" s="95">
        <v>33</v>
      </c>
      <c r="AA473" s="95">
        <v>25</v>
      </c>
      <c r="AH473" s="95">
        <v>75</v>
      </c>
    </row>
    <row r="474" spans="1:34" x14ac:dyDescent="0.3">
      <c r="A474" s="89" t="str">
        <f>CONCATENATE(D474,".",F474,"-",G474,".",H474,"")</f>
        <v>1.4-0.0</v>
      </c>
      <c r="B474" s="89" t="str">
        <f>IF(CONCATENATE(I474,Key!F$2)=CONCATENATE(INDEX(Dashboard!J:J,MATCH(I474,Dashboard!J:J,0),1),INDEX(Dashboard!J:K,MATCH(I474,Dashboard!J:J,0),2)),"ON",IF(Dashboard!K$32="ALL","ON","-"))</f>
        <v>-</v>
      </c>
      <c r="C474" s="96" t="s">
        <v>110</v>
      </c>
      <c r="D474" s="89">
        <f>IF(C474="ID",1,(IF(C474="PR",2,(IF(C474="DE",3,(IF(C474="RS",4,(IF(C474="RC",5,0)))))))))</f>
        <v>1</v>
      </c>
      <c r="E474" s="89" t="s">
        <v>140</v>
      </c>
      <c r="F474" s="89">
        <f>IF(E474="AM",1,(IF(E474="BE",2,(IF(E474="GV",3,(IF(E474="RA",4,(IF(E474="RM",5,(IF(E474="AC",1,(IF(E474="AT",2,(IF(E474="DS",3,(IF(E474="IP",4,(IF(E474="MA",5,(IF(E474="PT",6,(IF(E474="AE",1,(IF(E474="CM",2,(IF(E474="DP",3,(IF(E474="AN",1,(IF(E474="CO",2,(IF(E474="IM",3,(IF(E474="MI",4,(IF(E474="RP",5,(IF(E474="SC",6,0)))))))))))))))))))))))))))))))))))))))</f>
        <v>4</v>
      </c>
      <c r="G474" s="52">
        <v>0</v>
      </c>
      <c r="H474" s="90" t="s">
        <v>347</v>
      </c>
      <c r="I474" s="93" t="s">
        <v>2835</v>
      </c>
      <c r="J474" s="153" t="s">
        <v>2875</v>
      </c>
      <c r="K474" s="152" t="s">
        <v>2876</v>
      </c>
      <c r="L474" s="117">
        <f>IF(O474="","",N474*O474*M474)</f>
        <v>0</v>
      </c>
      <c r="M474" s="108">
        <v>1</v>
      </c>
      <c r="N474" s="95">
        <v>1</v>
      </c>
      <c r="O474" s="109">
        <f>IF(Key!D$1="ON",P474,IF(SUM(Q474:DL474)&lt;1,"",SUM(Q474:DL474)/COUNTIF(Q474:DL474,"&gt;0")))</f>
        <v>0</v>
      </c>
      <c r="P474" s="109">
        <f>SUMIFS(Q474:DK474,Q$1:DK$1,Dashboard!$K$31)</f>
        <v>0</v>
      </c>
      <c r="Q474" s="110">
        <v>83</v>
      </c>
      <c r="U474" s="95">
        <v>33</v>
      </c>
    </row>
    <row r="475" spans="1:34" x14ac:dyDescent="0.3">
      <c r="A475" s="89" t="str">
        <f>CONCATENATE(D475,".",F475,"-",G475,".",H475,"")</f>
        <v>1.4-0.1</v>
      </c>
      <c r="B475" s="89" t="str">
        <f>IF(CONCATENATE(I475,Key!F$2)=CONCATENATE(INDEX(Dashboard!J:J,MATCH(I475,Dashboard!J:J,0),1),INDEX(Dashboard!J:K,MATCH(I475,Dashboard!J:J,0),2)),"ON",IF(Dashboard!K$32="ALL","ON","-"))</f>
        <v>-</v>
      </c>
      <c r="C475" s="96" t="s">
        <v>110</v>
      </c>
      <c r="D475" s="89">
        <f>IF(C475="ID",1,(IF(C475="PR",2,(IF(C475="DE",3,(IF(C475="RS",4,(IF(C475="RC",5,0)))))))))</f>
        <v>1</v>
      </c>
      <c r="E475" s="89" t="s">
        <v>140</v>
      </c>
      <c r="F475" s="89">
        <f>IF(E475="AM",1,(IF(E475="BE",2,(IF(E475="GV",3,(IF(E475="RA",4,(IF(E475="RM",5,(IF(E475="AC",1,(IF(E475="AT",2,(IF(E475="DS",3,(IF(E475="IP",4,(IF(E475="MA",5,(IF(E475="PT",6,(IF(E475="AE",1,(IF(E475="CM",2,(IF(E475="DP",3,(IF(E475="AN",1,(IF(E475="CO",2,(IF(E475="IM",3,(IF(E475="MI",4,(IF(E475="RP",5,(IF(E475="SC",6,0)))))))))))))))))))))))))))))))))))))))</f>
        <v>4</v>
      </c>
      <c r="G475" s="52">
        <v>0</v>
      </c>
      <c r="H475" s="90" t="s">
        <v>115</v>
      </c>
      <c r="I475" s="93" t="s">
        <v>2835</v>
      </c>
      <c r="J475" s="153" t="s">
        <v>2875</v>
      </c>
      <c r="K475" s="152" t="s">
        <v>2877</v>
      </c>
      <c r="L475" s="117">
        <f>IF(O475="","",N475*O475*M475)</f>
        <v>0</v>
      </c>
      <c r="M475" s="108">
        <v>1</v>
      </c>
      <c r="N475" s="95">
        <v>1</v>
      </c>
      <c r="O475" s="109">
        <f>IF(Key!D$1="ON",P475,IF(SUM(Q475:DL475)&lt;1,"",SUM(Q475:DL475)/COUNTIF(Q475:DL475,"&gt;0")))</f>
        <v>0</v>
      </c>
      <c r="P475" s="109">
        <f>SUMIFS(Q475:DK475,Q$1:DK$1,Dashboard!$K$31)</f>
        <v>0</v>
      </c>
      <c r="Q475" s="110">
        <v>83</v>
      </c>
      <c r="U475" s="95">
        <v>33</v>
      </c>
      <c r="AA475" s="95">
        <v>50</v>
      </c>
    </row>
    <row r="476" spans="1:34" x14ac:dyDescent="0.3">
      <c r="A476" s="89" t="str">
        <f>CONCATENATE(D476,".",F476,"-",G476,".",H476,"")</f>
        <v>1.4-1.0</v>
      </c>
      <c r="B476" s="89" t="str">
        <f>IF(CONCATENATE(I476,Key!F$2)=CONCATENATE(INDEX(Dashboard!J:J,MATCH(I476,Dashboard!J:J,0),1),INDEX(Dashboard!J:K,MATCH(I476,Dashboard!J:J,0),2)),"ON",IF(Dashboard!K$32="ALL","ON","-"))</f>
        <v>-</v>
      </c>
      <c r="C476" s="96" t="s">
        <v>110</v>
      </c>
      <c r="D476" s="89">
        <f>IF(C476="ID",1,(IF(C476="PR",2,(IF(C476="DE",3,(IF(C476="RS",4,(IF(C476="RC",5,0)))))))))</f>
        <v>1</v>
      </c>
      <c r="E476" s="89" t="s">
        <v>140</v>
      </c>
      <c r="F476" s="89">
        <f>IF(E476="AM",1,(IF(E476="BE",2,(IF(E476="GV",3,(IF(E476="RA",4,(IF(E476="RM",5,(IF(E476="AC",1,(IF(E476="AT",2,(IF(E476="DS",3,(IF(E476="IP",4,(IF(E476="MA",5,(IF(E476="PT",6,(IF(E476="AE",1,(IF(E476="CM",2,(IF(E476="DP",3,(IF(E476="AN",1,(IF(E476="CO",2,(IF(E476="IM",3,(IF(E476="MI",4,(IF(E476="RP",5,(IF(E476="SC",6,0)))))))))))))))))))))))))))))))))))))))</f>
        <v>4</v>
      </c>
      <c r="G476" s="52">
        <v>1</v>
      </c>
      <c r="H476" s="90" t="s">
        <v>347</v>
      </c>
      <c r="I476" s="93" t="s">
        <v>2835</v>
      </c>
      <c r="J476" s="53" t="s">
        <v>2878</v>
      </c>
      <c r="K476" s="152" t="s">
        <v>2879</v>
      </c>
      <c r="L476" s="117">
        <f>IF(O476="","",N476*O476*M476)</f>
        <v>0</v>
      </c>
      <c r="M476" s="108">
        <v>1</v>
      </c>
      <c r="N476" s="95">
        <v>1</v>
      </c>
      <c r="O476" s="109">
        <f>IF(Key!D$1="ON",P476,IF(SUM(Q476:DL476)&lt;1,"",SUM(Q476:DL476)/COUNTIF(Q476:DL476,"&gt;0")))</f>
        <v>0</v>
      </c>
      <c r="P476" s="109">
        <f>SUMIFS(Q476:DK476,Q$1:DK$1,Dashboard!$K$31)</f>
        <v>0</v>
      </c>
      <c r="U476" s="95">
        <v>33</v>
      </c>
    </row>
    <row r="477" spans="1:34" x14ac:dyDescent="0.3">
      <c r="A477" s="89" t="str">
        <f>CONCATENATE(D477,".",F477,"-",G477,".",H477,"")</f>
        <v>1.4-1.1</v>
      </c>
      <c r="B477" s="89" t="str">
        <f>IF(CONCATENATE(I477,Key!F$2)=CONCATENATE(INDEX(Dashboard!J:J,MATCH(I477,Dashboard!J:J,0),1),INDEX(Dashboard!J:K,MATCH(I477,Dashboard!J:J,0),2)),"ON",IF(Dashboard!K$32="ALL","ON","-"))</f>
        <v>ON</v>
      </c>
      <c r="C477" s="96" t="s">
        <v>110</v>
      </c>
      <c r="D477" s="89">
        <f>IF(C477="ID",1,(IF(C477="PR",2,(IF(C477="DE",3,(IF(C477="RS",4,(IF(C477="RC",5,0)))))))))</f>
        <v>1</v>
      </c>
      <c r="E477" s="89" t="s">
        <v>140</v>
      </c>
      <c r="F477" s="89">
        <f>IF(E477="AM",1,(IF(E477="BE",2,(IF(E477="GV",3,(IF(E477="RA",4,(IF(E477="RM",5,(IF(E477="AC",1,(IF(E477="AT",2,(IF(E477="DS",3,(IF(E477="IP",4,(IF(E477="MA",5,(IF(E477="PT",6,(IF(E477="AE",1,(IF(E477="CM",2,(IF(E477="DP",3,(IF(E477="AN",1,(IF(E477="CO",2,(IF(E477="IM",3,(IF(E477="MI",4,(IF(E477="RP",5,(IF(E477="SC",6,0)))))))))))))))))))))))))))))))))))))))</f>
        <v>4</v>
      </c>
      <c r="G477" s="98">
        <v>1</v>
      </c>
      <c r="H477" s="90" t="s">
        <v>115</v>
      </c>
      <c r="I477" s="93" t="s">
        <v>4107</v>
      </c>
      <c r="J477" s="86" t="s">
        <v>4062</v>
      </c>
      <c r="K477" s="101" t="s">
        <v>4468</v>
      </c>
      <c r="L477" s="117">
        <f>IF(O477="","",N477*O477*M477)</f>
        <v>0</v>
      </c>
      <c r="M477" s="108">
        <v>1</v>
      </c>
      <c r="N477" s="95">
        <v>1</v>
      </c>
      <c r="O477" s="109">
        <f>IF(Key!D$1="ON",P477,IF(SUM(Q477:DL477)&lt;1,"",SUM(Q477:DL477)/COUNTIF(Q477:DL477,"&gt;0")))</f>
        <v>0</v>
      </c>
      <c r="P477" s="109">
        <f>SUMIFS(Q477:DK477,Q$1:DK$1,Dashboard!$K$31)</f>
        <v>0</v>
      </c>
      <c r="U477" s="95">
        <v>33</v>
      </c>
      <c r="AA477" s="95">
        <v>25</v>
      </c>
      <c r="AH477" s="95">
        <v>75</v>
      </c>
    </row>
    <row r="478" spans="1:34" x14ac:dyDescent="0.3">
      <c r="A478" s="89" t="str">
        <f>CONCATENATE(D478,".",F478,"-",G478,".",H478,"")</f>
        <v>1.4-1.1</v>
      </c>
      <c r="B478" s="89" t="str">
        <f>IF(CONCATENATE(I478,Key!F$2)=CONCATENATE(INDEX(Dashboard!J:J,MATCH(I478,Dashboard!J:J,0),1),INDEX(Dashboard!J:K,MATCH(I478,Dashboard!J:J,0),2)),"ON",IF(Dashboard!K$32="ALL","ON","-"))</f>
        <v>ON</v>
      </c>
      <c r="C478" s="88" t="s">
        <v>110</v>
      </c>
      <c r="D478" s="89">
        <f>IF(C478="ID",1,(IF(C478="PR",2,(IF(C478="DE",3,(IF(C478="RS",4,(IF(C478="RC",5,0)))))))))</f>
        <v>1</v>
      </c>
      <c r="E478" s="89" t="s">
        <v>140</v>
      </c>
      <c r="F478" s="89">
        <f>IF(E478="AM",1,(IF(E478="BE",2,(IF(E478="GV",3,(IF(E478="RA",4,(IF(E478="RM",5,(IF(E478="AC",1,(IF(E478="AT",2,(IF(E478="DS",3,(IF(E478="IP",4,(IF(E478="MA",5,(IF(E478="PT",6,(IF(E478="AE",1,(IF(E478="CM",2,(IF(E478="DP",3,(IF(E478="AN",1,(IF(E478="CO",2,(IF(E478="IM",3,(IF(E478="MI",4,(IF(E478="RP",5,(IF(E478="SC",6,0)))))))))))))))))))))))))))))))))))))))</f>
        <v>4</v>
      </c>
      <c r="G478" s="52">
        <v>1</v>
      </c>
      <c r="H478" s="90" t="s">
        <v>115</v>
      </c>
      <c r="I478" s="93" t="s">
        <v>4107</v>
      </c>
      <c r="J478" s="86" t="s">
        <v>4063</v>
      </c>
      <c r="K478" s="101" t="s">
        <v>4403</v>
      </c>
      <c r="L478" s="117">
        <f>IF(O478="","",N478*O478*M478)</f>
        <v>0</v>
      </c>
      <c r="M478" s="108">
        <v>1</v>
      </c>
      <c r="N478" s="95">
        <v>1</v>
      </c>
      <c r="O478" s="109">
        <f>IF(Key!D$1="ON",P478,IF(SUM(Q478:DL478)&lt;1,"",SUM(Q478:DL478)/COUNTIF(Q478:DL478,"&gt;0")))</f>
        <v>0</v>
      </c>
      <c r="P478" s="109">
        <f>SUMIFS(Q478:DK478,Q$1:DK$1,Dashboard!$K$31)</f>
        <v>0</v>
      </c>
      <c r="U478" s="95">
        <v>33</v>
      </c>
      <c r="AA478" s="95">
        <v>25</v>
      </c>
      <c r="AH478" s="95">
        <v>75</v>
      </c>
    </row>
    <row r="479" spans="1:34" x14ac:dyDescent="0.3">
      <c r="A479" s="89" t="str">
        <f>CONCATENATE(D479,".",F479,"-",G479,".",H479,"")</f>
        <v>1.4-1.1</v>
      </c>
      <c r="B479" s="89" t="str">
        <f>IF(CONCATENATE(I479,Key!F$2)=CONCATENATE(INDEX(Dashboard!J:J,MATCH(I479,Dashboard!J:J,0),1),INDEX(Dashboard!J:K,MATCH(I479,Dashboard!J:J,0),2)),"ON",IF(Dashboard!K$32="ALL","ON","-"))</f>
        <v>ON</v>
      </c>
      <c r="C479" s="130" t="s">
        <v>110</v>
      </c>
      <c r="D479" s="89">
        <f>IF(C479="ID",1,(IF(C479="PR",2,(IF(C479="DE",3,(IF(C479="RS",4,(IF(C479="RC",5,0)))))))))</f>
        <v>1</v>
      </c>
      <c r="E479" s="95" t="s">
        <v>140</v>
      </c>
      <c r="F479" s="89">
        <f>IF(E479="AM",1,(IF(E479="BE",2,(IF(E479="GV",3,(IF(E479="RA",4,(IF(E479="RM",5,(IF(E479="AC",1,(IF(E479="AT",2,(IF(E479="DS",3,(IF(E479="IP",4,(IF(E479="MA",5,(IF(E479="PT",6,(IF(E479="AE",1,(IF(E479="CM",2,(IF(E479="DP",3,(IF(E479="AN",1,(IF(E479="CO",2,(IF(E479="IM",3,(IF(E479="MI",4,(IF(E479="RP",5,(IF(E479="SC",6,0)))))))))))))))))))))))))))))))))))))))</f>
        <v>4</v>
      </c>
      <c r="G479" s="52">
        <v>1</v>
      </c>
      <c r="H479" s="90" t="s">
        <v>115</v>
      </c>
      <c r="I479" s="93" t="s">
        <v>4107</v>
      </c>
      <c r="J479" s="86" t="s">
        <v>4044</v>
      </c>
      <c r="K479" s="101" t="s">
        <v>4460</v>
      </c>
      <c r="L479" s="117">
        <f>IF(O479="","",N479*O479*M479)</f>
        <v>0</v>
      </c>
      <c r="M479" s="108">
        <v>1</v>
      </c>
      <c r="N479" s="95">
        <v>1</v>
      </c>
      <c r="O479" s="109">
        <f>IF(Key!D$1="ON",P479,IF(SUM(Q479:DL479)&lt;1,"",SUM(Q479:DL479)/COUNTIF(Q479:DL479,"&gt;0")))</f>
        <v>0</v>
      </c>
      <c r="P479" s="109">
        <f>SUMIFS(Q479:DK479,Q$1:DK$1,Dashboard!$K$31)</f>
        <v>0</v>
      </c>
      <c r="U479" s="95">
        <v>33</v>
      </c>
      <c r="AA479" s="95">
        <v>25</v>
      </c>
      <c r="AH479" s="95">
        <v>75</v>
      </c>
    </row>
    <row r="480" spans="1:34" x14ac:dyDescent="0.3">
      <c r="A480" s="89" t="str">
        <f>CONCATENATE(D480,".",F480,"-",G480,".",H480,"")</f>
        <v>1.4-1.1</v>
      </c>
      <c r="B480" s="89" t="str">
        <f>IF(CONCATENATE(I480,Key!F$2)=CONCATENATE(INDEX(Dashboard!J:J,MATCH(I480,Dashboard!J:J,0),1),INDEX(Dashboard!J:K,MATCH(I480,Dashboard!J:J,0),2)),"ON",IF(Dashboard!K$32="ALL","ON","-"))</f>
        <v>ON</v>
      </c>
      <c r="C480" s="130" t="s">
        <v>110</v>
      </c>
      <c r="D480" s="89">
        <f>IF(C480="ID",1,(IF(C480="PR",2,(IF(C480="DE",3,(IF(C480="RS",4,(IF(C480="RC",5,0)))))))))</f>
        <v>1</v>
      </c>
      <c r="E480" s="95" t="s">
        <v>140</v>
      </c>
      <c r="F480" s="89">
        <f>IF(E480="AM",1,(IF(E480="BE",2,(IF(E480="GV",3,(IF(E480="RA",4,(IF(E480="RM",5,(IF(E480="AC",1,(IF(E480="AT",2,(IF(E480="DS",3,(IF(E480="IP",4,(IF(E480="MA",5,(IF(E480="PT",6,(IF(E480="AE",1,(IF(E480="CM",2,(IF(E480="DP",3,(IF(E480="AN",1,(IF(E480="CO",2,(IF(E480="IM",3,(IF(E480="MI",4,(IF(E480="RP",5,(IF(E480="SC",6,0)))))))))))))))))))))))))))))))))))))))</f>
        <v>4</v>
      </c>
      <c r="G480" s="52">
        <v>1</v>
      </c>
      <c r="H480" s="90" t="s">
        <v>115</v>
      </c>
      <c r="I480" s="93" t="s">
        <v>4107</v>
      </c>
      <c r="J480" s="86" t="s">
        <v>4045</v>
      </c>
      <c r="K480" s="101" t="s">
        <v>4395</v>
      </c>
      <c r="L480" s="117">
        <f>IF(O480="","",N480*O480*M480)</f>
        <v>0</v>
      </c>
      <c r="M480" s="108">
        <v>1</v>
      </c>
      <c r="N480" s="95">
        <v>1</v>
      </c>
      <c r="O480" s="109">
        <f>IF(Key!D$1="ON",P480,IF(SUM(Q480:DL480)&lt;1,"",SUM(Q480:DL480)/COUNTIF(Q480:DL480,"&gt;0")))</f>
        <v>0</v>
      </c>
      <c r="P480" s="109">
        <f>SUMIFS(Q480:DK480,Q$1:DK$1,Dashboard!$K$31)</f>
        <v>0</v>
      </c>
      <c r="U480" s="95">
        <v>33</v>
      </c>
      <c r="AA480" s="95">
        <v>25</v>
      </c>
      <c r="AH480" s="95">
        <v>75</v>
      </c>
    </row>
    <row r="481" spans="1:34" x14ac:dyDescent="0.3">
      <c r="A481" s="89" t="str">
        <f>CONCATENATE(D481,".",F481,"-",G481,".",H481,"")</f>
        <v>1.4-1.1</v>
      </c>
      <c r="B481" s="89" t="str">
        <f>IF(CONCATENATE(I481,Key!F$2)=CONCATENATE(INDEX(Dashboard!J:J,MATCH(I481,Dashboard!J:J,0),1),INDEX(Dashboard!J:K,MATCH(I481,Dashboard!J:J,0),2)),"ON",IF(Dashboard!K$32="ALL","ON","-"))</f>
        <v>-</v>
      </c>
      <c r="C481" s="96" t="s">
        <v>110</v>
      </c>
      <c r="D481" s="89">
        <f>IF(C481="ID",1,(IF(C481="PR",2,(IF(C481="DE",3,(IF(C481="RS",4,(IF(C481="RC",5,0)))))))))</f>
        <v>1</v>
      </c>
      <c r="E481" s="89" t="s">
        <v>140</v>
      </c>
      <c r="F481" s="89">
        <f>IF(E481="AM",1,(IF(E481="BE",2,(IF(E481="GV",3,(IF(E481="RA",4,(IF(E481="RM",5,(IF(E481="AC",1,(IF(E481="AT",2,(IF(E481="DS",3,(IF(E481="IP",4,(IF(E481="MA",5,(IF(E481="PT",6,(IF(E481="AE",1,(IF(E481="CM",2,(IF(E481="DP",3,(IF(E481="AN",1,(IF(E481="CO",2,(IF(E481="IM",3,(IF(E481="MI",4,(IF(E481="RP",5,(IF(E481="SC",6,0)))))))))))))))))))))))))))))))))))))))</f>
        <v>4</v>
      </c>
      <c r="G481" s="52">
        <v>1</v>
      </c>
      <c r="H481" s="99">
        <v>1</v>
      </c>
      <c r="I481" s="93" t="s">
        <v>41</v>
      </c>
      <c r="J481" s="86" t="s">
        <v>3640</v>
      </c>
      <c r="K481" s="103" t="s">
        <v>3641</v>
      </c>
      <c r="L481" s="117">
        <f>IF(O481="","",N481*O481*M481)</f>
        <v>0</v>
      </c>
      <c r="M481" s="108">
        <v>1</v>
      </c>
      <c r="N481" s="95">
        <v>1</v>
      </c>
      <c r="O481" s="109">
        <f>IF(Key!D$1="ON",P481,IF(SUM(Q481:DL481)&lt;1,"",SUM(Q481:DL481)/COUNTIF(Q481:DL481,"&gt;0")))</f>
        <v>0</v>
      </c>
      <c r="P481" s="109">
        <f>SUMIFS(Q481:DK481,Q$1:DK$1,Dashboard!$K$31)</f>
        <v>0</v>
      </c>
      <c r="U481" s="95">
        <v>33</v>
      </c>
    </row>
    <row r="482" spans="1:34" x14ac:dyDescent="0.3">
      <c r="A482" s="89" t="str">
        <f>CONCATENATE(D482,".",F482,"-",G482,".",H482,"")</f>
        <v>1.4-1.1</v>
      </c>
      <c r="B482" s="89" t="str">
        <f>IF(CONCATENATE(I482,Key!F$2)=CONCATENATE(INDEX(Dashboard!J:J,MATCH(I482,Dashboard!J:J,0),1),INDEX(Dashboard!J:K,MATCH(I482,Dashboard!J:J,0),2)),"ON",IF(Dashboard!K$32="ALL","ON","-"))</f>
        <v>-</v>
      </c>
      <c r="C482" s="96" t="s">
        <v>110</v>
      </c>
      <c r="D482" s="89">
        <f>IF(C482="ID",1,(IF(C482="PR",2,(IF(C482="DE",3,(IF(C482="RS",4,(IF(C482="RC",5,0)))))))))</f>
        <v>1</v>
      </c>
      <c r="E482" s="89" t="s">
        <v>140</v>
      </c>
      <c r="F482" s="89">
        <f>IF(E482="AM",1,(IF(E482="BE",2,(IF(E482="GV",3,(IF(E482="RA",4,(IF(E482="RM",5,(IF(E482="AC",1,(IF(E482="AT",2,(IF(E482="DS",3,(IF(E482="IP",4,(IF(E482="MA",5,(IF(E482="PT",6,(IF(E482="AE",1,(IF(E482="CM",2,(IF(E482="DP",3,(IF(E482="AN",1,(IF(E482="CO",2,(IF(E482="IM",3,(IF(E482="MI",4,(IF(E482="RP",5,(IF(E482="SC",6,0)))))))))))))))))))))))))))))))))))))))</f>
        <v>4</v>
      </c>
      <c r="G482" s="98">
        <v>1</v>
      </c>
      <c r="H482" s="90" t="s">
        <v>115</v>
      </c>
      <c r="I482" s="93" t="s">
        <v>52</v>
      </c>
      <c r="J482" s="88" t="s">
        <v>3325</v>
      </c>
      <c r="K482" s="103" t="s">
        <v>3326</v>
      </c>
      <c r="L482" s="117">
        <f>IF(O482="","",N482*O482*M482)</f>
        <v>0</v>
      </c>
      <c r="M482" s="108">
        <v>1</v>
      </c>
      <c r="N482" s="95">
        <v>1</v>
      </c>
      <c r="O482" s="109">
        <f>IF(Key!D$1="ON",P482,IF(SUM(Q482:DL482)&lt;1,"",SUM(Q482:DL482)/COUNTIF(Q482:DL482,"&gt;0")))</f>
        <v>0</v>
      </c>
      <c r="P482" s="109">
        <f>SUMIFS(Q482:DK482,Q$1:DK$1,Dashboard!$K$31)</f>
        <v>0</v>
      </c>
      <c r="U482" s="95">
        <v>33</v>
      </c>
      <c r="AA482" s="95">
        <v>25</v>
      </c>
      <c r="AH482" s="95">
        <v>75</v>
      </c>
    </row>
    <row r="483" spans="1:34" x14ac:dyDescent="0.3">
      <c r="A483" s="89" t="str">
        <f>CONCATENATE(D483,".",F483,"-",G483,".",H483,"")</f>
        <v>1.4-1.1</v>
      </c>
      <c r="B483" s="89" t="str">
        <f>IF(CONCATENATE(I483,Key!F$2)=CONCATENATE(INDEX(Dashboard!J:J,MATCH(I483,Dashboard!J:J,0),1),INDEX(Dashboard!J:K,MATCH(I483,Dashboard!J:J,0),2)),"ON",IF(Dashboard!K$32="ALL","ON","-"))</f>
        <v>-</v>
      </c>
      <c r="C483" s="96" t="s">
        <v>110</v>
      </c>
      <c r="D483" s="89">
        <f>IF(C483="ID",1,(IF(C483="PR",2,(IF(C483="DE",3,(IF(C483="RS",4,(IF(C483="RC",5,0)))))))))</f>
        <v>1</v>
      </c>
      <c r="E483" s="89" t="s">
        <v>140</v>
      </c>
      <c r="F483" s="89">
        <f>IF(E483="AM",1,(IF(E483="BE",2,(IF(E483="GV",3,(IF(E483="RA",4,(IF(E483="RM",5,(IF(E483="AC",1,(IF(E483="AT",2,(IF(E483="DS",3,(IF(E483="IP",4,(IF(E483="MA",5,(IF(E483="PT",6,(IF(E483="AE",1,(IF(E483="CM",2,(IF(E483="DP",3,(IF(E483="AN",1,(IF(E483="CO",2,(IF(E483="IM",3,(IF(E483="MI",4,(IF(E483="RP",5,(IF(E483="SC",6,0)))))))))))))))))))))))))))))))))))))))</f>
        <v>4</v>
      </c>
      <c r="G483" s="98">
        <v>1</v>
      </c>
      <c r="H483" s="90" t="s">
        <v>115</v>
      </c>
      <c r="I483" s="93" t="s">
        <v>52</v>
      </c>
      <c r="J483" s="88" t="s">
        <v>3282</v>
      </c>
      <c r="K483" s="103" t="s">
        <v>3283</v>
      </c>
      <c r="L483" s="117">
        <f>IF(O483="","",N483*O483*M483)</f>
        <v>0</v>
      </c>
      <c r="M483" s="108">
        <v>1</v>
      </c>
      <c r="N483" s="95">
        <v>1</v>
      </c>
      <c r="O483" s="109">
        <f>IF(Key!D$1="ON",P483,IF(SUM(Q483:DL483)&lt;1,"",SUM(Q483:DL483)/COUNTIF(Q483:DL483,"&gt;0")))</f>
        <v>0</v>
      </c>
      <c r="P483" s="109">
        <f>SUMIFS(Q483:DK483,Q$1:DK$1,Dashboard!$K$31)</f>
        <v>0</v>
      </c>
      <c r="U483" s="95">
        <v>33</v>
      </c>
      <c r="AA483" s="95">
        <v>25</v>
      </c>
      <c r="AH483" s="95">
        <v>75</v>
      </c>
    </row>
    <row r="484" spans="1:34" x14ac:dyDescent="0.3">
      <c r="A484" s="89" t="str">
        <f>CONCATENATE(D484,".",F484,"-",G484,".",H484,"")</f>
        <v>1.4-1.1</v>
      </c>
      <c r="B484" s="89" t="str">
        <f>IF(CONCATENATE(I484,Key!F$2)=CONCATENATE(INDEX(Dashboard!J:J,MATCH(I484,Dashboard!J:J,0),1),INDEX(Dashboard!J:K,MATCH(I484,Dashboard!J:J,0),2)),"ON",IF(Dashboard!K$32="ALL","ON","-"))</f>
        <v>-</v>
      </c>
      <c r="C484" s="96" t="s">
        <v>110</v>
      </c>
      <c r="D484" s="89">
        <f>IF(C484="ID",1,(IF(C484="PR",2,(IF(C484="DE",3,(IF(C484="RS",4,(IF(C484="RC",5,0)))))))))</f>
        <v>1</v>
      </c>
      <c r="E484" s="89" t="s">
        <v>140</v>
      </c>
      <c r="F484" s="89">
        <f>IF(E484="AM",1,(IF(E484="BE",2,(IF(E484="GV",3,(IF(E484="RA",4,(IF(E484="RM",5,(IF(E484="AC",1,(IF(E484="AT",2,(IF(E484="DS",3,(IF(E484="IP",4,(IF(E484="MA",5,(IF(E484="PT",6,(IF(E484="AE",1,(IF(E484="CM",2,(IF(E484="DP",3,(IF(E484="AN",1,(IF(E484="CO",2,(IF(E484="IM",3,(IF(E484="MI",4,(IF(E484="RP",5,(IF(E484="SC",6,0)))))))))))))))))))))))))))))))))))))))</f>
        <v>4</v>
      </c>
      <c r="G484" s="98">
        <v>1</v>
      </c>
      <c r="H484" s="90" t="s">
        <v>115</v>
      </c>
      <c r="I484" s="93" t="s">
        <v>52</v>
      </c>
      <c r="J484" s="88" t="s">
        <v>3292</v>
      </c>
      <c r="K484" s="103" t="s">
        <v>3293</v>
      </c>
      <c r="L484" s="117">
        <f>IF(O484="","",N484*O484*M484)</f>
        <v>0</v>
      </c>
      <c r="M484" s="108">
        <v>1</v>
      </c>
      <c r="N484" s="95">
        <v>1</v>
      </c>
      <c r="O484" s="109">
        <f>IF(Key!D$1="ON",P484,IF(SUM(Q484:DL484)&lt;1,"",SUM(Q484:DL484)/COUNTIF(Q484:DL484,"&gt;0")))</f>
        <v>0</v>
      </c>
      <c r="P484" s="109">
        <f>SUMIFS(Q484:DK484,Q$1:DK$1,Dashboard!$K$31)</f>
        <v>0</v>
      </c>
      <c r="U484" s="95">
        <v>33</v>
      </c>
      <c r="AA484" s="95">
        <v>25</v>
      </c>
      <c r="AH484" s="95">
        <v>75</v>
      </c>
    </row>
    <row r="485" spans="1:34" x14ac:dyDescent="0.3">
      <c r="A485" s="89" t="str">
        <f>CONCATENATE(D485,".",F485,"-",G485,".",H485,"")</f>
        <v>1.4-1.1</v>
      </c>
      <c r="B485" s="89" t="str">
        <f>IF(CONCATENATE(I485,Key!F$2)=CONCATENATE(INDEX(Dashboard!J:J,MATCH(I485,Dashboard!J:J,0),1),INDEX(Dashboard!J:K,MATCH(I485,Dashboard!J:J,0),2)),"ON",IF(Dashboard!K$32="ALL","ON","-"))</f>
        <v>-</v>
      </c>
      <c r="C485" s="88" t="s">
        <v>110</v>
      </c>
      <c r="D485" s="89">
        <f>IF(C485="ID",1,(IF(C485="PR",2,(IF(C485="DE",3,(IF(C485="RS",4,(IF(C485="RC",5,0)))))))))</f>
        <v>1</v>
      </c>
      <c r="E485" s="89" t="s">
        <v>140</v>
      </c>
      <c r="F485" s="89">
        <f>IF(E485="AM",1,(IF(E485="BE",2,(IF(E485="GV",3,(IF(E485="RA",4,(IF(E485="RM",5,(IF(E485="AC",1,(IF(E485="AT",2,(IF(E485="DS",3,(IF(E485="IP",4,(IF(E485="MA",5,(IF(E485="PT",6,(IF(E485="AE",1,(IF(E485="CM",2,(IF(E485="DP",3,(IF(E485="AN",1,(IF(E485="CO",2,(IF(E485="IM",3,(IF(E485="MI",4,(IF(E485="RP",5,(IF(E485="SC",6,0)))))))))))))))))))))))))))))))))))))))</f>
        <v>4</v>
      </c>
      <c r="G485" s="52">
        <v>1</v>
      </c>
      <c r="H485" s="89">
        <v>1</v>
      </c>
      <c r="I485" s="93" t="s">
        <v>60</v>
      </c>
      <c r="J485" s="88" t="s">
        <v>3155</v>
      </c>
      <c r="K485" s="51" t="s">
        <v>5268</v>
      </c>
      <c r="L485" s="117">
        <f>IF(O485="","",N485*O485*M485)</f>
        <v>0</v>
      </c>
      <c r="M485" s="108">
        <v>1</v>
      </c>
      <c r="N485" s="95">
        <v>1</v>
      </c>
      <c r="O485" s="109">
        <f>IF(Key!D$1="ON",P485,IF(SUM(Q485:DL485)&lt;1,"",SUM(Q485:DL485)/COUNTIF(Q485:DL485,"&gt;0")))</f>
        <v>0</v>
      </c>
      <c r="P485" s="109">
        <f>SUMIFS(Q485:DK485,Q$1:DK$1,Dashboard!$K$31)</f>
        <v>0</v>
      </c>
      <c r="U485" s="95">
        <v>33</v>
      </c>
      <c r="AA485" s="95">
        <v>25</v>
      </c>
      <c r="AH485" s="95">
        <v>75</v>
      </c>
    </row>
    <row r="486" spans="1:34" x14ac:dyDescent="0.3">
      <c r="A486" s="89" t="str">
        <f>CONCATENATE(D486,".",F486,"-",G486,".",H486,"")</f>
        <v>1.4-1.1</v>
      </c>
      <c r="B486" s="89" t="str">
        <f>IF(CONCATENATE(I486,Key!F$2)=CONCATENATE(INDEX(Dashboard!J:J,MATCH(I486,Dashboard!J:J,0),1),INDEX(Dashboard!J:K,MATCH(I486,Dashboard!J:J,0),2)),"ON",IF(Dashboard!K$32="ALL","ON","-"))</f>
        <v>-</v>
      </c>
      <c r="C486" s="96" t="s">
        <v>110</v>
      </c>
      <c r="D486" s="89">
        <f>IF(C486="ID",1,(IF(C486="PR",2,(IF(C486="DE",3,(IF(C486="RS",4,(IF(C486="RC",5,0)))))))))</f>
        <v>1</v>
      </c>
      <c r="E486" s="89" t="s">
        <v>140</v>
      </c>
      <c r="F486" s="89">
        <f>IF(E486="AM",1,(IF(E486="BE",2,(IF(E486="GV",3,(IF(E486="RA",4,(IF(E486="RM",5,(IF(E486="AC",1,(IF(E486="AT",2,(IF(E486="DS",3,(IF(E486="IP",4,(IF(E486="MA",5,(IF(E486="PT",6,(IF(E486="AE",1,(IF(E486="CM",2,(IF(E486="DP",3,(IF(E486="AN",1,(IF(E486="CO",2,(IF(E486="IM",3,(IF(E486="MI",4,(IF(E486="RP",5,(IF(E486="SC",6,0)))))))))))))))))))))))))))))))))))))))</f>
        <v>4</v>
      </c>
      <c r="G486" s="98">
        <v>1</v>
      </c>
      <c r="H486" s="90" t="s">
        <v>115</v>
      </c>
      <c r="I486" s="93" t="s">
        <v>64</v>
      </c>
      <c r="J486" s="86" t="s">
        <v>1036</v>
      </c>
      <c r="K486" s="103" t="s">
        <v>2087</v>
      </c>
      <c r="L486" s="117">
        <f>IF(O486="","",N486*O486*M486)</f>
        <v>0</v>
      </c>
      <c r="M486" s="108">
        <v>1</v>
      </c>
      <c r="N486" s="95">
        <v>1</v>
      </c>
      <c r="O486" s="109">
        <f>IF(Key!D$1="ON",P486,IF(SUM(Q486:DL486)&lt;1,"",SUM(Q486:DL486)/COUNTIF(Q486:DL486,"&gt;0")))</f>
        <v>0</v>
      </c>
      <c r="P486" s="109">
        <f>SUMIFS(Q486:DK486,Q$1:DK$1,Dashboard!$K$31)</f>
        <v>0</v>
      </c>
      <c r="U486" s="95">
        <v>33</v>
      </c>
      <c r="AA486" s="95">
        <v>25</v>
      </c>
      <c r="AH486" s="95">
        <v>75</v>
      </c>
    </row>
    <row r="487" spans="1:34" x14ac:dyDescent="0.3">
      <c r="A487" s="89" t="str">
        <f>CONCATENATE(D487,".",F487,"-",G487,".",H487,"")</f>
        <v>1.4-1.1</v>
      </c>
      <c r="B487" s="89" t="str">
        <f>IF(CONCATENATE(I487,Key!F$2)=CONCATENATE(INDEX(Dashboard!J:J,MATCH(I487,Dashboard!J:J,0),1),INDEX(Dashboard!J:K,MATCH(I487,Dashboard!J:J,0),2)),"ON",IF(Dashboard!K$32="ALL","ON","-"))</f>
        <v>-</v>
      </c>
      <c r="C487" s="88" t="s">
        <v>110</v>
      </c>
      <c r="D487" s="89">
        <f>IF(C487="ID",1,(IF(C487="PR",2,(IF(C487="DE",3,(IF(C487="RS",4,(IF(C487="RC",5,0)))))))))</f>
        <v>1</v>
      </c>
      <c r="E487" s="89" t="s">
        <v>140</v>
      </c>
      <c r="F487" s="89">
        <f>IF(E487="AM",1,(IF(E487="BE",2,(IF(E487="GV",3,(IF(E487="RA",4,(IF(E487="RM",5,(IF(E487="AC",1,(IF(E487="AT",2,(IF(E487="DS",3,(IF(E487="IP",4,(IF(E487="MA",5,(IF(E487="PT",6,(IF(E487="AE",1,(IF(E487="CM",2,(IF(E487="DP",3,(IF(E487="AN",1,(IF(E487="CO",2,(IF(E487="IM",3,(IF(E487="MI",4,(IF(E487="RP",5,(IF(E487="SC",6,0)))))))))))))))))))))))))))))))))))))))</f>
        <v>4</v>
      </c>
      <c r="G487" s="52">
        <v>1</v>
      </c>
      <c r="H487" s="90" t="s">
        <v>115</v>
      </c>
      <c r="I487" s="93" t="s">
        <v>64</v>
      </c>
      <c r="J487" s="87" t="s">
        <v>1038</v>
      </c>
      <c r="K487" s="102" t="s">
        <v>2088</v>
      </c>
      <c r="L487" s="117">
        <f>IF(O487="","",N487*O487*M487)</f>
        <v>0</v>
      </c>
      <c r="M487" s="108">
        <v>1</v>
      </c>
      <c r="N487" s="95">
        <v>1</v>
      </c>
      <c r="O487" s="109">
        <f>IF(Key!D$1="ON",P487,IF(SUM(Q487:DL487)&lt;1,"",SUM(Q487:DL487)/COUNTIF(Q487:DL487,"&gt;0")))</f>
        <v>0</v>
      </c>
      <c r="P487" s="109">
        <f>SUMIFS(Q487:DK487,Q$1:DK$1,Dashboard!$K$31)</f>
        <v>0</v>
      </c>
      <c r="U487" s="95">
        <v>33</v>
      </c>
      <c r="AA487" s="95">
        <v>25</v>
      </c>
      <c r="AH487" s="95">
        <v>75</v>
      </c>
    </row>
    <row r="488" spans="1:34" ht="15.6" x14ac:dyDescent="0.3">
      <c r="A488" s="89" t="str">
        <f>CONCATENATE(D488,".",F488,"-",G488,".",H488,"")</f>
        <v>1.4-1.1</v>
      </c>
      <c r="B488" s="89" t="str">
        <f>IF(CONCATENATE(I488,Key!F$2)=CONCATENATE(INDEX(Dashboard!J:J,MATCH(I488,Dashboard!J:J,0),1),INDEX(Dashboard!J:K,MATCH(I488,Dashboard!J:J,0),2)),"ON",IF(Dashboard!K$32="ALL","ON","-"))</f>
        <v>-</v>
      </c>
      <c r="C488" s="88" t="s">
        <v>110</v>
      </c>
      <c r="D488" s="89">
        <f>IF(C488="ID",1,(IF(C488="PR",2,(IF(C488="DE",3,(IF(C488="RS",4,(IF(C488="RC",5,0)))))))))</f>
        <v>1</v>
      </c>
      <c r="E488" s="89" t="s">
        <v>140</v>
      </c>
      <c r="F488" s="89">
        <f>IF(E488="AM",1,(IF(E488="BE",2,(IF(E488="GV",3,(IF(E488="RA",4,(IF(E488="RM",5,(IF(E488="AC",1,(IF(E488="AT",2,(IF(E488="DS",3,(IF(E488="IP",4,(IF(E488="MA",5,(IF(E488="PT",6,(IF(E488="AE",1,(IF(E488="CM",2,(IF(E488="DP",3,(IF(E488="AN",1,(IF(E488="CO",2,(IF(E488="IM",3,(IF(E488="MI",4,(IF(E488="RP",5,(IF(E488="SC",6,0)))))))))))))))))))))))))))))))))))))))</f>
        <v>4</v>
      </c>
      <c r="G488" s="52">
        <v>1</v>
      </c>
      <c r="H488" s="90" t="s">
        <v>115</v>
      </c>
      <c r="I488" s="93" t="s">
        <v>64</v>
      </c>
      <c r="J488" s="87" t="s">
        <v>1039</v>
      </c>
      <c r="K488" s="102" t="s">
        <v>2089</v>
      </c>
      <c r="L488" s="117">
        <f>IF(O488="","",N488*O488*M488)</f>
        <v>0</v>
      </c>
      <c r="M488" s="108">
        <v>1</v>
      </c>
      <c r="N488" s="95">
        <v>1</v>
      </c>
      <c r="O488" s="109">
        <f>IF(Key!D$1="ON",P488,IF(SUM(Q488:DL488)&lt;1,"",SUM(Q488:DL488)/COUNTIF(Q488:DL488,"&gt;0")))</f>
        <v>0</v>
      </c>
      <c r="P488" s="109">
        <f>SUMIFS(Q488:DK488,Q$1:DK$1,Dashboard!$K$31)</f>
        <v>0</v>
      </c>
      <c r="U488" s="95">
        <v>33</v>
      </c>
      <c r="AA488" s="95">
        <v>25</v>
      </c>
      <c r="AH488" s="95">
        <v>75</v>
      </c>
    </row>
    <row r="489" spans="1:34" x14ac:dyDescent="0.3">
      <c r="A489" s="89" t="str">
        <f>CONCATENATE(D489,".",F489,"-",G489,".",H489,"")</f>
        <v>1.4-1.1</v>
      </c>
      <c r="B489" s="89" t="str">
        <f>IF(CONCATENATE(I489,Key!F$2)=CONCATENATE(INDEX(Dashboard!J:J,MATCH(I489,Dashboard!J:J,0),1),INDEX(Dashboard!J:K,MATCH(I489,Dashboard!J:J,0),2)),"ON",IF(Dashboard!K$32="ALL","ON","-"))</f>
        <v>-</v>
      </c>
      <c r="C489" s="88" t="s">
        <v>110</v>
      </c>
      <c r="D489" s="89">
        <f>IF(C489="ID",1,(IF(C489="PR",2,(IF(C489="DE",3,(IF(C489="RS",4,(IF(C489="RC",5,0)))))))))</f>
        <v>1</v>
      </c>
      <c r="E489" s="89" t="s">
        <v>140</v>
      </c>
      <c r="F489" s="89">
        <f>IF(E489="AM",1,(IF(E489="BE",2,(IF(E489="GV",3,(IF(E489="RA",4,(IF(E489="RM",5,(IF(E489="AC",1,(IF(E489="AT",2,(IF(E489="DS",3,(IF(E489="IP",4,(IF(E489="MA",5,(IF(E489="PT",6,(IF(E489="AE",1,(IF(E489="CM",2,(IF(E489="DP",3,(IF(E489="AN",1,(IF(E489="CO",2,(IF(E489="IM",3,(IF(E489="MI",4,(IF(E489="RP",5,(IF(E489="SC",6,0)))))))))))))))))))))))))))))))))))))))</f>
        <v>4</v>
      </c>
      <c r="G489" s="52">
        <v>1</v>
      </c>
      <c r="H489" s="90" t="s">
        <v>115</v>
      </c>
      <c r="I489" s="93" t="s">
        <v>64</v>
      </c>
      <c r="J489" s="87" t="s">
        <v>1040</v>
      </c>
      <c r="K489" s="102" t="s">
        <v>2090</v>
      </c>
      <c r="L489" s="117">
        <f>IF(O489="","",N489*O489*M489)</f>
        <v>0</v>
      </c>
      <c r="M489" s="108">
        <v>1</v>
      </c>
      <c r="N489" s="95">
        <v>1</v>
      </c>
      <c r="O489" s="109">
        <f>IF(Key!D$1="ON",P489,IF(SUM(Q489:DL489)&lt;1,"",SUM(Q489:DL489)/COUNTIF(Q489:DL489,"&gt;0")))</f>
        <v>0</v>
      </c>
      <c r="P489" s="109">
        <f>SUMIFS(Q489:DK489,Q$1:DK$1,Dashboard!$K$31)</f>
        <v>0</v>
      </c>
      <c r="U489" s="95">
        <v>33</v>
      </c>
      <c r="AA489" s="95">
        <v>25</v>
      </c>
      <c r="AH489" s="95">
        <v>75</v>
      </c>
    </row>
    <row r="490" spans="1:34" ht="15.6" x14ac:dyDescent="0.3">
      <c r="A490" s="89" t="str">
        <f>CONCATENATE(D490,".",F490,"-",G490,".",H490,"")</f>
        <v>1.4-1.1</v>
      </c>
      <c r="B490" s="89" t="str">
        <f>IF(CONCATENATE(I490,Key!F$2)=CONCATENATE(INDEX(Dashboard!J:J,MATCH(I490,Dashboard!J:J,0),1),INDEX(Dashboard!J:K,MATCH(I490,Dashboard!J:J,0),2)),"ON",IF(Dashboard!K$32="ALL","ON","-"))</f>
        <v>-</v>
      </c>
      <c r="C490" s="88" t="s">
        <v>110</v>
      </c>
      <c r="D490" s="89">
        <f>IF(C490="ID",1,(IF(C490="PR",2,(IF(C490="DE",3,(IF(C490="RS",4,(IF(C490="RC",5,0)))))))))</f>
        <v>1</v>
      </c>
      <c r="E490" s="89" t="s">
        <v>140</v>
      </c>
      <c r="F490" s="89">
        <f>IF(E490="AM",1,(IF(E490="BE",2,(IF(E490="GV",3,(IF(E490="RA",4,(IF(E490="RM",5,(IF(E490="AC",1,(IF(E490="AT",2,(IF(E490="DS",3,(IF(E490="IP",4,(IF(E490="MA",5,(IF(E490="PT",6,(IF(E490="AE",1,(IF(E490="CM",2,(IF(E490="DP",3,(IF(E490="AN",1,(IF(E490="CO",2,(IF(E490="IM",3,(IF(E490="MI",4,(IF(E490="RP",5,(IF(E490="SC",6,0)))))))))))))))))))))))))))))))))))))))</f>
        <v>4</v>
      </c>
      <c r="G490" s="52">
        <v>1</v>
      </c>
      <c r="H490" s="90" t="s">
        <v>115</v>
      </c>
      <c r="I490" s="93" t="s">
        <v>64</v>
      </c>
      <c r="J490" s="87" t="s">
        <v>1070</v>
      </c>
      <c r="K490" s="102" t="s">
        <v>2115</v>
      </c>
      <c r="L490" s="117">
        <f>IF(O490="","",N490*O490*M490)</f>
        <v>0</v>
      </c>
      <c r="M490" s="108">
        <v>1</v>
      </c>
      <c r="N490" s="95">
        <v>1</v>
      </c>
      <c r="O490" s="109">
        <f>IF(Key!D$1="ON",P490,IF(SUM(Q490:DL490)&lt;1,"",SUM(Q490:DL490)/COUNTIF(Q490:DL490,"&gt;0")))</f>
        <v>0</v>
      </c>
      <c r="P490" s="109">
        <f>SUMIFS(Q490:DK490,Q$1:DK$1,Dashboard!$K$31)</f>
        <v>0</v>
      </c>
      <c r="U490" s="95">
        <v>33</v>
      </c>
      <c r="AA490" s="95">
        <v>25</v>
      </c>
      <c r="AH490" s="95">
        <v>75</v>
      </c>
    </row>
    <row r="491" spans="1:34" ht="15.6" x14ac:dyDescent="0.3">
      <c r="A491" s="89" t="str">
        <f>CONCATENATE(D491,".",F491,"-",G491,".",H491,"")</f>
        <v>1.4-1.1</v>
      </c>
      <c r="B491" s="89" t="str">
        <f>IF(CONCATENATE(I491,Key!F$2)=CONCATENATE(INDEX(Dashboard!J:J,MATCH(I491,Dashboard!J:J,0),1),INDEX(Dashboard!J:K,MATCH(I491,Dashboard!J:J,0),2)),"ON",IF(Dashboard!K$32="ALL","ON","-"))</f>
        <v>-</v>
      </c>
      <c r="C491" s="88" t="s">
        <v>110</v>
      </c>
      <c r="D491" s="89">
        <f>IF(C491="ID",1,(IF(C491="PR",2,(IF(C491="DE",3,(IF(C491="RS",4,(IF(C491="RC",5,0)))))))))</f>
        <v>1</v>
      </c>
      <c r="E491" s="89" t="s">
        <v>140</v>
      </c>
      <c r="F491" s="89">
        <f>IF(E491="AM",1,(IF(E491="BE",2,(IF(E491="GV",3,(IF(E491="RA",4,(IF(E491="RM",5,(IF(E491="AC",1,(IF(E491="AT",2,(IF(E491="DS",3,(IF(E491="IP",4,(IF(E491="MA",5,(IF(E491="PT",6,(IF(E491="AE",1,(IF(E491="CM",2,(IF(E491="DP",3,(IF(E491="AN",1,(IF(E491="CO",2,(IF(E491="IM",3,(IF(E491="MI",4,(IF(E491="RP",5,(IF(E491="SC",6,0)))))))))))))))))))))))))))))))))))))))</f>
        <v>4</v>
      </c>
      <c r="G491" s="98">
        <v>1</v>
      </c>
      <c r="H491" s="99">
        <v>1</v>
      </c>
      <c r="I491" s="93" t="s">
        <v>73</v>
      </c>
      <c r="J491" s="86" t="s">
        <v>4210</v>
      </c>
      <c r="K491" s="107" t="s">
        <v>4328</v>
      </c>
      <c r="L491" s="117">
        <f>IF(O491="","",N491*O491*M491)</f>
        <v>0</v>
      </c>
      <c r="M491" s="108">
        <v>1</v>
      </c>
      <c r="N491" s="95">
        <v>1</v>
      </c>
      <c r="O491" s="109">
        <f>IF(Key!D$1="ON",P491,IF(SUM(Q491:DL491)&lt;1,"",SUM(Q491:DL491)/COUNTIF(Q491:DL491,"&gt;0")))</f>
        <v>0</v>
      </c>
      <c r="P491" s="109">
        <f>SUMIFS(Q491:DK491,Q$1:DK$1,Dashboard!$K$31)</f>
        <v>0</v>
      </c>
      <c r="U491" s="95">
        <v>33</v>
      </c>
      <c r="AA491" s="95">
        <v>25</v>
      </c>
      <c r="AH491" s="95">
        <v>75</v>
      </c>
    </row>
    <row r="492" spans="1:34" ht="15.6" x14ac:dyDescent="0.3">
      <c r="A492" s="89" t="str">
        <f>CONCATENATE(D492,".",F492,"-",G492,".",H492,"")</f>
        <v>1.4-1.1</v>
      </c>
      <c r="B492" s="89" t="str">
        <f>IF(CONCATENATE(I492,Key!F$2)=CONCATENATE(INDEX(Dashboard!J:J,MATCH(I492,Dashboard!J:J,0),1),INDEX(Dashboard!J:K,MATCH(I492,Dashboard!J:J,0),2)),"ON",IF(Dashboard!K$32="ALL","ON","-"))</f>
        <v>-</v>
      </c>
      <c r="C492" s="88" t="s">
        <v>110</v>
      </c>
      <c r="D492" s="89">
        <f>IF(C492="ID",1,(IF(C492="PR",2,(IF(C492="DE",3,(IF(C492="RS",4,(IF(C492="RC",5,0)))))))))</f>
        <v>1</v>
      </c>
      <c r="E492" s="89" t="s">
        <v>140</v>
      </c>
      <c r="F492" s="89">
        <f>IF(E492="AM",1,(IF(E492="BE",2,(IF(E492="GV",3,(IF(E492="RA",4,(IF(E492="RM",5,(IF(E492="AC",1,(IF(E492="AT",2,(IF(E492="DS",3,(IF(E492="IP",4,(IF(E492="MA",5,(IF(E492="PT",6,(IF(E492="AE",1,(IF(E492="CM",2,(IF(E492="DP",3,(IF(E492="AN",1,(IF(E492="CO",2,(IF(E492="IM",3,(IF(E492="MI",4,(IF(E492="RP",5,(IF(E492="SC",6,0)))))))))))))))))))))))))))))))))))))))</f>
        <v>4</v>
      </c>
      <c r="G492" s="52">
        <v>1</v>
      </c>
      <c r="H492" s="90" t="s">
        <v>115</v>
      </c>
      <c r="I492" s="93" t="s">
        <v>73</v>
      </c>
      <c r="J492" s="86" t="s">
        <v>4211</v>
      </c>
      <c r="K492" s="101" t="s">
        <v>5183</v>
      </c>
      <c r="L492" s="117">
        <f>IF(O492="","",N492*O492*M492)</f>
        <v>0</v>
      </c>
      <c r="M492" s="108">
        <v>1</v>
      </c>
      <c r="N492" s="95">
        <v>1</v>
      </c>
      <c r="O492" s="109">
        <f>IF(Key!D$1="ON",P492,IF(SUM(Q492:DL492)&lt;1,"",SUM(Q492:DL492)/COUNTIF(Q492:DL492,"&gt;0")))</f>
        <v>0</v>
      </c>
      <c r="P492" s="109">
        <f>SUMIFS(Q492:DK492,Q$1:DK$1,Dashboard!$K$31)</f>
        <v>0</v>
      </c>
      <c r="U492" s="95">
        <v>33</v>
      </c>
      <c r="AA492" s="95">
        <v>25</v>
      </c>
      <c r="AH492" s="95">
        <v>75</v>
      </c>
    </row>
    <row r="493" spans="1:34" ht="15.6" x14ac:dyDescent="0.3">
      <c r="A493" s="89" t="str">
        <f>CONCATENATE(D493,".",F493,"-",G493,".",H493,"")</f>
        <v>1.4-1.1</v>
      </c>
      <c r="B493" s="89" t="str">
        <f>IF(CONCATENATE(I493,Key!F$2)=CONCATENATE(INDEX(Dashboard!J:J,MATCH(I493,Dashboard!J:J,0),1),INDEX(Dashboard!J:K,MATCH(I493,Dashboard!J:J,0),2)),"ON",IF(Dashboard!K$32="ALL","ON","-"))</f>
        <v>-</v>
      </c>
      <c r="C493" s="88" t="s">
        <v>110</v>
      </c>
      <c r="D493" s="89">
        <f>IF(C493="ID",1,(IF(C493="PR",2,(IF(C493="DE",3,(IF(C493="RS",4,(IF(C493="RC",5,0)))))))))</f>
        <v>1</v>
      </c>
      <c r="E493" s="89" t="s">
        <v>140</v>
      </c>
      <c r="F493" s="89">
        <f>IF(E493="AM",1,(IF(E493="BE",2,(IF(E493="GV",3,(IF(E493="RA",4,(IF(E493="RM",5,(IF(E493="AC",1,(IF(E493="AT",2,(IF(E493="DS",3,(IF(E493="IP",4,(IF(E493="MA",5,(IF(E493="PT",6,(IF(E493="AE",1,(IF(E493="CM",2,(IF(E493="DP",3,(IF(E493="AN",1,(IF(E493="CO",2,(IF(E493="IM",3,(IF(E493="MI",4,(IF(E493="RP",5,(IF(E493="SC",6,0)))))))))))))))))))))))))))))))))))))))</f>
        <v>4</v>
      </c>
      <c r="G493" s="98">
        <v>1</v>
      </c>
      <c r="H493" s="99">
        <v>1</v>
      </c>
      <c r="I493" s="93" t="s">
        <v>73</v>
      </c>
      <c r="J493" s="86" t="s">
        <v>4213</v>
      </c>
      <c r="K493" s="107" t="s">
        <v>4330</v>
      </c>
      <c r="L493" s="117">
        <f>IF(O493="","",N493*O493*M493)</f>
        <v>0</v>
      </c>
      <c r="M493" s="108">
        <v>1</v>
      </c>
      <c r="N493" s="95">
        <v>1</v>
      </c>
      <c r="O493" s="109">
        <f>IF(Key!D$1="ON",P493,IF(SUM(Q493:DL493)&lt;1,"",SUM(Q493:DL493)/COUNTIF(Q493:DL493,"&gt;0")))</f>
        <v>0</v>
      </c>
      <c r="P493" s="109">
        <f>SUMIFS(Q493:DK493,Q$1:DK$1,Dashboard!$K$31)</f>
        <v>0</v>
      </c>
      <c r="U493" s="95">
        <v>33</v>
      </c>
      <c r="AA493" s="95">
        <v>25</v>
      </c>
      <c r="AH493" s="95">
        <v>75</v>
      </c>
    </row>
    <row r="494" spans="1:34" x14ac:dyDescent="0.3">
      <c r="A494" s="89" t="str">
        <f>CONCATENATE(D494,".",F494,"-",G494,".",H494,"")</f>
        <v>1.4-1.1</v>
      </c>
      <c r="B494" s="89" t="str">
        <f>IF(CONCATENATE(I494,Key!F$2)=CONCATENATE(INDEX(Dashboard!J:J,MATCH(I494,Dashboard!J:J,0),1),INDEX(Dashboard!J:K,MATCH(I494,Dashboard!J:J,0),2)),"ON",IF(Dashboard!K$32="ALL","ON","-"))</f>
        <v>-</v>
      </c>
      <c r="C494" s="88" t="s">
        <v>110</v>
      </c>
      <c r="D494" s="89">
        <f>IF(C494="ID",1,(IF(C494="PR",2,(IF(C494="DE",3,(IF(C494="RS",4,(IF(C494="RC",5,0)))))))))</f>
        <v>1</v>
      </c>
      <c r="E494" s="89" t="s">
        <v>140</v>
      </c>
      <c r="F494" s="89">
        <f>IF(E494="AM",1,(IF(E494="BE",2,(IF(E494="GV",3,(IF(E494="RA",4,(IF(E494="RM",5,(IF(E494="AC",1,(IF(E494="AT",2,(IF(E494="DS",3,(IF(E494="IP",4,(IF(E494="MA",5,(IF(E494="PT",6,(IF(E494="AE",1,(IF(E494="CM",2,(IF(E494="DP",3,(IF(E494="AN",1,(IF(E494="CO",2,(IF(E494="IM",3,(IF(E494="MI",4,(IF(E494="RP",5,(IF(E494="SC",6,0)))))))))))))))))))))))))))))))))))))))</f>
        <v>4</v>
      </c>
      <c r="G494" s="52">
        <v>1</v>
      </c>
      <c r="H494" s="90" t="s">
        <v>115</v>
      </c>
      <c r="I494" s="93" t="s">
        <v>73</v>
      </c>
      <c r="J494" s="86" t="s">
        <v>4215</v>
      </c>
      <c r="K494" s="101" t="s">
        <v>4402</v>
      </c>
      <c r="L494" s="117">
        <f>IF(O494="","",N494*O494*M494)</f>
        <v>0</v>
      </c>
      <c r="M494" s="108">
        <v>1</v>
      </c>
      <c r="N494" s="95">
        <v>1</v>
      </c>
      <c r="O494" s="109">
        <f>IF(Key!D$1="ON",P494,IF(SUM(Q494:DL494)&lt;1,"",SUM(Q494:DL494)/COUNTIF(Q494:DL494,"&gt;0")))</f>
        <v>0</v>
      </c>
      <c r="P494" s="109">
        <f>SUMIFS(Q494:DK494,Q$1:DK$1,Dashboard!$K$31)</f>
        <v>0</v>
      </c>
      <c r="U494" s="95">
        <v>33</v>
      </c>
      <c r="AA494" s="95">
        <v>25</v>
      </c>
      <c r="AH494" s="95">
        <v>75</v>
      </c>
    </row>
    <row r="495" spans="1:34" x14ac:dyDescent="0.3">
      <c r="A495" s="89" t="str">
        <f>CONCATENATE(D495,".",F495,"-",G495,".",H495,"")</f>
        <v>1.4-1.1</v>
      </c>
      <c r="B495" s="89" t="str">
        <f>IF(CONCATENATE(I495,Key!F$2)=CONCATENATE(INDEX(Dashboard!J:J,MATCH(I495,Dashboard!J:J,0),1),INDEX(Dashboard!J:K,MATCH(I495,Dashboard!J:J,0),2)),"ON",IF(Dashboard!K$32="ALL","ON","-"))</f>
        <v>-</v>
      </c>
      <c r="C495" s="88" t="s">
        <v>110</v>
      </c>
      <c r="D495" s="89">
        <f>IF(C495="ID",1,(IF(C495="PR",2,(IF(C495="DE",3,(IF(C495="RS",4,(IF(C495="RC",5,0)))))))))</f>
        <v>1</v>
      </c>
      <c r="E495" s="89" t="s">
        <v>140</v>
      </c>
      <c r="F495" s="89">
        <f>IF(E495="AM",1,(IF(E495="BE",2,(IF(E495="GV",3,(IF(E495="RA",4,(IF(E495="RM",5,(IF(E495="AC",1,(IF(E495="AT",2,(IF(E495="DS",3,(IF(E495="IP",4,(IF(E495="MA",5,(IF(E495="PT",6,(IF(E495="AE",1,(IF(E495="CM",2,(IF(E495="DP",3,(IF(E495="AN",1,(IF(E495="CO",2,(IF(E495="IM",3,(IF(E495="MI",4,(IF(E495="RP",5,(IF(E495="SC",6,0)))))))))))))))))))))))))))))))))))))))</f>
        <v>4</v>
      </c>
      <c r="G495" s="98">
        <v>1</v>
      </c>
      <c r="H495" s="99">
        <v>1</v>
      </c>
      <c r="I495" s="93" t="s">
        <v>73</v>
      </c>
      <c r="J495" s="86" t="s">
        <v>4241</v>
      </c>
      <c r="K495" s="107" t="s">
        <v>4348</v>
      </c>
      <c r="L495" s="117">
        <f>IF(O495="","",N495*O495*M495)</f>
        <v>0</v>
      </c>
      <c r="M495" s="108">
        <v>1</v>
      </c>
      <c r="N495" s="95">
        <v>1</v>
      </c>
      <c r="O495" s="109">
        <f>IF(Key!D$1="ON",P495,IF(SUM(Q495:DL495)&lt;1,"",SUM(Q495:DL495)/COUNTIF(Q495:DL495,"&gt;0")))</f>
        <v>0</v>
      </c>
      <c r="P495" s="109">
        <f>SUMIFS(Q495:DK495,Q$1:DK$1,Dashboard!$K$31)</f>
        <v>0</v>
      </c>
      <c r="U495" s="95">
        <v>33</v>
      </c>
      <c r="AA495" s="95">
        <v>25</v>
      </c>
      <c r="AH495" s="95">
        <v>75</v>
      </c>
    </row>
    <row r="496" spans="1:34" x14ac:dyDescent="0.3">
      <c r="A496" s="89" t="str">
        <f>CONCATENATE(D496,".",F496,"-",G496,".",H496,"")</f>
        <v>1.4-1.1</v>
      </c>
      <c r="B496" s="89" t="str">
        <f>IF(CONCATENATE(I496,Key!F$2)=CONCATENATE(INDEX(Dashboard!J:J,MATCH(I496,Dashboard!J:J,0),1),INDEX(Dashboard!J:K,MATCH(I496,Dashboard!J:J,0),2)),"ON",IF(Dashboard!K$32="ALL","ON","-"))</f>
        <v>-</v>
      </c>
      <c r="C496" s="88" t="s">
        <v>110</v>
      </c>
      <c r="D496" s="89">
        <f>IF(C496="ID",1,(IF(C496="PR",2,(IF(C496="DE",3,(IF(C496="RS",4,(IF(C496="RC",5,0)))))))))</f>
        <v>1</v>
      </c>
      <c r="E496" s="89" t="s">
        <v>140</v>
      </c>
      <c r="F496" s="89">
        <f>IF(E496="AM",1,(IF(E496="BE",2,(IF(E496="GV",3,(IF(E496="RA",4,(IF(E496="RM",5,(IF(E496="AC",1,(IF(E496="AT",2,(IF(E496="DS",3,(IF(E496="IP",4,(IF(E496="MA",5,(IF(E496="PT",6,(IF(E496="AE",1,(IF(E496="CM",2,(IF(E496="DP",3,(IF(E496="AN",1,(IF(E496="CO",2,(IF(E496="IM",3,(IF(E496="MI",4,(IF(E496="RP",5,(IF(E496="SC",6,0)))))))))))))))))))))))))))))))))))))))</f>
        <v>4</v>
      </c>
      <c r="G496" s="52">
        <v>1</v>
      </c>
      <c r="H496" s="90" t="s">
        <v>115</v>
      </c>
      <c r="I496" s="93" t="s">
        <v>73</v>
      </c>
      <c r="J496" s="86" t="s">
        <v>4244</v>
      </c>
      <c r="K496" s="101" t="s">
        <v>5185</v>
      </c>
      <c r="L496" s="117">
        <f>IF(O496="","",N496*O496*M496)</f>
        <v>0</v>
      </c>
      <c r="M496" s="108">
        <v>1</v>
      </c>
      <c r="N496" s="95">
        <v>1</v>
      </c>
      <c r="O496" s="109">
        <f>IF(Key!D$1="ON",P496,IF(SUM(Q496:DL496)&lt;1,"",SUM(Q496:DL496)/COUNTIF(Q496:DL496,"&gt;0")))</f>
        <v>0</v>
      </c>
      <c r="P496" s="109">
        <f>SUMIFS(Q496:DK496,Q$1:DK$1,Dashboard!$K$31)</f>
        <v>0</v>
      </c>
      <c r="U496" s="95">
        <v>33</v>
      </c>
      <c r="AA496" s="95">
        <v>25</v>
      </c>
      <c r="AH496" s="95">
        <v>75</v>
      </c>
    </row>
    <row r="497" spans="1:34" x14ac:dyDescent="0.3">
      <c r="A497" s="89" t="str">
        <f>CONCATENATE(D497,".",F497,"-",G497,".",H497,"")</f>
        <v>1.4-1.1</v>
      </c>
      <c r="B497" s="89" t="str">
        <f>IF(CONCATENATE(I497,Key!F$2)=CONCATENATE(INDEX(Dashboard!J:J,MATCH(I497,Dashboard!J:J,0),1),INDEX(Dashboard!J:K,MATCH(I497,Dashboard!J:J,0),2)),"ON",IF(Dashboard!K$32="ALL","ON","-"))</f>
        <v>-</v>
      </c>
      <c r="C497" s="88" t="s">
        <v>110</v>
      </c>
      <c r="D497" s="89">
        <f>IF(C497="ID",1,(IF(C497="PR",2,(IF(C497="DE",3,(IF(C497="RS",4,(IF(C497="RC",5,0)))))))))</f>
        <v>1</v>
      </c>
      <c r="E497" s="89" t="s">
        <v>140</v>
      </c>
      <c r="F497" s="89">
        <f>IF(E497="AM",1,(IF(E497="BE",2,(IF(E497="GV",3,(IF(E497="RA",4,(IF(E497="RM",5,(IF(E497="AC",1,(IF(E497="AT",2,(IF(E497="DS",3,(IF(E497="IP",4,(IF(E497="MA",5,(IF(E497="PT",6,(IF(E497="AE",1,(IF(E497="CM",2,(IF(E497="DP",3,(IF(E497="AN",1,(IF(E497="CO",2,(IF(E497="IM",3,(IF(E497="MI",4,(IF(E497="RP",5,(IF(E497="SC",6,0)))))))))))))))))))))))))))))))))))))))</f>
        <v>4</v>
      </c>
      <c r="G497" s="98">
        <v>1</v>
      </c>
      <c r="H497" s="99">
        <v>1</v>
      </c>
      <c r="I497" s="93" t="s">
        <v>73</v>
      </c>
      <c r="J497" s="86" t="s">
        <v>4248</v>
      </c>
      <c r="K497" s="107" t="s">
        <v>4352</v>
      </c>
      <c r="L497" s="117">
        <f>IF(O497="","",N497*O497*M497)</f>
        <v>0</v>
      </c>
      <c r="M497" s="108">
        <v>1</v>
      </c>
      <c r="N497" s="95">
        <v>1</v>
      </c>
      <c r="O497" s="109">
        <f>IF(Key!D$1="ON",P497,IF(SUM(Q497:DL497)&lt;1,"",SUM(Q497:DL497)/COUNTIF(Q497:DL497,"&gt;0")))</f>
        <v>0</v>
      </c>
      <c r="P497" s="109">
        <f>SUMIFS(Q497:DK497,Q$1:DK$1,Dashboard!$K$31)</f>
        <v>0</v>
      </c>
      <c r="U497" s="95">
        <v>33</v>
      </c>
      <c r="AA497" s="95">
        <v>25</v>
      </c>
      <c r="AH497" s="95">
        <v>75</v>
      </c>
    </row>
    <row r="498" spans="1:34" x14ac:dyDescent="0.3">
      <c r="A498" s="89" t="str">
        <f>CONCATENATE(D498,".",F498,"-",G498,".",H498,"")</f>
        <v>1.4-1.1</v>
      </c>
      <c r="B498" s="89" t="str">
        <f>IF(CONCATENATE(I498,Key!F$2)=CONCATENATE(INDEX(Dashboard!J:J,MATCH(I498,Dashboard!J:J,0),1),INDEX(Dashboard!J:K,MATCH(I498,Dashboard!J:J,0),2)),"ON",IF(Dashboard!K$32="ALL","ON","-"))</f>
        <v>-</v>
      </c>
      <c r="C498" s="88" t="s">
        <v>110</v>
      </c>
      <c r="D498" s="89">
        <f>IF(C498="ID",1,(IF(C498="PR",2,(IF(C498="DE",3,(IF(C498="RS",4,(IF(C498="RC",5,0)))))))))</f>
        <v>1</v>
      </c>
      <c r="E498" s="89" t="s">
        <v>140</v>
      </c>
      <c r="F498" s="89">
        <f>IF(E498="AM",1,(IF(E498="BE",2,(IF(E498="GV",3,(IF(E498="RA",4,(IF(E498="RM",5,(IF(E498="AC",1,(IF(E498="AT",2,(IF(E498="DS",3,(IF(E498="IP",4,(IF(E498="MA",5,(IF(E498="PT",6,(IF(E498="AE",1,(IF(E498="CM",2,(IF(E498="DP",3,(IF(E498="AN",1,(IF(E498="CO",2,(IF(E498="IM",3,(IF(E498="MI",4,(IF(E498="RP",5,(IF(E498="SC",6,0)))))))))))))))))))))))))))))))))))))))</f>
        <v>4</v>
      </c>
      <c r="G498" s="52">
        <v>1</v>
      </c>
      <c r="H498" s="90" t="s">
        <v>115</v>
      </c>
      <c r="I498" s="93" t="s">
        <v>73</v>
      </c>
      <c r="J498" s="86" t="s">
        <v>4249</v>
      </c>
      <c r="K498" s="101" t="s">
        <v>4416</v>
      </c>
      <c r="L498" s="117">
        <f>IF(O498="","",N498*O498*M498)</f>
        <v>0</v>
      </c>
      <c r="M498" s="108">
        <v>1</v>
      </c>
      <c r="N498" s="95">
        <v>1</v>
      </c>
      <c r="O498" s="109">
        <f>IF(Key!D$1="ON",P498,IF(SUM(Q498:DL498)&lt;1,"",SUM(Q498:DL498)/COUNTIF(Q498:DL498,"&gt;0")))</f>
        <v>0</v>
      </c>
      <c r="P498" s="109">
        <f>SUMIFS(Q498:DK498,Q$1:DK$1,Dashboard!$K$31)</f>
        <v>0</v>
      </c>
      <c r="U498" s="95">
        <v>33</v>
      </c>
      <c r="AA498" s="95">
        <v>25</v>
      </c>
      <c r="AH498" s="95">
        <v>75</v>
      </c>
    </row>
    <row r="499" spans="1:34" x14ac:dyDescent="0.3">
      <c r="A499" s="89" t="str">
        <f>CONCATENATE(D499,".",F499,"-",G499,".",H499,"")</f>
        <v>1.4-1.1</v>
      </c>
      <c r="B499" s="89" t="str">
        <f>IF(CONCATENATE(I499,Key!F$2)=CONCATENATE(INDEX(Dashboard!J:J,MATCH(I499,Dashboard!J:J,0),1),INDEX(Dashboard!J:K,MATCH(I499,Dashboard!J:J,0),2)),"ON",IF(Dashboard!K$32="ALL","ON","-"))</f>
        <v>-</v>
      </c>
      <c r="C499" s="96" t="s">
        <v>110</v>
      </c>
      <c r="D499" s="89">
        <f>IF(C499="ID",1,(IF(C499="PR",2,(IF(C499="DE",3,(IF(C499="RS",4,(IF(C499="RC",5,0)))))))))</f>
        <v>1</v>
      </c>
      <c r="E499" s="89" t="s">
        <v>140</v>
      </c>
      <c r="F499" s="89">
        <f>IF(E499="AM",1,(IF(E499="BE",2,(IF(E499="GV",3,(IF(E499="RA",4,(IF(E499="RM",5,(IF(E499="AC",1,(IF(E499="AT",2,(IF(E499="DS",3,(IF(E499="IP",4,(IF(E499="MA",5,(IF(E499="PT",6,(IF(E499="AE",1,(IF(E499="CM",2,(IF(E499="DP",3,(IF(E499="AN",1,(IF(E499="CO",2,(IF(E499="IM",3,(IF(E499="MI",4,(IF(E499="RP",5,(IF(E499="SC",6,0)))))))))))))))))))))))))))))))))))))))</f>
        <v>4</v>
      </c>
      <c r="G499" s="98">
        <v>1</v>
      </c>
      <c r="H499" s="90" t="s">
        <v>115</v>
      </c>
      <c r="I499" s="93" t="s">
        <v>77</v>
      </c>
      <c r="J499" s="87" t="s">
        <v>1036</v>
      </c>
      <c r="K499" s="102" t="s">
        <v>2087</v>
      </c>
      <c r="L499" s="117">
        <f>IF(O499="","",N499*O499*M499)</f>
        <v>0</v>
      </c>
      <c r="M499" s="108">
        <v>1</v>
      </c>
      <c r="N499" s="95">
        <v>1</v>
      </c>
      <c r="O499" s="109">
        <f>IF(Key!D$1="ON",P499,IF(SUM(Q499:DL499)&lt;1,"",SUM(Q499:DL499)/COUNTIF(Q499:DL499,"&gt;0")))</f>
        <v>0</v>
      </c>
      <c r="P499" s="109">
        <f>SUMIFS(Q499:DK499,Q$1:DK$1,Dashboard!$K$31)</f>
        <v>0</v>
      </c>
      <c r="U499" s="95">
        <v>33</v>
      </c>
      <c r="AA499" s="95">
        <v>25</v>
      </c>
      <c r="AH499" s="95">
        <v>75</v>
      </c>
    </row>
    <row r="500" spans="1:34" x14ac:dyDescent="0.3">
      <c r="A500" s="89" t="str">
        <f>CONCATENATE(D500,".",F500,"-",G500,".",H500,"")</f>
        <v>1.4-1.1</v>
      </c>
      <c r="B500" s="89" t="str">
        <f>IF(CONCATENATE(I500,Key!F$2)=CONCATENATE(INDEX(Dashboard!J:J,MATCH(I500,Dashboard!J:J,0),1),INDEX(Dashboard!J:K,MATCH(I500,Dashboard!J:J,0),2)),"ON",IF(Dashboard!K$32="ALL","ON","-"))</f>
        <v>-</v>
      </c>
      <c r="C500" s="88" t="s">
        <v>110</v>
      </c>
      <c r="D500" s="89">
        <f>IF(C500="ID",1,(IF(C500="PR",2,(IF(C500="DE",3,(IF(C500="RS",4,(IF(C500="RC",5,0)))))))))</f>
        <v>1</v>
      </c>
      <c r="E500" s="89" t="s">
        <v>140</v>
      </c>
      <c r="F500" s="89">
        <f>IF(E500="AM",1,(IF(E500="BE",2,(IF(E500="GV",3,(IF(E500="RA",4,(IF(E500="RM",5,(IF(E500="AC",1,(IF(E500="AT",2,(IF(E500="DS",3,(IF(E500="IP",4,(IF(E500="MA",5,(IF(E500="PT",6,(IF(E500="AE",1,(IF(E500="CM",2,(IF(E500="DP",3,(IF(E500="AN",1,(IF(E500="CO",2,(IF(E500="IM",3,(IF(E500="MI",4,(IF(E500="RP",5,(IF(E500="SC",6,0)))))))))))))))))))))))))))))))))))))))</f>
        <v>4</v>
      </c>
      <c r="G500" s="52">
        <v>1</v>
      </c>
      <c r="H500" s="90" t="s">
        <v>115</v>
      </c>
      <c r="I500" s="93" t="s">
        <v>77</v>
      </c>
      <c r="J500" s="87" t="s">
        <v>1038</v>
      </c>
      <c r="K500" s="102" t="s">
        <v>2088</v>
      </c>
      <c r="L500" s="117">
        <f>IF(O500="","",N500*O500*M500)</f>
        <v>0</v>
      </c>
      <c r="M500" s="108">
        <v>1</v>
      </c>
      <c r="N500" s="95">
        <v>1</v>
      </c>
      <c r="O500" s="109">
        <f>IF(Key!D$1="ON",P500,IF(SUM(Q500:DL500)&lt;1,"",SUM(Q500:DL500)/COUNTIF(Q500:DL500,"&gt;0")))</f>
        <v>0</v>
      </c>
      <c r="P500" s="109">
        <f>SUMIFS(Q500:DK500,Q$1:DK$1,Dashboard!$K$31)</f>
        <v>0</v>
      </c>
      <c r="U500" s="95">
        <v>33</v>
      </c>
      <c r="AA500" s="95">
        <v>25</v>
      </c>
      <c r="AH500" s="95">
        <v>75</v>
      </c>
    </row>
    <row r="501" spans="1:34" x14ac:dyDescent="0.3">
      <c r="A501" s="89" t="str">
        <f>CONCATENATE(D501,".",F501,"-",G501,".",H501,"")</f>
        <v>1.4-1.1</v>
      </c>
      <c r="B501" s="89" t="str">
        <f>IF(CONCATENATE(I501,Key!F$2)=CONCATENATE(INDEX(Dashboard!J:J,MATCH(I501,Dashboard!J:J,0),1),INDEX(Dashboard!J:K,MATCH(I501,Dashboard!J:J,0),2)),"ON",IF(Dashboard!K$32="ALL","ON","-"))</f>
        <v>-</v>
      </c>
      <c r="C501" s="88" t="s">
        <v>110</v>
      </c>
      <c r="D501" s="89">
        <f>IF(C501="ID",1,(IF(C501="PR",2,(IF(C501="DE",3,(IF(C501="RS",4,(IF(C501="RC",5,0)))))))))</f>
        <v>1</v>
      </c>
      <c r="E501" s="89" t="s">
        <v>140</v>
      </c>
      <c r="F501" s="89">
        <f>IF(E501="AM",1,(IF(E501="BE",2,(IF(E501="GV",3,(IF(E501="RA",4,(IF(E501="RM",5,(IF(E501="AC",1,(IF(E501="AT",2,(IF(E501="DS",3,(IF(E501="IP",4,(IF(E501="MA",5,(IF(E501="PT",6,(IF(E501="AE",1,(IF(E501="CM",2,(IF(E501="DP",3,(IF(E501="AN",1,(IF(E501="CO",2,(IF(E501="IM",3,(IF(E501="MI",4,(IF(E501="RP",5,(IF(E501="SC",6,0)))))))))))))))))))))))))))))))))))))))</f>
        <v>4</v>
      </c>
      <c r="G501" s="52">
        <v>1</v>
      </c>
      <c r="H501" s="90" t="s">
        <v>115</v>
      </c>
      <c r="I501" s="93" t="s">
        <v>77</v>
      </c>
      <c r="J501" s="87" t="s">
        <v>1039</v>
      </c>
      <c r="K501" s="102" t="s">
        <v>2089</v>
      </c>
      <c r="L501" s="117">
        <f>IF(O501="","",N501*O501*M501)</f>
        <v>0</v>
      </c>
      <c r="M501" s="108">
        <v>1</v>
      </c>
      <c r="N501" s="95">
        <v>1</v>
      </c>
      <c r="O501" s="109">
        <f>IF(Key!D$1="ON",P501,IF(SUM(Q501:DL501)&lt;1,"",SUM(Q501:DL501)/COUNTIF(Q501:DL501,"&gt;0")))</f>
        <v>0</v>
      </c>
      <c r="P501" s="109">
        <f>SUMIFS(Q501:DK501,Q$1:DK$1,Dashboard!$K$31)</f>
        <v>0</v>
      </c>
      <c r="U501" s="95">
        <v>33</v>
      </c>
      <c r="AA501" s="95">
        <v>25</v>
      </c>
      <c r="AH501" s="95">
        <v>75</v>
      </c>
    </row>
    <row r="502" spans="1:34" x14ac:dyDescent="0.3">
      <c r="A502" s="89" t="str">
        <f>CONCATENATE(D502,".",F502,"-",G502,".",H502,"")</f>
        <v>1.4-1.1</v>
      </c>
      <c r="B502" s="89" t="str">
        <f>IF(CONCATENATE(I502,Key!F$2)=CONCATENATE(INDEX(Dashboard!J:J,MATCH(I502,Dashboard!J:J,0),1),INDEX(Dashboard!J:K,MATCH(I502,Dashboard!J:J,0),2)),"ON",IF(Dashboard!K$32="ALL","ON","-"))</f>
        <v>-</v>
      </c>
      <c r="C502" s="88" t="s">
        <v>110</v>
      </c>
      <c r="D502" s="89">
        <f>IF(C502="ID",1,(IF(C502="PR",2,(IF(C502="DE",3,(IF(C502="RS",4,(IF(C502="RC",5,0)))))))))</f>
        <v>1</v>
      </c>
      <c r="E502" s="89" t="s">
        <v>140</v>
      </c>
      <c r="F502" s="89">
        <f>IF(E502="AM",1,(IF(E502="BE",2,(IF(E502="GV",3,(IF(E502="RA",4,(IF(E502="RM",5,(IF(E502="AC",1,(IF(E502="AT",2,(IF(E502="DS",3,(IF(E502="IP",4,(IF(E502="MA",5,(IF(E502="PT",6,(IF(E502="AE",1,(IF(E502="CM",2,(IF(E502="DP",3,(IF(E502="AN",1,(IF(E502="CO",2,(IF(E502="IM",3,(IF(E502="MI",4,(IF(E502="RP",5,(IF(E502="SC",6,0)))))))))))))))))))))))))))))))))))))))</f>
        <v>4</v>
      </c>
      <c r="G502" s="52">
        <v>1</v>
      </c>
      <c r="H502" s="90" t="s">
        <v>115</v>
      </c>
      <c r="I502" s="93" t="s">
        <v>77</v>
      </c>
      <c r="J502" s="87" t="s">
        <v>1040</v>
      </c>
      <c r="K502" s="102" t="s">
        <v>2090</v>
      </c>
      <c r="L502" s="117">
        <f>IF(O502="","",N502*O502*M502)</f>
        <v>0</v>
      </c>
      <c r="M502" s="108">
        <v>1</v>
      </c>
      <c r="N502" s="95">
        <v>1</v>
      </c>
      <c r="O502" s="109">
        <f>IF(Key!D$1="ON",P502,IF(SUM(Q502:DL502)&lt;1,"",SUM(Q502:DL502)/COUNTIF(Q502:DL502,"&gt;0")))</f>
        <v>0</v>
      </c>
      <c r="P502" s="109">
        <f>SUMIFS(Q502:DK502,Q$1:DK$1,Dashboard!$K$31)</f>
        <v>0</v>
      </c>
      <c r="U502" s="95">
        <v>33</v>
      </c>
      <c r="AA502" s="95">
        <v>25</v>
      </c>
      <c r="AH502" s="95">
        <v>75</v>
      </c>
    </row>
    <row r="503" spans="1:34" x14ac:dyDescent="0.3">
      <c r="A503" s="89" t="str">
        <f>CONCATENATE(D503,".",F503,"-",G503,".",H503,"")</f>
        <v>1.4-1.1</v>
      </c>
      <c r="B503" s="89" t="str">
        <f>IF(CONCATENATE(I503,Key!F$2)=CONCATENATE(INDEX(Dashboard!J:J,MATCH(I503,Dashboard!J:J,0),1),INDEX(Dashboard!J:K,MATCH(I503,Dashboard!J:J,0),2)),"ON",IF(Dashboard!K$32="ALL","ON","-"))</f>
        <v>-</v>
      </c>
      <c r="C503" s="88" t="s">
        <v>110</v>
      </c>
      <c r="D503" s="89">
        <f>IF(C503="ID",1,(IF(C503="PR",2,(IF(C503="DE",3,(IF(C503="RS",4,(IF(C503="RC",5,0)))))))))</f>
        <v>1</v>
      </c>
      <c r="E503" s="89" t="s">
        <v>140</v>
      </c>
      <c r="F503" s="89">
        <f>IF(E503="AM",1,(IF(E503="BE",2,(IF(E503="GV",3,(IF(E503="RA",4,(IF(E503="RM",5,(IF(E503="AC",1,(IF(E503="AT",2,(IF(E503="DS",3,(IF(E503="IP",4,(IF(E503="MA",5,(IF(E503="PT",6,(IF(E503="AE",1,(IF(E503="CM",2,(IF(E503="DP",3,(IF(E503="AN",1,(IF(E503="CO",2,(IF(E503="IM",3,(IF(E503="MI",4,(IF(E503="RP",5,(IF(E503="SC",6,0)))))))))))))))))))))))))))))))))))))))</f>
        <v>4</v>
      </c>
      <c r="G503" s="52">
        <v>1</v>
      </c>
      <c r="H503" s="90" t="s">
        <v>115</v>
      </c>
      <c r="I503" s="93" t="s">
        <v>77</v>
      </c>
      <c r="J503" s="87" t="s">
        <v>1041</v>
      </c>
      <c r="K503" s="102" t="s">
        <v>2091</v>
      </c>
      <c r="L503" s="117">
        <f>IF(O503="","",N503*O503*M503)</f>
        <v>0</v>
      </c>
      <c r="M503" s="108">
        <v>1</v>
      </c>
      <c r="N503" s="95">
        <v>1</v>
      </c>
      <c r="O503" s="109">
        <f>IF(Key!D$1="ON",P503,IF(SUM(Q503:DL503)&lt;1,"",SUM(Q503:DL503)/COUNTIF(Q503:DL503,"&gt;0")))</f>
        <v>0</v>
      </c>
      <c r="P503" s="109">
        <f>SUMIFS(Q503:DK503,Q$1:DK$1,Dashboard!$K$31)</f>
        <v>0</v>
      </c>
      <c r="U503" s="95">
        <v>33</v>
      </c>
      <c r="AA503" s="95">
        <v>25</v>
      </c>
      <c r="AH503" s="95">
        <v>75</v>
      </c>
    </row>
    <row r="504" spans="1:34" x14ac:dyDescent="0.3">
      <c r="A504" s="89" t="str">
        <f>CONCATENATE(D504,".",F504,"-",G504,".",H504,"")</f>
        <v>1.4-1.1</v>
      </c>
      <c r="B504" s="89" t="str">
        <f>IF(CONCATENATE(I504,Key!F$2)=CONCATENATE(INDEX(Dashboard!J:J,MATCH(I504,Dashboard!J:J,0),1),INDEX(Dashboard!J:K,MATCH(I504,Dashboard!J:J,0),2)),"ON",IF(Dashboard!K$32="ALL","ON","-"))</f>
        <v>-</v>
      </c>
      <c r="C504" s="88" t="s">
        <v>110</v>
      </c>
      <c r="D504" s="89">
        <f>IF(C504="ID",1,(IF(C504="PR",2,(IF(C504="DE",3,(IF(C504="RS",4,(IF(C504="RC",5,0)))))))))</f>
        <v>1</v>
      </c>
      <c r="E504" s="89" t="s">
        <v>140</v>
      </c>
      <c r="F504" s="89">
        <f>IF(E504="AM",1,(IF(E504="BE",2,(IF(E504="GV",3,(IF(E504="RA",4,(IF(E504="RM",5,(IF(E504="AC",1,(IF(E504="AT",2,(IF(E504="DS",3,(IF(E504="IP",4,(IF(E504="MA",5,(IF(E504="PT",6,(IF(E504="AE",1,(IF(E504="CM",2,(IF(E504="DP",3,(IF(E504="AN",1,(IF(E504="CO",2,(IF(E504="IM",3,(IF(E504="MI",4,(IF(E504="RP",5,(IF(E504="SC",6,0)))))))))))))))))))))))))))))))))))))))</f>
        <v>4</v>
      </c>
      <c r="G504" s="52">
        <v>1</v>
      </c>
      <c r="H504" s="90" t="s">
        <v>115</v>
      </c>
      <c r="I504" s="93" t="s">
        <v>77</v>
      </c>
      <c r="J504" s="87" t="s">
        <v>1042</v>
      </c>
      <c r="K504" s="102" t="s">
        <v>2092</v>
      </c>
      <c r="L504" s="117">
        <f>IF(O504="","",N504*O504*M504)</f>
        <v>0</v>
      </c>
      <c r="M504" s="108">
        <v>1</v>
      </c>
      <c r="N504" s="95">
        <v>1</v>
      </c>
      <c r="O504" s="109">
        <f>IF(Key!D$1="ON",P504,IF(SUM(Q504:DL504)&lt;1,"",SUM(Q504:DL504)/COUNTIF(Q504:DL504,"&gt;0")))</f>
        <v>0</v>
      </c>
      <c r="P504" s="109">
        <f>SUMIFS(Q504:DK504,Q$1:DK$1,Dashboard!$K$31)</f>
        <v>0</v>
      </c>
      <c r="U504" s="95">
        <v>33</v>
      </c>
      <c r="AA504" s="95">
        <v>25</v>
      </c>
      <c r="AH504" s="95">
        <v>75</v>
      </c>
    </row>
    <row r="505" spans="1:34" x14ac:dyDescent="0.3">
      <c r="A505" s="89" t="str">
        <f>CONCATENATE(D505,".",F505,"-",G505,".",H505,"")</f>
        <v>1.4-1.1</v>
      </c>
      <c r="B505" s="89" t="str">
        <f>IF(CONCATENATE(I505,Key!F$2)=CONCATENATE(INDEX(Dashboard!J:J,MATCH(I505,Dashboard!J:J,0),1),INDEX(Dashboard!J:K,MATCH(I505,Dashboard!J:J,0),2)),"ON",IF(Dashboard!K$32="ALL","ON","-"))</f>
        <v>-</v>
      </c>
      <c r="C505" s="96" t="s">
        <v>110</v>
      </c>
      <c r="D505" s="89">
        <f>IF(C505="ID",1,(IF(C505="PR",2,(IF(C505="DE",3,(IF(C505="RS",4,(IF(C505="RC",5,0)))))))))</f>
        <v>1</v>
      </c>
      <c r="E505" s="89" t="s">
        <v>140</v>
      </c>
      <c r="F505" s="89">
        <f>IF(E505="AM",1,(IF(E505="BE",2,(IF(E505="GV",3,(IF(E505="RA",4,(IF(E505="RM",5,(IF(E505="AC",1,(IF(E505="AT",2,(IF(E505="DS",3,(IF(E505="IP",4,(IF(E505="MA",5,(IF(E505="PT",6,(IF(E505="AE",1,(IF(E505="CM",2,(IF(E505="DP",3,(IF(E505="AN",1,(IF(E505="CO",2,(IF(E505="IM",3,(IF(E505="MI",4,(IF(E505="RP",5,(IF(E505="SC",6,0)))))))))))))))))))))))))))))))))))))))</f>
        <v>4</v>
      </c>
      <c r="G505" s="98">
        <v>1</v>
      </c>
      <c r="H505" s="90" t="s">
        <v>115</v>
      </c>
      <c r="I505" s="93" t="s">
        <v>77</v>
      </c>
      <c r="J505" s="87" t="s">
        <v>1043</v>
      </c>
      <c r="K505" s="102" t="s">
        <v>2093</v>
      </c>
      <c r="L505" s="117">
        <f>IF(O505="","",N505*O505*M505)</f>
        <v>0</v>
      </c>
      <c r="M505" s="108">
        <v>1</v>
      </c>
      <c r="N505" s="95">
        <v>1</v>
      </c>
      <c r="O505" s="109">
        <f>IF(Key!D$1="ON",P505,IF(SUM(Q505:DL505)&lt;1,"",SUM(Q505:DL505)/COUNTIF(Q505:DL505,"&gt;0")))</f>
        <v>0</v>
      </c>
      <c r="P505" s="109">
        <f>SUMIFS(Q505:DK505,Q$1:DK$1,Dashboard!$K$31)</f>
        <v>0</v>
      </c>
      <c r="U505" s="95">
        <v>33</v>
      </c>
      <c r="AA505" s="95">
        <v>25</v>
      </c>
      <c r="AH505" s="95">
        <v>75</v>
      </c>
    </row>
    <row r="506" spans="1:34" x14ac:dyDescent="0.3">
      <c r="A506" s="89" t="str">
        <f>CONCATENATE(D506,".",F506,"-",G506,".",H506,"")</f>
        <v>1.4-1.1</v>
      </c>
      <c r="B506" s="89" t="str">
        <f>IF(CONCATENATE(I506,Key!F$2)=CONCATENATE(INDEX(Dashboard!J:J,MATCH(I506,Dashboard!J:J,0),1),INDEX(Dashboard!J:K,MATCH(I506,Dashboard!J:J,0),2)),"ON",IF(Dashboard!K$32="ALL","ON","-"))</f>
        <v>-</v>
      </c>
      <c r="C506" s="88" t="s">
        <v>110</v>
      </c>
      <c r="D506" s="89">
        <f>IF(C506="ID",1,(IF(C506="PR",2,(IF(C506="DE",3,(IF(C506="RS",4,(IF(C506="RC",5,0)))))))))</f>
        <v>1</v>
      </c>
      <c r="E506" s="89" t="s">
        <v>140</v>
      </c>
      <c r="F506" s="89">
        <f>IF(E506="AM",1,(IF(E506="BE",2,(IF(E506="GV",3,(IF(E506="RA",4,(IF(E506="RM",5,(IF(E506="AC",1,(IF(E506="AT",2,(IF(E506="DS",3,(IF(E506="IP",4,(IF(E506="MA",5,(IF(E506="PT",6,(IF(E506="AE",1,(IF(E506="CM",2,(IF(E506="DP",3,(IF(E506="AN",1,(IF(E506="CO",2,(IF(E506="IM",3,(IF(E506="MI",4,(IF(E506="RP",5,(IF(E506="SC",6,0)))))))))))))))))))))))))))))))))))))))</f>
        <v>4</v>
      </c>
      <c r="G506" s="52">
        <v>1</v>
      </c>
      <c r="H506" s="90" t="s">
        <v>115</v>
      </c>
      <c r="I506" s="93" t="s">
        <v>77</v>
      </c>
      <c r="J506" s="87" t="s">
        <v>1045</v>
      </c>
      <c r="K506" s="102" t="s">
        <v>2094</v>
      </c>
      <c r="L506" s="117">
        <f>IF(O506="","",N506*O506*M506)</f>
        <v>0</v>
      </c>
      <c r="M506" s="108">
        <v>1</v>
      </c>
      <c r="N506" s="95">
        <v>1</v>
      </c>
      <c r="O506" s="109">
        <f>IF(Key!D$1="ON",P506,IF(SUM(Q506:DL506)&lt;1,"",SUM(Q506:DL506)/COUNTIF(Q506:DL506,"&gt;0")))</f>
        <v>0</v>
      </c>
      <c r="P506" s="109">
        <f>SUMIFS(Q506:DK506,Q$1:DK$1,Dashboard!$K$31)</f>
        <v>0</v>
      </c>
      <c r="U506" s="95">
        <v>33</v>
      </c>
      <c r="AA506" s="95">
        <v>25</v>
      </c>
      <c r="AH506" s="95">
        <v>75</v>
      </c>
    </row>
    <row r="507" spans="1:34" x14ac:dyDescent="0.3">
      <c r="A507" s="89" t="str">
        <f>CONCATENATE(D507,".",F507,"-",G507,".",H507,"")</f>
        <v>1.4-1.1</v>
      </c>
      <c r="B507" s="89" t="str">
        <f>IF(CONCATENATE(I507,Key!F$2)=CONCATENATE(INDEX(Dashboard!J:J,MATCH(I507,Dashboard!J:J,0),1),INDEX(Dashboard!J:K,MATCH(I507,Dashboard!J:J,0),2)),"ON",IF(Dashboard!K$32="ALL","ON","-"))</f>
        <v>-</v>
      </c>
      <c r="C507" s="88" t="s">
        <v>110</v>
      </c>
      <c r="D507" s="89">
        <f>IF(C507="ID",1,(IF(C507="PR",2,(IF(C507="DE",3,(IF(C507="RS",4,(IF(C507="RC",5,0)))))))))</f>
        <v>1</v>
      </c>
      <c r="E507" s="89" t="s">
        <v>140</v>
      </c>
      <c r="F507" s="89">
        <f>IF(E507="AM",1,(IF(E507="BE",2,(IF(E507="GV",3,(IF(E507="RA",4,(IF(E507="RM",5,(IF(E507="AC",1,(IF(E507="AT",2,(IF(E507="DS",3,(IF(E507="IP",4,(IF(E507="MA",5,(IF(E507="PT",6,(IF(E507="AE",1,(IF(E507="CM",2,(IF(E507="DP",3,(IF(E507="AN",1,(IF(E507="CO",2,(IF(E507="IM",3,(IF(E507="MI",4,(IF(E507="RP",5,(IF(E507="SC",6,0)))))))))))))))))))))))))))))))))))))))</f>
        <v>4</v>
      </c>
      <c r="G507" s="52">
        <v>1</v>
      </c>
      <c r="H507" s="90" t="s">
        <v>115</v>
      </c>
      <c r="I507" s="93" t="s">
        <v>77</v>
      </c>
      <c r="J507" s="87" t="s">
        <v>1046</v>
      </c>
      <c r="K507" s="102" t="s">
        <v>2095</v>
      </c>
      <c r="L507" s="117">
        <f>IF(O507="","",N507*O507*M507)</f>
        <v>0</v>
      </c>
      <c r="M507" s="108">
        <v>0.9</v>
      </c>
      <c r="N507" s="95">
        <v>1</v>
      </c>
      <c r="O507" s="109">
        <f>IF(Key!D$1="ON",P507,IF(SUM(Q507:DL507)&lt;1,"",SUM(Q507:DL507)/COUNTIF(Q507:DL507,"&gt;0")))</f>
        <v>0</v>
      </c>
      <c r="P507" s="109">
        <f>SUMIFS(Q507:DK507,Q$1:DK$1,Dashboard!$K$31)</f>
        <v>0</v>
      </c>
      <c r="S507" s="95">
        <v>99</v>
      </c>
      <c r="T507" s="95">
        <v>80</v>
      </c>
      <c r="U507" s="95">
        <v>33</v>
      </c>
      <c r="AA507" s="95">
        <v>25</v>
      </c>
      <c r="AH507" s="95">
        <v>75</v>
      </c>
    </row>
    <row r="508" spans="1:34" x14ac:dyDescent="0.3">
      <c r="A508" s="89" t="str">
        <f>CONCATENATE(D508,".",F508,"-",G508,".",H508,"")</f>
        <v>1.4-1.1</v>
      </c>
      <c r="B508" s="89" t="str">
        <f>IF(CONCATENATE(I508,Key!F$2)=CONCATENATE(INDEX(Dashboard!J:J,MATCH(I508,Dashboard!J:J,0),1),INDEX(Dashboard!J:K,MATCH(I508,Dashboard!J:J,0),2)),"ON",IF(Dashboard!K$32="ALL","ON","-"))</f>
        <v>-</v>
      </c>
      <c r="C508" s="96" t="s">
        <v>110</v>
      </c>
      <c r="D508" s="89">
        <f>IF(C508="ID",1,(IF(C508="PR",2,(IF(C508="DE",3,(IF(C508="RS",4,(IF(C508="RC",5,0)))))))))</f>
        <v>1</v>
      </c>
      <c r="E508" s="89" t="s">
        <v>140</v>
      </c>
      <c r="F508" s="89">
        <f>IF(E508="AM",1,(IF(E508="BE",2,(IF(E508="GV",3,(IF(E508="RA",4,(IF(E508="RM",5,(IF(E508="AC",1,(IF(E508="AT",2,(IF(E508="DS",3,(IF(E508="IP",4,(IF(E508="MA",5,(IF(E508="PT",6,(IF(E508="AE",1,(IF(E508="CM",2,(IF(E508="DP",3,(IF(E508="AN",1,(IF(E508="CO",2,(IF(E508="IM",3,(IF(E508="MI",4,(IF(E508="RP",5,(IF(E508="SC",6,0)))))))))))))))))))))))))))))))))))))))</f>
        <v>4</v>
      </c>
      <c r="G508" s="98">
        <v>1</v>
      </c>
      <c r="H508" s="90" t="s">
        <v>115</v>
      </c>
      <c r="I508" s="93" t="s">
        <v>77</v>
      </c>
      <c r="J508" s="87" t="s">
        <v>1047</v>
      </c>
      <c r="K508" s="102" t="s">
        <v>2096</v>
      </c>
      <c r="L508" s="117">
        <f>IF(O508="","",N508*O508*M508)</f>
        <v>0</v>
      </c>
      <c r="M508" s="108">
        <v>1</v>
      </c>
      <c r="N508" s="95">
        <v>1</v>
      </c>
      <c r="O508" s="109">
        <f>IF(Key!D$1="ON",P508,IF(SUM(Q508:DL508)&lt;1,"",SUM(Q508:DL508)/COUNTIF(Q508:DL508,"&gt;0")))</f>
        <v>0</v>
      </c>
      <c r="P508" s="109">
        <f>SUMIFS(Q508:DK508,Q$1:DK$1,Dashboard!$K$31)</f>
        <v>0</v>
      </c>
      <c r="U508" s="95">
        <v>33</v>
      </c>
      <c r="AA508" s="95">
        <v>25</v>
      </c>
      <c r="AH508" s="95">
        <v>75</v>
      </c>
    </row>
    <row r="509" spans="1:34" x14ac:dyDescent="0.3">
      <c r="A509" s="89" t="str">
        <f>CONCATENATE(D509,".",F509,"-",G509,".",H509,"")</f>
        <v>1.4-1.1</v>
      </c>
      <c r="B509" s="89" t="str">
        <f>IF(CONCATENATE(I509,Key!F$2)=CONCATENATE(INDEX(Dashboard!J:J,MATCH(I509,Dashboard!J:J,0),1),INDEX(Dashboard!J:K,MATCH(I509,Dashboard!J:J,0),2)),"ON",IF(Dashboard!K$32="ALL","ON","-"))</f>
        <v>-</v>
      </c>
      <c r="C509" s="96" t="s">
        <v>110</v>
      </c>
      <c r="D509" s="89">
        <f>IF(C509="ID",1,(IF(C509="PR",2,(IF(C509="DE",3,(IF(C509="RS",4,(IF(C509="RC",5,0)))))))))</f>
        <v>1</v>
      </c>
      <c r="E509" s="89" t="s">
        <v>140</v>
      </c>
      <c r="F509" s="89">
        <f>IF(E509="AM",1,(IF(E509="BE",2,(IF(E509="GV",3,(IF(E509="RA",4,(IF(E509="RM",5,(IF(E509="AC",1,(IF(E509="AT",2,(IF(E509="DS",3,(IF(E509="IP",4,(IF(E509="MA",5,(IF(E509="PT",6,(IF(E509="AE",1,(IF(E509="CM",2,(IF(E509="DP",3,(IF(E509="AN",1,(IF(E509="CO",2,(IF(E509="IM",3,(IF(E509="MI",4,(IF(E509="RP",5,(IF(E509="SC",6,0)))))))))))))))))))))))))))))))))))))))</f>
        <v>4</v>
      </c>
      <c r="G509" s="98">
        <v>1</v>
      </c>
      <c r="H509" s="90" t="s">
        <v>115</v>
      </c>
      <c r="I509" s="93" t="s">
        <v>77</v>
      </c>
      <c r="J509" s="87" t="s">
        <v>1049</v>
      </c>
      <c r="K509" s="102" t="s">
        <v>2097</v>
      </c>
      <c r="L509" s="117">
        <f>IF(O509="","",N509*O509*M509)</f>
        <v>0</v>
      </c>
      <c r="M509" s="108">
        <v>1</v>
      </c>
      <c r="N509" s="95">
        <v>1</v>
      </c>
      <c r="O509" s="109">
        <f>IF(Key!D$1="ON",P509,IF(SUM(Q509:DL509)&lt;1,"",SUM(Q509:DL509)/COUNTIF(Q509:DL509,"&gt;0")))</f>
        <v>0</v>
      </c>
      <c r="P509" s="109">
        <f>SUMIFS(Q509:DK509,Q$1:DK$1,Dashboard!$K$31)</f>
        <v>0</v>
      </c>
      <c r="U509" s="95">
        <v>33</v>
      </c>
      <c r="AA509" s="95">
        <v>25</v>
      </c>
      <c r="AH509" s="95">
        <v>75</v>
      </c>
    </row>
    <row r="510" spans="1:34" x14ac:dyDescent="0.3">
      <c r="A510" s="89" t="str">
        <f>CONCATENATE(D510,".",F510,"-",G510,".",H510,"")</f>
        <v>1.4-1.1</v>
      </c>
      <c r="B510" s="89" t="str">
        <f>IF(CONCATENATE(I510,Key!F$2)=CONCATENATE(INDEX(Dashboard!J:J,MATCH(I510,Dashboard!J:J,0),1),INDEX(Dashboard!J:K,MATCH(I510,Dashboard!J:J,0),2)),"ON",IF(Dashboard!K$32="ALL","ON","-"))</f>
        <v>-</v>
      </c>
      <c r="C510" s="88" t="s">
        <v>110</v>
      </c>
      <c r="D510" s="89">
        <f>IF(C510="ID",1,(IF(C510="PR",2,(IF(C510="DE",3,(IF(C510="RS",4,(IF(C510="RC",5,0)))))))))</f>
        <v>1</v>
      </c>
      <c r="E510" s="89" t="s">
        <v>140</v>
      </c>
      <c r="F510" s="89">
        <f>IF(E510="AM",1,(IF(E510="BE",2,(IF(E510="GV",3,(IF(E510="RA",4,(IF(E510="RM",5,(IF(E510="AC",1,(IF(E510="AT",2,(IF(E510="DS",3,(IF(E510="IP",4,(IF(E510="MA",5,(IF(E510="PT",6,(IF(E510="AE",1,(IF(E510="CM",2,(IF(E510="DP",3,(IF(E510="AN",1,(IF(E510="CO",2,(IF(E510="IM",3,(IF(E510="MI",4,(IF(E510="RP",5,(IF(E510="SC",6,0)))))))))))))))))))))))))))))))))))))))</f>
        <v>4</v>
      </c>
      <c r="G510" s="52">
        <v>1</v>
      </c>
      <c r="H510" s="90" t="s">
        <v>115</v>
      </c>
      <c r="I510" s="93" t="s">
        <v>77</v>
      </c>
      <c r="J510" s="87" t="s">
        <v>1051</v>
      </c>
      <c r="K510" s="102" t="s">
        <v>2098</v>
      </c>
      <c r="L510" s="117">
        <f>IF(O510="","",N510*O510*M510)</f>
        <v>0</v>
      </c>
      <c r="M510" s="108">
        <v>1</v>
      </c>
      <c r="N510" s="95">
        <v>1</v>
      </c>
      <c r="O510" s="109">
        <f>IF(Key!D$1="ON",P510,IF(SUM(Q510:DL510)&lt;1,"",SUM(Q510:DL510)/COUNTIF(Q510:DL510,"&gt;0")))</f>
        <v>0</v>
      </c>
      <c r="P510" s="109">
        <f>SUMIFS(Q510:DK510,Q$1:DK$1,Dashboard!$K$31)</f>
        <v>0</v>
      </c>
      <c r="U510" s="95">
        <v>33</v>
      </c>
      <c r="AA510" s="95">
        <v>25</v>
      </c>
      <c r="AH510" s="95">
        <v>75</v>
      </c>
    </row>
    <row r="511" spans="1:34" x14ac:dyDescent="0.3">
      <c r="A511" s="89" t="str">
        <f>CONCATENATE(D511,".",F511,"-",G511,".",H511,"")</f>
        <v>1.4-1.1</v>
      </c>
      <c r="B511" s="89" t="str">
        <f>IF(CONCATENATE(I511,Key!F$2)=CONCATENATE(INDEX(Dashboard!J:J,MATCH(I511,Dashboard!J:J,0),1),INDEX(Dashboard!J:K,MATCH(I511,Dashboard!J:J,0),2)),"ON",IF(Dashboard!K$32="ALL","ON","-"))</f>
        <v>-</v>
      </c>
      <c r="C511" s="88" t="s">
        <v>110</v>
      </c>
      <c r="D511" s="89">
        <f>IF(C511="ID",1,(IF(C511="PR",2,(IF(C511="DE",3,(IF(C511="RS",4,(IF(C511="RC",5,0)))))))))</f>
        <v>1</v>
      </c>
      <c r="E511" s="89" t="s">
        <v>140</v>
      </c>
      <c r="F511" s="89">
        <f>IF(E511="AM",1,(IF(E511="BE",2,(IF(E511="GV",3,(IF(E511="RA",4,(IF(E511="RM",5,(IF(E511="AC",1,(IF(E511="AT",2,(IF(E511="DS",3,(IF(E511="IP",4,(IF(E511="MA",5,(IF(E511="PT",6,(IF(E511="AE",1,(IF(E511="CM",2,(IF(E511="DP",3,(IF(E511="AN",1,(IF(E511="CO",2,(IF(E511="IM",3,(IF(E511="MI",4,(IF(E511="RP",5,(IF(E511="SC",6,0)))))))))))))))))))))))))))))))))))))))</f>
        <v>4</v>
      </c>
      <c r="G511" s="52">
        <v>1</v>
      </c>
      <c r="H511" s="90" t="s">
        <v>115</v>
      </c>
      <c r="I511" s="93" t="s">
        <v>77</v>
      </c>
      <c r="J511" s="87" t="s">
        <v>1052</v>
      </c>
      <c r="K511" s="102" t="s">
        <v>2099</v>
      </c>
      <c r="L511" s="117">
        <f>IF(O511="","",N511*O511*M511)</f>
        <v>0</v>
      </c>
      <c r="M511" s="108">
        <v>1</v>
      </c>
      <c r="N511" s="95">
        <v>1</v>
      </c>
      <c r="O511" s="109">
        <f>IF(Key!D$1="ON",P511,IF(SUM(Q511:DL511)&lt;1,"",SUM(Q511:DL511)/COUNTIF(Q511:DL511,"&gt;0")))</f>
        <v>0</v>
      </c>
      <c r="P511" s="109">
        <f>SUMIFS(Q511:DK511,Q$1:DK$1,Dashboard!$K$31)</f>
        <v>0</v>
      </c>
      <c r="U511" s="95">
        <v>33</v>
      </c>
      <c r="AA511" s="95">
        <v>25</v>
      </c>
      <c r="AH511" s="95">
        <v>75</v>
      </c>
    </row>
    <row r="512" spans="1:34" x14ac:dyDescent="0.3">
      <c r="A512" s="89" t="str">
        <f>CONCATENATE(D512,".",F512,"-",G512,".",H512,"")</f>
        <v>1.4-1.1</v>
      </c>
      <c r="B512" s="89" t="str">
        <f>IF(CONCATENATE(I512,Key!F$2)=CONCATENATE(INDEX(Dashboard!J:J,MATCH(I512,Dashboard!J:J,0),1),INDEX(Dashboard!J:K,MATCH(I512,Dashboard!J:J,0),2)),"ON",IF(Dashboard!K$32="ALL","ON","-"))</f>
        <v>-</v>
      </c>
      <c r="C512" s="88" t="s">
        <v>110</v>
      </c>
      <c r="D512" s="89">
        <f>IF(C512="ID",1,(IF(C512="PR",2,(IF(C512="DE",3,(IF(C512="RS",4,(IF(C512="RC",5,0)))))))))</f>
        <v>1</v>
      </c>
      <c r="E512" s="89" t="s">
        <v>140</v>
      </c>
      <c r="F512" s="89">
        <f>IF(E512="AM",1,(IF(E512="BE",2,(IF(E512="GV",3,(IF(E512="RA",4,(IF(E512="RM",5,(IF(E512="AC",1,(IF(E512="AT",2,(IF(E512="DS",3,(IF(E512="IP",4,(IF(E512="MA",5,(IF(E512="PT",6,(IF(E512="AE",1,(IF(E512="CM",2,(IF(E512="DP",3,(IF(E512="AN",1,(IF(E512="CO",2,(IF(E512="IM",3,(IF(E512="MI",4,(IF(E512="RP",5,(IF(E512="SC",6,0)))))))))))))))))))))))))))))))))))))))</f>
        <v>4</v>
      </c>
      <c r="G512" s="52">
        <v>1</v>
      </c>
      <c r="H512" s="90" t="s">
        <v>115</v>
      </c>
      <c r="I512" s="93" t="s">
        <v>77</v>
      </c>
      <c r="J512" s="87" t="s">
        <v>1053</v>
      </c>
      <c r="K512" s="102" t="s">
        <v>2100</v>
      </c>
      <c r="L512" s="117">
        <f>IF(O512="","",N512*O512*M512)</f>
        <v>0</v>
      </c>
      <c r="M512" s="108">
        <v>1</v>
      </c>
      <c r="N512" s="95">
        <v>1</v>
      </c>
      <c r="O512" s="109">
        <f>IF(Key!D$1="ON",P512,IF(SUM(Q512:DL512)&lt;1,"",SUM(Q512:DL512)/COUNTIF(Q512:DL512,"&gt;0")))</f>
        <v>0</v>
      </c>
      <c r="P512" s="109">
        <f>SUMIFS(Q512:DK512,Q$1:DK$1,Dashboard!$K$31)</f>
        <v>0</v>
      </c>
      <c r="U512" s="95">
        <v>33</v>
      </c>
      <c r="AA512" s="95">
        <v>25</v>
      </c>
      <c r="AH512" s="95">
        <v>75</v>
      </c>
    </row>
    <row r="513" spans="1:34" x14ac:dyDescent="0.3">
      <c r="A513" s="89" t="str">
        <f>CONCATENATE(D513,".",F513,"-",G513,".",H513,"")</f>
        <v>1.4-1.1</v>
      </c>
      <c r="B513" s="89" t="str">
        <f>IF(CONCATENATE(I513,Key!F$2)=CONCATENATE(INDEX(Dashboard!J:J,MATCH(I513,Dashboard!J:J,0),1),INDEX(Dashboard!J:K,MATCH(I513,Dashboard!J:J,0),2)),"ON",IF(Dashboard!K$32="ALL","ON","-"))</f>
        <v>-</v>
      </c>
      <c r="C513" s="88" t="s">
        <v>110</v>
      </c>
      <c r="D513" s="89">
        <f>IF(C513="ID",1,(IF(C513="PR",2,(IF(C513="DE",3,(IF(C513="RS",4,(IF(C513="RC",5,0)))))))))</f>
        <v>1</v>
      </c>
      <c r="E513" s="89" t="s">
        <v>140</v>
      </c>
      <c r="F513" s="89">
        <f>IF(E513="AM",1,(IF(E513="BE",2,(IF(E513="GV",3,(IF(E513="RA",4,(IF(E513="RM",5,(IF(E513="AC",1,(IF(E513="AT",2,(IF(E513="DS",3,(IF(E513="IP",4,(IF(E513="MA",5,(IF(E513="PT",6,(IF(E513="AE",1,(IF(E513="CM",2,(IF(E513="DP",3,(IF(E513="AN",1,(IF(E513="CO",2,(IF(E513="IM",3,(IF(E513="MI",4,(IF(E513="RP",5,(IF(E513="SC",6,0)))))))))))))))))))))))))))))))))))))))</f>
        <v>4</v>
      </c>
      <c r="G513" s="52">
        <v>1</v>
      </c>
      <c r="H513" s="90" t="s">
        <v>115</v>
      </c>
      <c r="I513" s="93" t="s">
        <v>77</v>
      </c>
      <c r="J513" s="87" t="s">
        <v>1054</v>
      </c>
      <c r="K513" s="102" t="s">
        <v>2101</v>
      </c>
      <c r="L513" s="117">
        <f>IF(O513="","",N513*O513*M513)</f>
        <v>0</v>
      </c>
      <c r="M513" s="108">
        <v>1</v>
      </c>
      <c r="N513" s="95">
        <v>1</v>
      </c>
      <c r="O513" s="109">
        <f>IF(Key!D$1="ON",P513,IF(SUM(Q513:DL513)&lt;1,"",SUM(Q513:DL513)/COUNTIF(Q513:DL513,"&gt;0")))</f>
        <v>0</v>
      </c>
      <c r="P513" s="109">
        <f>SUMIFS(Q513:DK513,Q$1:DK$1,Dashboard!$K$31)</f>
        <v>0</v>
      </c>
      <c r="U513" s="95">
        <v>33</v>
      </c>
      <c r="AA513" s="95">
        <v>25</v>
      </c>
      <c r="AH513" s="95">
        <v>75</v>
      </c>
    </row>
    <row r="514" spans="1:34" x14ac:dyDescent="0.3">
      <c r="A514" s="89" t="str">
        <f>CONCATENATE(D514,".",F514,"-",G514,".",H514,"")</f>
        <v>1.4-1.1</v>
      </c>
      <c r="B514" s="89" t="str">
        <f>IF(CONCATENATE(I514,Key!F$2)=CONCATENATE(INDEX(Dashboard!J:J,MATCH(I514,Dashboard!J:J,0),1),INDEX(Dashboard!J:K,MATCH(I514,Dashboard!J:J,0),2)),"ON",IF(Dashboard!K$32="ALL","ON","-"))</f>
        <v>-</v>
      </c>
      <c r="C514" s="88" t="s">
        <v>110</v>
      </c>
      <c r="D514" s="89">
        <f>IF(C514="ID",1,(IF(C514="PR",2,(IF(C514="DE",3,(IF(C514="RS",4,(IF(C514="RC",5,0)))))))))</f>
        <v>1</v>
      </c>
      <c r="E514" s="89" t="s">
        <v>140</v>
      </c>
      <c r="F514" s="89">
        <f>IF(E514="AM",1,(IF(E514="BE",2,(IF(E514="GV",3,(IF(E514="RA",4,(IF(E514="RM",5,(IF(E514="AC",1,(IF(E514="AT",2,(IF(E514="DS",3,(IF(E514="IP",4,(IF(E514="MA",5,(IF(E514="PT",6,(IF(E514="AE",1,(IF(E514="CM",2,(IF(E514="DP",3,(IF(E514="AN",1,(IF(E514="CO",2,(IF(E514="IM",3,(IF(E514="MI",4,(IF(E514="RP",5,(IF(E514="SC",6,0)))))))))))))))))))))))))))))))))))))))</f>
        <v>4</v>
      </c>
      <c r="G514" s="52">
        <v>1</v>
      </c>
      <c r="H514" s="90" t="s">
        <v>115</v>
      </c>
      <c r="I514" s="93" t="s">
        <v>77</v>
      </c>
      <c r="J514" s="87" t="s">
        <v>1055</v>
      </c>
      <c r="K514" s="102" t="s">
        <v>2102</v>
      </c>
      <c r="L514" s="117">
        <f>IF(O514="","",N514*O514*M514)</f>
        <v>0</v>
      </c>
      <c r="M514" s="108">
        <v>1</v>
      </c>
      <c r="N514" s="95">
        <v>1</v>
      </c>
      <c r="O514" s="109">
        <f>IF(Key!D$1="ON",P514,IF(SUM(Q514:DL514)&lt;1,"",SUM(Q514:DL514)/COUNTIF(Q514:DL514,"&gt;0")))</f>
        <v>0</v>
      </c>
      <c r="P514" s="109">
        <f>SUMIFS(Q514:DK514,Q$1:DK$1,Dashboard!$K$31)</f>
        <v>0</v>
      </c>
      <c r="U514" s="95">
        <v>33</v>
      </c>
      <c r="AA514" s="95">
        <v>25</v>
      </c>
      <c r="AH514" s="95">
        <v>75</v>
      </c>
    </row>
    <row r="515" spans="1:34" x14ac:dyDescent="0.3">
      <c r="A515" s="89" t="str">
        <f>CONCATENATE(D515,".",F515,"-",G515,".",H515,"")</f>
        <v>1.4-1.1</v>
      </c>
      <c r="B515" s="89" t="str">
        <f>IF(CONCATENATE(I515,Key!F$2)=CONCATENATE(INDEX(Dashboard!J:J,MATCH(I515,Dashboard!J:J,0),1),INDEX(Dashboard!J:K,MATCH(I515,Dashboard!J:J,0),2)),"ON",IF(Dashboard!K$32="ALL","ON","-"))</f>
        <v>-</v>
      </c>
      <c r="C515" s="88" t="s">
        <v>110</v>
      </c>
      <c r="D515" s="89">
        <f>IF(C515="ID",1,(IF(C515="PR",2,(IF(C515="DE",3,(IF(C515="RS",4,(IF(C515="RC",5,0)))))))))</f>
        <v>1</v>
      </c>
      <c r="E515" s="89" t="s">
        <v>140</v>
      </c>
      <c r="F515" s="89">
        <f>IF(E515="AM",1,(IF(E515="BE",2,(IF(E515="GV",3,(IF(E515="RA",4,(IF(E515="RM",5,(IF(E515="AC",1,(IF(E515="AT",2,(IF(E515="DS",3,(IF(E515="IP",4,(IF(E515="MA",5,(IF(E515="PT",6,(IF(E515="AE",1,(IF(E515="CM",2,(IF(E515="DP",3,(IF(E515="AN",1,(IF(E515="CO",2,(IF(E515="IM",3,(IF(E515="MI",4,(IF(E515="RP",5,(IF(E515="SC",6,0)))))))))))))))))))))))))))))))))))))))</f>
        <v>4</v>
      </c>
      <c r="G515" s="52">
        <v>1</v>
      </c>
      <c r="H515" s="90" t="s">
        <v>115</v>
      </c>
      <c r="I515" s="93" t="s">
        <v>77</v>
      </c>
      <c r="J515" s="87" t="s">
        <v>1056</v>
      </c>
      <c r="K515" s="102" t="s">
        <v>2103</v>
      </c>
      <c r="L515" s="117">
        <f>IF(O515="","",N515*O515*M515)</f>
        <v>0</v>
      </c>
      <c r="M515" s="108">
        <v>1</v>
      </c>
      <c r="N515" s="95">
        <v>1</v>
      </c>
      <c r="O515" s="109">
        <f>IF(Key!D$1="ON",P515,IF(SUM(Q515:DL515)&lt;1,"",SUM(Q515:DL515)/COUNTIF(Q515:DL515,"&gt;0")))</f>
        <v>0</v>
      </c>
      <c r="P515" s="109">
        <f>SUMIFS(Q515:DK515,Q$1:DK$1,Dashboard!$K$31)</f>
        <v>0</v>
      </c>
      <c r="U515" s="95">
        <v>33</v>
      </c>
      <c r="AA515" s="95">
        <v>25</v>
      </c>
      <c r="AH515" s="95">
        <v>75</v>
      </c>
    </row>
    <row r="516" spans="1:34" x14ac:dyDescent="0.3">
      <c r="A516" s="89" t="str">
        <f>CONCATENATE(D516,".",F516,"-",G516,".",H516,"")</f>
        <v>1.4-1.1</v>
      </c>
      <c r="B516" s="89" t="str">
        <f>IF(CONCATENATE(I516,Key!F$2)=CONCATENATE(INDEX(Dashboard!J:J,MATCH(I516,Dashboard!J:J,0),1),INDEX(Dashboard!J:K,MATCH(I516,Dashboard!J:J,0),2)),"ON",IF(Dashboard!K$32="ALL","ON","-"))</f>
        <v>-</v>
      </c>
      <c r="C516" s="88" t="s">
        <v>110</v>
      </c>
      <c r="D516" s="89">
        <f>IF(C516="ID",1,(IF(C516="PR",2,(IF(C516="DE",3,(IF(C516="RS",4,(IF(C516="RC",5,0)))))))))</f>
        <v>1</v>
      </c>
      <c r="E516" s="89" t="s">
        <v>140</v>
      </c>
      <c r="F516" s="89">
        <f>IF(E516="AM",1,(IF(E516="BE",2,(IF(E516="GV",3,(IF(E516="RA",4,(IF(E516="RM",5,(IF(E516="AC",1,(IF(E516="AT",2,(IF(E516="DS",3,(IF(E516="IP",4,(IF(E516="MA",5,(IF(E516="PT",6,(IF(E516="AE",1,(IF(E516="CM",2,(IF(E516="DP",3,(IF(E516="AN",1,(IF(E516="CO",2,(IF(E516="IM",3,(IF(E516="MI",4,(IF(E516="RP",5,(IF(E516="SC",6,0)))))))))))))))))))))))))))))))))))))))</f>
        <v>4</v>
      </c>
      <c r="G516" s="52">
        <v>1</v>
      </c>
      <c r="H516" s="90" t="s">
        <v>115</v>
      </c>
      <c r="I516" s="93" t="s">
        <v>77</v>
      </c>
      <c r="J516" s="87" t="s">
        <v>1057</v>
      </c>
      <c r="K516" s="102" t="s">
        <v>2104</v>
      </c>
      <c r="L516" s="117">
        <f>IF(O516="","",N516*O516*M516)</f>
        <v>0</v>
      </c>
      <c r="M516" s="108">
        <v>1</v>
      </c>
      <c r="N516" s="95">
        <v>1</v>
      </c>
      <c r="O516" s="109">
        <f>IF(Key!D$1="ON",P516,IF(SUM(Q516:DL516)&lt;1,"",SUM(Q516:DL516)/COUNTIF(Q516:DL516,"&gt;0")))</f>
        <v>0</v>
      </c>
      <c r="P516" s="109">
        <f>SUMIFS(Q516:DK516,Q$1:DK$1,Dashboard!$K$31)</f>
        <v>0</v>
      </c>
      <c r="U516" s="95">
        <v>33</v>
      </c>
      <c r="AA516" s="95">
        <v>25</v>
      </c>
      <c r="AH516" s="95">
        <v>75</v>
      </c>
    </row>
    <row r="517" spans="1:34" x14ac:dyDescent="0.3">
      <c r="A517" s="89" t="str">
        <f>CONCATENATE(D517,".",F517,"-",G517,".",H517,"")</f>
        <v>1.4-1.1</v>
      </c>
      <c r="B517" s="89" t="str">
        <f>IF(CONCATENATE(I517,Key!F$2)=CONCATENATE(INDEX(Dashboard!J:J,MATCH(I517,Dashboard!J:J,0),1),INDEX(Dashboard!J:K,MATCH(I517,Dashboard!J:J,0),2)),"ON",IF(Dashboard!K$32="ALL","ON","-"))</f>
        <v>-</v>
      </c>
      <c r="C517" s="88" t="s">
        <v>110</v>
      </c>
      <c r="D517" s="89">
        <f>IF(C517="ID",1,(IF(C517="PR",2,(IF(C517="DE",3,(IF(C517="RS",4,(IF(C517="RC",5,0)))))))))</f>
        <v>1</v>
      </c>
      <c r="E517" s="89" t="s">
        <v>140</v>
      </c>
      <c r="F517" s="89">
        <f>IF(E517="AM",1,(IF(E517="BE",2,(IF(E517="GV",3,(IF(E517="RA",4,(IF(E517="RM",5,(IF(E517="AC",1,(IF(E517="AT",2,(IF(E517="DS",3,(IF(E517="IP",4,(IF(E517="MA",5,(IF(E517="PT",6,(IF(E517="AE",1,(IF(E517="CM",2,(IF(E517="DP",3,(IF(E517="AN",1,(IF(E517="CO",2,(IF(E517="IM",3,(IF(E517="MI",4,(IF(E517="RP",5,(IF(E517="SC",6,0)))))))))))))))))))))))))))))))))))))))</f>
        <v>4</v>
      </c>
      <c r="G517" s="52">
        <v>1</v>
      </c>
      <c r="H517" s="90" t="s">
        <v>115</v>
      </c>
      <c r="I517" s="93" t="s">
        <v>77</v>
      </c>
      <c r="J517" s="87" t="s">
        <v>1058</v>
      </c>
      <c r="K517" s="102" t="s">
        <v>2105</v>
      </c>
      <c r="L517" s="117">
        <f>IF(O517="","",N517*O517*M517)</f>
        <v>0</v>
      </c>
      <c r="M517" s="108">
        <v>1</v>
      </c>
      <c r="N517" s="95">
        <v>1</v>
      </c>
      <c r="O517" s="109">
        <f>IF(Key!D$1="ON",P517,IF(SUM(Q517:DL517)&lt;1,"",SUM(Q517:DL517)/COUNTIF(Q517:DL517,"&gt;0")))</f>
        <v>0</v>
      </c>
      <c r="P517" s="109">
        <f>SUMIFS(Q517:DK517,Q$1:DK$1,Dashboard!$K$31)</f>
        <v>0</v>
      </c>
      <c r="U517" s="95">
        <v>33</v>
      </c>
      <c r="AA517" s="95">
        <v>25</v>
      </c>
      <c r="AH517" s="95">
        <v>75</v>
      </c>
    </row>
    <row r="518" spans="1:34" x14ac:dyDescent="0.3">
      <c r="A518" s="89" t="str">
        <f>CONCATENATE(D518,".",F518,"-",G518,".",H518,"")</f>
        <v>1.4-1.1</v>
      </c>
      <c r="B518" s="89" t="str">
        <f>IF(CONCATENATE(I518,Key!F$2)=CONCATENATE(INDEX(Dashboard!J:J,MATCH(I518,Dashboard!J:J,0),1),INDEX(Dashboard!J:K,MATCH(I518,Dashboard!J:J,0),2)),"ON",IF(Dashboard!K$32="ALL","ON","-"))</f>
        <v>-</v>
      </c>
      <c r="C518" s="88" t="s">
        <v>110</v>
      </c>
      <c r="D518" s="89">
        <f>IF(C518="ID",1,(IF(C518="PR",2,(IF(C518="DE",3,(IF(C518="RS",4,(IF(C518="RC",5,0)))))))))</f>
        <v>1</v>
      </c>
      <c r="E518" s="89" t="s">
        <v>140</v>
      </c>
      <c r="F518" s="89">
        <f>IF(E518="AM",1,(IF(E518="BE",2,(IF(E518="GV",3,(IF(E518="RA",4,(IF(E518="RM",5,(IF(E518="AC",1,(IF(E518="AT",2,(IF(E518="DS",3,(IF(E518="IP",4,(IF(E518="MA",5,(IF(E518="PT",6,(IF(E518="AE",1,(IF(E518="CM",2,(IF(E518="DP",3,(IF(E518="AN",1,(IF(E518="CO",2,(IF(E518="IM",3,(IF(E518="MI",4,(IF(E518="RP",5,(IF(E518="SC",6,0)))))))))))))))))))))))))))))))))))))))</f>
        <v>4</v>
      </c>
      <c r="G518" s="98">
        <v>1</v>
      </c>
      <c r="H518" s="90" t="s">
        <v>115</v>
      </c>
      <c r="I518" s="93" t="s">
        <v>77</v>
      </c>
      <c r="J518" s="87" t="s">
        <v>1059</v>
      </c>
      <c r="K518" s="102" t="s">
        <v>2106</v>
      </c>
      <c r="L518" s="117">
        <f>IF(O518="","",N518*O518*M518)</f>
        <v>0</v>
      </c>
      <c r="M518" s="108">
        <v>1</v>
      </c>
      <c r="N518" s="95">
        <v>1</v>
      </c>
      <c r="O518" s="109">
        <f>IF(Key!D$1="ON",P518,IF(SUM(Q518:DL518)&lt;1,"",SUM(Q518:DL518)/COUNTIF(Q518:DL518,"&gt;0")))</f>
        <v>0</v>
      </c>
      <c r="P518" s="109">
        <f>SUMIFS(Q518:DK518,Q$1:DK$1,Dashboard!$K$31)</f>
        <v>0</v>
      </c>
      <c r="U518" s="95">
        <v>33</v>
      </c>
      <c r="AA518" s="95">
        <v>25</v>
      </c>
      <c r="AH518" s="95">
        <v>75</v>
      </c>
    </row>
    <row r="519" spans="1:34" ht="15.6" x14ac:dyDescent="0.3">
      <c r="A519" s="89" t="str">
        <f>CONCATENATE(D519,".",F519,"-",G519,".",H519,"")</f>
        <v>1.4-1.1</v>
      </c>
      <c r="B519" s="89" t="str">
        <f>IF(CONCATENATE(I519,Key!F$2)=CONCATENATE(INDEX(Dashboard!J:J,MATCH(I519,Dashboard!J:J,0),1),INDEX(Dashboard!J:K,MATCH(I519,Dashboard!J:J,0),2)),"ON",IF(Dashboard!K$32="ALL","ON","-"))</f>
        <v>-</v>
      </c>
      <c r="C519" s="96" t="s">
        <v>110</v>
      </c>
      <c r="D519" s="89">
        <f>IF(C519="ID",1,(IF(C519="PR",2,(IF(C519="DE",3,(IF(C519="RS",4,(IF(C519="RC",5,0)))))))))</f>
        <v>1</v>
      </c>
      <c r="E519" s="89" t="s">
        <v>140</v>
      </c>
      <c r="F519" s="89">
        <f>IF(E519="AM",1,(IF(E519="BE",2,(IF(E519="GV",3,(IF(E519="RA",4,(IF(E519="RM",5,(IF(E519="AC",1,(IF(E519="AT",2,(IF(E519="DS",3,(IF(E519="IP",4,(IF(E519="MA",5,(IF(E519="PT",6,(IF(E519="AE",1,(IF(E519="CM",2,(IF(E519="DP",3,(IF(E519="AN",1,(IF(E519="CO",2,(IF(E519="IM",3,(IF(E519="MI",4,(IF(E519="RP",5,(IF(E519="SC",6,0)))))))))))))))))))))))))))))))))))))))</f>
        <v>4</v>
      </c>
      <c r="G519" s="98">
        <v>1</v>
      </c>
      <c r="H519" s="90" t="s">
        <v>115</v>
      </c>
      <c r="I519" s="93" t="s">
        <v>77</v>
      </c>
      <c r="J519" s="87" t="s">
        <v>1061</v>
      </c>
      <c r="K519" s="102" t="s">
        <v>2107</v>
      </c>
      <c r="L519" s="117">
        <f>IF(O519="","",N519*O519*M519)</f>
        <v>0</v>
      </c>
      <c r="M519" s="108">
        <v>1</v>
      </c>
      <c r="N519" s="95">
        <v>1</v>
      </c>
      <c r="O519" s="109">
        <f>IF(Key!D$1="ON",P519,IF(SUM(Q519:DL519)&lt;1,"",SUM(Q519:DL519)/COUNTIF(Q519:DL519,"&gt;0")))</f>
        <v>0</v>
      </c>
      <c r="P519" s="109">
        <f>SUMIFS(Q519:DK519,Q$1:DK$1,Dashboard!$K$31)</f>
        <v>0</v>
      </c>
      <c r="U519" s="95">
        <v>33</v>
      </c>
      <c r="AA519" s="95">
        <v>25</v>
      </c>
      <c r="AH519" s="95">
        <v>75</v>
      </c>
    </row>
    <row r="520" spans="1:34" x14ac:dyDescent="0.3">
      <c r="A520" s="89" t="str">
        <f>CONCATENATE(D520,".",F520,"-",G520,".",H520,"")</f>
        <v>1.4-1.1</v>
      </c>
      <c r="B520" s="89" t="str">
        <f>IF(CONCATENATE(I520,Key!F$2)=CONCATENATE(INDEX(Dashboard!J:J,MATCH(I520,Dashboard!J:J,0),1),INDEX(Dashboard!J:K,MATCH(I520,Dashboard!J:J,0),2)),"ON",IF(Dashboard!K$32="ALL","ON","-"))</f>
        <v>-</v>
      </c>
      <c r="C520" s="88" t="s">
        <v>110</v>
      </c>
      <c r="D520" s="89">
        <f>IF(C520="ID",1,(IF(C520="PR",2,(IF(C520="DE",3,(IF(C520="RS",4,(IF(C520="RC",5,0)))))))))</f>
        <v>1</v>
      </c>
      <c r="E520" s="89" t="s">
        <v>140</v>
      </c>
      <c r="F520" s="89">
        <f>IF(E520="AM",1,(IF(E520="BE",2,(IF(E520="GV",3,(IF(E520="RA",4,(IF(E520="RM",5,(IF(E520="AC",1,(IF(E520="AT",2,(IF(E520="DS",3,(IF(E520="IP",4,(IF(E520="MA",5,(IF(E520="PT",6,(IF(E520="AE",1,(IF(E520="CM",2,(IF(E520="DP",3,(IF(E520="AN",1,(IF(E520="CO",2,(IF(E520="IM",3,(IF(E520="MI",4,(IF(E520="RP",5,(IF(E520="SC",6,0)))))))))))))))))))))))))))))))))))))))</f>
        <v>4</v>
      </c>
      <c r="G520" s="52">
        <v>1</v>
      </c>
      <c r="H520" s="90" t="s">
        <v>115</v>
      </c>
      <c r="I520" s="93" t="s">
        <v>77</v>
      </c>
      <c r="J520" s="87" t="s">
        <v>1063</v>
      </c>
      <c r="K520" s="102" t="s">
        <v>2108</v>
      </c>
      <c r="L520" s="117">
        <f>IF(O520="","",N520*O520*M520)</f>
        <v>0</v>
      </c>
      <c r="M520" s="108">
        <v>1</v>
      </c>
      <c r="N520" s="95">
        <v>1</v>
      </c>
      <c r="O520" s="109">
        <f>IF(Key!D$1="ON",P520,IF(SUM(Q520:DL520)&lt;1,"",SUM(Q520:DL520)/COUNTIF(Q520:DL520,"&gt;0")))</f>
        <v>0</v>
      </c>
      <c r="P520" s="109">
        <f>SUMIFS(Q520:DK520,Q$1:DK$1,Dashboard!$K$31)</f>
        <v>0</v>
      </c>
      <c r="U520" s="95">
        <v>33</v>
      </c>
      <c r="AA520" s="95">
        <v>25</v>
      </c>
      <c r="AH520" s="95">
        <v>75</v>
      </c>
    </row>
    <row r="521" spans="1:34" ht="15.6" x14ac:dyDescent="0.3">
      <c r="A521" s="89" t="str">
        <f>CONCATENATE(D521,".",F521,"-",G521,".",H521,"")</f>
        <v>1.4-1.1</v>
      </c>
      <c r="B521" s="89" t="str">
        <f>IF(CONCATENATE(I521,Key!F$2)=CONCATENATE(INDEX(Dashboard!J:J,MATCH(I521,Dashboard!J:J,0),1),INDEX(Dashboard!J:K,MATCH(I521,Dashboard!J:J,0),2)),"ON",IF(Dashboard!K$32="ALL","ON","-"))</f>
        <v>-</v>
      </c>
      <c r="C521" s="88" t="s">
        <v>110</v>
      </c>
      <c r="D521" s="89">
        <f>IF(C521="ID",1,(IF(C521="PR",2,(IF(C521="DE",3,(IF(C521="RS",4,(IF(C521="RC",5,0)))))))))</f>
        <v>1</v>
      </c>
      <c r="E521" s="89" t="s">
        <v>140</v>
      </c>
      <c r="F521" s="89">
        <f>IF(E521="AM",1,(IF(E521="BE",2,(IF(E521="GV",3,(IF(E521="RA",4,(IF(E521="RM",5,(IF(E521="AC",1,(IF(E521="AT",2,(IF(E521="DS",3,(IF(E521="IP",4,(IF(E521="MA",5,(IF(E521="PT",6,(IF(E521="AE",1,(IF(E521="CM",2,(IF(E521="DP",3,(IF(E521="AN",1,(IF(E521="CO",2,(IF(E521="IM",3,(IF(E521="MI",4,(IF(E521="RP",5,(IF(E521="SC",6,0)))))))))))))))))))))))))))))))))))))))</f>
        <v>4</v>
      </c>
      <c r="G521" s="52">
        <v>1</v>
      </c>
      <c r="H521" s="90" t="s">
        <v>115</v>
      </c>
      <c r="I521" s="93" t="s">
        <v>77</v>
      </c>
      <c r="J521" s="87" t="s">
        <v>1064</v>
      </c>
      <c r="K521" s="102" t="s">
        <v>2109</v>
      </c>
      <c r="L521" s="117">
        <f>IF(O521="","",N521*O521*M521)</f>
        <v>0</v>
      </c>
      <c r="M521" s="108">
        <v>1</v>
      </c>
      <c r="N521" s="95">
        <v>1</v>
      </c>
      <c r="O521" s="109">
        <f>IF(Key!D$1="ON",P521,IF(SUM(Q521:DL521)&lt;1,"",SUM(Q521:DL521)/COUNTIF(Q521:DL521,"&gt;0")))</f>
        <v>0</v>
      </c>
      <c r="P521" s="109">
        <f>SUMIFS(Q521:DK521,Q$1:DK$1,Dashboard!$K$31)</f>
        <v>0</v>
      </c>
      <c r="U521" s="95">
        <v>33</v>
      </c>
      <c r="AA521" s="95">
        <v>25</v>
      </c>
      <c r="AH521" s="95">
        <v>75</v>
      </c>
    </row>
    <row r="522" spans="1:34" ht="15.6" x14ac:dyDescent="0.3">
      <c r="A522" s="89" t="str">
        <f>CONCATENATE(D522,".",F522,"-",G522,".",H522,"")</f>
        <v>1.4-1.1</v>
      </c>
      <c r="B522" s="89" t="str">
        <f>IF(CONCATENATE(I522,Key!F$2)=CONCATENATE(INDEX(Dashboard!J:J,MATCH(I522,Dashboard!J:J,0),1),INDEX(Dashboard!J:K,MATCH(I522,Dashboard!J:J,0),2)),"ON",IF(Dashboard!K$32="ALL","ON","-"))</f>
        <v>-</v>
      </c>
      <c r="C522" s="88" t="s">
        <v>110</v>
      </c>
      <c r="D522" s="89">
        <f>IF(C522="ID",1,(IF(C522="PR",2,(IF(C522="DE",3,(IF(C522="RS",4,(IF(C522="RC",5,0)))))))))</f>
        <v>1</v>
      </c>
      <c r="E522" s="89" t="s">
        <v>140</v>
      </c>
      <c r="F522" s="89">
        <f>IF(E522="AM",1,(IF(E522="BE",2,(IF(E522="GV",3,(IF(E522="RA",4,(IF(E522="RM",5,(IF(E522="AC",1,(IF(E522="AT",2,(IF(E522="DS",3,(IF(E522="IP",4,(IF(E522="MA",5,(IF(E522="PT",6,(IF(E522="AE",1,(IF(E522="CM",2,(IF(E522="DP",3,(IF(E522="AN",1,(IF(E522="CO",2,(IF(E522="IM",3,(IF(E522="MI",4,(IF(E522="RP",5,(IF(E522="SC",6,0)))))))))))))))))))))))))))))))))))))))</f>
        <v>4</v>
      </c>
      <c r="G522" s="52">
        <v>1</v>
      </c>
      <c r="H522" s="90" t="s">
        <v>115</v>
      </c>
      <c r="I522" s="93" t="s">
        <v>77</v>
      </c>
      <c r="J522" s="87" t="s">
        <v>1065</v>
      </c>
      <c r="K522" s="102" t="s">
        <v>2110</v>
      </c>
      <c r="L522" s="117">
        <f>IF(O522="","",N522*O522*M522)</f>
        <v>0</v>
      </c>
      <c r="M522" s="108">
        <v>1</v>
      </c>
      <c r="N522" s="95">
        <v>1</v>
      </c>
      <c r="O522" s="109">
        <f>IF(Key!D$1="ON",P522,IF(SUM(Q522:DL522)&lt;1,"",SUM(Q522:DL522)/COUNTIF(Q522:DL522,"&gt;0")))</f>
        <v>0</v>
      </c>
      <c r="P522" s="109">
        <f>SUMIFS(Q522:DK522,Q$1:DK$1,Dashboard!$K$31)</f>
        <v>0</v>
      </c>
      <c r="U522" s="95">
        <v>33</v>
      </c>
      <c r="AA522" s="95">
        <v>25</v>
      </c>
      <c r="AH522" s="95">
        <v>75</v>
      </c>
    </row>
    <row r="523" spans="1:34" x14ac:dyDescent="0.3">
      <c r="A523" s="89" t="str">
        <f>CONCATENATE(D523,".",F523,"-",G523,".",H523,"")</f>
        <v>1.4-1.1</v>
      </c>
      <c r="B523" s="89" t="str">
        <f>IF(CONCATENATE(I523,Key!F$2)=CONCATENATE(INDEX(Dashboard!J:J,MATCH(I523,Dashboard!J:J,0),1),INDEX(Dashboard!J:K,MATCH(I523,Dashboard!J:J,0),2)),"ON",IF(Dashboard!K$32="ALL","ON","-"))</f>
        <v>-</v>
      </c>
      <c r="C523" s="88" t="s">
        <v>110</v>
      </c>
      <c r="D523" s="89">
        <f>IF(C523="ID",1,(IF(C523="PR",2,(IF(C523="DE",3,(IF(C523="RS",4,(IF(C523="RC",5,0)))))))))</f>
        <v>1</v>
      </c>
      <c r="E523" s="89" t="s">
        <v>140</v>
      </c>
      <c r="F523" s="89">
        <f>IF(E523="AM",1,(IF(E523="BE",2,(IF(E523="GV",3,(IF(E523="RA",4,(IF(E523="RM",5,(IF(E523="AC",1,(IF(E523="AT",2,(IF(E523="DS",3,(IF(E523="IP",4,(IF(E523="MA",5,(IF(E523="PT",6,(IF(E523="AE",1,(IF(E523="CM",2,(IF(E523="DP",3,(IF(E523="AN",1,(IF(E523="CO",2,(IF(E523="IM",3,(IF(E523="MI",4,(IF(E523="RP",5,(IF(E523="SC",6,0)))))))))))))))))))))))))))))))))))))))</f>
        <v>4</v>
      </c>
      <c r="G523" s="52">
        <v>1</v>
      </c>
      <c r="H523" s="90" t="s">
        <v>115</v>
      </c>
      <c r="I523" s="93" t="s">
        <v>77</v>
      </c>
      <c r="J523" s="87" t="s">
        <v>1066</v>
      </c>
      <c r="K523" s="102" t="s">
        <v>2111</v>
      </c>
      <c r="L523" s="117">
        <f>IF(O523="","",N523*O523*M523)</f>
        <v>0</v>
      </c>
      <c r="M523" s="108">
        <v>1</v>
      </c>
      <c r="N523" s="95">
        <v>1</v>
      </c>
      <c r="O523" s="109">
        <f>IF(Key!D$1="ON",P523,IF(SUM(Q523:DL523)&lt;1,"",SUM(Q523:DL523)/COUNTIF(Q523:DL523,"&gt;0")))</f>
        <v>0</v>
      </c>
      <c r="P523" s="109">
        <f>SUMIFS(Q523:DK523,Q$1:DK$1,Dashboard!$K$31)</f>
        <v>0</v>
      </c>
      <c r="U523" s="95">
        <v>33</v>
      </c>
      <c r="AA523" s="95">
        <v>25</v>
      </c>
      <c r="AH523" s="95">
        <v>75</v>
      </c>
    </row>
    <row r="524" spans="1:34" x14ac:dyDescent="0.3">
      <c r="A524" s="89" t="str">
        <f>CONCATENATE(D524,".",F524,"-",G524,".",H524,"")</f>
        <v>1.4-1.1</v>
      </c>
      <c r="B524" s="89" t="str">
        <f>IF(CONCATENATE(I524,Key!F$2)=CONCATENATE(INDEX(Dashboard!J:J,MATCH(I524,Dashboard!J:J,0),1),INDEX(Dashboard!J:K,MATCH(I524,Dashboard!J:J,0),2)),"ON",IF(Dashboard!K$32="ALL","ON","-"))</f>
        <v>-</v>
      </c>
      <c r="C524" s="88" t="s">
        <v>110</v>
      </c>
      <c r="D524" s="89">
        <f>IF(C524="ID",1,(IF(C524="PR",2,(IF(C524="DE",3,(IF(C524="RS",4,(IF(C524="RC",5,0)))))))))</f>
        <v>1</v>
      </c>
      <c r="E524" s="89" t="s">
        <v>140</v>
      </c>
      <c r="F524" s="89">
        <f>IF(E524="AM",1,(IF(E524="BE",2,(IF(E524="GV",3,(IF(E524="RA",4,(IF(E524="RM",5,(IF(E524="AC",1,(IF(E524="AT",2,(IF(E524="DS",3,(IF(E524="IP",4,(IF(E524="MA",5,(IF(E524="PT",6,(IF(E524="AE",1,(IF(E524="CM",2,(IF(E524="DP",3,(IF(E524="AN",1,(IF(E524="CO",2,(IF(E524="IM",3,(IF(E524="MI",4,(IF(E524="RP",5,(IF(E524="SC",6,0)))))))))))))))))))))))))))))))))))))))</f>
        <v>4</v>
      </c>
      <c r="G524" s="52">
        <v>1</v>
      </c>
      <c r="H524" s="90" t="s">
        <v>115</v>
      </c>
      <c r="I524" s="93" t="s">
        <v>77</v>
      </c>
      <c r="J524" s="87" t="s">
        <v>1067</v>
      </c>
      <c r="K524" s="102" t="s">
        <v>2112</v>
      </c>
      <c r="L524" s="117">
        <f>IF(O524="","",N524*O524*M524)</f>
        <v>0</v>
      </c>
      <c r="M524" s="108">
        <v>1</v>
      </c>
      <c r="N524" s="95">
        <v>1</v>
      </c>
      <c r="O524" s="109">
        <f>IF(Key!D$1="ON",P524,IF(SUM(Q524:DL524)&lt;1,"",SUM(Q524:DL524)/COUNTIF(Q524:DL524,"&gt;0")))</f>
        <v>0</v>
      </c>
      <c r="P524" s="109">
        <f>SUMIFS(Q524:DK524,Q$1:DK$1,Dashboard!$K$31)</f>
        <v>0</v>
      </c>
      <c r="U524" s="95">
        <v>33</v>
      </c>
      <c r="AA524" s="95">
        <v>25</v>
      </c>
      <c r="AH524" s="95">
        <v>75</v>
      </c>
    </row>
    <row r="525" spans="1:34" x14ac:dyDescent="0.3">
      <c r="A525" s="89" t="str">
        <f>CONCATENATE(D525,".",F525,"-",G525,".",H525,"")</f>
        <v>1.4-1.1</v>
      </c>
      <c r="B525" s="89" t="str">
        <f>IF(CONCATENATE(I525,Key!F$2)=CONCATENATE(INDEX(Dashboard!J:J,MATCH(I525,Dashboard!J:J,0),1),INDEX(Dashboard!J:K,MATCH(I525,Dashboard!J:J,0),2)),"ON",IF(Dashboard!K$32="ALL","ON","-"))</f>
        <v>-</v>
      </c>
      <c r="C525" s="88" t="s">
        <v>110</v>
      </c>
      <c r="D525" s="89">
        <f>IF(C525="ID",1,(IF(C525="PR",2,(IF(C525="DE",3,(IF(C525="RS",4,(IF(C525="RC",5,0)))))))))</f>
        <v>1</v>
      </c>
      <c r="E525" s="89" t="s">
        <v>140</v>
      </c>
      <c r="F525" s="89">
        <f>IF(E525="AM",1,(IF(E525="BE",2,(IF(E525="GV",3,(IF(E525="RA",4,(IF(E525="RM",5,(IF(E525="AC",1,(IF(E525="AT",2,(IF(E525="DS",3,(IF(E525="IP",4,(IF(E525="MA",5,(IF(E525="PT",6,(IF(E525="AE",1,(IF(E525="CM",2,(IF(E525="DP",3,(IF(E525="AN",1,(IF(E525="CO",2,(IF(E525="IM",3,(IF(E525="MI",4,(IF(E525="RP",5,(IF(E525="SC",6,0)))))))))))))))))))))))))))))))))))))))</f>
        <v>4</v>
      </c>
      <c r="G525" s="52">
        <v>1</v>
      </c>
      <c r="H525" s="90" t="s">
        <v>115</v>
      </c>
      <c r="I525" s="93" t="s">
        <v>77</v>
      </c>
      <c r="J525" s="87" t="s">
        <v>1068</v>
      </c>
      <c r="K525" s="102" t="s">
        <v>2113</v>
      </c>
      <c r="L525" s="117">
        <f>IF(O525="","",N525*O525*M525)</f>
        <v>0</v>
      </c>
      <c r="M525" s="108">
        <v>1</v>
      </c>
      <c r="N525" s="95">
        <v>1</v>
      </c>
      <c r="O525" s="109">
        <f>IF(Key!D$1="ON",P525,IF(SUM(Q525:DL525)&lt;1,"",SUM(Q525:DL525)/COUNTIF(Q525:DL525,"&gt;0")))</f>
        <v>0</v>
      </c>
      <c r="P525" s="109">
        <f>SUMIFS(Q525:DK525,Q$1:DK$1,Dashboard!$K$31)</f>
        <v>0</v>
      </c>
      <c r="U525" s="95">
        <v>33</v>
      </c>
      <c r="AA525" s="95">
        <v>25</v>
      </c>
      <c r="AH525" s="95">
        <v>75</v>
      </c>
    </row>
    <row r="526" spans="1:34" x14ac:dyDescent="0.3">
      <c r="A526" s="89" t="str">
        <f>CONCATENATE(D526,".",F526,"-",G526,".",H526,"")</f>
        <v>1.4-1.1</v>
      </c>
      <c r="B526" s="89" t="str">
        <f>IF(CONCATENATE(I526,Key!F$2)=CONCATENATE(INDEX(Dashboard!J:J,MATCH(I526,Dashboard!J:J,0),1),INDEX(Dashboard!J:K,MATCH(I526,Dashboard!J:J,0),2)),"ON",IF(Dashboard!K$32="ALL","ON","-"))</f>
        <v>-</v>
      </c>
      <c r="C526" s="88" t="s">
        <v>110</v>
      </c>
      <c r="D526" s="89">
        <f>IF(C526="ID",1,(IF(C526="PR",2,(IF(C526="DE",3,(IF(C526="RS",4,(IF(C526="RC",5,0)))))))))</f>
        <v>1</v>
      </c>
      <c r="E526" s="89" t="s">
        <v>140</v>
      </c>
      <c r="F526" s="89">
        <f>IF(E526="AM",1,(IF(E526="BE",2,(IF(E526="GV",3,(IF(E526="RA",4,(IF(E526="RM",5,(IF(E526="AC",1,(IF(E526="AT",2,(IF(E526="DS",3,(IF(E526="IP",4,(IF(E526="MA",5,(IF(E526="PT",6,(IF(E526="AE",1,(IF(E526="CM",2,(IF(E526="DP",3,(IF(E526="AN",1,(IF(E526="CO",2,(IF(E526="IM",3,(IF(E526="MI",4,(IF(E526="RP",5,(IF(E526="SC",6,0)))))))))))))))))))))))))))))))))))))))</f>
        <v>4</v>
      </c>
      <c r="G526" s="52">
        <v>1</v>
      </c>
      <c r="H526" s="90" t="s">
        <v>115</v>
      </c>
      <c r="I526" s="93" t="s">
        <v>77</v>
      </c>
      <c r="J526" s="87" t="s">
        <v>1069</v>
      </c>
      <c r="K526" s="102" t="s">
        <v>2114</v>
      </c>
      <c r="L526" s="117">
        <f>IF(O526="","",N526*O526*M526)</f>
        <v>0</v>
      </c>
      <c r="M526" s="108">
        <v>1</v>
      </c>
      <c r="N526" s="95">
        <v>1</v>
      </c>
      <c r="O526" s="109">
        <f>IF(Key!D$1="ON",P526,IF(SUM(Q526:DL526)&lt;1,"",SUM(Q526:DL526)/COUNTIF(Q526:DL526,"&gt;0")))</f>
        <v>0</v>
      </c>
      <c r="P526" s="109">
        <f>SUMIFS(Q526:DK526,Q$1:DK$1,Dashboard!$K$31)</f>
        <v>0</v>
      </c>
      <c r="U526" s="95">
        <v>33</v>
      </c>
      <c r="AA526" s="95">
        <v>25</v>
      </c>
      <c r="AH526" s="95">
        <v>75</v>
      </c>
    </row>
    <row r="527" spans="1:34" x14ac:dyDescent="0.3">
      <c r="A527" s="89" t="str">
        <f>CONCATENATE(D527,".",F527,"-",G527,".",H527,"")</f>
        <v>1.4-1.1</v>
      </c>
      <c r="B527" s="89" t="str">
        <f>IF(CONCATENATE(I527,Key!F$2)=CONCATENATE(INDEX(Dashboard!J:J,MATCH(I527,Dashboard!J:J,0),1),INDEX(Dashboard!J:K,MATCH(I527,Dashboard!J:J,0),2)),"ON",IF(Dashboard!K$32="ALL","ON","-"))</f>
        <v>-</v>
      </c>
      <c r="C527" s="88" t="s">
        <v>110</v>
      </c>
      <c r="D527" s="89">
        <f>IF(C527="ID",1,(IF(C527="PR",2,(IF(C527="DE",3,(IF(C527="RS",4,(IF(C527="RC",5,0)))))))))</f>
        <v>1</v>
      </c>
      <c r="E527" s="89" t="s">
        <v>140</v>
      </c>
      <c r="F527" s="89">
        <f>IF(E527="AM",1,(IF(E527="BE",2,(IF(E527="GV",3,(IF(E527="RA",4,(IF(E527="RM",5,(IF(E527="AC",1,(IF(E527="AT",2,(IF(E527="DS",3,(IF(E527="IP",4,(IF(E527="MA",5,(IF(E527="PT",6,(IF(E527="AE",1,(IF(E527="CM",2,(IF(E527="DP",3,(IF(E527="AN",1,(IF(E527="CO",2,(IF(E527="IM",3,(IF(E527="MI",4,(IF(E527="RP",5,(IF(E527="SC",6,0)))))))))))))))))))))))))))))))))))))))</f>
        <v>4</v>
      </c>
      <c r="G527" s="52">
        <v>1</v>
      </c>
      <c r="H527" s="90" t="s">
        <v>115</v>
      </c>
      <c r="I527" s="93" t="s">
        <v>77</v>
      </c>
      <c r="J527" s="87" t="s">
        <v>1070</v>
      </c>
      <c r="K527" s="102" t="s">
        <v>2115</v>
      </c>
      <c r="L527" s="117">
        <f>IF(O527="","",N527*O527*M527)</f>
        <v>0</v>
      </c>
      <c r="M527" s="108">
        <v>1</v>
      </c>
      <c r="N527" s="95">
        <v>1</v>
      </c>
      <c r="O527" s="109">
        <f>IF(Key!D$1="ON",P527,IF(SUM(Q527:DL527)&lt;1,"",SUM(Q527:DL527)/COUNTIF(Q527:DL527,"&gt;0")))</f>
        <v>0</v>
      </c>
      <c r="P527" s="109">
        <f>SUMIFS(Q527:DK527,Q$1:DK$1,Dashboard!$K$31)</f>
        <v>0</v>
      </c>
      <c r="U527" s="95">
        <v>33</v>
      </c>
      <c r="AA527" s="95">
        <v>25</v>
      </c>
      <c r="AH527" s="95">
        <v>75</v>
      </c>
    </row>
    <row r="528" spans="1:34" ht="15.6" x14ac:dyDescent="0.3">
      <c r="A528" s="89" t="str">
        <f>CONCATENATE(D528,".",F528,"-",G528,".",H528,"")</f>
        <v>1.4-1.1</v>
      </c>
      <c r="B528" s="89" t="str">
        <f>IF(CONCATENATE(I528,Key!F$2)=CONCATENATE(INDEX(Dashboard!J:J,MATCH(I528,Dashboard!J:J,0),1),INDEX(Dashboard!J:K,MATCH(I528,Dashboard!J:J,0),2)),"ON",IF(Dashboard!K$32="ALL","ON","-"))</f>
        <v>-</v>
      </c>
      <c r="C528" s="96" t="s">
        <v>110</v>
      </c>
      <c r="D528" s="89">
        <f>IF(C528="ID",1,(IF(C528="PR",2,(IF(C528="DE",3,(IF(C528="RS",4,(IF(C528="RC",5,0)))))))))</f>
        <v>1</v>
      </c>
      <c r="E528" s="89" t="s">
        <v>140</v>
      </c>
      <c r="F528" s="89">
        <f>IF(E528="AM",1,(IF(E528="BE",2,(IF(E528="GV",3,(IF(E528="RA",4,(IF(E528="RM",5,(IF(E528="AC",1,(IF(E528="AT",2,(IF(E528="DS",3,(IF(E528="IP",4,(IF(E528="MA",5,(IF(E528="PT",6,(IF(E528="AE",1,(IF(E528="CM",2,(IF(E528="DP",3,(IF(E528="AN",1,(IF(E528="CO",2,(IF(E528="IM",3,(IF(E528="MI",4,(IF(E528="RP",5,(IF(E528="SC",6,0)))))))))))))))))))))))))))))))))))))))</f>
        <v>4</v>
      </c>
      <c r="G528" s="98">
        <v>1</v>
      </c>
      <c r="H528" s="90" t="s">
        <v>115</v>
      </c>
      <c r="I528" s="93" t="s">
        <v>77</v>
      </c>
      <c r="J528" s="87" t="s">
        <v>1071</v>
      </c>
      <c r="K528" s="102" t="s">
        <v>2116</v>
      </c>
      <c r="L528" s="117">
        <f>IF(O528="","",N528*O528*M528)</f>
        <v>0</v>
      </c>
      <c r="M528" s="108">
        <v>1</v>
      </c>
      <c r="N528" s="95">
        <v>1</v>
      </c>
      <c r="O528" s="109">
        <f>IF(Key!D$1="ON",P528,IF(SUM(Q528:DL528)&lt;1,"",SUM(Q528:DL528)/COUNTIF(Q528:DL528,"&gt;0")))</f>
        <v>0</v>
      </c>
      <c r="P528" s="109">
        <f>SUMIFS(Q528:DK528,Q$1:DK$1,Dashboard!$K$31)</f>
        <v>0</v>
      </c>
      <c r="U528" s="95">
        <v>33</v>
      </c>
      <c r="AA528" s="95">
        <v>25</v>
      </c>
      <c r="AH528" s="95">
        <v>75</v>
      </c>
    </row>
    <row r="529" spans="1:34" x14ac:dyDescent="0.3">
      <c r="A529" s="89" t="str">
        <f>CONCATENATE(D529,".",F529,"-",G529,".",H529,"")</f>
        <v>1.4-1.1</v>
      </c>
      <c r="B529" s="89" t="str">
        <f>IF(CONCATENATE(I529,Key!F$2)=CONCATENATE(INDEX(Dashboard!J:J,MATCH(I529,Dashboard!J:J,0),1),INDEX(Dashboard!J:K,MATCH(I529,Dashboard!J:J,0),2)),"ON",IF(Dashboard!K$32="ALL","ON","-"))</f>
        <v>-</v>
      </c>
      <c r="C529" s="96" t="s">
        <v>110</v>
      </c>
      <c r="D529" s="89">
        <f>IF(C529="ID",1,(IF(C529="PR",2,(IF(C529="DE",3,(IF(C529="RS",4,(IF(C529="RC",5,0)))))))))</f>
        <v>1</v>
      </c>
      <c r="E529" s="89" t="s">
        <v>140</v>
      </c>
      <c r="F529" s="89">
        <f>IF(E529="AM",1,(IF(E529="BE",2,(IF(E529="GV",3,(IF(E529="RA",4,(IF(E529="RM",5,(IF(E529="AC",1,(IF(E529="AT",2,(IF(E529="DS",3,(IF(E529="IP",4,(IF(E529="MA",5,(IF(E529="PT",6,(IF(E529="AE",1,(IF(E529="CM",2,(IF(E529="DP",3,(IF(E529="AN",1,(IF(E529="CO",2,(IF(E529="IM",3,(IF(E529="MI",4,(IF(E529="RP",5,(IF(E529="SC",6,0)))))))))))))))))))))))))))))))))))))))</f>
        <v>4</v>
      </c>
      <c r="G529" s="98">
        <v>1</v>
      </c>
      <c r="H529" s="90" t="s">
        <v>115</v>
      </c>
      <c r="I529" s="93" t="s">
        <v>77</v>
      </c>
      <c r="J529" s="87" t="s">
        <v>1073</v>
      </c>
      <c r="K529" s="102" t="s">
        <v>2117</v>
      </c>
      <c r="L529" s="117">
        <f>IF(O529="","",N529*O529*M529)</f>
        <v>0</v>
      </c>
      <c r="M529" s="108">
        <v>1</v>
      </c>
      <c r="N529" s="95">
        <v>1</v>
      </c>
      <c r="O529" s="109">
        <f>IF(Key!D$1="ON",P529,IF(SUM(Q529:DL529)&lt;1,"",SUM(Q529:DL529)/COUNTIF(Q529:DL529,"&gt;0")))</f>
        <v>0</v>
      </c>
      <c r="P529" s="109">
        <f>SUMIFS(Q529:DK529,Q$1:DK$1,Dashboard!$K$31)</f>
        <v>0</v>
      </c>
      <c r="U529" s="95">
        <v>33</v>
      </c>
      <c r="AA529" s="95">
        <v>25</v>
      </c>
      <c r="AH529" s="95">
        <v>75</v>
      </c>
    </row>
    <row r="530" spans="1:34" x14ac:dyDescent="0.3">
      <c r="A530" s="89" t="str">
        <f>CONCATENATE(D530,".",F530,"-",G530,".",H530,"")</f>
        <v>1.4-1.1</v>
      </c>
      <c r="B530" s="89" t="str">
        <f>IF(CONCATENATE(I530,Key!F$2)=CONCATENATE(INDEX(Dashboard!J:J,MATCH(I530,Dashboard!J:J,0),1),INDEX(Dashboard!J:K,MATCH(I530,Dashboard!J:J,0),2)),"ON",IF(Dashboard!K$32="ALL","ON","-"))</f>
        <v>-</v>
      </c>
      <c r="C530" s="88" t="s">
        <v>110</v>
      </c>
      <c r="D530" s="89">
        <f>IF(C530="ID",1,(IF(C530="PR",2,(IF(C530="DE",3,(IF(C530="RS",4,(IF(C530="RC",5,0)))))))))</f>
        <v>1</v>
      </c>
      <c r="E530" s="89" t="s">
        <v>140</v>
      </c>
      <c r="F530" s="89">
        <f>IF(E530="AM",1,(IF(E530="BE",2,(IF(E530="GV",3,(IF(E530="RA",4,(IF(E530="RM",5,(IF(E530="AC",1,(IF(E530="AT",2,(IF(E530="DS",3,(IF(E530="IP",4,(IF(E530="MA",5,(IF(E530="PT",6,(IF(E530="AE",1,(IF(E530="CM",2,(IF(E530="DP",3,(IF(E530="AN",1,(IF(E530="CO",2,(IF(E530="IM",3,(IF(E530="MI",4,(IF(E530="RP",5,(IF(E530="SC",6,0)))))))))))))))))))))))))))))))))))))))</f>
        <v>4</v>
      </c>
      <c r="G530" s="52">
        <v>1</v>
      </c>
      <c r="H530" s="90" t="s">
        <v>115</v>
      </c>
      <c r="I530" s="93" t="s">
        <v>77</v>
      </c>
      <c r="J530" s="87" t="s">
        <v>1075</v>
      </c>
      <c r="K530" s="102" t="s">
        <v>2118</v>
      </c>
      <c r="L530" s="117">
        <f>IF(O530="","",N530*O530*M530)</f>
        <v>0</v>
      </c>
      <c r="M530" s="108">
        <v>1</v>
      </c>
      <c r="N530" s="95">
        <v>1</v>
      </c>
      <c r="O530" s="109">
        <f>IF(Key!D$1="ON",P530,IF(SUM(Q530:DL530)&lt;1,"",SUM(Q530:DL530)/COUNTIF(Q530:DL530,"&gt;0")))</f>
        <v>0</v>
      </c>
      <c r="P530" s="109">
        <f>SUMIFS(Q530:DK530,Q$1:DK$1,Dashboard!$K$31)</f>
        <v>0</v>
      </c>
      <c r="U530" s="95">
        <v>33</v>
      </c>
      <c r="AA530" s="95">
        <v>25</v>
      </c>
      <c r="AH530" s="95">
        <v>75</v>
      </c>
    </row>
    <row r="531" spans="1:34" x14ac:dyDescent="0.3">
      <c r="A531" s="89" t="str">
        <f>CONCATENATE(D531,".",F531,"-",G531,".",H531,"")</f>
        <v>1.4-1.1</v>
      </c>
      <c r="B531" s="89" t="str">
        <f>IF(CONCATENATE(I531,Key!F$2)=CONCATENATE(INDEX(Dashboard!J:J,MATCH(I531,Dashboard!J:J,0),1),INDEX(Dashboard!J:K,MATCH(I531,Dashboard!J:J,0),2)),"ON",IF(Dashboard!K$32="ALL","ON","-"))</f>
        <v>-</v>
      </c>
      <c r="C531" s="88" t="s">
        <v>110</v>
      </c>
      <c r="D531" s="89">
        <f>IF(C531="ID",1,(IF(C531="PR",2,(IF(C531="DE",3,(IF(C531="RS",4,(IF(C531="RC",5,0)))))))))</f>
        <v>1</v>
      </c>
      <c r="E531" s="89" t="s">
        <v>140</v>
      </c>
      <c r="F531" s="89">
        <f>IF(E531="AM",1,(IF(E531="BE",2,(IF(E531="GV",3,(IF(E531="RA",4,(IF(E531="RM",5,(IF(E531="AC",1,(IF(E531="AT",2,(IF(E531="DS",3,(IF(E531="IP",4,(IF(E531="MA",5,(IF(E531="PT",6,(IF(E531="AE",1,(IF(E531="CM",2,(IF(E531="DP",3,(IF(E531="AN",1,(IF(E531="CO",2,(IF(E531="IM",3,(IF(E531="MI",4,(IF(E531="RP",5,(IF(E531="SC",6,0)))))))))))))))))))))))))))))))))))))))</f>
        <v>4</v>
      </c>
      <c r="G531" s="52">
        <v>1</v>
      </c>
      <c r="H531" s="90" t="s">
        <v>115</v>
      </c>
      <c r="I531" s="93" t="s">
        <v>77</v>
      </c>
      <c r="J531" s="87" t="s">
        <v>1077</v>
      </c>
      <c r="K531" s="102" t="s">
        <v>2120</v>
      </c>
      <c r="L531" s="117">
        <f>IF(O531="","",N531*O531*M531)</f>
        <v>0</v>
      </c>
      <c r="M531" s="108">
        <v>1</v>
      </c>
      <c r="N531" s="95">
        <v>1</v>
      </c>
      <c r="O531" s="109">
        <f>IF(Key!D$1="ON",P531,IF(SUM(Q531:DL531)&lt;1,"",SUM(Q531:DL531)/COUNTIF(Q531:DL531,"&gt;0")))</f>
        <v>0</v>
      </c>
      <c r="P531" s="109">
        <f>SUMIFS(Q531:DK531,Q$1:DK$1,Dashboard!$K$31)</f>
        <v>0</v>
      </c>
      <c r="U531" s="95">
        <v>33</v>
      </c>
      <c r="AA531" s="95">
        <v>25</v>
      </c>
      <c r="AH531" s="95">
        <v>75</v>
      </c>
    </row>
    <row r="532" spans="1:34" x14ac:dyDescent="0.3">
      <c r="A532" s="89" t="str">
        <f>CONCATENATE(D532,".",F532,"-",G532,".",H532,"")</f>
        <v>1.4-1.1</v>
      </c>
      <c r="B532" s="89" t="str">
        <f>IF(CONCATENATE(I532,Key!F$2)=CONCATENATE(INDEX(Dashboard!J:J,MATCH(I532,Dashboard!J:J,0),1),INDEX(Dashboard!J:K,MATCH(I532,Dashboard!J:J,0),2)),"ON",IF(Dashboard!K$32="ALL","ON","-"))</f>
        <v>-</v>
      </c>
      <c r="C532" s="88" t="s">
        <v>110</v>
      </c>
      <c r="D532" s="89">
        <f>IF(C532="ID",1,(IF(C532="PR",2,(IF(C532="DE",3,(IF(C532="RS",4,(IF(C532="RC",5,0)))))))))</f>
        <v>1</v>
      </c>
      <c r="E532" s="89" t="s">
        <v>140</v>
      </c>
      <c r="F532" s="89">
        <f>IF(E532="AM",1,(IF(E532="BE",2,(IF(E532="GV",3,(IF(E532="RA",4,(IF(E532="RM",5,(IF(E532="AC",1,(IF(E532="AT",2,(IF(E532="DS",3,(IF(E532="IP",4,(IF(E532="MA",5,(IF(E532="PT",6,(IF(E532="AE",1,(IF(E532="CM",2,(IF(E532="DP",3,(IF(E532="AN",1,(IF(E532="CO",2,(IF(E532="IM",3,(IF(E532="MI",4,(IF(E532="RP",5,(IF(E532="SC",6,0)))))))))))))))))))))))))))))))))))))))</f>
        <v>4</v>
      </c>
      <c r="G532" s="52">
        <v>1</v>
      </c>
      <c r="H532" s="90" t="s">
        <v>115</v>
      </c>
      <c r="I532" s="93" t="s">
        <v>77</v>
      </c>
      <c r="J532" s="87" t="s">
        <v>1079</v>
      </c>
      <c r="K532" s="102" t="s">
        <v>2122</v>
      </c>
      <c r="L532" s="117">
        <f>IF(O532="","",N532*O532*M532)</f>
        <v>0</v>
      </c>
      <c r="M532" s="108">
        <v>1</v>
      </c>
      <c r="N532" s="95">
        <v>1</v>
      </c>
      <c r="O532" s="109">
        <f>IF(Key!D$1="ON",P532,IF(SUM(Q532:DL532)&lt;1,"",SUM(Q532:DL532)/COUNTIF(Q532:DL532,"&gt;0")))</f>
        <v>0</v>
      </c>
      <c r="P532" s="109">
        <f>SUMIFS(Q532:DK532,Q$1:DK$1,Dashboard!$K$31)</f>
        <v>0</v>
      </c>
      <c r="U532" s="95">
        <v>33</v>
      </c>
      <c r="AA532" s="95">
        <v>25</v>
      </c>
      <c r="AH532" s="95">
        <v>75</v>
      </c>
    </row>
    <row r="533" spans="1:34" x14ac:dyDescent="0.3">
      <c r="A533" s="89" t="str">
        <f>CONCATENATE(D533,".",F533,"-",G533,".",H533,"")</f>
        <v>1.4-1.1</v>
      </c>
      <c r="B533" s="89" t="str">
        <f>IF(CONCATENATE(I533,Key!F$2)=CONCATENATE(INDEX(Dashboard!J:J,MATCH(I533,Dashboard!J:J,0),1),INDEX(Dashboard!J:K,MATCH(I533,Dashboard!J:J,0),2)),"ON",IF(Dashboard!K$32="ALL","ON","-"))</f>
        <v>-</v>
      </c>
      <c r="C533" s="96" t="s">
        <v>110</v>
      </c>
      <c r="D533" s="89">
        <f>IF(C533="ID",1,(IF(C533="PR",2,(IF(C533="DE",3,(IF(C533="RS",4,(IF(C533="RC",5,0)))))))))</f>
        <v>1</v>
      </c>
      <c r="E533" s="89" t="s">
        <v>140</v>
      </c>
      <c r="F533" s="89">
        <f>IF(E533="AM",1,(IF(E533="BE",2,(IF(E533="GV",3,(IF(E533="RA",4,(IF(E533="RM",5,(IF(E533="AC",1,(IF(E533="AT",2,(IF(E533="DS",3,(IF(E533="IP",4,(IF(E533="MA",5,(IF(E533="PT",6,(IF(E533="AE",1,(IF(E533="CM",2,(IF(E533="DP",3,(IF(E533="AN",1,(IF(E533="CO",2,(IF(E533="IM",3,(IF(E533="MI",4,(IF(E533="RP",5,(IF(E533="SC",6,0)))))))))))))))))))))))))))))))))))))))</f>
        <v>4</v>
      </c>
      <c r="G533" s="98">
        <v>1</v>
      </c>
      <c r="H533" s="90" t="s">
        <v>115</v>
      </c>
      <c r="I533" s="93" t="s">
        <v>77</v>
      </c>
      <c r="J533" s="87" t="s">
        <v>1080</v>
      </c>
      <c r="K533" s="102" t="s">
        <v>2123</v>
      </c>
      <c r="L533" s="117">
        <f>IF(O533="","",N533*O533*M533)</f>
        <v>0</v>
      </c>
      <c r="M533" s="108">
        <v>1</v>
      </c>
      <c r="N533" s="95">
        <v>1</v>
      </c>
      <c r="O533" s="109">
        <f>IF(Key!D$1="ON",P533,IF(SUM(Q533:DL533)&lt;1,"",SUM(Q533:DL533)/COUNTIF(Q533:DL533,"&gt;0")))</f>
        <v>0</v>
      </c>
      <c r="P533" s="109">
        <f>SUMIFS(Q533:DK533,Q$1:DK$1,Dashboard!$K$31)</f>
        <v>0</v>
      </c>
      <c r="U533" s="95">
        <v>33</v>
      </c>
      <c r="AA533" s="95">
        <v>25</v>
      </c>
      <c r="AH533" s="95">
        <v>75</v>
      </c>
    </row>
    <row r="534" spans="1:34" x14ac:dyDescent="0.3">
      <c r="A534" s="89" t="str">
        <f>CONCATENATE(D534,".",F534,"-",G534,".",H534,"")</f>
        <v>1.4-1.1</v>
      </c>
      <c r="B534" s="89" t="str">
        <f>IF(CONCATENATE(I534,Key!F$2)=CONCATENATE(INDEX(Dashboard!J:J,MATCH(I534,Dashboard!J:J,0),1),INDEX(Dashboard!J:K,MATCH(I534,Dashboard!J:J,0),2)),"ON",IF(Dashboard!K$32="ALL","ON","-"))</f>
        <v>-</v>
      </c>
      <c r="C534" s="88" t="s">
        <v>110</v>
      </c>
      <c r="D534" s="89">
        <f>IF(C534="ID",1,(IF(C534="PR",2,(IF(C534="DE",3,(IF(C534="RS",4,(IF(C534="RC",5,0)))))))))</f>
        <v>1</v>
      </c>
      <c r="E534" s="89" t="s">
        <v>140</v>
      </c>
      <c r="F534" s="89">
        <f>IF(E534="AM",1,(IF(E534="BE",2,(IF(E534="GV",3,(IF(E534="RA",4,(IF(E534="RM",5,(IF(E534="AC",1,(IF(E534="AT",2,(IF(E534="DS",3,(IF(E534="IP",4,(IF(E534="MA",5,(IF(E534="PT",6,(IF(E534="AE",1,(IF(E534="CM",2,(IF(E534="DP",3,(IF(E534="AN",1,(IF(E534="CO",2,(IF(E534="IM",3,(IF(E534="MI",4,(IF(E534="RP",5,(IF(E534="SC",6,0)))))))))))))))))))))))))))))))))))))))</f>
        <v>4</v>
      </c>
      <c r="G534" s="52">
        <v>1</v>
      </c>
      <c r="H534" s="90" t="s">
        <v>115</v>
      </c>
      <c r="I534" s="93" t="s">
        <v>77</v>
      </c>
      <c r="J534" s="87" t="s">
        <v>1082</v>
      </c>
      <c r="K534" s="102" t="s">
        <v>2124</v>
      </c>
      <c r="L534" s="117">
        <f>IF(O534="","",N534*O534*M534)</f>
        <v>0</v>
      </c>
      <c r="M534" s="108">
        <v>1</v>
      </c>
      <c r="N534" s="95">
        <v>1</v>
      </c>
      <c r="O534" s="109">
        <f>IF(Key!D$1="ON",P534,IF(SUM(Q534:DL534)&lt;1,"",SUM(Q534:DL534)/COUNTIF(Q534:DL534,"&gt;0")))</f>
        <v>0</v>
      </c>
      <c r="P534" s="109">
        <f>SUMIFS(Q534:DK534,Q$1:DK$1,Dashboard!$K$31)</f>
        <v>0</v>
      </c>
      <c r="U534" s="95">
        <v>33</v>
      </c>
      <c r="AA534" s="95">
        <v>25</v>
      </c>
      <c r="AH534" s="95">
        <v>75</v>
      </c>
    </row>
    <row r="535" spans="1:34" x14ac:dyDescent="0.3">
      <c r="A535" s="89" t="str">
        <f>CONCATENATE(D535,".",F535,"-",G535,".",H535,"")</f>
        <v>1.4-1.1</v>
      </c>
      <c r="B535" s="89" t="str">
        <f>IF(CONCATENATE(I535,Key!F$2)=CONCATENATE(INDEX(Dashboard!J:J,MATCH(I535,Dashboard!J:J,0),1),INDEX(Dashboard!J:K,MATCH(I535,Dashboard!J:J,0),2)),"ON",IF(Dashboard!K$32="ALL","ON","-"))</f>
        <v>-</v>
      </c>
      <c r="C535" s="88" t="s">
        <v>110</v>
      </c>
      <c r="D535" s="89">
        <f>IF(C535="ID",1,(IF(C535="PR",2,(IF(C535="DE",3,(IF(C535="RS",4,(IF(C535="RC",5,0)))))))))</f>
        <v>1</v>
      </c>
      <c r="E535" s="89" t="s">
        <v>140</v>
      </c>
      <c r="F535" s="89">
        <f>IF(E535="AM",1,(IF(E535="BE",2,(IF(E535="GV",3,(IF(E535="RA",4,(IF(E535="RM",5,(IF(E535="AC",1,(IF(E535="AT",2,(IF(E535="DS",3,(IF(E535="IP",4,(IF(E535="MA",5,(IF(E535="PT",6,(IF(E535="AE",1,(IF(E535="CM",2,(IF(E535="DP",3,(IF(E535="AN",1,(IF(E535="CO",2,(IF(E535="IM",3,(IF(E535="MI",4,(IF(E535="RP",5,(IF(E535="SC",6,0)))))))))))))))))))))))))))))))))))))))</f>
        <v>4</v>
      </c>
      <c r="G535" s="52">
        <v>1</v>
      </c>
      <c r="H535" s="90" t="s">
        <v>115</v>
      </c>
      <c r="I535" s="93" t="s">
        <v>77</v>
      </c>
      <c r="J535" s="87" t="s">
        <v>1083</v>
      </c>
      <c r="K535" s="102" t="s">
        <v>2125</v>
      </c>
      <c r="L535" s="117">
        <f>IF(O535="","",N535*O535*M535)</f>
        <v>0</v>
      </c>
      <c r="M535" s="108">
        <v>1</v>
      </c>
      <c r="N535" s="95">
        <v>1</v>
      </c>
      <c r="O535" s="109">
        <f>IF(Key!D$1="ON",P535,IF(SUM(Q535:DL535)&lt;1,"",SUM(Q535:DL535)/COUNTIF(Q535:DL535,"&gt;0")))</f>
        <v>0</v>
      </c>
      <c r="P535" s="109">
        <f>SUMIFS(Q535:DK535,Q$1:DK$1,Dashboard!$K$31)</f>
        <v>0</v>
      </c>
      <c r="U535" s="95">
        <v>33</v>
      </c>
      <c r="AA535" s="95">
        <v>25</v>
      </c>
      <c r="AH535" s="95">
        <v>75</v>
      </c>
    </row>
    <row r="536" spans="1:34" x14ac:dyDescent="0.3">
      <c r="A536" s="89" t="str">
        <f>CONCATENATE(D536,".",F536,"-",G536,".",H536,"")</f>
        <v>1.4-1.1</v>
      </c>
      <c r="B536" s="89" t="str">
        <f>IF(CONCATENATE(I536,Key!F$2)=CONCATENATE(INDEX(Dashboard!J:J,MATCH(I536,Dashboard!J:J,0),1),INDEX(Dashboard!J:K,MATCH(I536,Dashboard!J:J,0),2)),"ON",IF(Dashboard!K$32="ALL","ON","-"))</f>
        <v>-</v>
      </c>
      <c r="C536" s="88" t="s">
        <v>110</v>
      </c>
      <c r="D536" s="89">
        <f>IF(C536="ID",1,(IF(C536="PR",2,(IF(C536="DE",3,(IF(C536="RS",4,(IF(C536="RC",5,0)))))))))</f>
        <v>1</v>
      </c>
      <c r="E536" s="89" t="s">
        <v>140</v>
      </c>
      <c r="F536" s="89">
        <f>IF(E536="AM",1,(IF(E536="BE",2,(IF(E536="GV",3,(IF(E536="RA",4,(IF(E536="RM",5,(IF(E536="AC",1,(IF(E536="AT",2,(IF(E536="DS",3,(IF(E536="IP",4,(IF(E536="MA",5,(IF(E536="PT",6,(IF(E536="AE",1,(IF(E536="CM",2,(IF(E536="DP",3,(IF(E536="AN",1,(IF(E536="CO",2,(IF(E536="IM",3,(IF(E536="MI",4,(IF(E536="RP",5,(IF(E536="SC",6,0)))))))))))))))))))))))))))))))))))))))</f>
        <v>4</v>
      </c>
      <c r="G536" s="52">
        <v>1</v>
      </c>
      <c r="H536" s="90" t="s">
        <v>115</v>
      </c>
      <c r="I536" s="93" t="s">
        <v>77</v>
      </c>
      <c r="J536" s="87" t="s">
        <v>1084</v>
      </c>
      <c r="K536" s="102" t="s">
        <v>2126</v>
      </c>
      <c r="L536" s="117">
        <f>IF(O536="","",N536*O536*M536)</f>
        <v>0</v>
      </c>
      <c r="M536" s="108">
        <v>1</v>
      </c>
      <c r="N536" s="95">
        <v>1</v>
      </c>
      <c r="O536" s="109">
        <f>IF(Key!D$1="ON",P536,IF(SUM(Q536:DL536)&lt;1,"",SUM(Q536:DL536)/COUNTIF(Q536:DL536,"&gt;0")))</f>
        <v>0</v>
      </c>
      <c r="P536" s="109">
        <f>SUMIFS(Q536:DK536,Q$1:DK$1,Dashboard!$K$31)</f>
        <v>0</v>
      </c>
      <c r="U536" s="95">
        <v>33</v>
      </c>
      <c r="AA536" s="95">
        <v>25</v>
      </c>
      <c r="AH536" s="95">
        <v>75</v>
      </c>
    </row>
    <row r="537" spans="1:34" x14ac:dyDescent="0.3">
      <c r="A537" s="89" t="str">
        <f>CONCATENATE(D537,".",F537,"-",G537,".",H537,"")</f>
        <v>1.4-1.1</v>
      </c>
      <c r="B537" s="89" t="str">
        <f>IF(CONCATENATE(I537,Key!F$2)=CONCATENATE(INDEX(Dashboard!J:J,MATCH(I537,Dashboard!J:J,0),1),INDEX(Dashboard!J:K,MATCH(I537,Dashboard!J:J,0),2)),"ON",IF(Dashboard!K$32="ALL","ON","-"))</f>
        <v>-</v>
      </c>
      <c r="C537" s="88" t="s">
        <v>110</v>
      </c>
      <c r="D537" s="89">
        <f>IF(C537="ID",1,(IF(C537="PR",2,(IF(C537="DE",3,(IF(C537="RS",4,(IF(C537="RC",5,0)))))))))</f>
        <v>1</v>
      </c>
      <c r="E537" s="89" t="s">
        <v>140</v>
      </c>
      <c r="F537" s="89">
        <f>IF(E537="AM",1,(IF(E537="BE",2,(IF(E537="GV",3,(IF(E537="RA",4,(IF(E537="RM",5,(IF(E537="AC",1,(IF(E537="AT",2,(IF(E537="DS",3,(IF(E537="IP",4,(IF(E537="MA",5,(IF(E537="PT",6,(IF(E537="AE",1,(IF(E537="CM",2,(IF(E537="DP",3,(IF(E537="AN",1,(IF(E537="CO",2,(IF(E537="IM",3,(IF(E537="MI",4,(IF(E537="RP",5,(IF(E537="SC",6,0)))))))))))))))))))))))))))))))))))))))</f>
        <v>4</v>
      </c>
      <c r="G537" s="52">
        <v>1</v>
      </c>
      <c r="H537" s="90" t="s">
        <v>115</v>
      </c>
      <c r="I537" s="93" t="s">
        <v>77</v>
      </c>
      <c r="J537" s="87" t="s">
        <v>1085</v>
      </c>
      <c r="K537" s="102" t="s">
        <v>2127</v>
      </c>
      <c r="L537" s="117">
        <f>IF(O537="","",N537*O537*M537)</f>
        <v>0</v>
      </c>
      <c r="M537" s="108">
        <v>1</v>
      </c>
      <c r="N537" s="95">
        <v>1</v>
      </c>
      <c r="O537" s="109">
        <f>IF(Key!D$1="ON",P537,IF(SUM(Q537:DL537)&lt;1,"",SUM(Q537:DL537)/COUNTIF(Q537:DL537,"&gt;0")))</f>
        <v>0</v>
      </c>
      <c r="P537" s="109">
        <f>SUMIFS(Q537:DK537,Q$1:DK$1,Dashboard!$K$31)</f>
        <v>0</v>
      </c>
      <c r="U537" s="95">
        <v>33</v>
      </c>
      <c r="AA537" s="95">
        <v>25</v>
      </c>
      <c r="AH537" s="95">
        <v>75</v>
      </c>
    </row>
    <row r="538" spans="1:34" x14ac:dyDescent="0.3">
      <c r="A538" s="89" t="str">
        <f>CONCATENATE(D538,".",F538,"-",G538,".",H538,"")</f>
        <v>1.4-1.1</v>
      </c>
      <c r="B538" s="89" t="str">
        <f>IF(CONCATENATE(I538,Key!F$2)=CONCATENATE(INDEX(Dashboard!J:J,MATCH(I538,Dashboard!J:J,0),1),INDEX(Dashboard!J:K,MATCH(I538,Dashboard!J:J,0),2)),"ON",IF(Dashboard!K$32="ALL","ON","-"))</f>
        <v>-</v>
      </c>
      <c r="C538" s="88" t="s">
        <v>110</v>
      </c>
      <c r="D538" s="89">
        <f>IF(C538="ID",1,(IF(C538="PR",2,(IF(C538="DE",3,(IF(C538="RS",4,(IF(C538="RC",5,0)))))))))</f>
        <v>1</v>
      </c>
      <c r="E538" s="89" t="s">
        <v>140</v>
      </c>
      <c r="F538" s="89">
        <f>IF(E538="AM",1,(IF(E538="BE",2,(IF(E538="GV",3,(IF(E538="RA",4,(IF(E538="RM",5,(IF(E538="AC",1,(IF(E538="AT",2,(IF(E538="DS",3,(IF(E538="IP",4,(IF(E538="MA",5,(IF(E538="PT",6,(IF(E538="AE",1,(IF(E538="CM",2,(IF(E538="DP",3,(IF(E538="AN",1,(IF(E538="CO",2,(IF(E538="IM",3,(IF(E538="MI",4,(IF(E538="RP",5,(IF(E538="SC",6,0)))))))))))))))))))))))))))))))))))))))</f>
        <v>4</v>
      </c>
      <c r="G538" s="52">
        <v>1</v>
      </c>
      <c r="H538" s="90" t="s">
        <v>115</v>
      </c>
      <c r="I538" s="93" t="s">
        <v>77</v>
      </c>
      <c r="J538" s="87" t="s">
        <v>1086</v>
      </c>
      <c r="K538" s="102" t="s">
        <v>2128</v>
      </c>
      <c r="L538" s="117">
        <f>IF(O538="","",N538*O538*M538)</f>
        <v>0</v>
      </c>
      <c r="M538" s="108">
        <v>1</v>
      </c>
      <c r="N538" s="95">
        <v>1</v>
      </c>
      <c r="O538" s="109">
        <f>IF(Key!D$1="ON",P538,IF(SUM(Q538:DL538)&lt;1,"",SUM(Q538:DL538)/COUNTIF(Q538:DL538,"&gt;0")))</f>
        <v>0</v>
      </c>
      <c r="P538" s="109">
        <f>SUMIFS(Q538:DK538,Q$1:DK$1,Dashboard!$K$31)</f>
        <v>0</v>
      </c>
      <c r="U538" s="95">
        <v>33</v>
      </c>
      <c r="AA538" s="95">
        <v>25</v>
      </c>
      <c r="AH538" s="95">
        <v>75</v>
      </c>
    </row>
    <row r="539" spans="1:34" x14ac:dyDescent="0.3">
      <c r="A539" s="89" t="str">
        <f>CONCATENATE(D539,".",F539,"-",G539,".",H539,"")</f>
        <v>1.4-1.1</v>
      </c>
      <c r="B539" s="89" t="str">
        <f>IF(CONCATENATE(I539,Key!F$2)=CONCATENATE(INDEX(Dashboard!J:J,MATCH(I539,Dashboard!J:J,0),1),INDEX(Dashboard!J:K,MATCH(I539,Dashboard!J:J,0),2)),"ON",IF(Dashboard!K$32="ALL","ON","-"))</f>
        <v>-</v>
      </c>
      <c r="C539" s="88" t="s">
        <v>110</v>
      </c>
      <c r="D539" s="89">
        <f>IF(C539="ID",1,(IF(C539="PR",2,(IF(C539="DE",3,(IF(C539="RS",4,(IF(C539="RC",5,0)))))))))</f>
        <v>1</v>
      </c>
      <c r="E539" s="89" t="s">
        <v>140</v>
      </c>
      <c r="F539" s="89">
        <f>IF(E539="AM",1,(IF(E539="BE",2,(IF(E539="GV",3,(IF(E539="RA",4,(IF(E539="RM",5,(IF(E539="AC",1,(IF(E539="AT",2,(IF(E539="DS",3,(IF(E539="IP",4,(IF(E539="MA",5,(IF(E539="PT",6,(IF(E539="AE",1,(IF(E539="CM",2,(IF(E539="DP",3,(IF(E539="AN",1,(IF(E539="CO",2,(IF(E539="IM",3,(IF(E539="MI",4,(IF(E539="RP",5,(IF(E539="SC",6,0)))))))))))))))))))))))))))))))))))))))</f>
        <v>4</v>
      </c>
      <c r="G539" s="52">
        <v>1</v>
      </c>
      <c r="H539" s="90" t="s">
        <v>115</v>
      </c>
      <c r="I539" s="93" t="s">
        <v>77</v>
      </c>
      <c r="J539" s="87" t="s">
        <v>1087</v>
      </c>
      <c r="K539" s="102" t="s">
        <v>2129</v>
      </c>
      <c r="L539" s="117">
        <f>IF(O539="","",N539*O539*M539)</f>
        <v>0</v>
      </c>
      <c r="M539" s="108">
        <v>1</v>
      </c>
      <c r="N539" s="95">
        <v>1</v>
      </c>
      <c r="O539" s="109">
        <f>IF(Key!D$1="ON",P539,IF(SUM(Q539:DL539)&lt;1,"",SUM(Q539:DL539)/COUNTIF(Q539:DL539,"&gt;0")))</f>
        <v>0</v>
      </c>
      <c r="P539" s="109">
        <f>SUMIFS(Q539:DK539,Q$1:DK$1,Dashboard!$K$31)</f>
        <v>0</v>
      </c>
      <c r="U539" s="95">
        <v>33</v>
      </c>
      <c r="AA539" s="95">
        <v>25</v>
      </c>
      <c r="AH539" s="95">
        <v>75</v>
      </c>
    </row>
    <row r="540" spans="1:34" x14ac:dyDescent="0.3">
      <c r="A540" s="89" t="str">
        <f>CONCATENATE(D540,".",F540,"-",G540,".",H540,"")</f>
        <v>1.4-1.1</v>
      </c>
      <c r="B540" s="89" t="str">
        <f>IF(CONCATENATE(I540,Key!F$2)=CONCATENATE(INDEX(Dashboard!J:J,MATCH(I540,Dashboard!J:J,0),1),INDEX(Dashboard!J:K,MATCH(I540,Dashboard!J:J,0),2)),"ON",IF(Dashboard!K$32="ALL","ON","-"))</f>
        <v>-</v>
      </c>
      <c r="C540" s="88" t="s">
        <v>110</v>
      </c>
      <c r="D540" s="89">
        <f>IF(C540="ID",1,(IF(C540="PR",2,(IF(C540="DE",3,(IF(C540="RS",4,(IF(C540="RC",5,0)))))))))</f>
        <v>1</v>
      </c>
      <c r="E540" s="89" t="s">
        <v>140</v>
      </c>
      <c r="F540" s="89">
        <f>IF(E540="AM",1,(IF(E540="BE",2,(IF(E540="GV",3,(IF(E540="RA",4,(IF(E540="RM",5,(IF(E540="AC",1,(IF(E540="AT",2,(IF(E540="DS",3,(IF(E540="IP",4,(IF(E540="MA",5,(IF(E540="PT",6,(IF(E540="AE",1,(IF(E540="CM",2,(IF(E540="DP",3,(IF(E540="AN",1,(IF(E540="CO",2,(IF(E540="IM",3,(IF(E540="MI",4,(IF(E540="RP",5,(IF(E540="SC",6,0)))))))))))))))))))))))))))))))))))))))</f>
        <v>4</v>
      </c>
      <c r="G540" s="52">
        <v>1</v>
      </c>
      <c r="H540" s="90" t="s">
        <v>115</v>
      </c>
      <c r="I540" s="93" t="s">
        <v>77</v>
      </c>
      <c r="J540" s="87" t="s">
        <v>1088</v>
      </c>
      <c r="K540" s="102" t="s">
        <v>2130</v>
      </c>
      <c r="L540" s="117">
        <f>IF(O540="","",N540*O540*M540)</f>
        <v>0</v>
      </c>
      <c r="M540" s="108">
        <v>1</v>
      </c>
      <c r="N540" s="95">
        <v>1</v>
      </c>
      <c r="O540" s="109">
        <f>IF(Key!D$1="ON",P540,IF(SUM(Q540:DL540)&lt;1,"",SUM(Q540:DL540)/COUNTIF(Q540:DL540,"&gt;0")))</f>
        <v>0</v>
      </c>
      <c r="P540" s="109">
        <f>SUMIFS(Q540:DK540,Q$1:DK$1,Dashboard!$K$31)</f>
        <v>0</v>
      </c>
      <c r="U540" s="95">
        <v>33</v>
      </c>
      <c r="AA540" s="95">
        <v>25</v>
      </c>
      <c r="AH540" s="95">
        <v>75</v>
      </c>
    </row>
    <row r="541" spans="1:34" x14ac:dyDescent="0.3">
      <c r="A541" s="89" t="str">
        <f>CONCATENATE(D541,".",F541,"-",G541,".",H541,"")</f>
        <v>1.4-1.1</v>
      </c>
      <c r="B541" s="89" t="str">
        <f>IF(CONCATENATE(I541,Key!F$2)=CONCATENATE(INDEX(Dashboard!J:J,MATCH(I541,Dashboard!J:J,0),1),INDEX(Dashboard!J:K,MATCH(I541,Dashboard!J:J,0),2)),"ON",IF(Dashboard!K$32="ALL","ON","-"))</f>
        <v>-</v>
      </c>
      <c r="C541" s="88" t="s">
        <v>110</v>
      </c>
      <c r="D541" s="89">
        <f>IF(C541="ID",1,(IF(C541="PR",2,(IF(C541="DE",3,(IF(C541="RS",4,(IF(C541="RC",5,0)))))))))</f>
        <v>1</v>
      </c>
      <c r="E541" s="89" t="s">
        <v>140</v>
      </c>
      <c r="F541" s="89">
        <f>IF(E541="AM",1,(IF(E541="BE",2,(IF(E541="GV",3,(IF(E541="RA",4,(IF(E541="RM",5,(IF(E541="AC",1,(IF(E541="AT",2,(IF(E541="DS",3,(IF(E541="IP",4,(IF(E541="MA",5,(IF(E541="PT",6,(IF(E541="AE",1,(IF(E541="CM",2,(IF(E541="DP",3,(IF(E541="AN",1,(IF(E541="CO",2,(IF(E541="IM",3,(IF(E541="MI",4,(IF(E541="RP",5,(IF(E541="SC",6,0)))))))))))))))))))))))))))))))))))))))</f>
        <v>4</v>
      </c>
      <c r="G541" s="52">
        <v>1</v>
      </c>
      <c r="H541" s="90" t="s">
        <v>115</v>
      </c>
      <c r="I541" s="93" t="s">
        <v>77</v>
      </c>
      <c r="J541" s="87" t="s">
        <v>1089</v>
      </c>
      <c r="K541" s="102" t="s">
        <v>2131</v>
      </c>
      <c r="L541" s="117">
        <f>IF(O541="","",N541*O541*M541)</f>
        <v>0</v>
      </c>
      <c r="M541" s="108">
        <v>1</v>
      </c>
      <c r="N541" s="95">
        <v>1</v>
      </c>
      <c r="O541" s="109">
        <f>IF(Key!D$1="ON",P541,IF(SUM(Q541:DL541)&lt;1,"",SUM(Q541:DL541)/COUNTIF(Q541:DL541,"&gt;0")))</f>
        <v>0</v>
      </c>
      <c r="P541" s="109">
        <f>SUMIFS(Q541:DK541,Q$1:DK$1,Dashboard!$K$31)</f>
        <v>0</v>
      </c>
      <c r="U541" s="95">
        <v>33</v>
      </c>
      <c r="AA541" s="95">
        <v>25</v>
      </c>
      <c r="AH541" s="95">
        <v>75</v>
      </c>
    </row>
    <row r="542" spans="1:34" x14ac:dyDescent="0.3">
      <c r="A542" s="89" t="str">
        <f>CONCATENATE(D542,".",F542,"-",G542,".",H542,"")</f>
        <v>1.4-1.1</v>
      </c>
      <c r="B542" s="89" t="str">
        <f>IF(CONCATENATE(I542,Key!F$2)=CONCATENATE(INDEX(Dashboard!J:J,MATCH(I542,Dashboard!J:J,0),1),INDEX(Dashboard!J:K,MATCH(I542,Dashboard!J:J,0),2)),"ON",IF(Dashboard!K$32="ALL","ON","-"))</f>
        <v>-</v>
      </c>
      <c r="C542" s="88" t="s">
        <v>110</v>
      </c>
      <c r="D542" s="89">
        <f>IF(C542="ID",1,(IF(C542="PR",2,(IF(C542="DE",3,(IF(C542="RS",4,(IF(C542="RC",5,0)))))))))</f>
        <v>1</v>
      </c>
      <c r="E542" s="89" t="s">
        <v>140</v>
      </c>
      <c r="F542" s="89">
        <f>IF(E542="AM",1,(IF(E542="BE",2,(IF(E542="GV",3,(IF(E542="RA",4,(IF(E542="RM",5,(IF(E542="AC",1,(IF(E542="AT",2,(IF(E542="DS",3,(IF(E542="IP",4,(IF(E542="MA",5,(IF(E542="PT",6,(IF(E542="AE",1,(IF(E542="CM",2,(IF(E542="DP",3,(IF(E542="AN",1,(IF(E542="CO",2,(IF(E542="IM",3,(IF(E542="MI",4,(IF(E542="RP",5,(IF(E542="SC",6,0)))))))))))))))))))))))))))))))))))))))</f>
        <v>4</v>
      </c>
      <c r="G542" s="52">
        <v>1</v>
      </c>
      <c r="H542" s="90" t="s">
        <v>115</v>
      </c>
      <c r="I542" s="93" t="s">
        <v>77</v>
      </c>
      <c r="J542" s="87" t="s">
        <v>1090</v>
      </c>
      <c r="K542" s="102" t="s">
        <v>2132</v>
      </c>
      <c r="L542" s="117">
        <f>IF(O542="","",N542*O542*M542)</f>
        <v>0</v>
      </c>
      <c r="M542" s="108">
        <v>0.9</v>
      </c>
      <c r="N542" s="95">
        <v>1</v>
      </c>
      <c r="O542" s="109">
        <f>IF(Key!D$1="ON",P542,IF(SUM(Q542:DL542)&lt;1,"",SUM(Q542:DL542)/COUNTIF(Q542:DL542,"&gt;0")))</f>
        <v>0</v>
      </c>
      <c r="P542" s="109">
        <f>SUMIFS(Q542:DK542,Q$1:DK$1,Dashboard!$K$31)</f>
        <v>0</v>
      </c>
      <c r="S542" s="95">
        <v>99</v>
      </c>
      <c r="T542" s="95">
        <v>80</v>
      </c>
      <c r="U542" s="95">
        <v>33</v>
      </c>
      <c r="AA542" s="95">
        <v>25</v>
      </c>
      <c r="AH542" s="95">
        <v>75</v>
      </c>
    </row>
    <row r="543" spans="1:34" x14ac:dyDescent="0.3">
      <c r="A543" s="89" t="str">
        <f>CONCATENATE(D543,".",F543,"-",G543,".",H543,"")</f>
        <v>1.4-1.1</v>
      </c>
      <c r="B543" s="89" t="str">
        <f>IF(CONCATENATE(I543,Key!F$2)=CONCATENATE(INDEX(Dashboard!J:J,MATCH(I543,Dashboard!J:J,0),1),INDEX(Dashboard!J:K,MATCH(I543,Dashboard!J:J,0),2)),"ON",IF(Dashboard!K$32="ALL","ON","-"))</f>
        <v>-</v>
      </c>
      <c r="C543" s="88" t="s">
        <v>110</v>
      </c>
      <c r="D543" s="89">
        <f>IF(C543="ID",1,(IF(C543="PR",2,(IF(C543="DE",3,(IF(C543="RS",4,(IF(C543="RC",5,0)))))))))</f>
        <v>1</v>
      </c>
      <c r="E543" s="89" t="s">
        <v>140</v>
      </c>
      <c r="F543" s="89">
        <f>IF(E543="AM",1,(IF(E543="BE",2,(IF(E543="GV",3,(IF(E543="RA",4,(IF(E543="RM",5,(IF(E543="AC",1,(IF(E543="AT",2,(IF(E543="DS",3,(IF(E543="IP",4,(IF(E543="MA",5,(IF(E543="PT",6,(IF(E543="AE",1,(IF(E543="CM",2,(IF(E543="DP",3,(IF(E543="AN",1,(IF(E543="CO",2,(IF(E543="IM",3,(IF(E543="MI",4,(IF(E543="RP",5,(IF(E543="SC",6,0)))))))))))))))))))))))))))))))))))))))</f>
        <v>4</v>
      </c>
      <c r="G543" s="52">
        <v>1</v>
      </c>
      <c r="H543" s="90" t="s">
        <v>115</v>
      </c>
      <c r="I543" s="93" t="s">
        <v>77</v>
      </c>
      <c r="J543" s="87" t="s">
        <v>1091</v>
      </c>
      <c r="K543" s="102" t="s">
        <v>2133</v>
      </c>
      <c r="L543" s="117">
        <f>IF(O543="","",N543*O543*M543)</f>
        <v>0</v>
      </c>
      <c r="M543" s="108">
        <v>1</v>
      </c>
      <c r="N543" s="95">
        <v>1</v>
      </c>
      <c r="O543" s="109">
        <f>IF(Key!D$1="ON",P543,IF(SUM(Q543:DL543)&lt;1,"",SUM(Q543:DL543)/COUNTIF(Q543:DL543,"&gt;0")))</f>
        <v>0</v>
      </c>
      <c r="P543" s="109">
        <f>SUMIFS(Q543:DK543,Q$1:DK$1,Dashboard!$K$31)</f>
        <v>0</v>
      </c>
      <c r="U543" s="95">
        <v>33</v>
      </c>
      <c r="AA543" s="95">
        <v>25</v>
      </c>
      <c r="AH543" s="95">
        <v>75</v>
      </c>
    </row>
    <row r="544" spans="1:34" ht="15.6" x14ac:dyDescent="0.3">
      <c r="A544" s="89" t="str">
        <f>CONCATENATE(D544,".",F544,"-",G544,".",H544,"")</f>
        <v>1.4-1.1</v>
      </c>
      <c r="B544" s="89" t="str">
        <f>IF(CONCATENATE(I544,Key!F$2)=CONCATENATE(INDEX(Dashboard!J:J,MATCH(I544,Dashboard!J:J,0),1),INDEX(Dashboard!J:K,MATCH(I544,Dashboard!J:J,0),2)),"ON",IF(Dashboard!K$32="ALL","ON","-"))</f>
        <v>-</v>
      </c>
      <c r="C544" s="88" t="s">
        <v>110</v>
      </c>
      <c r="D544" s="89">
        <f>IF(C544="ID",1,(IF(C544="PR",2,(IF(C544="DE",3,(IF(C544="RS",4,(IF(C544="RC",5,0)))))))))</f>
        <v>1</v>
      </c>
      <c r="E544" s="89" t="s">
        <v>140</v>
      </c>
      <c r="F544" s="89">
        <f>IF(E544="AM",1,(IF(E544="BE",2,(IF(E544="GV",3,(IF(E544="RA",4,(IF(E544="RM",5,(IF(E544="AC",1,(IF(E544="AT",2,(IF(E544="DS",3,(IF(E544="IP",4,(IF(E544="MA",5,(IF(E544="PT",6,(IF(E544="AE",1,(IF(E544="CM",2,(IF(E544="DP",3,(IF(E544="AN",1,(IF(E544="CO",2,(IF(E544="IM",3,(IF(E544="MI",4,(IF(E544="RP",5,(IF(E544="SC",6,0)))))))))))))))))))))))))))))))))))))))</f>
        <v>4</v>
      </c>
      <c r="G544" s="52">
        <v>1</v>
      </c>
      <c r="H544" s="90" t="s">
        <v>115</v>
      </c>
      <c r="I544" s="93" t="s">
        <v>77</v>
      </c>
      <c r="J544" s="87" t="s">
        <v>1092</v>
      </c>
      <c r="K544" s="102" t="s">
        <v>2134</v>
      </c>
      <c r="L544" s="117">
        <f>IF(O544="","",N544*O544*M544)</f>
        <v>0</v>
      </c>
      <c r="M544" s="108">
        <v>1</v>
      </c>
      <c r="N544" s="95">
        <v>1</v>
      </c>
      <c r="O544" s="109">
        <f>IF(Key!D$1="ON",P544,IF(SUM(Q544:DL544)&lt;1,"",SUM(Q544:DL544)/COUNTIF(Q544:DL544,"&gt;0")))</f>
        <v>0</v>
      </c>
      <c r="P544" s="109">
        <f>SUMIFS(Q544:DK544,Q$1:DK$1,Dashboard!$K$31)</f>
        <v>0</v>
      </c>
      <c r="U544" s="95">
        <v>33</v>
      </c>
      <c r="AA544" s="95">
        <v>25</v>
      </c>
      <c r="AH544" s="95">
        <v>75</v>
      </c>
    </row>
    <row r="545" spans="1:34" ht="15.6" x14ac:dyDescent="0.3">
      <c r="A545" s="89" t="str">
        <f>CONCATENATE(D545,".",F545,"-",G545,".",H545,"")</f>
        <v>1.4-1.1</v>
      </c>
      <c r="B545" s="89" t="str">
        <f>IF(CONCATENATE(I545,Key!F$2)=CONCATENATE(INDEX(Dashboard!J:J,MATCH(I545,Dashboard!J:J,0),1),INDEX(Dashboard!J:K,MATCH(I545,Dashboard!J:J,0),2)),"ON",IF(Dashboard!K$32="ALL","ON","-"))</f>
        <v>-</v>
      </c>
      <c r="C545" s="88" t="s">
        <v>110</v>
      </c>
      <c r="D545" s="89">
        <f>IF(C545="ID",1,(IF(C545="PR",2,(IF(C545="DE",3,(IF(C545="RS",4,(IF(C545="RC",5,0)))))))))</f>
        <v>1</v>
      </c>
      <c r="E545" s="89" t="s">
        <v>140</v>
      </c>
      <c r="F545" s="89">
        <f>IF(E545="AM",1,(IF(E545="BE",2,(IF(E545="GV",3,(IF(E545="RA",4,(IF(E545="RM",5,(IF(E545="AC",1,(IF(E545="AT",2,(IF(E545="DS",3,(IF(E545="IP",4,(IF(E545="MA",5,(IF(E545="PT",6,(IF(E545="AE",1,(IF(E545="CM",2,(IF(E545="DP",3,(IF(E545="AN",1,(IF(E545="CO",2,(IF(E545="IM",3,(IF(E545="MI",4,(IF(E545="RP",5,(IF(E545="SC",6,0)))))))))))))))))))))))))))))))))))))))</f>
        <v>4</v>
      </c>
      <c r="G545" s="52">
        <v>1</v>
      </c>
      <c r="H545" s="90" t="s">
        <v>115</v>
      </c>
      <c r="I545" s="93" t="s">
        <v>77</v>
      </c>
      <c r="J545" s="87" t="s">
        <v>1093</v>
      </c>
      <c r="K545" s="102" t="s">
        <v>2135</v>
      </c>
      <c r="L545" s="117">
        <f>IF(O545="","",N545*O545*M545)</f>
        <v>0</v>
      </c>
      <c r="M545" s="108">
        <v>1</v>
      </c>
      <c r="N545" s="95">
        <v>1</v>
      </c>
      <c r="O545" s="109">
        <f>IF(Key!D$1="ON",P545,IF(SUM(Q545:DL545)&lt;1,"",SUM(Q545:DL545)/COUNTIF(Q545:DL545,"&gt;0")))</f>
        <v>0</v>
      </c>
      <c r="P545" s="109">
        <f>SUMIFS(Q545:DK545,Q$1:DK$1,Dashboard!$K$31)</f>
        <v>0</v>
      </c>
      <c r="U545" s="95">
        <v>33</v>
      </c>
      <c r="AA545" s="95">
        <v>25</v>
      </c>
      <c r="AH545" s="95">
        <v>75</v>
      </c>
    </row>
    <row r="546" spans="1:34" x14ac:dyDescent="0.3">
      <c r="A546" s="89" t="str">
        <f>CONCATENATE(D546,".",F546,"-",G546,".",H546,"")</f>
        <v>1.4-1.1</v>
      </c>
      <c r="B546" s="89" t="str">
        <f>IF(CONCATENATE(I546,Key!F$2)=CONCATENATE(INDEX(Dashboard!J:J,MATCH(I546,Dashboard!J:J,0),1),INDEX(Dashboard!J:K,MATCH(I546,Dashboard!J:J,0),2)),"ON",IF(Dashboard!K$32="ALL","ON","-"))</f>
        <v>-</v>
      </c>
      <c r="C546" s="88" t="s">
        <v>110</v>
      </c>
      <c r="D546" s="89">
        <f>IF(C546="ID",1,(IF(C546="PR",2,(IF(C546="DE",3,(IF(C546="RS",4,(IF(C546="RC",5,0)))))))))</f>
        <v>1</v>
      </c>
      <c r="E546" s="89" t="s">
        <v>140</v>
      </c>
      <c r="F546" s="89">
        <f>IF(E546="AM",1,(IF(E546="BE",2,(IF(E546="GV",3,(IF(E546="RA",4,(IF(E546="RM",5,(IF(E546="AC",1,(IF(E546="AT",2,(IF(E546="DS",3,(IF(E546="IP",4,(IF(E546="MA",5,(IF(E546="PT",6,(IF(E546="AE",1,(IF(E546="CM",2,(IF(E546="DP",3,(IF(E546="AN",1,(IF(E546="CO",2,(IF(E546="IM",3,(IF(E546="MI",4,(IF(E546="RP",5,(IF(E546="SC",6,0)))))))))))))))))))))))))))))))))))))))</f>
        <v>4</v>
      </c>
      <c r="G546" s="52">
        <v>1</v>
      </c>
      <c r="H546" s="90" t="s">
        <v>115</v>
      </c>
      <c r="I546" s="93" t="s">
        <v>77</v>
      </c>
      <c r="J546" s="87" t="s">
        <v>1094</v>
      </c>
      <c r="K546" s="102" t="s">
        <v>2136</v>
      </c>
      <c r="L546" s="117">
        <f>IF(O546="","",N546*O546*M546)</f>
        <v>0</v>
      </c>
      <c r="M546" s="108">
        <v>1</v>
      </c>
      <c r="N546" s="95">
        <v>1</v>
      </c>
      <c r="O546" s="109">
        <f>IF(Key!D$1="ON",P546,IF(SUM(Q546:DL546)&lt;1,"",SUM(Q546:DL546)/COUNTIF(Q546:DL546,"&gt;0")))</f>
        <v>0</v>
      </c>
      <c r="P546" s="109">
        <f>SUMIFS(Q546:DK546,Q$1:DK$1,Dashboard!$K$31)</f>
        <v>0</v>
      </c>
      <c r="U546" s="95">
        <v>33</v>
      </c>
      <c r="AA546" s="95">
        <v>25</v>
      </c>
      <c r="AH546" s="95">
        <v>75</v>
      </c>
    </row>
    <row r="547" spans="1:34" ht="15.6" x14ac:dyDescent="0.3">
      <c r="A547" s="89" t="str">
        <f>CONCATENATE(D547,".",F547,"-",G547,".",H547,"")</f>
        <v>1.4-1.1</v>
      </c>
      <c r="B547" s="89" t="str">
        <f>IF(CONCATENATE(I547,Key!F$2)=CONCATENATE(INDEX(Dashboard!J:J,MATCH(I547,Dashboard!J:J,0),1),INDEX(Dashboard!J:K,MATCH(I547,Dashboard!J:J,0),2)),"ON",IF(Dashboard!K$32="ALL","ON","-"))</f>
        <v>-</v>
      </c>
      <c r="C547" s="88" t="s">
        <v>110</v>
      </c>
      <c r="D547" s="89">
        <f>IF(C547="ID",1,(IF(C547="PR",2,(IF(C547="DE",3,(IF(C547="RS",4,(IF(C547="RC",5,0)))))))))</f>
        <v>1</v>
      </c>
      <c r="E547" s="89" t="s">
        <v>140</v>
      </c>
      <c r="F547" s="89">
        <f>IF(E547="AM",1,(IF(E547="BE",2,(IF(E547="GV",3,(IF(E547="RA",4,(IF(E547="RM",5,(IF(E547="AC",1,(IF(E547="AT",2,(IF(E547="DS",3,(IF(E547="IP",4,(IF(E547="MA",5,(IF(E547="PT",6,(IF(E547="AE",1,(IF(E547="CM",2,(IF(E547="DP",3,(IF(E547="AN",1,(IF(E547="CO",2,(IF(E547="IM",3,(IF(E547="MI",4,(IF(E547="RP",5,(IF(E547="SC",6,0)))))))))))))))))))))))))))))))))))))))</f>
        <v>4</v>
      </c>
      <c r="G547" s="52">
        <v>1</v>
      </c>
      <c r="H547" s="90" t="s">
        <v>115</v>
      </c>
      <c r="I547" s="93" t="s">
        <v>77</v>
      </c>
      <c r="J547" s="87" t="s">
        <v>1095</v>
      </c>
      <c r="K547" s="102" t="s">
        <v>2137</v>
      </c>
      <c r="L547" s="117">
        <f>IF(O547="","",N547*O547*M547)</f>
        <v>0</v>
      </c>
      <c r="M547" s="108">
        <v>1</v>
      </c>
      <c r="N547" s="95">
        <v>1</v>
      </c>
      <c r="O547" s="109">
        <f>IF(Key!D$1="ON",P547,IF(SUM(Q547:DL547)&lt;1,"",SUM(Q547:DL547)/COUNTIF(Q547:DL547,"&gt;0")))</f>
        <v>0</v>
      </c>
      <c r="P547" s="109">
        <f>SUMIFS(Q547:DK547,Q$1:DK$1,Dashboard!$K$31)</f>
        <v>0</v>
      </c>
      <c r="U547" s="95">
        <v>33</v>
      </c>
      <c r="AA547" s="95">
        <v>25</v>
      </c>
      <c r="AH547" s="95">
        <v>75</v>
      </c>
    </row>
    <row r="548" spans="1:34" x14ac:dyDescent="0.3">
      <c r="A548" s="89" t="str">
        <f>CONCATENATE(D548,".",F548,"-",G548,".",H548,"")</f>
        <v>1.4-1.1</v>
      </c>
      <c r="B548" s="89" t="str">
        <f>IF(CONCATENATE(I548,Key!F$2)=CONCATENATE(INDEX(Dashboard!J:J,MATCH(I548,Dashboard!J:J,0),1),INDEX(Dashboard!J:K,MATCH(I548,Dashboard!J:J,0),2)),"ON",IF(Dashboard!K$32="ALL","ON","-"))</f>
        <v>-</v>
      </c>
      <c r="C548" s="88" t="s">
        <v>110</v>
      </c>
      <c r="D548" s="89">
        <f>IF(C548="ID",1,(IF(C548="PR",2,(IF(C548="DE",3,(IF(C548="RS",4,(IF(C548="RC",5,0)))))))))</f>
        <v>1</v>
      </c>
      <c r="E548" s="89" t="s">
        <v>140</v>
      </c>
      <c r="F548" s="89">
        <f>IF(E548="AM",1,(IF(E548="BE",2,(IF(E548="GV",3,(IF(E548="RA",4,(IF(E548="RM",5,(IF(E548="AC",1,(IF(E548="AT",2,(IF(E548="DS",3,(IF(E548="IP",4,(IF(E548="MA",5,(IF(E548="PT",6,(IF(E548="AE",1,(IF(E548="CM",2,(IF(E548="DP",3,(IF(E548="AN",1,(IF(E548="CO",2,(IF(E548="IM",3,(IF(E548="MI",4,(IF(E548="RP",5,(IF(E548="SC",6,0)))))))))))))))))))))))))))))))))))))))</f>
        <v>4</v>
      </c>
      <c r="G548" s="52">
        <v>1</v>
      </c>
      <c r="H548" s="90" t="s">
        <v>115</v>
      </c>
      <c r="I548" s="93" t="s">
        <v>85</v>
      </c>
      <c r="J548" s="87" t="s">
        <v>1084</v>
      </c>
      <c r="K548" s="119" t="s">
        <v>5107</v>
      </c>
      <c r="L548" s="117">
        <f>IF(O548="","",N548*O548*M548)</f>
        <v>0</v>
      </c>
      <c r="M548" s="108">
        <v>1</v>
      </c>
      <c r="N548" s="95">
        <v>1</v>
      </c>
      <c r="O548" s="109">
        <f>IF(Key!D$1="ON",P548,IF(SUM(Q548:DL548)&lt;1,"",SUM(Q548:DL548)/COUNTIF(Q548:DL548,"&gt;0")))</f>
        <v>0</v>
      </c>
      <c r="P548" s="109">
        <f>SUMIFS(Q548:DK548,Q$1:DK$1,Dashboard!$K$31)</f>
        <v>0</v>
      </c>
      <c r="U548" s="95">
        <v>33</v>
      </c>
      <c r="AA548" s="95">
        <v>25</v>
      </c>
      <c r="AH548" s="95">
        <v>75</v>
      </c>
    </row>
    <row r="549" spans="1:34" x14ac:dyDescent="0.3">
      <c r="A549" s="89" t="str">
        <f>CONCATENATE(D549,".",F549,"-",G549,".",H549,"")</f>
        <v>1.4-1.1</v>
      </c>
      <c r="B549" s="89" t="str">
        <f>IF(CONCATENATE(I549,Key!F$2)=CONCATENATE(INDEX(Dashboard!J:J,MATCH(I549,Dashboard!J:J,0),1),INDEX(Dashboard!J:K,MATCH(I549,Dashboard!J:J,0),2)),"ON",IF(Dashboard!K$32="ALL","ON","-"))</f>
        <v>-</v>
      </c>
      <c r="C549" s="88" t="s">
        <v>110</v>
      </c>
      <c r="D549" s="89">
        <f>IF(C549="ID",1,(IF(C549="PR",2,(IF(C549="DE",3,(IF(C549="RS",4,(IF(C549="RC",5,0)))))))))</f>
        <v>1</v>
      </c>
      <c r="E549" s="89" t="s">
        <v>140</v>
      </c>
      <c r="F549" s="89">
        <f>IF(E549="AM",1,(IF(E549="BE",2,(IF(E549="GV",3,(IF(E549="RA",4,(IF(E549="RM",5,(IF(E549="AC",1,(IF(E549="AT",2,(IF(E549="DS",3,(IF(E549="IP",4,(IF(E549="MA",5,(IF(E549="PT",6,(IF(E549="AE",1,(IF(E549="CM",2,(IF(E549="DP",3,(IF(E549="AN",1,(IF(E549="CO",2,(IF(E549="IM",3,(IF(E549="MI",4,(IF(E549="RP",5,(IF(E549="SC",6,0)))))))))))))))))))))))))))))))))))))))</f>
        <v>4</v>
      </c>
      <c r="G549" s="52">
        <v>1</v>
      </c>
      <c r="H549" s="90" t="s">
        <v>115</v>
      </c>
      <c r="I549" s="93" t="s">
        <v>85</v>
      </c>
      <c r="J549" s="87" t="s">
        <v>1091</v>
      </c>
      <c r="K549" s="119" t="s">
        <v>5114</v>
      </c>
      <c r="L549" s="117">
        <f>IF(O549="","",N549*O549*M549)</f>
        <v>0</v>
      </c>
      <c r="M549" s="108">
        <v>1</v>
      </c>
      <c r="N549" s="95">
        <v>1</v>
      </c>
      <c r="O549" s="109">
        <f>IF(Key!D$1="ON",P549,IF(SUM(Q549:DL549)&lt;1,"",SUM(Q549:DL549)/COUNTIF(Q549:DL549,"&gt;0")))</f>
        <v>0</v>
      </c>
      <c r="P549" s="109">
        <f>SUMIFS(Q549:DK549,Q$1:DK$1,Dashboard!$K$31)</f>
        <v>0</v>
      </c>
      <c r="U549" s="95">
        <v>33</v>
      </c>
      <c r="AA549" s="95">
        <v>25</v>
      </c>
      <c r="AH549" s="95">
        <v>75</v>
      </c>
    </row>
    <row r="550" spans="1:34" x14ac:dyDescent="0.3">
      <c r="A550" s="89" t="str">
        <f>CONCATENATE(D550,".",F550,"-",G550,".",H550,"")</f>
        <v>1.4-1.1</v>
      </c>
      <c r="B550" s="89" t="str">
        <f>IF(CONCATENATE(I550,Key!F$2)=CONCATENATE(INDEX(Dashboard!J:J,MATCH(I550,Dashboard!J:J,0),1),INDEX(Dashboard!J:K,MATCH(I550,Dashboard!J:J,0),2)),"ON",IF(Dashboard!K$32="ALL","ON","-"))</f>
        <v>-</v>
      </c>
      <c r="C550" s="88" t="s">
        <v>110</v>
      </c>
      <c r="D550" s="89">
        <f>IF(C550="ID",1,(IF(C550="PR",2,(IF(C550="DE",3,(IF(C550="RS",4,(IF(C550="RC",5,0)))))))))</f>
        <v>1</v>
      </c>
      <c r="E550" s="89" t="s">
        <v>140</v>
      </c>
      <c r="F550" s="89">
        <f>IF(E550="AM",1,(IF(E550="BE",2,(IF(E550="GV",3,(IF(E550="RA",4,(IF(E550="RM",5,(IF(E550="AC",1,(IF(E550="AT",2,(IF(E550="DS",3,(IF(E550="IP",4,(IF(E550="MA",5,(IF(E550="PT",6,(IF(E550="AE",1,(IF(E550="CM",2,(IF(E550="DP",3,(IF(E550="AN",1,(IF(E550="CO",2,(IF(E550="IM",3,(IF(E550="MI",4,(IF(E550="RP",5,(IF(E550="SC",6,0)))))))))))))))))))))))))))))))))))))))</f>
        <v>4</v>
      </c>
      <c r="G550" s="52">
        <v>1</v>
      </c>
      <c r="H550" s="90" t="s">
        <v>115</v>
      </c>
      <c r="I550" s="93" t="s">
        <v>85</v>
      </c>
      <c r="J550" s="87" t="s">
        <v>1086</v>
      </c>
      <c r="K550" s="119" t="s">
        <v>5109</v>
      </c>
      <c r="L550" s="117">
        <f>IF(O550="","",N550*O550*M550)</f>
        <v>0</v>
      </c>
      <c r="M550" s="108">
        <v>1</v>
      </c>
      <c r="N550" s="95">
        <v>1</v>
      </c>
      <c r="O550" s="109">
        <f>IF(Key!D$1="ON",P550,IF(SUM(Q550:DL550)&lt;1,"",SUM(Q550:DL550)/COUNTIF(Q550:DL550,"&gt;0")))</f>
        <v>0</v>
      </c>
      <c r="P550" s="109">
        <f>SUMIFS(Q550:DK550,Q$1:DK$1,Dashboard!$K$31)</f>
        <v>0</v>
      </c>
      <c r="U550" s="95">
        <v>33</v>
      </c>
      <c r="AA550" s="95">
        <v>25</v>
      </c>
      <c r="AH550" s="95">
        <v>75</v>
      </c>
    </row>
    <row r="551" spans="1:34" x14ac:dyDescent="0.3">
      <c r="A551" s="89" t="str">
        <f>CONCATENATE(D551,".",F551,"-",G551,".",H551,"")</f>
        <v>1.4-1.1</v>
      </c>
      <c r="B551" s="89" t="str">
        <f>IF(CONCATENATE(I551,Key!F$2)=CONCATENATE(INDEX(Dashboard!J:J,MATCH(I551,Dashboard!J:J,0),1),INDEX(Dashboard!J:K,MATCH(I551,Dashboard!J:J,0),2)),"ON",IF(Dashboard!K$32="ALL","ON","-"))</f>
        <v>-</v>
      </c>
      <c r="C551" s="88" t="s">
        <v>110</v>
      </c>
      <c r="D551" s="89">
        <f>IF(C551="ID",1,(IF(C551="PR",2,(IF(C551="DE",3,(IF(C551="RS",4,(IF(C551="RC",5,0)))))))))</f>
        <v>1</v>
      </c>
      <c r="E551" s="89" t="s">
        <v>140</v>
      </c>
      <c r="F551" s="89">
        <f>IF(E551="AM",1,(IF(E551="BE",2,(IF(E551="GV",3,(IF(E551="RA",4,(IF(E551="RM",5,(IF(E551="AC",1,(IF(E551="AT",2,(IF(E551="DS",3,(IF(E551="IP",4,(IF(E551="MA",5,(IF(E551="PT",6,(IF(E551="AE",1,(IF(E551="CM",2,(IF(E551="DP",3,(IF(E551="AN",1,(IF(E551="CO",2,(IF(E551="IM",3,(IF(E551="MI",4,(IF(E551="RP",5,(IF(E551="SC",6,0)))))))))))))))))))))))))))))))))))))))</f>
        <v>4</v>
      </c>
      <c r="G551" s="52">
        <v>1</v>
      </c>
      <c r="H551" s="90" t="s">
        <v>115</v>
      </c>
      <c r="I551" s="93" t="s">
        <v>85</v>
      </c>
      <c r="J551" s="86" t="s">
        <v>908</v>
      </c>
      <c r="K551" s="119" t="s">
        <v>5172</v>
      </c>
      <c r="L551" s="117">
        <f>IF(O551="","",N551*O551*M551)</f>
        <v>0</v>
      </c>
      <c r="M551" s="108">
        <v>1</v>
      </c>
      <c r="N551" s="95">
        <v>1</v>
      </c>
      <c r="O551" s="109">
        <f>IF(Key!D$1="ON",P551,IF(SUM(Q551:DL551)&lt;1,"",SUM(Q551:DL551)/COUNTIF(Q551:DL551,"&gt;0")))</f>
        <v>0</v>
      </c>
      <c r="P551" s="109">
        <f>SUMIFS(Q551:DK551,Q$1:DK$1,Dashboard!$K$31)</f>
        <v>0</v>
      </c>
      <c r="U551" s="95">
        <v>33</v>
      </c>
      <c r="AA551" s="95">
        <v>25</v>
      </c>
      <c r="AH551" s="95">
        <v>75</v>
      </c>
    </row>
    <row r="552" spans="1:34" x14ac:dyDescent="0.3">
      <c r="A552" s="89" t="str">
        <f>CONCATENATE(D552,".",F552,"-",G552,".",H552,"")</f>
        <v>1.4-1.1</v>
      </c>
      <c r="B552" s="89" t="str">
        <f>IF(CONCATENATE(I552,Key!F$2)=CONCATENATE(INDEX(Dashboard!J:J,MATCH(I552,Dashboard!J:J,0),1),INDEX(Dashboard!J:K,MATCH(I552,Dashboard!J:J,0),2)),"ON",IF(Dashboard!K$32="ALL","ON","-"))</f>
        <v>-</v>
      </c>
      <c r="C552" s="88" t="s">
        <v>110</v>
      </c>
      <c r="D552" s="89">
        <f>IF(C552="ID",1,(IF(C552="PR",2,(IF(C552="DE",3,(IF(C552="RS",4,(IF(C552="RC",5,0)))))))))</f>
        <v>1</v>
      </c>
      <c r="E552" s="89" t="s">
        <v>140</v>
      </c>
      <c r="F552" s="89">
        <f>IF(E552="AM",1,(IF(E552="BE",2,(IF(E552="GV",3,(IF(E552="RA",4,(IF(E552="RM",5,(IF(E552="AC",1,(IF(E552="AT",2,(IF(E552="DS",3,(IF(E552="IP",4,(IF(E552="MA",5,(IF(E552="PT",6,(IF(E552="AE",1,(IF(E552="CM",2,(IF(E552="DP",3,(IF(E552="AN",1,(IF(E552="CO",2,(IF(E552="IM",3,(IF(E552="MI",4,(IF(E552="RP",5,(IF(E552="SC",6,0)))))))))))))))))))))))))))))))))))))))</f>
        <v>4</v>
      </c>
      <c r="G552" s="52">
        <v>1</v>
      </c>
      <c r="H552" s="90" t="s">
        <v>115</v>
      </c>
      <c r="I552" s="93" t="s">
        <v>85</v>
      </c>
      <c r="J552" s="87" t="s">
        <v>1068</v>
      </c>
      <c r="K552" s="119" t="s">
        <v>4974</v>
      </c>
      <c r="L552" s="117">
        <f>IF(O552="","",N552*O552*M552)</f>
        <v>0</v>
      </c>
      <c r="M552" s="108">
        <v>1</v>
      </c>
      <c r="N552" s="95">
        <v>1</v>
      </c>
      <c r="O552" s="109">
        <f>IF(Key!D$1="ON",P552,IF(SUM(Q552:DL552)&lt;1,"",SUM(Q552:DL552)/COUNTIF(Q552:DL552,"&gt;0")))</f>
        <v>0</v>
      </c>
      <c r="P552" s="109">
        <f>SUMIFS(Q552:DK552,Q$1:DK$1,Dashboard!$K$31)</f>
        <v>0</v>
      </c>
      <c r="U552" s="95">
        <v>33</v>
      </c>
      <c r="AA552" s="95">
        <v>25</v>
      </c>
      <c r="AH552" s="95">
        <v>75</v>
      </c>
    </row>
    <row r="553" spans="1:34" x14ac:dyDescent="0.3">
      <c r="A553" s="89" t="str">
        <f>CONCATENATE(D553,".",F553,"-",G553,".",H553,"")</f>
        <v>1.4-1.1</v>
      </c>
      <c r="B553" s="89" t="str">
        <f>IF(CONCATENATE(I553,Key!F$2)=CONCATENATE(INDEX(Dashboard!J:J,MATCH(I553,Dashboard!J:J,0),1),INDEX(Dashboard!J:K,MATCH(I553,Dashboard!J:J,0),2)),"ON",IF(Dashboard!K$32="ALL","ON","-"))</f>
        <v>-</v>
      </c>
      <c r="C553" s="88" t="s">
        <v>110</v>
      </c>
      <c r="D553" s="89">
        <f>IF(C553="ID",1,(IF(C553="PR",2,(IF(C553="DE",3,(IF(C553="RS",4,(IF(C553="RC",5,0)))))))))</f>
        <v>1</v>
      </c>
      <c r="E553" s="89" t="s">
        <v>140</v>
      </c>
      <c r="F553" s="89">
        <f>IF(E553="AM",1,(IF(E553="BE",2,(IF(E553="GV",3,(IF(E553="RA",4,(IF(E553="RM",5,(IF(E553="AC",1,(IF(E553="AT",2,(IF(E553="DS",3,(IF(E553="IP",4,(IF(E553="MA",5,(IF(E553="PT",6,(IF(E553="AE",1,(IF(E553="CM",2,(IF(E553="DP",3,(IF(E553="AN",1,(IF(E553="CO",2,(IF(E553="IM",3,(IF(E553="MI",4,(IF(E553="RP",5,(IF(E553="SC",6,0)))))))))))))))))))))))))))))))))))))))</f>
        <v>4</v>
      </c>
      <c r="G553" s="52">
        <v>1</v>
      </c>
      <c r="H553" s="90" t="s">
        <v>115</v>
      </c>
      <c r="I553" s="93" t="s">
        <v>85</v>
      </c>
      <c r="J553" s="87" t="s">
        <v>1076</v>
      </c>
      <c r="K553" s="119" t="s">
        <v>5089</v>
      </c>
      <c r="L553" s="117">
        <f>IF(O553="","",N553*O553*M553)</f>
        <v>0</v>
      </c>
      <c r="M553" s="108">
        <v>1</v>
      </c>
      <c r="N553" s="95">
        <v>1</v>
      </c>
      <c r="O553" s="109">
        <f>IF(Key!D$1="ON",P553,IF(SUM(Q553:DL553)&lt;1,"",SUM(Q553:DL553)/COUNTIF(Q553:DL553,"&gt;0")))</f>
        <v>0</v>
      </c>
      <c r="P553" s="109">
        <f>SUMIFS(Q553:DK553,Q$1:DK$1,Dashboard!$K$31)</f>
        <v>0</v>
      </c>
      <c r="U553" s="95">
        <v>33</v>
      </c>
      <c r="AA553" s="95">
        <v>25</v>
      </c>
      <c r="AH553" s="95">
        <v>75</v>
      </c>
    </row>
    <row r="554" spans="1:34" x14ac:dyDescent="0.3">
      <c r="A554" s="89" t="str">
        <f>CONCATENATE(D554,".",F554,"-",G554,".",H554,"")</f>
        <v>1.4-1.1</v>
      </c>
      <c r="B554" s="89" t="str">
        <f>IF(CONCATENATE(I554,Key!F$2)=CONCATENATE(INDEX(Dashboard!J:J,MATCH(I554,Dashboard!J:J,0),1),INDEX(Dashboard!J:K,MATCH(I554,Dashboard!J:J,0),2)),"ON",IF(Dashboard!K$32="ALL","ON","-"))</f>
        <v>-</v>
      </c>
      <c r="C554" s="88" t="s">
        <v>110</v>
      </c>
      <c r="D554" s="89">
        <f>IF(C554="ID",1,(IF(C554="PR",2,(IF(C554="DE",3,(IF(C554="RS",4,(IF(C554="RC",5,0)))))))))</f>
        <v>1</v>
      </c>
      <c r="E554" s="89" t="s">
        <v>140</v>
      </c>
      <c r="F554" s="89">
        <f>IF(E554="AM",1,(IF(E554="BE",2,(IF(E554="GV",3,(IF(E554="RA",4,(IF(E554="RM",5,(IF(E554="AC",1,(IF(E554="AT",2,(IF(E554="DS",3,(IF(E554="IP",4,(IF(E554="MA",5,(IF(E554="PT",6,(IF(E554="AE",1,(IF(E554="CM",2,(IF(E554="DP",3,(IF(E554="AN",1,(IF(E554="CO",2,(IF(E554="IM",3,(IF(E554="MI",4,(IF(E554="RP",5,(IF(E554="SC",6,0)))))))))))))))))))))))))))))))))))))))</f>
        <v>4</v>
      </c>
      <c r="G554" s="52">
        <v>1</v>
      </c>
      <c r="H554" s="90" t="s">
        <v>115</v>
      </c>
      <c r="I554" s="93" t="s">
        <v>85</v>
      </c>
      <c r="J554" s="87" t="s">
        <v>1085</v>
      </c>
      <c r="K554" s="119" t="s">
        <v>5108</v>
      </c>
      <c r="L554" s="117">
        <f>IF(O554="","",N554*O554*M554)</f>
        <v>0</v>
      </c>
      <c r="M554" s="108">
        <v>1</v>
      </c>
      <c r="N554" s="95">
        <v>1</v>
      </c>
      <c r="O554" s="109">
        <f>IF(Key!D$1="ON",P554,IF(SUM(Q554:DL554)&lt;1,"",SUM(Q554:DL554)/COUNTIF(Q554:DL554,"&gt;0")))</f>
        <v>0</v>
      </c>
      <c r="P554" s="109">
        <f>SUMIFS(Q554:DK554,Q$1:DK$1,Dashboard!$K$31)</f>
        <v>0</v>
      </c>
      <c r="U554" s="95">
        <v>33</v>
      </c>
      <c r="AA554" s="95">
        <v>25</v>
      </c>
      <c r="AH554" s="95">
        <v>75</v>
      </c>
    </row>
    <row r="555" spans="1:34" x14ac:dyDescent="0.3">
      <c r="A555" s="89" t="str">
        <f>CONCATENATE(D555,".",F555,"-",G555,".",H555,"")</f>
        <v>1.4-1.1</v>
      </c>
      <c r="B555" s="89" t="str">
        <f>IF(CONCATENATE(I555,Key!F$2)=CONCATENATE(INDEX(Dashboard!J:J,MATCH(I555,Dashboard!J:J,0),1),INDEX(Dashboard!J:K,MATCH(I555,Dashboard!J:J,0),2)),"ON",IF(Dashboard!K$32="ALL","ON","-"))</f>
        <v>-</v>
      </c>
      <c r="C555" s="88" t="s">
        <v>110</v>
      </c>
      <c r="D555" s="89">
        <f>IF(C555="ID",1,(IF(C555="PR",2,(IF(C555="DE",3,(IF(C555="RS",4,(IF(C555="RC",5,0)))))))))</f>
        <v>1</v>
      </c>
      <c r="E555" s="89" t="s">
        <v>140</v>
      </c>
      <c r="F555" s="89">
        <f>IF(E555="AM",1,(IF(E555="BE",2,(IF(E555="GV",3,(IF(E555="RA",4,(IF(E555="RM",5,(IF(E555="AC",1,(IF(E555="AT",2,(IF(E555="DS",3,(IF(E555="IP",4,(IF(E555="MA",5,(IF(E555="PT",6,(IF(E555="AE",1,(IF(E555="CM",2,(IF(E555="DP",3,(IF(E555="AN",1,(IF(E555="CO",2,(IF(E555="IM",3,(IF(E555="MI",4,(IF(E555="RP",5,(IF(E555="SC",6,0)))))))))))))))))))))))))))))))))))))))</f>
        <v>4</v>
      </c>
      <c r="G555" s="52">
        <v>1</v>
      </c>
      <c r="H555" s="90" t="s">
        <v>115</v>
      </c>
      <c r="I555" s="93" t="s">
        <v>85</v>
      </c>
      <c r="J555" s="86" t="s">
        <v>874</v>
      </c>
      <c r="K555" s="119" t="s">
        <v>5091</v>
      </c>
      <c r="L555" s="117">
        <f>IF(O555="","",N555*O555*M555)</f>
        <v>0</v>
      </c>
      <c r="M555" s="108">
        <v>1</v>
      </c>
      <c r="N555" s="95">
        <v>1</v>
      </c>
      <c r="O555" s="109">
        <f>IF(Key!D$1="ON",P555,IF(SUM(Q555:DL555)&lt;1,"",SUM(Q555:DL555)/COUNTIF(Q555:DL555,"&gt;0")))</f>
        <v>0</v>
      </c>
      <c r="P555" s="109">
        <f>SUMIFS(Q555:DK555,Q$1:DK$1,Dashboard!$K$31)</f>
        <v>0</v>
      </c>
      <c r="U555" s="95">
        <v>33</v>
      </c>
      <c r="AA555" s="95">
        <v>25</v>
      </c>
      <c r="AH555" s="95">
        <v>75</v>
      </c>
    </row>
    <row r="556" spans="1:34" x14ac:dyDescent="0.3">
      <c r="A556" s="89" t="str">
        <f>CONCATENATE(D556,".",F556,"-",G556,".",H556,"")</f>
        <v>1.4-1.1</v>
      </c>
      <c r="B556" s="89" t="str">
        <f>IF(CONCATENATE(I556,Key!F$2)=CONCATENATE(INDEX(Dashboard!J:J,MATCH(I556,Dashboard!J:J,0),1),INDEX(Dashboard!J:K,MATCH(I556,Dashboard!J:J,0),2)),"ON",IF(Dashboard!K$32="ALL","ON","-"))</f>
        <v>-</v>
      </c>
      <c r="C556" s="88" t="s">
        <v>110</v>
      </c>
      <c r="D556" s="89">
        <f>IF(C556="ID",1,(IF(C556="PR",2,(IF(C556="DE",3,(IF(C556="RS",4,(IF(C556="RC",5,0)))))))))</f>
        <v>1</v>
      </c>
      <c r="E556" s="89" t="s">
        <v>140</v>
      </c>
      <c r="F556" s="89">
        <f>IF(E556="AM",1,(IF(E556="BE",2,(IF(E556="GV",3,(IF(E556="RA",4,(IF(E556="RM",5,(IF(E556="AC",1,(IF(E556="AT",2,(IF(E556="DS",3,(IF(E556="IP",4,(IF(E556="MA",5,(IF(E556="PT",6,(IF(E556="AE",1,(IF(E556="CM",2,(IF(E556="DP",3,(IF(E556="AN",1,(IF(E556="CO",2,(IF(E556="IM",3,(IF(E556="MI",4,(IF(E556="RP",5,(IF(E556="SC",6,0)))))))))))))))))))))))))))))))))))))))</f>
        <v>4</v>
      </c>
      <c r="G556" s="52">
        <v>1</v>
      </c>
      <c r="H556" s="90" t="s">
        <v>115</v>
      </c>
      <c r="I556" s="93" t="s">
        <v>85</v>
      </c>
      <c r="J556" s="87" t="s">
        <v>1093</v>
      </c>
      <c r="K556" s="119" t="s">
        <v>5101</v>
      </c>
      <c r="L556" s="117">
        <f>IF(O556="","",N556*O556*M556)</f>
        <v>0</v>
      </c>
      <c r="M556" s="108">
        <v>1</v>
      </c>
      <c r="N556" s="95">
        <v>1</v>
      </c>
      <c r="O556" s="109">
        <f>IF(Key!D$1="ON",P556,IF(SUM(Q556:DL556)&lt;1,"",SUM(Q556:DL556)/COUNTIF(Q556:DL556,"&gt;0")))</f>
        <v>0</v>
      </c>
      <c r="P556" s="109">
        <f>SUMIFS(Q556:DK556,Q$1:DK$1,Dashboard!$K$31)</f>
        <v>0</v>
      </c>
      <c r="U556" s="95">
        <v>33</v>
      </c>
      <c r="AA556" s="95">
        <v>25</v>
      </c>
      <c r="AH556" s="95">
        <v>75</v>
      </c>
    </row>
    <row r="557" spans="1:34" x14ac:dyDescent="0.3">
      <c r="A557" s="89" t="str">
        <f>CONCATENATE(D557,".",F557,"-",G557,".",H557,"")</f>
        <v>1.4-1.1</v>
      </c>
      <c r="B557" s="89" t="str">
        <f>IF(CONCATENATE(I557,Key!F$2)=CONCATENATE(INDEX(Dashboard!J:J,MATCH(I557,Dashboard!J:J,0),1),INDEX(Dashboard!J:K,MATCH(I557,Dashboard!J:J,0),2)),"ON",IF(Dashboard!K$32="ALL","ON","-"))</f>
        <v>-</v>
      </c>
      <c r="C557" s="88" t="s">
        <v>110</v>
      </c>
      <c r="D557" s="89">
        <f>IF(C557="ID",1,(IF(C557="PR",2,(IF(C557="DE",3,(IF(C557="RS",4,(IF(C557="RC",5,0)))))))))</f>
        <v>1</v>
      </c>
      <c r="E557" s="89" t="s">
        <v>140</v>
      </c>
      <c r="F557" s="89">
        <f>IF(E557="AM",1,(IF(E557="BE",2,(IF(E557="GV",3,(IF(E557="RA",4,(IF(E557="RM",5,(IF(E557="AC",1,(IF(E557="AT",2,(IF(E557="DS",3,(IF(E557="IP",4,(IF(E557="MA",5,(IF(E557="PT",6,(IF(E557="AE",1,(IF(E557="CM",2,(IF(E557="DP",3,(IF(E557="AN",1,(IF(E557="CO",2,(IF(E557="IM",3,(IF(E557="MI",4,(IF(E557="RP",5,(IF(E557="SC",6,0)))))))))))))))))))))))))))))))))))))))</f>
        <v>4</v>
      </c>
      <c r="G557" s="52">
        <v>1</v>
      </c>
      <c r="H557" s="90" t="s">
        <v>115</v>
      </c>
      <c r="I557" s="93" t="s">
        <v>85</v>
      </c>
      <c r="J557" s="87" t="s">
        <v>1057</v>
      </c>
      <c r="K557" s="119" t="s">
        <v>4906</v>
      </c>
      <c r="L557" s="117">
        <f>IF(O557="","",N557*O557*M557)</f>
        <v>0</v>
      </c>
      <c r="M557" s="108">
        <v>1</v>
      </c>
      <c r="N557" s="95">
        <v>1</v>
      </c>
      <c r="O557" s="109">
        <f>IF(Key!D$1="ON",P557,IF(SUM(Q557:DL557)&lt;1,"",SUM(Q557:DL557)/COUNTIF(Q557:DL557,"&gt;0")))</f>
        <v>0</v>
      </c>
      <c r="P557" s="109">
        <f>SUMIFS(Q557:DK557,Q$1:DK$1,Dashboard!$K$31)</f>
        <v>0</v>
      </c>
      <c r="U557" s="95">
        <v>33</v>
      </c>
      <c r="AA557" s="95">
        <v>25</v>
      </c>
      <c r="AH557" s="95">
        <v>75</v>
      </c>
    </row>
    <row r="558" spans="1:34" x14ac:dyDescent="0.3">
      <c r="A558" s="89" t="str">
        <f>CONCATENATE(D558,".",F558,"-",G558,".",H558,"")</f>
        <v>1.4-1.1</v>
      </c>
      <c r="B558" s="89" t="str">
        <f>IF(CONCATENATE(I558,Key!F$2)=CONCATENATE(INDEX(Dashboard!J:J,MATCH(I558,Dashboard!J:J,0),1),INDEX(Dashboard!J:K,MATCH(I558,Dashboard!J:J,0),2)),"ON",IF(Dashboard!K$32="ALL","ON","-"))</f>
        <v>-</v>
      </c>
      <c r="C558" s="88" t="s">
        <v>110</v>
      </c>
      <c r="D558" s="89">
        <f>IF(C558="ID",1,(IF(C558="PR",2,(IF(C558="DE",3,(IF(C558="RS",4,(IF(C558="RC",5,0)))))))))</f>
        <v>1</v>
      </c>
      <c r="E558" s="89" t="s">
        <v>140</v>
      </c>
      <c r="F558" s="89">
        <f>IF(E558="AM",1,(IF(E558="BE",2,(IF(E558="GV",3,(IF(E558="RA",4,(IF(E558="RM",5,(IF(E558="AC",1,(IF(E558="AT",2,(IF(E558="DS",3,(IF(E558="IP",4,(IF(E558="MA",5,(IF(E558="PT",6,(IF(E558="AE",1,(IF(E558="CM",2,(IF(E558="DP",3,(IF(E558="AN",1,(IF(E558="CO",2,(IF(E558="IM",3,(IF(E558="MI",4,(IF(E558="RP",5,(IF(E558="SC",6,0)))))))))))))))))))))))))))))))))))))))</f>
        <v>4</v>
      </c>
      <c r="G558" s="52">
        <v>1</v>
      </c>
      <c r="H558" s="90" t="s">
        <v>115</v>
      </c>
      <c r="I558" s="93" t="s">
        <v>85</v>
      </c>
      <c r="J558" s="87" t="s">
        <v>1078</v>
      </c>
      <c r="K558" s="119" t="s">
        <v>5092</v>
      </c>
      <c r="L558" s="117">
        <f>IF(O558="","",N558*O558*M558)</f>
        <v>0</v>
      </c>
      <c r="M558" s="108">
        <v>1</v>
      </c>
      <c r="N558" s="95">
        <v>1</v>
      </c>
      <c r="O558" s="109">
        <f>IF(Key!D$1="ON",P558,IF(SUM(Q558:DL558)&lt;1,"",SUM(Q558:DL558)/COUNTIF(Q558:DL558,"&gt;0")))</f>
        <v>0</v>
      </c>
      <c r="P558" s="109">
        <f>SUMIFS(Q558:DK558,Q$1:DK$1,Dashboard!$K$31)</f>
        <v>0</v>
      </c>
      <c r="U558" s="95">
        <v>33</v>
      </c>
      <c r="AA558" s="95">
        <v>25</v>
      </c>
      <c r="AH558" s="95">
        <v>75</v>
      </c>
    </row>
    <row r="559" spans="1:34" x14ac:dyDescent="0.3">
      <c r="A559" s="89" t="str">
        <f>CONCATENATE(D559,".",F559,"-",G559,".",H559,"")</f>
        <v>1.4-1.1</v>
      </c>
      <c r="B559" s="89" t="str">
        <f>IF(CONCATENATE(I559,Key!F$2)=CONCATENATE(INDEX(Dashboard!J:J,MATCH(I559,Dashboard!J:J,0),1),INDEX(Dashboard!J:K,MATCH(I559,Dashboard!J:J,0),2)),"ON",IF(Dashboard!K$32="ALL","ON","-"))</f>
        <v>-</v>
      </c>
      <c r="C559" s="88" t="s">
        <v>110</v>
      </c>
      <c r="D559" s="89">
        <f>IF(C559="ID",1,(IF(C559="PR",2,(IF(C559="DE",3,(IF(C559="RS",4,(IF(C559="RC",5,0)))))))))</f>
        <v>1</v>
      </c>
      <c r="E559" s="89" t="s">
        <v>140</v>
      </c>
      <c r="F559" s="89">
        <f>IF(E559="AM",1,(IF(E559="BE",2,(IF(E559="GV",3,(IF(E559="RA",4,(IF(E559="RM",5,(IF(E559="AC",1,(IF(E559="AT",2,(IF(E559="DS",3,(IF(E559="IP",4,(IF(E559="MA",5,(IF(E559="PT",6,(IF(E559="AE",1,(IF(E559="CM",2,(IF(E559="DP",3,(IF(E559="AN",1,(IF(E559="CO",2,(IF(E559="IM",3,(IF(E559="MI",4,(IF(E559="RP",5,(IF(E559="SC",6,0)))))))))))))))))))))))))))))))))))))))</f>
        <v>4</v>
      </c>
      <c r="G559" s="52">
        <v>1</v>
      </c>
      <c r="H559" s="90" t="s">
        <v>115</v>
      </c>
      <c r="I559" s="93" t="s">
        <v>85</v>
      </c>
      <c r="J559" s="87" t="s">
        <v>1054</v>
      </c>
      <c r="K559" s="119" t="s">
        <v>4903</v>
      </c>
      <c r="L559" s="117">
        <f>IF(O559="","",N559*O559*M559)</f>
        <v>0</v>
      </c>
      <c r="M559" s="108">
        <v>1</v>
      </c>
      <c r="N559" s="95">
        <v>1</v>
      </c>
      <c r="O559" s="109">
        <f>IF(Key!D$1="ON",P559,IF(SUM(Q559:DL559)&lt;1,"",SUM(Q559:DL559)/COUNTIF(Q559:DL559,"&gt;0")))</f>
        <v>0</v>
      </c>
      <c r="P559" s="109">
        <f>SUMIFS(Q559:DK559,Q$1:DK$1,Dashboard!$K$31)</f>
        <v>0</v>
      </c>
      <c r="U559" s="95">
        <v>33</v>
      </c>
      <c r="AA559" s="95">
        <v>25</v>
      </c>
      <c r="AH559" s="95">
        <v>75</v>
      </c>
    </row>
    <row r="560" spans="1:34" x14ac:dyDescent="0.3">
      <c r="A560" s="89" t="str">
        <f>CONCATENATE(D560,".",F560,"-",G560,".",H560,"")</f>
        <v>1.4-1.1</v>
      </c>
      <c r="B560" s="89" t="str">
        <f>IF(CONCATENATE(I560,Key!F$2)=CONCATENATE(INDEX(Dashboard!J:J,MATCH(I560,Dashboard!J:J,0),1),INDEX(Dashboard!J:K,MATCH(I560,Dashboard!J:J,0),2)),"ON",IF(Dashboard!K$32="ALL","ON","-"))</f>
        <v>-</v>
      </c>
      <c r="C560" s="96" t="s">
        <v>110</v>
      </c>
      <c r="D560" s="89">
        <f>IF(C560="ID",1,(IF(C560="PR",2,(IF(C560="DE",3,(IF(C560="RS",4,(IF(C560="RC",5,0)))))))))</f>
        <v>1</v>
      </c>
      <c r="E560" s="89" t="s">
        <v>140</v>
      </c>
      <c r="F560" s="89">
        <f>IF(E560="AM",1,(IF(E560="BE",2,(IF(E560="GV",3,(IF(E560="RA",4,(IF(E560="RM",5,(IF(E560="AC",1,(IF(E560="AT",2,(IF(E560="DS",3,(IF(E560="IP",4,(IF(E560="MA",5,(IF(E560="PT",6,(IF(E560="AE",1,(IF(E560="CM",2,(IF(E560="DP",3,(IF(E560="AN",1,(IF(E560="CO",2,(IF(E560="IM",3,(IF(E560="MI",4,(IF(E560="RP",5,(IF(E560="SC",6,0)))))))))))))))))))))))))))))))))))))))</f>
        <v>4</v>
      </c>
      <c r="G560" s="98">
        <v>1</v>
      </c>
      <c r="H560" s="90" t="s">
        <v>115</v>
      </c>
      <c r="I560" s="93" t="s">
        <v>85</v>
      </c>
      <c r="J560" s="87" t="s">
        <v>1036</v>
      </c>
      <c r="K560" s="119" t="s">
        <v>1037</v>
      </c>
      <c r="L560" s="117">
        <f>IF(O560="","",N560*O560*M560)</f>
        <v>0</v>
      </c>
      <c r="M560" s="108">
        <v>1</v>
      </c>
      <c r="N560" s="95">
        <v>1</v>
      </c>
      <c r="O560" s="109">
        <f>IF(Key!D$1="ON",P560,IF(SUM(Q560:DL560)&lt;1,"",SUM(Q560:DL560)/COUNTIF(Q560:DL560,"&gt;0")))</f>
        <v>0</v>
      </c>
      <c r="P560" s="109">
        <f>SUMIFS(Q560:DK560,Q$1:DK$1,Dashboard!$K$31)</f>
        <v>0</v>
      </c>
      <c r="U560" s="95">
        <v>33</v>
      </c>
      <c r="AA560" s="95">
        <v>25</v>
      </c>
      <c r="AH560" s="95">
        <v>75</v>
      </c>
    </row>
    <row r="561" spans="1:34" x14ac:dyDescent="0.3">
      <c r="A561" s="89" t="str">
        <f>CONCATENATE(D561,".",F561,"-",G561,".",H561,"")</f>
        <v>1.4-1.1</v>
      </c>
      <c r="B561" s="89" t="str">
        <f>IF(CONCATENATE(I561,Key!F$2)=CONCATENATE(INDEX(Dashboard!J:J,MATCH(I561,Dashboard!J:J,0),1),INDEX(Dashboard!J:K,MATCH(I561,Dashboard!J:J,0),2)),"ON",IF(Dashboard!K$32="ALL","ON","-"))</f>
        <v>-</v>
      </c>
      <c r="C561" s="88" t="s">
        <v>110</v>
      </c>
      <c r="D561" s="89">
        <f>IF(C561="ID",1,(IF(C561="PR",2,(IF(C561="DE",3,(IF(C561="RS",4,(IF(C561="RC",5,0)))))))))</f>
        <v>1</v>
      </c>
      <c r="E561" s="89" t="s">
        <v>140</v>
      </c>
      <c r="F561" s="89">
        <f>IF(E561="AM",1,(IF(E561="BE",2,(IF(E561="GV",3,(IF(E561="RA",4,(IF(E561="RM",5,(IF(E561="AC",1,(IF(E561="AT",2,(IF(E561="DS",3,(IF(E561="IP",4,(IF(E561="MA",5,(IF(E561="PT",6,(IF(E561="AE",1,(IF(E561="CM",2,(IF(E561="DP",3,(IF(E561="AN",1,(IF(E561="CO",2,(IF(E561="IM",3,(IF(E561="MI",4,(IF(E561="RP",5,(IF(E561="SC",6,0)))))))))))))))))))))))))))))))))))))))</f>
        <v>4</v>
      </c>
      <c r="G561" s="52">
        <v>1</v>
      </c>
      <c r="H561" s="90" t="s">
        <v>115</v>
      </c>
      <c r="I561" s="93" t="s">
        <v>85</v>
      </c>
      <c r="J561" s="87" t="s">
        <v>1089</v>
      </c>
      <c r="K561" s="119" t="s">
        <v>5112</v>
      </c>
      <c r="L561" s="117">
        <f>IF(O561="","",N561*O561*M561)</f>
        <v>0</v>
      </c>
      <c r="M561" s="108">
        <v>1</v>
      </c>
      <c r="N561" s="95">
        <v>1</v>
      </c>
      <c r="O561" s="109">
        <f>IF(Key!D$1="ON",P561,IF(SUM(Q561:DL561)&lt;1,"",SUM(Q561:DL561)/COUNTIF(Q561:DL561,"&gt;0")))</f>
        <v>0</v>
      </c>
      <c r="P561" s="109">
        <f>SUMIFS(Q561:DK561,Q$1:DK$1,Dashboard!$K$31)</f>
        <v>0</v>
      </c>
      <c r="U561" s="95">
        <v>33</v>
      </c>
      <c r="AA561" s="95">
        <v>25</v>
      </c>
      <c r="AH561" s="95">
        <v>75</v>
      </c>
    </row>
    <row r="562" spans="1:34" x14ac:dyDescent="0.3">
      <c r="A562" s="89" t="str">
        <f>CONCATENATE(D562,".",F562,"-",G562,".",H562,"")</f>
        <v>1.4-1.1</v>
      </c>
      <c r="B562" s="89" t="str">
        <f>IF(CONCATENATE(I562,Key!F$2)=CONCATENATE(INDEX(Dashboard!J:J,MATCH(I562,Dashboard!J:J,0),1),INDEX(Dashboard!J:K,MATCH(I562,Dashboard!J:J,0),2)),"ON",IF(Dashboard!K$32="ALL","ON","-"))</f>
        <v>-</v>
      </c>
      <c r="C562" s="88" t="s">
        <v>110</v>
      </c>
      <c r="D562" s="89">
        <f>IF(C562="ID",1,(IF(C562="PR",2,(IF(C562="DE",3,(IF(C562="RS",4,(IF(C562="RC",5,0)))))))))</f>
        <v>1</v>
      </c>
      <c r="E562" s="89" t="s">
        <v>140</v>
      </c>
      <c r="F562" s="89">
        <f>IF(E562="AM",1,(IF(E562="BE",2,(IF(E562="GV",3,(IF(E562="RA",4,(IF(E562="RM",5,(IF(E562="AC",1,(IF(E562="AT",2,(IF(E562="DS",3,(IF(E562="IP",4,(IF(E562="MA",5,(IF(E562="PT",6,(IF(E562="AE",1,(IF(E562="CM",2,(IF(E562="DP",3,(IF(E562="AN",1,(IF(E562="CO",2,(IF(E562="IM",3,(IF(E562="MI",4,(IF(E562="RP",5,(IF(E562="SC",6,0)))))))))))))))))))))))))))))))))))))))</f>
        <v>4</v>
      </c>
      <c r="G562" s="52">
        <v>1</v>
      </c>
      <c r="H562" s="90" t="s">
        <v>115</v>
      </c>
      <c r="I562" s="93" t="s">
        <v>85</v>
      </c>
      <c r="J562" s="87" t="s">
        <v>1052</v>
      </c>
      <c r="K562" s="119" t="s">
        <v>4908</v>
      </c>
      <c r="L562" s="117">
        <f>IF(O562="","",N562*O562*M562)</f>
        <v>0</v>
      </c>
      <c r="M562" s="108">
        <v>1</v>
      </c>
      <c r="N562" s="95">
        <v>1</v>
      </c>
      <c r="O562" s="109">
        <f>IF(Key!D$1="ON",P562,IF(SUM(Q562:DL562)&lt;1,"",SUM(Q562:DL562)/COUNTIF(Q562:DL562,"&gt;0")))</f>
        <v>0</v>
      </c>
      <c r="P562" s="109">
        <f>SUMIFS(Q562:DK562,Q$1:DK$1,Dashboard!$K$31)</f>
        <v>0</v>
      </c>
      <c r="U562" s="95">
        <v>33</v>
      </c>
      <c r="AA562" s="95">
        <v>25</v>
      </c>
      <c r="AH562" s="95">
        <v>75</v>
      </c>
    </row>
    <row r="563" spans="1:34" x14ac:dyDescent="0.3">
      <c r="A563" s="89" t="str">
        <f>CONCATENATE(D563,".",F563,"-",G563,".",H563,"")</f>
        <v>1.4-1.1</v>
      </c>
      <c r="B563" s="89" t="str">
        <f>IF(CONCATENATE(I563,Key!F$2)=CONCATENATE(INDEX(Dashboard!J:J,MATCH(I563,Dashboard!J:J,0),1),INDEX(Dashboard!J:K,MATCH(I563,Dashboard!J:J,0),2)),"ON",IF(Dashboard!K$32="ALL","ON","-"))</f>
        <v>-</v>
      </c>
      <c r="C563" s="96" t="s">
        <v>110</v>
      </c>
      <c r="D563" s="89">
        <f>IF(C563="ID",1,(IF(C563="PR",2,(IF(C563="DE",3,(IF(C563="RS",4,(IF(C563="RC",5,0)))))))))</f>
        <v>1</v>
      </c>
      <c r="E563" s="89" t="s">
        <v>140</v>
      </c>
      <c r="F563" s="89">
        <f>IF(E563="AM",1,(IF(E563="BE",2,(IF(E563="GV",3,(IF(E563="RA",4,(IF(E563="RM",5,(IF(E563="AC",1,(IF(E563="AT",2,(IF(E563="DS",3,(IF(E563="IP",4,(IF(E563="MA",5,(IF(E563="PT",6,(IF(E563="AE",1,(IF(E563="CM",2,(IF(E563="DP",3,(IF(E563="AN",1,(IF(E563="CO",2,(IF(E563="IM",3,(IF(E563="MI",4,(IF(E563="RP",5,(IF(E563="SC",6,0)))))))))))))))))))))))))))))))))))))))</f>
        <v>4</v>
      </c>
      <c r="G563" s="98">
        <v>1</v>
      </c>
      <c r="H563" s="90" t="s">
        <v>115</v>
      </c>
      <c r="I563" s="93" t="s">
        <v>85</v>
      </c>
      <c r="J563" s="87" t="s">
        <v>1061</v>
      </c>
      <c r="K563" s="119" t="s">
        <v>1062</v>
      </c>
      <c r="L563" s="117">
        <f>IF(O563="","",N563*O563*M563)</f>
        <v>0</v>
      </c>
      <c r="M563" s="108">
        <v>1</v>
      </c>
      <c r="N563" s="95">
        <v>1</v>
      </c>
      <c r="O563" s="109">
        <f>IF(Key!D$1="ON",P563,IF(SUM(Q563:DL563)&lt;1,"",SUM(Q563:DL563)/COUNTIF(Q563:DL563,"&gt;0")))</f>
        <v>0</v>
      </c>
      <c r="P563" s="109">
        <f>SUMIFS(Q563:DK563,Q$1:DK$1,Dashboard!$K$31)</f>
        <v>0</v>
      </c>
      <c r="U563" s="95">
        <v>33</v>
      </c>
      <c r="AA563" s="95">
        <v>25</v>
      </c>
      <c r="AH563" s="95">
        <v>75</v>
      </c>
    </row>
    <row r="564" spans="1:34" x14ac:dyDescent="0.3">
      <c r="A564" s="89" t="str">
        <f>CONCATENATE(D564,".",F564,"-",G564,".",H564,"")</f>
        <v>1.4-1.1</v>
      </c>
      <c r="B564" s="89" t="str">
        <f>IF(CONCATENATE(I564,Key!F$2)=CONCATENATE(INDEX(Dashboard!J:J,MATCH(I564,Dashboard!J:J,0),1),INDEX(Dashboard!J:K,MATCH(I564,Dashboard!J:J,0),2)),"ON",IF(Dashboard!K$32="ALL","ON","-"))</f>
        <v>-</v>
      </c>
      <c r="C564" s="88" t="s">
        <v>110</v>
      </c>
      <c r="D564" s="89">
        <f>IF(C564="ID",1,(IF(C564="PR",2,(IF(C564="DE",3,(IF(C564="RS",4,(IF(C564="RC",5,0)))))))))</f>
        <v>1</v>
      </c>
      <c r="E564" s="89" t="s">
        <v>140</v>
      </c>
      <c r="F564" s="89">
        <f>IF(E564="AM",1,(IF(E564="BE",2,(IF(E564="GV",3,(IF(E564="RA",4,(IF(E564="RM",5,(IF(E564="AC",1,(IF(E564="AT",2,(IF(E564="DS",3,(IF(E564="IP",4,(IF(E564="MA",5,(IF(E564="PT",6,(IF(E564="AE",1,(IF(E564="CM",2,(IF(E564="DP",3,(IF(E564="AN",1,(IF(E564="CO",2,(IF(E564="IM",3,(IF(E564="MI",4,(IF(E564="RP",5,(IF(E564="SC",6,0)))))))))))))))))))))))))))))))))))))))</f>
        <v>4</v>
      </c>
      <c r="G564" s="52">
        <v>1</v>
      </c>
      <c r="H564" s="90" t="s">
        <v>115</v>
      </c>
      <c r="I564" s="93" t="s">
        <v>85</v>
      </c>
      <c r="J564" s="87" t="s">
        <v>1055</v>
      </c>
      <c r="K564" s="119" t="s">
        <v>4904</v>
      </c>
      <c r="L564" s="117">
        <f>IF(O564="","",N564*O564*M564)</f>
        <v>0</v>
      </c>
      <c r="M564" s="108">
        <v>1</v>
      </c>
      <c r="N564" s="95">
        <v>1</v>
      </c>
      <c r="O564" s="109">
        <f>IF(Key!D$1="ON",P564,IF(SUM(Q564:DL564)&lt;1,"",SUM(Q564:DL564)/COUNTIF(Q564:DL564,"&gt;0")))</f>
        <v>0</v>
      </c>
      <c r="P564" s="109">
        <f>SUMIFS(Q564:DK564,Q$1:DK$1,Dashboard!$K$31)</f>
        <v>0</v>
      </c>
      <c r="U564" s="95">
        <v>33</v>
      </c>
      <c r="AA564" s="95">
        <v>25</v>
      </c>
      <c r="AH564" s="95">
        <v>75</v>
      </c>
    </row>
    <row r="565" spans="1:34" x14ac:dyDescent="0.3">
      <c r="A565" s="89" t="str">
        <f>CONCATENATE(D565,".",F565,"-",G565,".",H565,"")</f>
        <v>1.4-1.1</v>
      </c>
      <c r="B565" s="89" t="str">
        <f>IF(CONCATENATE(I565,Key!F$2)=CONCATENATE(INDEX(Dashboard!J:J,MATCH(I565,Dashboard!J:J,0),1),INDEX(Dashboard!J:K,MATCH(I565,Dashboard!J:J,0),2)),"ON",IF(Dashboard!K$32="ALL","ON","-"))</f>
        <v>-</v>
      </c>
      <c r="C565" s="96" t="s">
        <v>110</v>
      </c>
      <c r="D565" s="89">
        <f>IF(C565="ID",1,(IF(C565="PR",2,(IF(C565="DE",3,(IF(C565="RS",4,(IF(C565="RC",5,0)))))))))</f>
        <v>1</v>
      </c>
      <c r="E565" s="89" t="s">
        <v>140</v>
      </c>
      <c r="F565" s="89">
        <f>IF(E565="AM",1,(IF(E565="BE",2,(IF(E565="GV",3,(IF(E565="RA",4,(IF(E565="RM",5,(IF(E565="AC",1,(IF(E565="AT",2,(IF(E565="DS",3,(IF(E565="IP",4,(IF(E565="MA",5,(IF(E565="PT",6,(IF(E565="AE",1,(IF(E565="CM",2,(IF(E565="DP",3,(IF(E565="AN",1,(IF(E565="CO",2,(IF(E565="IM",3,(IF(E565="MI",4,(IF(E565="RP",5,(IF(E565="SC",6,0)))))))))))))))))))))))))))))))))))))))</f>
        <v>4</v>
      </c>
      <c r="G565" s="98">
        <v>1</v>
      </c>
      <c r="H565" s="90" t="s">
        <v>115</v>
      </c>
      <c r="I565" s="93" t="s">
        <v>85</v>
      </c>
      <c r="J565" s="87" t="s">
        <v>1073</v>
      </c>
      <c r="K565" s="119" t="s">
        <v>1074</v>
      </c>
      <c r="L565" s="117">
        <f>IF(O565="","",N565*O565*M565)</f>
        <v>0</v>
      </c>
      <c r="M565" s="108">
        <v>1</v>
      </c>
      <c r="N565" s="95">
        <v>1</v>
      </c>
      <c r="O565" s="109">
        <f>IF(Key!D$1="ON",P565,IF(SUM(Q565:DL565)&lt;1,"",SUM(Q565:DL565)/COUNTIF(Q565:DL565,"&gt;0")))</f>
        <v>0</v>
      </c>
      <c r="P565" s="109">
        <f>SUMIFS(Q565:DK565,Q$1:DK$1,Dashboard!$K$31)</f>
        <v>0</v>
      </c>
      <c r="U565" s="95">
        <v>33</v>
      </c>
      <c r="AA565" s="95">
        <v>25</v>
      </c>
      <c r="AH565" s="95">
        <v>75</v>
      </c>
    </row>
    <row r="566" spans="1:34" x14ac:dyDescent="0.3">
      <c r="A566" s="89" t="str">
        <f>CONCATENATE(D566,".",F566,"-",G566,".",H566,"")</f>
        <v>1.4-1.1</v>
      </c>
      <c r="B566" s="89" t="str">
        <f>IF(CONCATENATE(I566,Key!F$2)=CONCATENATE(INDEX(Dashboard!J:J,MATCH(I566,Dashboard!J:J,0),1),INDEX(Dashboard!J:K,MATCH(I566,Dashboard!J:J,0),2)),"ON",IF(Dashboard!K$32="ALL","ON","-"))</f>
        <v>-</v>
      </c>
      <c r="C566" s="88" t="s">
        <v>110</v>
      </c>
      <c r="D566" s="89">
        <f>IF(C566="ID",1,(IF(C566="PR",2,(IF(C566="DE",3,(IF(C566="RS",4,(IF(C566="RC",5,0)))))))))</f>
        <v>1</v>
      </c>
      <c r="E566" s="89" t="s">
        <v>140</v>
      </c>
      <c r="F566" s="89">
        <f>IF(E566="AM",1,(IF(E566="BE",2,(IF(E566="GV",3,(IF(E566="RA",4,(IF(E566="RM",5,(IF(E566="AC",1,(IF(E566="AT",2,(IF(E566="DS",3,(IF(E566="IP",4,(IF(E566="MA",5,(IF(E566="PT",6,(IF(E566="AE",1,(IF(E566="CM",2,(IF(E566="DP",3,(IF(E566="AN",1,(IF(E566="CO",2,(IF(E566="IM",3,(IF(E566="MI",4,(IF(E566="RP",5,(IF(E566="SC",6,0)))))))))))))))))))))))))))))))))))))))</f>
        <v>4</v>
      </c>
      <c r="G566" s="52">
        <v>1</v>
      </c>
      <c r="H566" s="90" t="s">
        <v>115</v>
      </c>
      <c r="I566" s="93" t="s">
        <v>85</v>
      </c>
      <c r="J566" s="87" t="s">
        <v>1094</v>
      </c>
      <c r="K566" s="119" t="s">
        <v>5102</v>
      </c>
      <c r="L566" s="117">
        <f>IF(O566="","",N566*O566*M566)</f>
        <v>0</v>
      </c>
      <c r="M566" s="108">
        <v>1</v>
      </c>
      <c r="N566" s="95">
        <v>1</v>
      </c>
      <c r="O566" s="109">
        <f>IF(Key!D$1="ON",P566,IF(SUM(Q566:DL566)&lt;1,"",SUM(Q566:DL566)/COUNTIF(Q566:DL566,"&gt;0")))</f>
        <v>0</v>
      </c>
      <c r="P566" s="109">
        <f>SUMIFS(Q566:DK566,Q$1:DK$1,Dashboard!$K$31)</f>
        <v>0</v>
      </c>
      <c r="U566" s="95">
        <v>33</v>
      </c>
      <c r="AA566" s="95">
        <v>25</v>
      </c>
      <c r="AH566" s="95">
        <v>75</v>
      </c>
    </row>
    <row r="567" spans="1:34" x14ac:dyDescent="0.3">
      <c r="A567" s="89" t="str">
        <f>CONCATENATE(D567,".",F567,"-",G567,".",H567,"")</f>
        <v>1.4-1.1</v>
      </c>
      <c r="B567" s="89" t="str">
        <f>IF(CONCATENATE(I567,Key!F$2)=CONCATENATE(INDEX(Dashboard!J:J,MATCH(I567,Dashboard!J:J,0),1),INDEX(Dashboard!J:K,MATCH(I567,Dashboard!J:J,0),2)),"ON",IF(Dashboard!K$32="ALL","ON","-"))</f>
        <v>-</v>
      </c>
      <c r="C567" s="88" t="s">
        <v>110</v>
      </c>
      <c r="D567" s="89">
        <f>IF(C567="ID",1,(IF(C567="PR",2,(IF(C567="DE",3,(IF(C567="RS",4,(IF(C567="RC",5,0)))))))))</f>
        <v>1</v>
      </c>
      <c r="E567" s="89" t="s">
        <v>140</v>
      </c>
      <c r="F567" s="89">
        <f>IF(E567="AM",1,(IF(E567="BE",2,(IF(E567="GV",3,(IF(E567="RA",4,(IF(E567="RM",5,(IF(E567="AC",1,(IF(E567="AT",2,(IF(E567="DS",3,(IF(E567="IP",4,(IF(E567="MA",5,(IF(E567="PT",6,(IF(E567="AE",1,(IF(E567="CM",2,(IF(E567="DP",3,(IF(E567="AN",1,(IF(E567="CO",2,(IF(E567="IM",3,(IF(E567="MI",4,(IF(E567="RP",5,(IF(E567="SC",6,0)))))))))))))))))))))))))))))))))))))))</f>
        <v>4</v>
      </c>
      <c r="G567" s="52">
        <v>1</v>
      </c>
      <c r="H567" s="90" t="s">
        <v>115</v>
      </c>
      <c r="I567" s="93" t="s">
        <v>85</v>
      </c>
      <c r="J567" s="87" t="s">
        <v>1041</v>
      </c>
      <c r="K567" s="119" t="s">
        <v>4659</v>
      </c>
      <c r="L567" s="117">
        <f>IF(O567="","",N567*O567*M567)</f>
        <v>0</v>
      </c>
      <c r="M567" s="108">
        <v>1</v>
      </c>
      <c r="N567" s="95">
        <v>1</v>
      </c>
      <c r="O567" s="109">
        <f>IF(Key!D$1="ON",P567,IF(SUM(Q567:DL567)&lt;1,"",SUM(Q567:DL567)/COUNTIF(Q567:DL567,"&gt;0")))</f>
        <v>0</v>
      </c>
      <c r="P567" s="109">
        <f>SUMIFS(Q567:DK567,Q$1:DK$1,Dashboard!$K$31)</f>
        <v>0</v>
      </c>
      <c r="U567" s="95">
        <v>33</v>
      </c>
      <c r="AA567" s="95">
        <v>25</v>
      </c>
      <c r="AH567" s="95">
        <v>75</v>
      </c>
    </row>
    <row r="568" spans="1:34" x14ac:dyDescent="0.3">
      <c r="A568" s="89" t="str">
        <f>CONCATENATE(D568,".",F568,"-",G568,".",H568,"")</f>
        <v>1.4-1.1</v>
      </c>
      <c r="B568" s="89" t="str">
        <f>IF(CONCATENATE(I568,Key!F$2)=CONCATENATE(INDEX(Dashboard!J:J,MATCH(I568,Dashboard!J:J,0),1),INDEX(Dashboard!J:K,MATCH(I568,Dashboard!J:J,0),2)),"ON",IF(Dashboard!K$32="ALL","ON","-"))</f>
        <v>-</v>
      </c>
      <c r="C568" s="88" t="s">
        <v>110</v>
      </c>
      <c r="D568" s="89">
        <f>IF(C568="ID",1,(IF(C568="PR",2,(IF(C568="DE",3,(IF(C568="RS",4,(IF(C568="RC",5,0)))))))))</f>
        <v>1</v>
      </c>
      <c r="E568" s="89" t="s">
        <v>140</v>
      </c>
      <c r="F568" s="89">
        <f>IF(E568="AM",1,(IF(E568="BE",2,(IF(E568="GV",3,(IF(E568="RA",4,(IF(E568="RM",5,(IF(E568="AC",1,(IF(E568="AT",2,(IF(E568="DS",3,(IF(E568="IP",4,(IF(E568="MA",5,(IF(E568="PT",6,(IF(E568="AE",1,(IF(E568="CM",2,(IF(E568="DP",3,(IF(E568="AN",1,(IF(E568="CO",2,(IF(E568="IM",3,(IF(E568="MI",4,(IF(E568="RP",5,(IF(E568="SC",6,0)))))))))))))))))))))))))))))))))))))))</f>
        <v>4</v>
      </c>
      <c r="G568" s="52">
        <v>1</v>
      </c>
      <c r="H568" s="90" t="s">
        <v>115</v>
      </c>
      <c r="I568" s="93" t="s">
        <v>85</v>
      </c>
      <c r="J568" s="87" t="s">
        <v>1038</v>
      </c>
      <c r="K568" s="119" t="s">
        <v>4648</v>
      </c>
      <c r="L568" s="117">
        <f>IF(O568="","",N568*O568*M568)</f>
        <v>0</v>
      </c>
      <c r="M568" s="108">
        <v>1</v>
      </c>
      <c r="N568" s="95">
        <v>1</v>
      </c>
      <c r="O568" s="109">
        <f>IF(Key!D$1="ON",P568,IF(SUM(Q568:DL568)&lt;1,"",SUM(Q568:DL568)/COUNTIF(Q568:DL568,"&gt;0")))</f>
        <v>0</v>
      </c>
      <c r="P568" s="109">
        <f>SUMIFS(Q568:DK568,Q$1:DK$1,Dashboard!$K$31)</f>
        <v>0</v>
      </c>
      <c r="U568" s="95">
        <v>33</v>
      </c>
      <c r="AA568" s="95">
        <v>25</v>
      </c>
      <c r="AH568" s="95">
        <v>75</v>
      </c>
    </row>
    <row r="569" spans="1:34" ht="15.6" x14ac:dyDescent="0.3">
      <c r="A569" s="89" t="str">
        <f>CONCATENATE(D569,".",F569,"-",G569,".",H569,"")</f>
        <v>1.4-1.1</v>
      </c>
      <c r="B569" s="89" t="str">
        <f>IF(CONCATENATE(I569,Key!F$2)=CONCATENATE(INDEX(Dashboard!J:J,MATCH(I569,Dashboard!J:J,0),1),INDEX(Dashboard!J:K,MATCH(I569,Dashboard!J:J,0),2)),"ON",IF(Dashboard!K$32="ALL","ON","-"))</f>
        <v>-</v>
      </c>
      <c r="C569" s="88" t="s">
        <v>110</v>
      </c>
      <c r="D569" s="89">
        <f>IF(C569="ID",1,(IF(C569="PR",2,(IF(C569="DE",3,(IF(C569="RS",4,(IF(C569="RC",5,0)))))))))</f>
        <v>1</v>
      </c>
      <c r="E569" s="89" t="s">
        <v>140</v>
      </c>
      <c r="F569" s="89">
        <f>IF(E569="AM",1,(IF(E569="BE",2,(IF(E569="GV",3,(IF(E569="RA",4,(IF(E569="RM",5,(IF(E569="AC",1,(IF(E569="AT",2,(IF(E569="DS",3,(IF(E569="IP",4,(IF(E569="MA",5,(IF(E569="PT",6,(IF(E569="AE",1,(IF(E569="CM",2,(IF(E569="DP",3,(IF(E569="AN",1,(IF(E569="CO",2,(IF(E569="IM",3,(IF(E569="MI",4,(IF(E569="RP",5,(IF(E569="SC",6,0)))))))))))))))))))))))))))))))))))))))</f>
        <v>4</v>
      </c>
      <c r="G569" s="52">
        <v>1</v>
      </c>
      <c r="H569" s="90" t="s">
        <v>115</v>
      </c>
      <c r="I569" s="93" t="s">
        <v>85</v>
      </c>
      <c r="J569" s="87" t="s">
        <v>1045</v>
      </c>
      <c r="K569" s="119" t="s">
        <v>4664</v>
      </c>
      <c r="L569" s="117">
        <f>IF(O569="","",N569*O569*M569)</f>
        <v>0</v>
      </c>
      <c r="M569" s="108">
        <v>1</v>
      </c>
      <c r="N569" s="95">
        <v>1</v>
      </c>
      <c r="O569" s="109">
        <f>IF(Key!D$1="ON",P569,IF(SUM(Q569:DL569)&lt;1,"",SUM(Q569:DL569)/COUNTIF(Q569:DL569,"&gt;0")))</f>
        <v>0</v>
      </c>
      <c r="P569" s="109">
        <f>SUMIFS(Q569:DK569,Q$1:DK$1,Dashboard!$K$31)</f>
        <v>0</v>
      </c>
      <c r="U569" s="95">
        <v>33</v>
      </c>
      <c r="AA569" s="95">
        <v>25</v>
      </c>
      <c r="AH569" s="95">
        <v>75</v>
      </c>
    </row>
    <row r="570" spans="1:34" x14ac:dyDescent="0.3">
      <c r="A570" s="89" t="str">
        <f>CONCATENATE(D570,".",F570,"-",G570,".",H570,"")</f>
        <v>1.4-1.1</v>
      </c>
      <c r="B570" s="89" t="str">
        <f>IF(CONCATENATE(I570,Key!F$2)=CONCATENATE(INDEX(Dashboard!J:J,MATCH(I570,Dashboard!J:J,0),1),INDEX(Dashboard!J:K,MATCH(I570,Dashboard!J:J,0),2)),"ON",IF(Dashboard!K$32="ALL","ON","-"))</f>
        <v>-</v>
      </c>
      <c r="C570" s="88" t="s">
        <v>110</v>
      </c>
      <c r="D570" s="89">
        <f>IF(C570="ID",1,(IF(C570="PR",2,(IF(C570="DE",3,(IF(C570="RS",4,(IF(C570="RC",5,0)))))))))</f>
        <v>1</v>
      </c>
      <c r="E570" s="89" t="s">
        <v>140</v>
      </c>
      <c r="F570" s="89">
        <f>IF(E570="AM",1,(IF(E570="BE",2,(IF(E570="GV",3,(IF(E570="RA",4,(IF(E570="RM",5,(IF(E570="AC",1,(IF(E570="AT",2,(IF(E570="DS",3,(IF(E570="IP",4,(IF(E570="MA",5,(IF(E570="PT",6,(IF(E570="AE",1,(IF(E570="CM",2,(IF(E570="DP",3,(IF(E570="AN",1,(IF(E570="CO",2,(IF(E570="IM",3,(IF(E570="MI",4,(IF(E570="RP",5,(IF(E570="SC",6,0)))))))))))))))))))))))))))))))))))))))</f>
        <v>4</v>
      </c>
      <c r="G570" s="52">
        <v>1</v>
      </c>
      <c r="H570" s="90" t="s">
        <v>115</v>
      </c>
      <c r="I570" s="93" t="s">
        <v>85</v>
      </c>
      <c r="J570" s="87" t="s">
        <v>1065</v>
      </c>
      <c r="K570" s="119" t="s">
        <v>4972</v>
      </c>
      <c r="L570" s="117">
        <f>IF(O570="","",N570*O570*M570)</f>
        <v>0</v>
      </c>
      <c r="M570" s="108">
        <v>1</v>
      </c>
      <c r="N570" s="95">
        <v>1</v>
      </c>
      <c r="O570" s="109">
        <f>IF(Key!D$1="ON",P570,IF(SUM(Q570:DL570)&lt;1,"",SUM(Q570:DL570)/COUNTIF(Q570:DL570,"&gt;0")))</f>
        <v>0</v>
      </c>
      <c r="P570" s="109">
        <f>SUMIFS(Q570:DK570,Q$1:DK$1,Dashboard!$K$31)</f>
        <v>0</v>
      </c>
      <c r="U570" s="95">
        <v>33</v>
      </c>
      <c r="AA570" s="95">
        <v>25</v>
      </c>
      <c r="AH570" s="95">
        <v>75</v>
      </c>
    </row>
    <row r="571" spans="1:34" x14ac:dyDescent="0.3">
      <c r="A571" s="89" t="str">
        <f>CONCATENATE(D571,".",F571,"-",G571,".",H571,"")</f>
        <v>1.4-1.1</v>
      </c>
      <c r="B571" s="89" t="str">
        <f>IF(CONCATENATE(I571,Key!F$2)=CONCATENATE(INDEX(Dashboard!J:J,MATCH(I571,Dashboard!J:J,0),1),INDEX(Dashboard!J:K,MATCH(I571,Dashboard!J:J,0),2)),"ON",IF(Dashboard!K$32="ALL","ON","-"))</f>
        <v>-</v>
      </c>
      <c r="C571" s="88" t="s">
        <v>110</v>
      </c>
      <c r="D571" s="89">
        <f>IF(C571="ID",1,(IF(C571="PR",2,(IF(C571="DE",3,(IF(C571="RS",4,(IF(C571="RC",5,0)))))))))</f>
        <v>1</v>
      </c>
      <c r="E571" s="89" t="s">
        <v>140</v>
      </c>
      <c r="F571" s="89">
        <f>IF(E571="AM",1,(IF(E571="BE",2,(IF(E571="GV",3,(IF(E571="RA",4,(IF(E571="RM",5,(IF(E571="AC",1,(IF(E571="AT",2,(IF(E571="DS",3,(IF(E571="IP",4,(IF(E571="MA",5,(IF(E571="PT",6,(IF(E571="AE",1,(IF(E571="CM",2,(IF(E571="DP",3,(IF(E571="AN",1,(IF(E571="CO",2,(IF(E571="IM",3,(IF(E571="MI",4,(IF(E571="RP",5,(IF(E571="SC",6,0)))))))))))))))))))))))))))))))))))))))</f>
        <v>4</v>
      </c>
      <c r="G571" s="52">
        <v>1</v>
      </c>
      <c r="H571" s="90" t="s">
        <v>115</v>
      </c>
      <c r="I571" s="93" t="s">
        <v>85</v>
      </c>
      <c r="J571" s="87" t="s">
        <v>1090</v>
      </c>
      <c r="K571" s="119" t="s">
        <v>5113</v>
      </c>
      <c r="L571" s="117">
        <f>IF(O571="","",N571*O571*M571)</f>
        <v>0</v>
      </c>
      <c r="M571" s="108">
        <v>0.9</v>
      </c>
      <c r="N571" s="95">
        <v>1</v>
      </c>
      <c r="O571" s="109">
        <f>IF(Key!D$1="ON",P571,IF(SUM(Q571:DL571)&lt;1,"",SUM(Q571:DL571)/COUNTIF(Q571:DL571,"&gt;0")))</f>
        <v>0</v>
      </c>
      <c r="P571" s="109">
        <f>SUMIFS(Q571:DK571,Q$1:DK$1,Dashboard!$K$31)</f>
        <v>0</v>
      </c>
      <c r="S571" s="95">
        <v>1</v>
      </c>
      <c r="T571" s="95">
        <v>80</v>
      </c>
      <c r="U571" s="95">
        <v>33</v>
      </c>
      <c r="AA571" s="95">
        <v>25</v>
      </c>
      <c r="AH571" s="95">
        <v>75</v>
      </c>
    </row>
    <row r="572" spans="1:34" x14ac:dyDescent="0.3">
      <c r="A572" s="89" t="str">
        <f>CONCATENATE(D572,".",F572,"-",G572,".",H572,"")</f>
        <v>1.4-1.1</v>
      </c>
      <c r="B572" s="89" t="str">
        <f>IF(CONCATENATE(I572,Key!F$2)=CONCATENATE(INDEX(Dashboard!J:J,MATCH(I572,Dashboard!J:J,0),1),INDEX(Dashboard!J:K,MATCH(I572,Dashboard!J:J,0),2)),"ON",IF(Dashboard!K$32="ALL","ON","-"))</f>
        <v>-</v>
      </c>
      <c r="C572" s="88" t="s">
        <v>110</v>
      </c>
      <c r="D572" s="89">
        <f>IF(C572="ID",1,(IF(C572="PR",2,(IF(C572="DE",3,(IF(C572="RS",4,(IF(C572="RC",5,0)))))))))</f>
        <v>1</v>
      </c>
      <c r="E572" s="89" t="s">
        <v>140</v>
      </c>
      <c r="F572" s="89">
        <f>IF(E572="AM",1,(IF(E572="BE",2,(IF(E572="GV",3,(IF(E572="RA",4,(IF(E572="RM",5,(IF(E572="AC",1,(IF(E572="AT",2,(IF(E572="DS",3,(IF(E572="IP",4,(IF(E572="MA",5,(IF(E572="PT",6,(IF(E572="AE",1,(IF(E572="CM",2,(IF(E572="DP",3,(IF(E572="AN",1,(IF(E572="CO",2,(IF(E572="IM",3,(IF(E572="MI",4,(IF(E572="RP",5,(IF(E572="SC",6,0)))))))))))))))))))))))))))))))))))))))</f>
        <v>4</v>
      </c>
      <c r="G572" s="52">
        <v>1</v>
      </c>
      <c r="H572" s="90" t="s">
        <v>115</v>
      </c>
      <c r="I572" s="93" t="s">
        <v>85</v>
      </c>
      <c r="J572" s="87" t="s">
        <v>1040</v>
      </c>
      <c r="K572" s="119" t="s">
        <v>4650</v>
      </c>
      <c r="L572" s="117">
        <f>IF(O572="","",N572*O572*M572)</f>
        <v>0</v>
      </c>
      <c r="M572" s="108">
        <v>1</v>
      </c>
      <c r="N572" s="95">
        <v>1</v>
      </c>
      <c r="O572" s="109">
        <f>IF(Key!D$1="ON",P572,IF(SUM(Q572:DL572)&lt;1,"",SUM(Q572:DL572)/COUNTIF(Q572:DL572,"&gt;0")))</f>
        <v>0</v>
      </c>
      <c r="P572" s="109">
        <f>SUMIFS(Q572:DK572,Q$1:DK$1,Dashboard!$K$31)</f>
        <v>0</v>
      </c>
      <c r="U572" s="95">
        <v>33</v>
      </c>
      <c r="AA572" s="95">
        <v>25</v>
      </c>
      <c r="AH572" s="95">
        <v>75</v>
      </c>
    </row>
    <row r="573" spans="1:34" x14ac:dyDescent="0.3">
      <c r="A573" s="89" t="str">
        <f>CONCATENATE(D573,".",F573,"-",G573,".",H573,"")</f>
        <v>1.4-1.1</v>
      </c>
      <c r="B573" s="89" t="str">
        <f>IF(CONCATENATE(I573,Key!F$2)=CONCATENATE(INDEX(Dashboard!J:J,MATCH(I573,Dashboard!J:J,0),1),INDEX(Dashboard!J:K,MATCH(I573,Dashboard!J:J,0),2)),"ON",IF(Dashboard!K$32="ALL","ON","-"))</f>
        <v>-</v>
      </c>
      <c r="C573" s="88" t="s">
        <v>110</v>
      </c>
      <c r="D573" s="89">
        <f>IF(C573="ID",1,(IF(C573="PR",2,(IF(C573="DE",3,(IF(C573="RS",4,(IF(C573="RC",5,0)))))))))</f>
        <v>1</v>
      </c>
      <c r="E573" s="89" t="s">
        <v>140</v>
      </c>
      <c r="F573" s="89">
        <f>IF(E573="AM",1,(IF(E573="BE",2,(IF(E573="GV",3,(IF(E573="RA",4,(IF(E573="RM",5,(IF(E573="AC",1,(IF(E573="AT",2,(IF(E573="DS",3,(IF(E573="IP",4,(IF(E573="MA",5,(IF(E573="PT",6,(IF(E573="AE",1,(IF(E573="CM",2,(IF(E573="DP",3,(IF(E573="AN",1,(IF(E573="CO",2,(IF(E573="IM",3,(IF(E573="MI",4,(IF(E573="RP",5,(IF(E573="SC",6,0)))))))))))))))))))))))))))))))))))))))</f>
        <v>4</v>
      </c>
      <c r="G573" s="52">
        <v>1</v>
      </c>
      <c r="H573" s="90" t="s">
        <v>115</v>
      </c>
      <c r="I573" s="93" t="s">
        <v>85</v>
      </c>
      <c r="J573" s="87" t="s">
        <v>1066</v>
      </c>
      <c r="K573" s="119" t="s">
        <v>4973</v>
      </c>
      <c r="L573" s="117">
        <f>IF(O573="","",N573*O573*M573)</f>
        <v>0</v>
      </c>
      <c r="M573" s="108">
        <v>1</v>
      </c>
      <c r="N573" s="95">
        <v>1</v>
      </c>
      <c r="O573" s="109">
        <f>IF(Key!D$1="ON",P573,IF(SUM(Q573:DL573)&lt;1,"",SUM(Q573:DL573)/COUNTIF(Q573:DL573,"&gt;0")))</f>
        <v>0</v>
      </c>
      <c r="P573" s="109">
        <f>SUMIFS(Q573:DK573,Q$1:DK$1,Dashboard!$K$31)</f>
        <v>0</v>
      </c>
      <c r="U573" s="95">
        <v>33</v>
      </c>
      <c r="AA573" s="95">
        <v>25</v>
      </c>
      <c r="AH573" s="95">
        <v>75</v>
      </c>
    </row>
    <row r="574" spans="1:34" ht="15.6" x14ac:dyDescent="0.3">
      <c r="A574" s="89" t="str">
        <f>CONCATENATE(D574,".",F574,"-",G574,".",H574,"")</f>
        <v>1.4-1.1</v>
      </c>
      <c r="B574" s="89" t="str">
        <f>IF(CONCATENATE(I574,Key!F$2)=CONCATENATE(INDEX(Dashboard!J:J,MATCH(I574,Dashboard!J:J,0),1),INDEX(Dashboard!J:K,MATCH(I574,Dashboard!J:J,0),2)),"ON",IF(Dashboard!K$32="ALL","ON","-"))</f>
        <v>-</v>
      </c>
      <c r="C574" s="88" t="s">
        <v>110</v>
      </c>
      <c r="D574" s="89">
        <f>IF(C574="ID",1,(IF(C574="PR",2,(IF(C574="DE",3,(IF(C574="RS",4,(IF(C574="RC",5,0)))))))))</f>
        <v>1</v>
      </c>
      <c r="E574" s="89" t="s">
        <v>140</v>
      </c>
      <c r="F574" s="89">
        <f>IF(E574="AM",1,(IF(E574="BE",2,(IF(E574="GV",3,(IF(E574="RA",4,(IF(E574="RM",5,(IF(E574="AC",1,(IF(E574="AT",2,(IF(E574="DS",3,(IF(E574="IP",4,(IF(E574="MA",5,(IF(E574="PT",6,(IF(E574="AE",1,(IF(E574="CM",2,(IF(E574="DP",3,(IF(E574="AN",1,(IF(E574="CO",2,(IF(E574="IM",3,(IF(E574="MI",4,(IF(E574="RP",5,(IF(E574="SC",6,0)))))))))))))))))))))))))))))))))))))))</f>
        <v>4</v>
      </c>
      <c r="G574" s="52">
        <v>1</v>
      </c>
      <c r="H574" s="90" t="s">
        <v>115</v>
      </c>
      <c r="I574" s="93" t="s">
        <v>85</v>
      </c>
      <c r="J574" s="86" t="s">
        <v>883</v>
      </c>
      <c r="K574" s="119" t="s">
        <v>5121</v>
      </c>
      <c r="L574" s="117">
        <f>IF(O574="","",N574*O574*M574)</f>
        <v>0</v>
      </c>
      <c r="M574" s="108">
        <v>1</v>
      </c>
      <c r="N574" s="95">
        <v>1</v>
      </c>
      <c r="O574" s="109">
        <f>IF(Key!D$1="ON",P574,IF(SUM(Q574:DL574)&lt;1,"",SUM(Q574:DL574)/COUNTIF(Q574:DL574,"&gt;0")))</f>
        <v>0</v>
      </c>
      <c r="P574" s="109">
        <f>SUMIFS(Q574:DK574,Q$1:DK$1,Dashboard!$K$31)</f>
        <v>0</v>
      </c>
      <c r="U574" s="95">
        <v>33</v>
      </c>
      <c r="AA574" s="95">
        <v>25</v>
      </c>
      <c r="AH574" s="95">
        <v>75</v>
      </c>
    </row>
    <row r="575" spans="1:34" ht="15.6" x14ac:dyDescent="0.3">
      <c r="A575" s="89" t="str">
        <f>CONCATENATE(D575,".",F575,"-",G575,".",H575,"")</f>
        <v>1.4-1.1</v>
      </c>
      <c r="B575" s="89" t="str">
        <f>IF(CONCATENATE(I575,Key!F$2)=CONCATENATE(INDEX(Dashboard!J:J,MATCH(I575,Dashboard!J:J,0),1),INDEX(Dashboard!J:K,MATCH(I575,Dashboard!J:J,0),2)),"ON",IF(Dashboard!K$32="ALL","ON","-"))</f>
        <v>-</v>
      </c>
      <c r="C575" s="96" t="s">
        <v>110</v>
      </c>
      <c r="D575" s="89">
        <f>IF(C575="ID",1,(IF(C575="PR",2,(IF(C575="DE",3,(IF(C575="RS",4,(IF(C575="RC",5,0)))))))))</f>
        <v>1</v>
      </c>
      <c r="E575" s="89" t="s">
        <v>140</v>
      </c>
      <c r="F575" s="89">
        <f>IF(E575="AM",1,(IF(E575="BE",2,(IF(E575="GV",3,(IF(E575="RA",4,(IF(E575="RM",5,(IF(E575="AC",1,(IF(E575="AT",2,(IF(E575="DS",3,(IF(E575="IP",4,(IF(E575="MA",5,(IF(E575="PT",6,(IF(E575="AE",1,(IF(E575="CM",2,(IF(E575="DP",3,(IF(E575="AN",1,(IF(E575="CO",2,(IF(E575="IM",3,(IF(E575="MI",4,(IF(E575="RP",5,(IF(E575="SC",6,0)))))))))))))))))))))))))))))))))))))))</f>
        <v>4</v>
      </c>
      <c r="G575" s="98">
        <v>1</v>
      </c>
      <c r="H575" s="90" t="s">
        <v>115</v>
      </c>
      <c r="I575" s="93" t="s">
        <v>85</v>
      </c>
      <c r="J575" s="87" t="s">
        <v>1043</v>
      </c>
      <c r="K575" s="119" t="s">
        <v>1044</v>
      </c>
      <c r="L575" s="117">
        <f>IF(O575="","",N575*O575*M575)</f>
        <v>0</v>
      </c>
      <c r="M575" s="108">
        <v>1</v>
      </c>
      <c r="N575" s="95">
        <v>1</v>
      </c>
      <c r="O575" s="109">
        <f>IF(Key!D$1="ON",P575,IF(SUM(Q575:DL575)&lt;1,"",SUM(Q575:DL575)/COUNTIF(Q575:DL575,"&gt;0")))</f>
        <v>0</v>
      </c>
      <c r="P575" s="109">
        <f>SUMIFS(Q575:DK575,Q$1:DK$1,Dashboard!$K$31)</f>
        <v>0</v>
      </c>
      <c r="U575" s="95">
        <v>33</v>
      </c>
      <c r="AA575" s="95">
        <v>25</v>
      </c>
      <c r="AH575" s="95">
        <v>75</v>
      </c>
    </row>
    <row r="576" spans="1:34" ht="15.6" x14ac:dyDescent="0.3">
      <c r="A576" s="89" t="str">
        <f>CONCATENATE(D576,".",F576,"-",G576,".",H576,"")</f>
        <v>1.4-1.1</v>
      </c>
      <c r="B576" s="89" t="str">
        <f>IF(CONCATENATE(I576,Key!F$2)=CONCATENATE(INDEX(Dashboard!J:J,MATCH(I576,Dashboard!J:J,0),1),INDEX(Dashboard!J:K,MATCH(I576,Dashboard!J:J,0),2)),"ON",IF(Dashboard!K$32="ALL","ON","-"))</f>
        <v>-</v>
      </c>
      <c r="C576" s="88" t="s">
        <v>110</v>
      </c>
      <c r="D576" s="89">
        <f>IF(C576="ID",1,(IF(C576="PR",2,(IF(C576="DE",3,(IF(C576="RS",4,(IF(C576="RC",5,0)))))))))</f>
        <v>1</v>
      </c>
      <c r="E576" s="89" t="s">
        <v>140</v>
      </c>
      <c r="F576" s="89">
        <f>IF(E576="AM",1,(IF(E576="BE",2,(IF(E576="GV",3,(IF(E576="RA",4,(IF(E576="RM",5,(IF(E576="AC",1,(IF(E576="AT",2,(IF(E576="DS",3,(IF(E576="IP",4,(IF(E576="MA",5,(IF(E576="PT",6,(IF(E576="AE",1,(IF(E576="CM",2,(IF(E576="DP",3,(IF(E576="AN",1,(IF(E576="CO",2,(IF(E576="IM",3,(IF(E576="MI",4,(IF(E576="RP",5,(IF(E576="SC",6,0)))))))))))))))))))))))))))))))))))))))</f>
        <v>4</v>
      </c>
      <c r="G576" s="52">
        <v>1</v>
      </c>
      <c r="H576" s="90" t="s">
        <v>115</v>
      </c>
      <c r="I576" s="93" t="s">
        <v>85</v>
      </c>
      <c r="J576" s="87" t="s">
        <v>1067</v>
      </c>
      <c r="K576" s="119" t="s">
        <v>2093</v>
      </c>
      <c r="L576" s="117">
        <f>IF(O576="","",N576*O576*M576)</f>
        <v>0</v>
      </c>
      <c r="M576" s="108">
        <v>1</v>
      </c>
      <c r="N576" s="95">
        <v>1</v>
      </c>
      <c r="O576" s="109">
        <f>IF(Key!D$1="ON",P576,IF(SUM(Q576:DL576)&lt;1,"",SUM(Q576:DL576)/COUNTIF(Q576:DL576,"&gt;0")))</f>
        <v>0</v>
      </c>
      <c r="P576" s="109">
        <f>SUMIFS(Q576:DK576,Q$1:DK$1,Dashboard!$K$31)</f>
        <v>0</v>
      </c>
      <c r="U576" s="95">
        <v>33</v>
      </c>
      <c r="AA576" s="95">
        <v>25</v>
      </c>
      <c r="AH576" s="95">
        <v>75</v>
      </c>
    </row>
    <row r="577" spans="1:34" ht="15.6" x14ac:dyDescent="0.3">
      <c r="A577" s="89" t="str">
        <f>CONCATENATE(D577,".",F577,"-",G577,".",H577,"")</f>
        <v>1.4-1.1</v>
      </c>
      <c r="B577" s="89" t="str">
        <f>IF(CONCATENATE(I577,Key!F$2)=CONCATENATE(INDEX(Dashboard!J:J,MATCH(I577,Dashboard!J:J,0),1),INDEX(Dashboard!J:K,MATCH(I577,Dashboard!J:J,0),2)),"ON",IF(Dashboard!K$32="ALL","ON","-"))</f>
        <v>-</v>
      </c>
      <c r="C577" s="88" t="s">
        <v>110</v>
      </c>
      <c r="D577" s="89">
        <f>IF(C577="ID",1,(IF(C577="PR",2,(IF(C577="DE",3,(IF(C577="RS",4,(IF(C577="RC",5,0)))))))))</f>
        <v>1</v>
      </c>
      <c r="E577" s="89" t="s">
        <v>140</v>
      </c>
      <c r="F577" s="89">
        <f>IF(E577="AM",1,(IF(E577="BE",2,(IF(E577="GV",3,(IF(E577="RA",4,(IF(E577="RM",5,(IF(E577="AC",1,(IF(E577="AT",2,(IF(E577="DS",3,(IF(E577="IP",4,(IF(E577="MA",5,(IF(E577="PT",6,(IF(E577="AE",1,(IF(E577="CM",2,(IF(E577="DP",3,(IF(E577="AN",1,(IF(E577="CO",2,(IF(E577="IM",3,(IF(E577="MI",4,(IF(E577="RP",5,(IF(E577="SC",6,0)))))))))))))))))))))))))))))))))))))))</f>
        <v>4</v>
      </c>
      <c r="G577" s="52">
        <v>1</v>
      </c>
      <c r="H577" s="90" t="s">
        <v>115</v>
      </c>
      <c r="I577" s="93" t="s">
        <v>85</v>
      </c>
      <c r="J577" s="87" t="s">
        <v>1056</v>
      </c>
      <c r="K577" s="119" t="s">
        <v>4905</v>
      </c>
      <c r="L577" s="117">
        <f>IF(O577="","",N577*O577*M577)</f>
        <v>0</v>
      </c>
      <c r="M577" s="108">
        <v>1</v>
      </c>
      <c r="N577" s="95">
        <v>1</v>
      </c>
      <c r="O577" s="109">
        <f>IF(Key!D$1="ON",P577,IF(SUM(Q577:DL577)&lt;1,"",SUM(Q577:DL577)/COUNTIF(Q577:DL577,"&gt;0")))</f>
        <v>0</v>
      </c>
      <c r="P577" s="109">
        <f>SUMIFS(Q577:DK577,Q$1:DK$1,Dashboard!$K$31)</f>
        <v>0</v>
      </c>
      <c r="U577" s="95">
        <v>33</v>
      </c>
      <c r="AA577" s="95">
        <v>25</v>
      </c>
      <c r="AH577" s="95">
        <v>75</v>
      </c>
    </row>
    <row r="578" spans="1:34" ht="15.6" x14ac:dyDescent="0.3">
      <c r="A578" s="89" t="str">
        <f>CONCATENATE(D578,".",F578,"-",G578,".",H578,"")</f>
        <v>1.4-1.1</v>
      </c>
      <c r="B578" s="89" t="str">
        <f>IF(CONCATENATE(I578,Key!F$2)=CONCATENATE(INDEX(Dashboard!J:J,MATCH(I578,Dashboard!J:J,0),1),INDEX(Dashboard!J:K,MATCH(I578,Dashboard!J:J,0),2)),"ON",IF(Dashboard!K$32="ALL","ON","-"))</f>
        <v>-</v>
      </c>
      <c r="C578" s="88" t="s">
        <v>110</v>
      </c>
      <c r="D578" s="89">
        <f>IF(C578="ID",1,(IF(C578="PR",2,(IF(C578="DE",3,(IF(C578="RS",4,(IF(C578="RC",5,0)))))))))</f>
        <v>1</v>
      </c>
      <c r="E578" s="89" t="s">
        <v>140</v>
      </c>
      <c r="F578" s="89">
        <f>IF(E578="AM",1,(IF(E578="BE",2,(IF(E578="GV",3,(IF(E578="RA",4,(IF(E578="RM",5,(IF(E578="AC",1,(IF(E578="AT",2,(IF(E578="DS",3,(IF(E578="IP",4,(IF(E578="MA",5,(IF(E578="PT",6,(IF(E578="AE",1,(IF(E578="CM",2,(IF(E578="DP",3,(IF(E578="AN",1,(IF(E578="CO",2,(IF(E578="IM",3,(IF(E578="MI",4,(IF(E578="RP",5,(IF(E578="SC",6,0)))))))))))))))))))))))))))))))))))))))</f>
        <v>4</v>
      </c>
      <c r="G578" s="52">
        <v>1</v>
      </c>
      <c r="H578" s="90" t="s">
        <v>115</v>
      </c>
      <c r="I578" s="93" t="s">
        <v>85</v>
      </c>
      <c r="J578" s="87" t="s">
        <v>1092</v>
      </c>
      <c r="K578" s="119" t="s">
        <v>5116</v>
      </c>
      <c r="L578" s="117">
        <f>IF(O578="","",N578*O578*M578)</f>
        <v>0</v>
      </c>
      <c r="M578" s="108">
        <v>1</v>
      </c>
      <c r="N578" s="95">
        <v>1</v>
      </c>
      <c r="O578" s="109">
        <f>IF(Key!D$1="ON",P578,IF(SUM(Q578:DL578)&lt;1,"",SUM(Q578:DL578)/COUNTIF(Q578:DL578,"&gt;0")))</f>
        <v>0</v>
      </c>
      <c r="P578" s="109">
        <f>SUMIFS(Q578:DK578,Q$1:DK$1,Dashboard!$K$31)</f>
        <v>0</v>
      </c>
      <c r="U578" s="95">
        <v>33</v>
      </c>
      <c r="AA578" s="95">
        <v>25</v>
      </c>
      <c r="AH578" s="95">
        <v>75</v>
      </c>
    </row>
    <row r="579" spans="1:34" ht="15.6" x14ac:dyDescent="0.3">
      <c r="A579" s="89" t="str">
        <f>CONCATENATE(D579,".",F579,"-",G579,".",H579,"")</f>
        <v>1.4-1.1</v>
      </c>
      <c r="B579" s="89" t="str">
        <f>IF(CONCATENATE(I579,Key!F$2)=CONCATENATE(INDEX(Dashboard!J:J,MATCH(I579,Dashboard!J:J,0),1),INDEX(Dashboard!J:K,MATCH(I579,Dashboard!J:J,0),2)),"ON",IF(Dashboard!K$32="ALL","ON","-"))</f>
        <v>-</v>
      </c>
      <c r="C579" s="88" t="s">
        <v>110</v>
      </c>
      <c r="D579" s="89">
        <f>IF(C579="ID",1,(IF(C579="PR",2,(IF(C579="DE",3,(IF(C579="RS",4,(IF(C579="RC",5,0)))))))))</f>
        <v>1</v>
      </c>
      <c r="E579" s="89" t="s">
        <v>140</v>
      </c>
      <c r="F579" s="89">
        <f>IF(E579="AM",1,(IF(E579="BE",2,(IF(E579="GV",3,(IF(E579="RA",4,(IF(E579="RM",5,(IF(E579="AC",1,(IF(E579="AT",2,(IF(E579="DS",3,(IF(E579="IP",4,(IF(E579="MA",5,(IF(E579="PT",6,(IF(E579="AE",1,(IF(E579="CM",2,(IF(E579="DP",3,(IF(E579="AN",1,(IF(E579="CO",2,(IF(E579="IM",3,(IF(E579="MI",4,(IF(E579="RP",5,(IF(E579="SC",6,0)))))))))))))))))))))))))))))))))))))))</f>
        <v>4</v>
      </c>
      <c r="G579" s="52">
        <v>1</v>
      </c>
      <c r="H579" s="90" t="s">
        <v>115</v>
      </c>
      <c r="I579" s="93" t="s">
        <v>85</v>
      </c>
      <c r="J579" s="87" t="s">
        <v>1046</v>
      </c>
      <c r="K579" s="119" t="s">
        <v>4665</v>
      </c>
      <c r="L579" s="117">
        <f>IF(O579="","",N579*O579*M579)</f>
        <v>0</v>
      </c>
      <c r="M579" s="108">
        <v>0.9</v>
      </c>
      <c r="N579" s="95">
        <v>1</v>
      </c>
      <c r="O579" s="109">
        <f>IF(Key!D$1="ON",P579,IF(SUM(Q579:DL579)&lt;1,"",SUM(Q579:DL579)/COUNTIF(Q579:DL579,"&gt;0")))</f>
        <v>0</v>
      </c>
      <c r="P579" s="109">
        <f>SUMIFS(Q579:DK579,Q$1:DK$1,Dashboard!$K$31)</f>
        <v>0</v>
      </c>
      <c r="S579" s="95">
        <v>25</v>
      </c>
      <c r="T579" s="95">
        <v>80</v>
      </c>
      <c r="U579" s="95">
        <v>33</v>
      </c>
      <c r="AA579" s="95">
        <v>25</v>
      </c>
      <c r="AH579" s="95">
        <v>75</v>
      </c>
    </row>
    <row r="580" spans="1:34" ht="15.6" x14ac:dyDescent="0.3">
      <c r="A580" s="89" t="str">
        <f>CONCATENATE(D580,".",F580,"-",G580,".",H580,"")</f>
        <v>1.4-1.1</v>
      </c>
      <c r="B580" s="89" t="str">
        <f>IF(CONCATENATE(I580,Key!F$2)=CONCATENATE(INDEX(Dashboard!J:J,MATCH(I580,Dashboard!J:J,0),1),INDEX(Dashboard!J:K,MATCH(I580,Dashboard!J:J,0),2)),"ON",IF(Dashboard!K$32="ALL","ON","-"))</f>
        <v>-</v>
      </c>
      <c r="C580" s="88" t="s">
        <v>110</v>
      </c>
      <c r="D580" s="89">
        <f>IF(C580="ID",1,(IF(C580="PR",2,(IF(C580="DE",3,(IF(C580="RS",4,(IF(C580="RC",5,0)))))))))</f>
        <v>1</v>
      </c>
      <c r="E580" s="89" t="s">
        <v>140</v>
      </c>
      <c r="F580" s="89">
        <f>IF(E580="AM",1,(IF(E580="BE",2,(IF(E580="GV",3,(IF(E580="RA",4,(IF(E580="RM",5,(IF(E580="AC",1,(IF(E580="AT",2,(IF(E580="DS",3,(IF(E580="IP",4,(IF(E580="MA",5,(IF(E580="PT",6,(IF(E580="AE",1,(IF(E580="CM",2,(IF(E580="DP",3,(IF(E580="AN",1,(IF(E580="CO",2,(IF(E580="IM",3,(IF(E580="MI",4,(IF(E580="RP",5,(IF(E580="SC",6,0)))))))))))))))))))))))))))))))))))))))</f>
        <v>4</v>
      </c>
      <c r="G580" s="52">
        <v>1</v>
      </c>
      <c r="H580" s="90" t="s">
        <v>115</v>
      </c>
      <c r="I580" s="93" t="s">
        <v>85</v>
      </c>
      <c r="J580" s="87" t="s">
        <v>1079</v>
      </c>
      <c r="K580" s="119" t="s">
        <v>5093</v>
      </c>
      <c r="L580" s="117">
        <f>IF(O580="","",N580*O580*M580)</f>
        <v>0</v>
      </c>
      <c r="M580" s="108">
        <v>1</v>
      </c>
      <c r="N580" s="95">
        <v>1</v>
      </c>
      <c r="O580" s="109">
        <f>IF(Key!D$1="ON",P580,IF(SUM(Q580:DL580)&lt;1,"",SUM(Q580:DL580)/COUNTIF(Q580:DL580,"&gt;0")))</f>
        <v>0</v>
      </c>
      <c r="P580" s="109">
        <f>SUMIFS(Q580:DK580,Q$1:DK$1,Dashboard!$K$31)</f>
        <v>0</v>
      </c>
      <c r="U580" s="95">
        <v>33</v>
      </c>
      <c r="AA580" s="95">
        <v>25</v>
      </c>
      <c r="AH580" s="95">
        <v>75</v>
      </c>
    </row>
    <row r="581" spans="1:34" ht="15.6" x14ac:dyDescent="0.3">
      <c r="A581" s="89" t="str">
        <f>CONCATENATE(D581,".",F581,"-",G581,".",H581,"")</f>
        <v>1.4-1.1</v>
      </c>
      <c r="B581" s="89" t="str">
        <f>IF(CONCATENATE(I581,Key!F$2)=CONCATENATE(INDEX(Dashboard!J:J,MATCH(I581,Dashboard!J:J,0),1),INDEX(Dashboard!J:K,MATCH(I581,Dashboard!J:J,0),2)),"ON",IF(Dashboard!K$32="ALL","ON","-"))</f>
        <v>-</v>
      </c>
      <c r="C581" s="88" t="s">
        <v>110</v>
      </c>
      <c r="D581" s="89">
        <f>IF(C581="ID",1,(IF(C581="PR",2,(IF(C581="DE",3,(IF(C581="RS",4,(IF(C581="RC",5,0)))))))))</f>
        <v>1</v>
      </c>
      <c r="E581" s="89" t="s">
        <v>140</v>
      </c>
      <c r="F581" s="89">
        <f>IF(E581="AM",1,(IF(E581="BE",2,(IF(E581="GV",3,(IF(E581="RA",4,(IF(E581="RM",5,(IF(E581="AC",1,(IF(E581="AT",2,(IF(E581="DS",3,(IF(E581="IP",4,(IF(E581="MA",5,(IF(E581="PT",6,(IF(E581="AE",1,(IF(E581="CM",2,(IF(E581="DP",3,(IF(E581="AN",1,(IF(E581="CO",2,(IF(E581="IM",3,(IF(E581="MI",4,(IF(E581="RP",5,(IF(E581="SC",6,0)))))))))))))))))))))))))))))))))))))))</f>
        <v>4</v>
      </c>
      <c r="G581" s="52">
        <v>1</v>
      </c>
      <c r="H581" s="90" t="s">
        <v>115</v>
      </c>
      <c r="I581" s="93" t="s">
        <v>85</v>
      </c>
      <c r="J581" s="87" t="s">
        <v>1058</v>
      </c>
      <c r="K581" s="119" t="s">
        <v>4907</v>
      </c>
      <c r="L581" s="117">
        <f>IF(O581="","",N581*O581*M581)</f>
        <v>0</v>
      </c>
      <c r="M581" s="108">
        <v>1</v>
      </c>
      <c r="N581" s="95">
        <v>1</v>
      </c>
      <c r="O581" s="109">
        <f>IF(Key!D$1="ON",P581,IF(SUM(Q581:DL581)&lt;1,"",SUM(Q581:DL581)/COUNTIF(Q581:DL581,"&gt;0")))</f>
        <v>0</v>
      </c>
      <c r="P581" s="109">
        <f>SUMIFS(Q581:DK581,Q$1:DK$1,Dashboard!$K$31)</f>
        <v>0</v>
      </c>
      <c r="U581" s="95">
        <v>33</v>
      </c>
      <c r="AA581" s="95">
        <v>25</v>
      </c>
      <c r="AH581" s="95">
        <v>75</v>
      </c>
    </row>
    <row r="582" spans="1:34" ht="15.6" x14ac:dyDescent="0.3">
      <c r="A582" s="89" t="str">
        <f>CONCATENATE(D582,".",F582,"-",G582,".",H582,"")</f>
        <v>1.4-1.1</v>
      </c>
      <c r="B582" s="89" t="str">
        <f>IF(CONCATENATE(I582,Key!F$2)=CONCATENATE(INDEX(Dashboard!J:J,MATCH(I582,Dashboard!J:J,0),1),INDEX(Dashboard!J:K,MATCH(I582,Dashboard!J:J,0),2)),"ON",IF(Dashboard!K$32="ALL","ON","-"))</f>
        <v>-</v>
      </c>
      <c r="C582" s="96" t="s">
        <v>110</v>
      </c>
      <c r="D582" s="89">
        <f>IF(C582="ID",1,(IF(C582="PR",2,(IF(C582="DE",3,(IF(C582="RS",4,(IF(C582="RC",5,0)))))))))</f>
        <v>1</v>
      </c>
      <c r="E582" s="89" t="s">
        <v>140</v>
      </c>
      <c r="F582" s="89">
        <f>IF(E582="AM",1,(IF(E582="BE",2,(IF(E582="GV",3,(IF(E582="RA",4,(IF(E582="RM",5,(IF(E582="AC",1,(IF(E582="AT",2,(IF(E582="DS",3,(IF(E582="IP",4,(IF(E582="MA",5,(IF(E582="PT",6,(IF(E582="AE",1,(IF(E582="CM",2,(IF(E582="DP",3,(IF(E582="AN",1,(IF(E582="CO",2,(IF(E582="IM",3,(IF(E582="MI",4,(IF(E582="RP",5,(IF(E582="SC",6,0)))))))))))))))))))))))))))))))))))))))</f>
        <v>4</v>
      </c>
      <c r="G582" s="98">
        <v>1</v>
      </c>
      <c r="H582" s="90" t="s">
        <v>115</v>
      </c>
      <c r="I582" s="93" t="s">
        <v>85</v>
      </c>
      <c r="J582" s="87" t="s">
        <v>1047</v>
      </c>
      <c r="K582" s="119" t="s">
        <v>1048</v>
      </c>
      <c r="L582" s="117">
        <f>IF(O582="","",N582*O582*M582)</f>
        <v>0</v>
      </c>
      <c r="M582" s="108">
        <v>1</v>
      </c>
      <c r="N582" s="95">
        <v>1</v>
      </c>
      <c r="O582" s="109">
        <f>IF(Key!D$1="ON",P582,IF(SUM(Q582:DL582)&lt;1,"",SUM(Q582:DL582)/COUNTIF(Q582:DL582,"&gt;0")))</f>
        <v>0</v>
      </c>
      <c r="P582" s="109">
        <f>SUMIFS(Q582:DK582,Q$1:DK$1,Dashboard!$K$31)</f>
        <v>0</v>
      </c>
      <c r="U582" s="95">
        <v>33</v>
      </c>
      <c r="AA582" s="95">
        <v>25</v>
      </c>
      <c r="AH582" s="95">
        <v>75</v>
      </c>
    </row>
    <row r="583" spans="1:34" ht="15.6" x14ac:dyDescent="0.3">
      <c r="A583" s="89" t="str">
        <f>CONCATENATE(D583,".",F583,"-",G583,".",H583,"")</f>
        <v>1.4-1.1</v>
      </c>
      <c r="B583" s="89" t="str">
        <f>IF(CONCATENATE(I583,Key!F$2)=CONCATENATE(INDEX(Dashboard!J:J,MATCH(I583,Dashboard!J:J,0),1),INDEX(Dashboard!J:K,MATCH(I583,Dashboard!J:J,0),2)),"ON",IF(Dashboard!K$32="ALL","ON","-"))</f>
        <v>-</v>
      </c>
      <c r="C583" s="88" t="s">
        <v>110</v>
      </c>
      <c r="D583" s="89">
        <f>IF(C583="ID",1,(IF(C583="PR",2,(IF(C583="DE",3,(IF(C583="RS",4,(IF(C583="RC",5,0)))))))))</f>
        <v>1</v>
      </c>
      <c r="E583" s="89" t="s">
        <v>140</v>
      </c>
      <c r="F583" s="89">
        <f>IF(E583="AM",1,(IF(E583="BE",2,(IF(E583="GV",3,(IF(E583="RA",4,(IF(E583="RM",5,(IF(E583="AC",1,(IF(E583="AT",2,(IF(E583="DS",3,(IF(E583="IP",4,(IF(E583="MA",5,(IF(E583="PT",6,(IF(E583="AE",1,(IF(E583="CM",2,(IF(E583="DP",3,(IF(E583="AN",1,(IF(E583="CO",2,(IF(E583="IM",3,(IF(E583="MI",4,(IF(E583="RP",5,(IF(E583="SC",6,0)))))))))))))))))))))))))))))))))))))))</f>
        <v>4</v>
      </c>
      <c r="G583" s="52">
        <v>1</v>
      </c>
      <c r="H583" s="90" t="s">
        <v>115</v>
      </c>
      <c r="I583" s="93" t="s">
        <v>85</v>
      </c>
      <c r="J583" s="87" t="s">
        <v>1039</v>
      </c>
      <c r="K583" s="119" t="s">
        <v>4649</v>
      </c>
      <c r="L583" s="117">
        <f>IF(O583="","",N583*O583*M583)</f>
        <v>0</v>
      </c>
      <c r="M583" s="108">
        <v>1</v>
      </c>
      <c r="N583" s="95">
        <v>1</v>
      </c>
      <c r="O583" s="109">
        <f>IF(Key!D$1="ON",P583,IF(SUM(Q583:DL583)&lt;1,"",SUM(Q583:DL583)/COUNTIF(Q583:DL583,"&gt;0")))</f>
        <v>0</v>
      </c>
      <c r="P583" s="109">
        <f>SUMIFS(Q583:DK583,Q$1:DK$1,Dashboard!$K$31)</f>
        <v>0</v>
      </c>
      <c r="U583" s="95">
        <v>33</v>
      </c>
      <c r="AA583" s="95">
        <v>25</v>
      </c>
      <c r="AH583" s="95">
        <v>75</v>
      </c>
    </row>
    <row r="584" spans="1:34" ht="15.6" x14ac:dyDescent="0.3">
      <c r="A584" s="89" t="str">
        <f>CONCATENATE(D584,".",F584,"-",G584,".",H584,"")</f>
        <v>1.4-1.1</v>
      </c>
      <c r="B584" s="89" t="str">
        <f>IF(CONCATENATE(I584,Key!F$2)=CONCATENATE(INDEX(Dashboard!J:J,MATCH(I584,Dashboard!J:J,0),1),INDEX(Dashboard!J:K,MATCH(I584,Dashboard!J:J,0),2)),"ON",IF(Dashboard!K$32="ALL","ON","-"))</f>
        <v>-</v>
      </c>
      <c r="C584" s="88" t="s">
        <v>110</v>
      </c>
      <c r="D584" s="89">
        <f>IF(C584="ID",1,(IF(C584="PR",2,(IF(C584="DE",3,(IF(C584="RS",4,(IF(C584="RC",5,0)))))))))</f>
        <v>1</v>
      </c>
      <c r="E584" s="89" t="s">
        <v>140</v>
      </c>
      <c r="F584" s="89">
        <f>IF(E584="AM",1,(IF(E584="BE",2,(IF(E584="GV",3,(IF(E584="RA",4,(IF(E584="RM",5,(IF(E584="AC",1,(IF(E584="AT",2,(IF(E584="DS",3,(IF(E584="IP",4,(IF(E584="MA",5,(IF(E584="PT",6,(IF(E584="AE",1,(IF(E584="CM",2,(IF(E584="DP",3,(IF(E584="AN",1,(IF(E584="CO",2,(IF(E584="IM",3,(IF(E584="MI",4,(IF(E584="RP",5,(IF(E584="SC",6,0)))))))))))))))))))))))))))))))))))))))</f>
        <v>4</v>
      </c>
      <c r="G584" s="52">
        <v>1</v>
      </c>
      <c r="H584" s="90" t="s">
        <v>115</v>
      </c>
      <c r="I584" s="93" t="s">
        <v>85</v>
      </c>
      <c r="J584" s="87" t="s">
        <v>1063</v>
      </c>
      <c r="K584" s="119" t="s">
        <v>4970</v>
      </c>
      <c r="L584" s="117">
        <f>IF(O584="","",N584*O584*M584)</f>
        <v>0</v>
      </c>
      <c r="M584" s="108">
        <v>1</v>
      </c>
      <c r="N584" s="95">
        <v>1</v>
      </c>
      <c r="O584" s="109">
        <f>IF(Key!D$1="ON",P584,IF(SUM(Q584:DL584)&lt;1,"",SUM(Q584:DL584)/COUNTIF(Q584:DL584,"&gt;0")))</f>
        <v>0</v>
      </c>
      <c r="P584" s="109">
        <f>SUMIFS(Q584:DK584,Q$1:DK$1,Dashboard!$K$31)</f>
        <v>0</v>
      </c>
      <c r="U584" s="95">
        <v>33</v>
      </c>
      <c r="AA584" s="95">
        <v>25</v>
      </c>
      <c r="AH584" s="95">
        <v>75</v>
      </c>
    </row>
    <row r="585" spans="1:34" ht="15.6" x14ac:dyDescent="0.3">
      <c r="A585" s="89" t="str">
        <f>CONCATENATE(D585,".",F585,"-",G585,".",H585,"")</f>
        <v>1.4-1.1</v>
      </c>
      <c r="B585" s="89" t="str">
        <f>IF(CONCATENATE(I585,Key!F$2)=CONCATENATE(INDEX(Dashboard!J:J,MATCH(I585,Dashboard!J:J,0),1),INDEX(Dashboard!J:K,MATCH(I585,Dashboard!J:J,0),2)),"ON",IF(Dashboard!K$32="ALL","ON","-"))</f>
        <v>-</v>
      </c>
      <c r="C585" s="96" t="s">
        <v>110</v>
      </c>
      <c r="D585" s="89">
        <f>IF(C585="ID",1,(IF(C585="PR",2,(IF(C585="DE",3,(IF(C585="RS",4,(IF(C585="RC",5,0)))))))))</f>
        <v>1</v>
      </c>
      <c r="E585" s="89" t="s">
        <v>140</v>
      </c>
      <c r="F585" s="89">
        <f>IF(E585="AM",1,(IF(E585="BE",2,(IF(E585="GV",3,(IF(E585="RA",4,(IF(E585="RM",5,(IF(E585="AC",1,(IF(E585="AT",2,(IF(E585="DS",3,(IF(E585="IP",4,(IF(E585="MA",5,(IF(E585="PT",6,(IF(E585="AE",1,(IF(E585="CM",2,(IF(E585="DP",3,(IF(E585="AN",1,(IF(E585="CO",2,(IF(E585="IM",3,(IF(E585="MI",4,(IF(E585="RP",5,(IF(E585="SC",6,0)))))))))))))))))))))))))))))))))))))))</f>
        <v>4</v>
      </c>
      <c r="G585" s="98">
        <v>1</v>
      </c>
      <c r="H585" s="90" t="s">
        <v>115</v>
      </c>
      <c r="I585" s="93" t="s">
        <v>85</v>
      </c>
      <c r="J585" s="87" t="s">
        <v>1071</v>
      </c>
      <c r="K585" s="119" t="s">
        <v>1072</v>
      </c>
      <c r="L585" s="117">
        <f>IF(O585="","",N585*O585*M585)</f>
        <v>0</v>
      </c>
      <c r="M585" s="108">
        <v>1</v>
      </c>
      <c r="N585" s="95">
        <v>1</v>
      </c>
      <c r="O585" s="109">
        <f>IF(Key!D$1="ON",P585,IF(SUM(Q585:DL585)&lt;1,"",SUM(Q585:DL585)/COUNTIF(Q585:DL585,"&gt;0")))</f>
        <v>0</v>
      </c>
      <c r="P585" s="109">
        <f>SUMIFS(Q585:DK585,Q$1:DK$1,Dashboard!$K$31)</f>
        <v>0</v>
      </c>
      <c r="U585" s="95">
        <v>33</v>
      </c>
      <c r="AA585" s="95">
        <v>25</v>
      </c>
      <c r="AH585" s="95">
        <v>75</v>
      </c>
    </row>
    <row r="586" spans="1:34" ht="15.6" x14ac:dyDescent="0.3">
      <c r="A586" s="89" t="str">
        <f>CONCATENATE(D586,".",F586,"-",G586,".",H586,"")</f>
        <v>1.4-1.1</v>
      </c>
      <c r="B586" s="89" t="str">
        <f>IF(CONCATENATE(I586,Key!F$2)=CONCATENATE(INDEX(Dashboard!J:J,MATCH(I586,Dashboard!J:J,0),1),INDEX(Dashboard!J:K,MATCH(I586,Dashboard!J:J,0),2)),"ON",IF(Dashboard!K$32="ALL","ON","-"))</f>
        <v>-</v>
      </c>
      <c r="C586" s="96" t="s">
        <v>110</v>
      </c>
      <c r="D586" s="89">
        <f>IF(C586="ID",1,(IF(C586="PR",2,(IF(C586="DE",3,(IF(C586="RS",4,(IF(C586="RC",5,0)))))))))</f>
        <v>1</v>
      </c>
      <c r="E586" s="89" t="s">
        <v>140</v>
      </c>
      <c r="F586" s="89">
        <f>IF(E586="AM",1,(IF(E586="BE",2,(IF(E586="GV",3,(IF(E586="RA",4,(IF(E586="RM",5,(IF(E586="AC",1,(IF(E586="AT",2,(IF(E586="DS",3,(IF(E586="IP",4,(IF(E586="MA",5,(IF(E586="PT",6,(IF(E586="AE",1,(IF(E586="CM",2,(IF(E586="DP",3,(IF(E586="AN",1,(IF(E586="CO",2,(IF(E586="IM",3,(IF(E586="MI",4,(IF(E586="RP",5,(IF(E586="SC",6,0)))))))))))))))))))))))))))))))))))))))</f>
        <v>4</v>
      </c>
      <c r="G586" s="98">
        <v>1</v>
      </c>
      <c r="H586" s="90" t="s">
        <v>115</v>
      </c>
      <c r="I586" s="93" t="s">
        <v>85</v>
      </c>
      <c r="J586" s="87" t="s">
        <v>1080</v>
      </c>
      <c r="K586" s="119" t="s">
        <v>1081</v>
      </c>
      <c r="L586" s="117">
        <f>IF(O586="","",N586*O586*M586)</f>
        <v>0</v>
      </c>
      <c r="M586" s="108">
        <v>1</v>
      </c>
      <c r="N586" s="95">
        <v>1</v>
      </c>
      <c r="O586" s="109">
        <f>IF(Key!D$1="ON",P586,IF(SUM(Q586:DL586)&lt;1,"",SUM(Q586:DL586)/COUNTIF(Q586:DL586,"&gt;0")))</f>
        <v>0</v>
      </c>
      <c r="P586" s="109">
        <f>SUMIFS(Q586:DK586,Q$1:DK$1,Dashboard!$K$31)</f>
        <v>0</v>
      </c>
      <c r="U586" s="95">
        <v>33</v>
      </c>
      <c r="AA586" s="95">
        <v>25</v>
      </c>
      <c r="AH586" s="95">
        <v>75</v>
      </c>
    </row>
    <row r="587" spans="1:34" x14ac:dyDescent="0.3">
      <c r="A587" s="89" t="str">
        <f>CONCATENATE(D587,".",F587,"-",G587,".",H587,"")</f>
        <v>1.4-1.1</v>
      </c>
      <c r="B587" s="89" t="str">
        <f>IF(CONCATENATE(I587,Key!F$2)=CONCATENATE(INDEX(Dashboard!J:J,MATCH(I587,Dashboard!J:J,0),1),INDEX(Dashboard!J:K,MATCH(I587,Dashboard!J:J,0),2)),"ON",IF(Dashboard!K$32="ALL","ON","-"))</f>
        <v>-</v>
      </c>
      <c r="C587" s="88" t="s">
        <v>110</v>
      </c>
      <c r="D587" s="89">
        <f>IF(C587="ID",1,(IF(C587="PR",2,(IF(C587="DE",3,(IF(C587="RS",4,(IF(C587="RC",5,0)))))))))</f>
        <v>1</v>
      </c>
      <c r="E587" s="89" t="s">
        <v>140</v>
      </c>
      <c r="F587" s="89">
        <f>IF(E587="AM",1,(IF(E587="BE",2,(IF(E587="GV",3,(IF(E587="RA",4,(IF(E587="RM",5,(IF(E587="AC",1,(IF(E587="AT",2,(IF(E587="DS",3,(IF(E587="IP",4,(IF(E587="MA",5,(IF(E587="PT",6,(IF(E587="AE",1,(IF(E587="CM",2,(IF(E587="DP",3,(IF(E587="AN",1,(IF(E587="CO",2,(IF(E587="IM",3,(IF(E587="MI",4,(IF(E587="RP",5,(IF(E587="SC",6,0)))))))))))))))))))))))))))))))))))))))</f>
        <v>4</v>
      </c>
      <c r="G587" s="52">
        <v>1</v>
      </c>
      <c r="H587" s="90" t="s">
        <v>115</v>
      </c>
      <c r="I587" s="93" t="s">
        <v>85</v>
      </c>
      <c r="J587" s="87" t="s">
        <v>1095</v>
      </c>
      <c r="K587" s="119" t="s">
        <v>5103</v>
      </c>
      <c r="L587" s="117">
        <f>IF(O587="","",N587*O587*M587)</f>
        <v>0</v>
      </c>
      <c r="M587" s="108">
        <v>1</v>
      </c>
      <c r="N587" s="95">
        <v>1</v>
      </c>
      <c r="O587" s="109">
        <f>IF(Key!D$1="ON",P587,IF(SUM(Q587:DL587)&lt;1,"",SUM(Q587:DL587)/COUNTIF(Q587:DL587,"&gt;0")))</f>
        <v>0</v>
      </c>
      <c r="P587" s="109">
        <f>SUMIFS(Q587:DK587,Q$1:DK$1,Dashboard!$K$31)</f>
        <v>0</v>
      </c>
      <c r="U587" s="95">
        <v>33</v>
      </c>
      <c r="AA587" s="95">
        <v>25</v>
      </c>
      <c r="AH587" s="95">
        <v>75</v>
      </c>
    </row>
    <row r="588" spans="1:34" x14ac:dyDescent="0.3">
      <c r="A588" s="89" t="str">
        <f>CONCATENATE(D588,".",F588,"-",G588,".",H588,"")</f>
        <v>1.4-1.1</v>
      </c>
      <c r="B588" s="89" t="str">
        <f>IF(CONCATENATE(I588,Key!F$2)=CONCATENATE(INDEX(Dashboard!J:J,MATCH(I588,Dashboard!J:J,0),1),INDEX(Dashboard!J:K,MATCH(I588,Dashboard!J:J,0),2)),"ON",IF(Dashboard!K$32="ALL","ON","-"))</f>
        <v>-</v>
      </c>
      <c r="C588" s="88" t="s">
        <v>110</v>
      </c>
      <c r="D588" s="89">
        <f>IF(C588="ID",1,(IF(C588="PR",2,(IF(C588="DE",3,(IF(C588="RS",4,(IF(C588="RC",5,0)))))))))</f>
        <v>1</v>
      </c>
      <c r="E588" s="89" t="s">
        <v>140</v>
      </c>
      <c r="F588" s="89">
        <f>IF(E588="AM",1,(IF(E588="BE",2,(IF(E588="GV",3,(IF(E588="RA",4,(IF(E588="RM",5,(IF(E588="AC",1,(IF(E588="AT",2,(IF(E588="DS",3,(IF(E588="IP",4,(IF(E588="MA",5,(IF(E588="PT",6,(IF(E588="AE",1,(IF(E588="CM",2,(IF(E588="DP",3,(IF(E588="AN",1,(IF(E588="CO",2,(IF(E588="IM",3,(IF(E588="MI",4,(IF(E588="RP",5,(IF(E588="SC",6,0)))))))))))))))))))))))))))))))))))))))</f>
        <v>4</v>
      </c>
      <c r="G588" s="52">
        <v>1</v>
      </c>
      <c r="H588" s="90" t="s">
        <v>115</v>
      </c>
      <c r="I588" s="93" t="s">
        <v>85</v>
      </c>
      <c r="J588" s="87" t="s">
        <v>1082</v>
      </c>
      <c r="K588" s="119" t="s">
        <v>5099</v>
      </c>
      <c r="L588" s="117">
        <f>IF(O588="","",N588*O588*M588)</f>
        <v>0</v>
      </c>
      <c r="M588" s="108">
        <v>1</v>
      </c>
      <c r="N588" s="95">
        <v>1</v>
      </c>
      <c r="O588" s="109">
        <f>IF(Key!D$1="ON",P588,IF(SUM(Q588:DL588)&lt;1,"",SUM(Q588:DL588)/COUNTIF(Q588:DL588,"&gt;0")))</f>
        <v>0</v>
      </c>
      <c r="P588" s="109">
        <f>SUMIFS(Q588:DK588,Q$1:DK$1,Dashboard!$K$31)</f>
        <v>0</v>
      </c>
      <c r="U588" s="95">
        <v>33</v>
      </c>
      <c r="AA588" s="95">
        <v>25</v>
      </c>
      <c r="AH588" s="95">
        <v>75</v>
      </c>
    </row>
    <row r="589" spans="1:34" ht="15.6" x14ac:dyDescent="0.3">
      <c r="A589" s="89" t="str">
        <f>CONCATENATE(D589,".",F589,"-",G589,".",H589,"")</f>
        <v>1.4-1.1</v>
      </c>
      <c r="B589" s="89" t="str">
        <f>IF(CONCATENATE(I589,Key!F$2)=CONCATENATE(INDEX(Dashboard!J:J,MATCH(I589,Dashboard!J:J,0),1),INDEX(Dashboard!J:K,MATCH(I589,Dashboard!J:J,0),2)),"ON",IF(Dashboard!K$32="ALL","ON","-"))</f>
        <v>-</v>
      </c>
      <c r="C589" s="88" t="s">
        <v>110</v>
      </c>
      <c r="D589" s="89">
        <f>IF(C589="ID",1,(IF(C589="PR",2,(IF(C589="DE",3,(IF(C589="RS",4,(IF(C589="RC",5,0)))))))))</f>
        <v>1</v>
      </c>
      <c r="E589" s="89" t="s">
        <v>140</v>
      </c>
      <c r="F589" s="89">
        <f>IF(E589="AM",1,(IF(E589="BE",2,(IF(E589="GV",3,(IF(E589="RA",4,(IF(E589="RM",5,(IF(E589="AC",1,(IF(E589="AT",2,(IF(E589="DS",3,(IF(E589="IP",4,(IF(E589="MA",5,(IF(E589="PT",6,(IF(E589="AE",1,(IF(E589="CM",2,(IF(E589="DP",3,(IF(E589="AN",1,(IF(E589="CO",2,(IF(E589="IM",3,(IF(E589="MI",4,(IF(E589="RP",5,(IF(E589="SC",6,0)))))))))))))))))))))))))))))))))))))))</f>
        <v>4</v>
      </c>
      <c r="G589" s="98">
        <v>1</v>
      </c>
      <c r="H589" s="90" t="s">
        <v>115</v>
      </c>
      <c r="I589" s="93" t="s">
        <v>85</v>
      </c>
      <c r="J589" s="87" t="s">
        <v>1059</v>
      </c>
      <c r="K589" s="119" t="s">
        <v>1060</v>
      </c>
      <c r="L589" s="117">
        <f>IF(O589="","",N589*O589*M589)</f>
        <v>0</v>
      </c>
      <c r="M589" s="108">
        <v>1</v>
      </c>
      <c r="N589" s="95">
        <v>1</v>
      </c>
      <c r="O589" s="109">
        <f>IF(Key!D$1="ON",P589,IF(SUM(Q589:DL589)&lt;1,"",SUM(Q589:DL589)/COUNTIF(Q589:DL589,"&gt;0")))</f>
        <v>0</v>
      </c>
      <c r="P589" s="109">
        <f>SUMIFS(Q589:DK589,Q$1:DK$1,Dashboard!$K$31)</f>
        <v>0</v>
      </c>
      <c r="U589" s="95">
        <v>33</v>
      </c>
      <c r="AA589" s="95">
        <v>25</v>
      </c>
      <c r="AH589" s="95">
        <v>75</v>
      </c>
    </row>
    <row r="590" spans="1:34" ht="15.6" x14ac:dyDescent="0.3">
      <c r="A590" s="89" t="str">
        <f>CONCATENATE(D590,".",F590,"-",G590,".",H590,"")</f>
        <v>1.4-1.1</v>
      </c>
      <c r="B590" s="89" t="str">
        <f>IF(CONCATENATE(I590,Key!F$2)=CONCATENATE(INDEX(Dashboard!J:J,MATCH(I590,Dashboard!J:J,0),1),INDEX(Dashboard!J:K,MATCH(I590,Dashboard!J:J,0),2)),"ON",IF(Dashboard!K$32="ALL","ON","-"))</f>
        <v>-</v>
      </c>
      <c r="C590" s="88" t="s">
        <v>110</v>
      </c>
      <c r="D590" s="89">
        <f>IF(C590="ID",1,(IF(C590="PR",2,(IF(C590="DE",3,(IF(C590="RS",4,(IF(C590="RC",5,0)))))))))</f>
        <v>1</v>
      </c>
      <c r="E590" s="89" t="s">
        <v>140</v>
      </c>
      <c r="F590" s="89">
        <f>IF(E590="AM",1,(IF(E590="BE",2,(IF(E590="GV",3,(IF(E590="RA",4,(IF(E590="RM",5,(IF(E590="AC",1,(IF(E590="AT",2,(IF(E590="DS",3,(IF(E590="IP",4,(IF(E590="MA",5,(IF(E590="PT",6,(IF(E590="AE",1,(IF(E590="CM",2,(IF(E590="DP",3,(IF(E590="AN",1,(IF(E590="CO",2,(IF(E590="IM",3,(IF(E590="MI",4,(IF(E590="RP",5,(IF(E590="SC",6,0)))))))))))))))))))))))))))))))))))))))</f>
        <v>4</v>
      </c>
      <c r="G590" s="52">
        <v>1</v>
      </c>
      <c r="H590" s="90" t="s">
        <v>115</v>
      </c>
      <c r="I590" s="93" t="s">
        <v>85</v>
      </c>
      <c r="J590" s="87" t="s">
        <v>1064</v>
      </c>
      <c r="K590" s="119" t="s">
        <v>4971</v>
      </c>
      <c r="L590" s="117">
        <f>IF(O590="","",N590*O590*M590)</f>
        <v>0</v>
      </c>
      <c r="M590" s="108">
        <v>1</v>
      </c>
      <c r="N590" s="95">
        <v>1</v>
      </c>
      <c r="O590" s="109">
        <f>IF(Key!D$1="ON",P590,IF(SUM(Q590:DL590)&lt;1,"",SUM(Q590:DL590)/COUNTIF(Q590:DL590,"&gt;0")))</f>
        <v>0</v>
      </c>
      <c r="P590" s="109">
        <f>SUMIFS(Q590:DK590,Q$1:DK$1,Dashboard!$K$31)</f>
        <v>0</v>
      </c>
      <c r="U590" s="95">
        <v>33</v>
      </c>
      <c r="AA590" s="95">
        <v>25</v>
      </c>
      <c r="AH590" s="95">
        <v>75</v>
      </c>
    </row>
    <row r="591" spans="1:34" ht="15.6" x14ac:dyDescent="0.3">
      <c r="A591" s="89" t="str">
        <f>CONCATENATE(D591,".",F591,"-",G591,".",H591,"")</f>
        <v>1.4-1.1</v>
      </c>
      <c r="B591" s="89" t="str">
        <f>IF(CONCATENATE(I591,Key!F$2)=CONCATENATE(INDEX(Dashboard!J:J,MATCH(I591,Dashboard!J:J,0),1),INDEX(Dashboard!J:K,MATCH(I591,Dashboard!J:J,0),2)),"ON",IF(Dashboard!K$32="ALL","ON","-"))</f>
        <v>-</v>
      </c>
      <c r="C591" s="88" t="s">
        <v>110</v>
      </c>
      <c r="D591" s="89">
        <f>IF(C591="ID",1,(IF(C591="PR",2,(IF(C591="DE",3,(IF(C591="RS",4,(IF(C591="RC",5,0)))))))))</f>
        <v>1</v>
      </c>
      <c r="E591" s="89" t="s">
        <v>140</v>
      </c>
      <c r="F591" s="89">
        <f>IF(E591="AM",1,(IF(E591="BE",2,(IF(E591="GV",3,(IF(E591="RA",4,(IF(E591="RM",5,(IF(E591="AC",1,(IF(E591="AT",2,(IF(E591="DS",3,(IF(E591="IP",4,(IF(E591="MA",5,(IF(E591="PT",6,(IF(E591="AE",1,(IF(E591="CM",2,(IF(E591="DP",3,(IF(E591="AN",1,(IF(E591="CO",2,(IF(E591="IM",3,(IF(E591="MI",4,(IF(E591="RP",5,(IF(E591="SC",6,0)))))))))))))))))))))))))))))))))))))))</f>
        <v>4</v>
      </c>
      <c r="G591" s="52">
        <v>1</v>
      </c>
      <c r="H591" s="90" t="s">
        <v>115</v>
      </c>
      <c r="I591" s="93" t="s">
        <v>85</v>
      </c>
      <c r="J591" s="87" t="s">
        <v>1077</v>
      </c>
      <c r="K591" s="119" t="s">
        <v>5090</v>
      </c>
      <c r="L591" s="117">
        <f>IF(O591="","",N591*O591*M591)</f>
        <v>0</v>
      </c>
      <c r="M591" s="108">
        <v>1</v>
      </c>
      <c r="N591" s="95">
        <v>1</v>
      </c>
      <c r="O591" s="109">
        <f>IF(Key!D$1="ON",P591,IF(SUM(Q591:DL591)&lt;1,"",SUM(Q591:DL591)/COUNTIF(Q591:DL591,"&gt;0")))</f>
        <v>0</v>
      </c>
      <c r="P591" s="109">
        <f>SUMIFS(Q591:DK591,Q$1:DK$1,Dashboard!$K$31)</f>
        <v>0</v>
      </c>
      <c r="U591" s="95">
        <v>33</v>
      </c>
      <c r="AA591" s="95">
        <v>25</v>
      </c>
      <c r="AH591" s="95">
        <v>75</v>
      </c>
    </row>
    <row r="592" spans="1:34" ht="15.6" x14ac:dyDescent="0.3">
      <c r="A592" s="89" t="str">
        <f>CONCATENATE(D592,".",F592,"-",G592,".",H592,"")</f>
        <v>1.4-1.1</v>
      </c>
      <c r="B592" s="89" t="str">
        <f>IF(CONCATENATE(I592,Key!F$2)=CONCATENATE(INDEX(Dashboard!J:J,MATCH(I592,Dashboard!J:J,0),1),INDEX(Dashboard!J:K,MATCH(I592,Dashboard!J:J,0),2)),"ON",IF(Dashboard!K$32="ALL","ON","-"))</f>
        <v>-</v>
      </c>
      <c r="C592" s="88" t="s">
        <v>110</v>
      </c>
      <c r="D592" s="89">
        <f>IF(C592="ID",1,(IF(C592="PR",2,(IF(C592="DE",3,(IF(C592="RS",4,(IF(C592="RC",5,0)))))))))</f>
        <v>1</v>
      </c>
      <c r="E592" s="89" t="s">
        <v>140</v>
      </c>
      <c r="F592" s="89">
        <f>IF(E592="AM",1,(IF(E592="BE",2,(IF(E592="GV",3,(IF(E592="RA",4,(IF(E592="RM",5,(IF(E592="AC",1,(IF(E592="AT",2,(IF(E592="DS",3,(IF(E592="IP",4,(IF(E592="MA",5,(IF(E592="PT",6,(IF(E592="AE",1,(IF(E592="CM",2,(IF(E592="DP",3,(IF(E592="AN",1,(IF(E592="CO",2,(IF(E592="IM",3,(IF(E592="MI",4,(IF(E592="RP",5,(IF(E592="SC",6,0)))))))))))))))))))))))))))))))))))))))</f>
        <v>4</v>
      </c>
      <c r="G592" s="52">
        <v>1</v>
      </c>
      <c r="H592" s="90" t="s">
        <v>115</v>
      </c>
      <c r="I592" s="93" t="s">
        <v>85</v>
      </c>
      <c r="J592" s="87" t="s">
        <v>1042</v>
      </c>
      <c r="K592" s="119" t="s">
        <v>4660</v>
      </c>
      <c r="L592" s="117">
        <f>IF(O592="","",N592*O592*M592)</f>
        <v>0</v>
      </c>
      <c r="M592" s="108">
        <v>1</v>
      </c>
      <c r="N592" s="95">
        <v>1</v>
      </c>
      <c r="O592" s="109">
        <f>IF(Key!D$1="ON",P592,IF(SUM(Q592:DL592)&lt;1,"",SUM(Q592:DL592)/COUNTIF(Q592:DL592,"&gt;0")))</f>
        <v>0</v>
      </c>
      <c r="P592" s="109">
        <f>SUMIFS(Q592:DK592,Q$1:DK$1,Dashboard!$K$31)</f>
        <v>0</v>
      </c>
      <c r="U592" s="95">
        <v>33</v>
      </c>
      <c r="AA592" s="95">
        <v>25</v>
      </c>
      <c r="AH592" s="95">
        <v>75</v>
      </c>
    </row>
    <row r="593" spans="1:34" x14ac:dyDescent="0.3">
      <c r="A593" s="89" t="str">
        <f>CONCATENATE(D593,".",F593,"-",G593,".",H593,"")</f>
        <v>1.4-1.1</v>
      </c>
      <c r="B593" s="89" t="str">
        <f>IF(CONCATENATE(I593,Key!F$2)=CONCATENATE(INDEX(Dashboard!J:J,MATCH(I593,Dashboard!J:J,0),1),INDEX(Dashboard!J:K,MATCH(I593,Dashboard!J:J,0),2)),"ON",IF(Dashboard!K$32="ALL","ON","-"))</f>
        <v>-</v>
      </c>
      <c r="C593" s="88" t="s">
        <v>110</v>
      </c>
      <c r="D593" s="89">
        <f>IF(C593="ID",1,(IF(C593="PR",2,(IF(C593="DE",3,(IF(C593="RS",4,(IF(C593="RC",5,0)))))))))</f>
        <v>1</v>
      </c>
      <c r="E593" s="89" t="s">
        <v>140</v>
      </c>
      <c r="F593" s="89">
        <f>IF(E593="AM",1,(IF(E593="BE",2,(IF(E593="GV",3,(IF(E593="RA",4,(IF(E593="RM",5,(IF(E593="AC",1,(IF(E593="AT",2,(IF(E593="DS",3,(IF(E593="IP",4,(IF(E593="MA",5,(IF(E593="PT",6,(IF(E593="AE",1,(IF(E593="CM",2,(IF(E593="DP",3,(IF(E593="AN",1,(IF(E593="CO",2,(IF(E593="IM",3,(IF(E593="MI",4,(IF(E593="RP",5,(IF(E593="SC",6,0)))))))))))))))))))))))))))))))))))))))</f>
        <v>4</v>
      </c>
      <c r="G593" s="52">
        <v>1</v>
      </c>
      <c r="H593" s="90" t="s">
        <v>115</v>
      </c>
      <c r="I593" s="93" t="s">
        <v>85</v>
      </c>
      <c r="J593" s="87" t="s">
        <v>1053</v>
      </c>
      <c r="K593" s="119" t="s">
        <v>4902</v>
      </c>
      <c r="L593" s="117">
        <f>IF(O593="","",N593*O593*M593)</f>
        <v>0</v>
      </c>
      <c r="M593" s="108">
        <v>1</v>
      </c>
      <c r="N593" s="95">
        <v>1</v>
      </c>
      <c r="O593" s="109">
        <f>IF(Key!D$1="ON",P593,IF(SUM(Q593:DL593)&lt;1,"",SUM(Q593:DL593)/COUNTIF(Q593:DL593,"&gt;0")))</f>
        <v>0</v>
      </c>
      <c r="P593" s="109">
        <f>SUMIFS(Q593:DK593,Q$1:DK$1,Dashboard!$K$31)</f>
        <v>0</v>
      </c>
      <c r="U593" s="95">
        <v>33</v>
      </c>
      <c r="AA593" s="95">
        <v>25</v>
      </c>
      <c r="AH593" s="95">
        <v>75</v>
      </c>
    </row>
    <row r="594" spans="1:34" ht="15.6" x14ac:dyDescent="0.3">
      <c r="A594" s="89" t="str">
        <f>CONCATENATE(D594,".",F594,"-",G594,".",H594,"")</f>
        <v>1.4-1.1</v>
      </c>
      <c r="B594" s="89" t="str">
        <f>IF(CONCATENATE(I594,Key!F$2)=CONCATENATE(INDEX(Dashboard!J:J,MATCH(I594,Dashboard!J:J,0),1),INDEX(Dashboard!J:K,MATCH(I594,Dashboard!J:J,0),2)),"ON",IF(Dashboard!K$32="ALL","ON","-"))</f>
        <v>-</v>
      </c>
      <c r="C594" s="88" t="s">
        <v>110</v>
      </c>
      <c r="D594" s="89">
        <f>IF(C594="ID",1,(IF(C594="PR",2,(IF(C594="DE",3,(IF(C594="RS",4,(IF(C594="RC",5,0)))))))))</f>
        <v>1</v>
      </c>
      <c r="E594" s="89" t="s">
        <v>140</v>
      </c>
      <c r="F594" s="89">
        <f>IF(E594="AM",1,(IF(E594="BE",2,(IF(E594="GV",3,(IF(E594="RA",4,(IF(E594="RM",5,(IF(E594="AC",1,(IF(E594="AT",2,(IF(E594="DS",3,(IF(E594="IP",4,(IF(E594="MA",5,(IF(E594="PT",6,(IF(E594="AE",1,(IF(E594="CM",2,(IF(E594="DP",3,(IF(E594="AN",1,(IF(E594="CO",2,(IF(E594="IM",3,(IF(E594="MI",4,(IF(E594="RP",5,(IF(E594="SC",6,0)))))))))))))))))))))))))))))))))))))))</f>
        <v>4</v>
      </c>
      <c r="G594" s="52">
        <v>1</v>
      </c>
      <c r="H594" s="90" t="s">
        <v>115</v>
      </c>
      <c r="I594" s="93" t="s">
        <v>85</v>
      </c>
      <c r="J594" s="87" t="s">
        <v>1069</v>
      </c>
      <c r="K594" s="119" t="s">
        <v>4975</v>
      </c>
      <c r="L594" s="117">
        <f>IF(O594="","",N594*O594*M594)</f>
        <v>0</v>
      </c>
      <c r="M594" s="108">
        <v>1</v>
      </c>
      <c r="N594" s="95">
        <v>1</v>
      </c>
      <c r="O594" s="109">
        <f>IF(Key!D$1="ON",P594,IF(SUM(Q594:DL594)&lt;1,"",SUM(Q594:DL594)/COUNTIF(Q594:DL594,"&gt;0")))</f>
        <v>0</v>
      </c>
      <c r="P594" s="109">
        <f>SUMIFS(Q594:DK594,Q$1:DK$1,Dashboard!$K$31)</f>
        <v>0</v>
      </c>
      <c r="U594" s="95">
        <v>33</v>
      </c>
      <c r="AA594" s="95">
        <v>25</v>
      </c>
      <c r="AH594" s="95">
        <v>75</v>
      </c>
    </row>
    <row r="595" spans="1:34" x14ac:dyDescent="0.3">
      <c r="A595" s="89" t="str">
        <f>CONCATENATE(D595,".",F595,"-",G595,".",H595,"")</f>
        <v>1.4-1.1</v>
      </c>
      <c r="B595" s="89" t="str">
        <f>IF(CONCATENATE(I595,Key!F$2)=CONCATENATE(INDEX(Dashboard!J:J,MATCH(I595,Dashboard!J:J,0),1),INDEX(Dashboard!J:K,MATCH(I595,Dashboard!J:J,0),2)),"ON",IF(Dashboard!K$32="ALL","ON","-"))</f>
        <v>-</v>
      </c>
      <c r="C595" s="88" t="s">
        <v>110</v>
      </c>
      <c r="D595" s="89">
        <f>IF(C595="ID",1,(IF(C595="PR",2,(IF(C595="DE",3,(IF(C595="RS",4,(IF(C595="RC",5,0)))))))))</f>
        <v>1</v>
      </c>
      <c r="E595" s="89" t="s">
        <v>140</v>
      </c>
      <c r="F595" s="89">
        <f>IF(E595="AM",1,(IF(E595="BE",2,(IF(E595="GV",3,(IF(E595="RA",4,(IF(E595="RM",5,(IF(E595="AC",1,(IF(E595="AT",2,(IF(E595="DS",3,(IF(E595="IP",4,(IF(E595="MA",5,(IF(E595="PT",6,(IF(E595="AE",1,(IF(E595="CM",2,(IF(E595="DP",3,(IF(E595="AN",1,(IF(E595="CO",2,(IF(E595="IM",3,(IF(E595="MI",4,(IF(E595="RP",5,(IF(E595="SC",6,0)))))))))))))))))))))))))))))))))))))))</f>
        <v>4</v>
      </c>
      <c r="G595" s="52">
        <v>1</v>
      </c>
      <c r="H595" s="90" t="s">
        <v>115</v>
      </c>
      <c r="I595" s="93" t="s">
        <v>85</v>
      </c>
      <c r="J595" s="87" t="s">
        <v>1083</v>
      </c>
      <c r="K595" s="119" t="s">
        <v>5106</v>
      </c>
      <c r="L595" s="117">
        <f>IF(O595="","",N595*O595*M595)</f>
        <v>0</v>
      </c>
      <c r="M595" s="108">
        <v>1</v>
      </c>
      <c r="N595" s="95">
        <v>1</v>
      </c>
      <c r="O595" s="109">
        <f>IF(Key!D$1="ON",P595,IF(SUM(Q595:DL595)&lt;1,"",SUM(Q595:DL595)/COUNTIF(Q595:DL595,"&gt;0")))</f>
        <v>0</v>
      </c>
      <c r="P595" s="109">
        <f>SUMIFS(Q595:DK595,Q$1:DK$1,Dashboard!$K$31)</f>
        <v>0</v>
      </c>
      <c r="U595" s="95">
        <v>33</v>
      </c>
      <c r="AA595" s="95">
        <v>25</v>
      </c>
      <c r="AH595" s="95">
        <v>75</v>
      </c>
    </row>
    <row r="596" spans="1:34" x14ac:dyDescent="0.3">
      <c r="A596" s="89" t="str">
        <f>CONCATENATE(D596,".",F596,"-",G596,".",H596,"")</f>
        <v>1.4-1.1</v>
      </c>
      <c r="B596" s="89" t="str">
        <f>IF(CONCATENATE(I596,Key!F$2)=CONCATENATE(INDEX(Dashboard!J:J,MATCH(I596,Dashboard!J:J,0),1),INDEX(Dashboard!J:K,MATCH(I596,Dashboard!J:J,0),2)),"ON",IF(Dashboard!K$32="ALL","ON","-"))</f>
        <v>-</v>
      </c>
      <c r="C596" s="96" t="s">
        <v>110</v>
      </c>
      <c r="D596" s="89">
        <f>IF(C596="ID",1,(IF(C596="PR",2,(IF(C596="DE",3,(IF(C596="RS",4,(IF(C596="RC",5,0)))))))))</f>
        <v>1</v>
      </c>
      <c r="E596" s="89" t="s">
        <v>140</v>
      </c>
      <c r="F596" s="89">
        <f>IF(E596="AM",1,(IF(E596="BE",2,(IF(E596="GV",3,(IF(E596="RA",4,(IF(E596="RM",5,(IF(E596="AC",1,(IF(E596="AT",2,(IF(E596="DS",3,(IF(E596="IP",4,(IF(E596="MA",5,(IF(E596="PT",6,(IF(E596="AE",1,(IF(E596="CM",2,(IF(E596="DP",3,(IF(E596="AN",1,(IF(E596="CO",2,(IF(E596="IM",3,(IF(E596="MI",4,(IF(E596="RP",5,(IF(E596="SC",6,0)))))))))))))))))))))))))))))))))))))))</f>
        <v>4</v>
      </c>
      <c r="G596" s="98">
        <v>1</v>
      </c>
      <c r="H596" s="90" t="s">
        <v>115</v>
      </c>
      <c r="I596" s="93" t="s">
        <v>85</v>
      </c>
      <c r="J596" s="87" t="s">
        <v>1049</v>
      </c>
      <c r="K596" s="119" t="s">
        <v>1050</v>
      </c>
      <c r="L596" s="117">
        <f>IF(O596="","",N596*O596*M596)</f>
        <v>0</v>
      </c>
      <c r="M596" s="108">
        <v>1</v>
      </c>
      <c r="N596" s="95">
        <v>1</v>
      </c>
      <c r="O596" s="109">
        <f>IF(Key!D$1="ON",P596,IF(SUM(Q596:DL596)&lt;1,"",SUM(Q596:DL596)/COUNTIF(Q596:DL596,"&gt;0")))</f>
        <v>0</v>
      </c>
      <c r="P596" s="109">
        <f>SUMIFS(Q596:DK596,Q$1:DK$1,Dashboard!$K$31)</f>
        <v>0</v>
      </c>
      <c r="U596" s="95">
        <v>33</v>
      </c>
      <c r="AA596" s="95">
        <v>25</v>
      </c>
      <c r="AH596" s="95">
        <v>75</v>
      </c>
    </row>
    <row r="597" spans="1:34" x14ac:dyDescent="0.3">
      <c r="A597" s="89" t="str">
        <f>CONCATENATE(D597,".",F597,"-",G597,".",H597,"")</f>
        <v>1.4-1.1</v>
      </c>
      <c r="B597" s="89" t="str">
        <f>IF(CONCATENATE(I597,Key!F$2)=CONCATENATE(INDEX(Dashboard!J:J,MATCH(I597,Dashboard!J:J,0),1),INDEX(Dashboard!J:K,MATCH(I597,Dashboard!J:J,0),2)),"ON",IF(Dashboard!K$32="ALL","ON","-"))</f>
        <v>-</v>
      </c>
      <c r="C597" s="88" t="s">
        <v>110</v>
      </c>
      <c r="D597" s="89">
        <f>IF(C597="ID",1,(IF(C597="PR",2,(IF(C597="DE",3,(IF(C597="RS",4,(IF(C597="RC",5,0)))))))))</f>
        <v>1</v>
      </c>
      <c r="E597" s="89" t="s">
        <v>140</v>
      </c>
      <c r="F597" s="89">
        <f>IF(E597="AM",1,(IF(E597="BE",2,(IF(E597="GV",3,(IF(E597="RA",4,(IF(E597="RM",5,(IF(E597="AC",1,(IF(E597="AT",2,(IF(E597="DS",3,(IF(E597="IP",4,(IF(E597="MA",5,(IF(E597="PT",6,(IF(E597="AE",1,(IF(E597="CM",2,(IF(E597="DP",3,(IF(E597="AN",1,(IF(E597="CO",2,(IF(E597="IM",3,(IF(E597="MI",4,(IF(E597="RP",5,(IF(E597="SC",6,0)))))))))))))))))))))))))))))))))))))))</f>
        <v>4</v>
      </c>
      <c r="G597" s="52">
        <v>1</v>
      </c>
      <c r="H597" s="90" t="s">
        <v>115</v>
      </c>
      <c r="I597" s="93" t="s">
        <v>85</v>
      </c>
      <c r="J597" s="87" t="s">
        <v>1087</v>
      </c>
      <c r="K597" s="119" t="s">
        <v>5110</v>
      </c>
      <c r="L597" s="117">
        <f>IF(O597="","",N597*O597*M597)</f>
        <v>0</v>
      </c>
      <c r="M597" s="108">
        <v>1</v>
      </c>
      <c r="N597" s="95">
        <v>1</v>
      </c>
      <c r="O597" s="109">
        <f>IF(Key!D$1="ON",P597,IF(SUM(Q597:DL597)&lt;1,"",SUM(Q597:DL597)/COUNTIF(Q597:DL597,"&gt;0")))</f>
        <v>0</v>
      </c>
      <c r="P597" s="109">
        <f>SUMIFS(Q597:DK597,Q$1:DK$1,Dashboard!$K$31)</f>
        <v>0</v>
      </c>
      <c r="U597" s="95">
        <v>33</v>
      </c>
      <c r="AA597" s="95">
        <v>25</v>
      </c>
      <c r="AH597" s="95">
        <v>75</v>
      </c>
    </row>
    <row r="598" spans="1:34" x14ac:dyDescent="0.3">
      <c r="A598" s="89" t="str">
        <f>CONCATENATE(D598,".",F598,"-",G598,".",H598,"")</f>
        <v>1.4-1.1</v>
      </c>
      <c r="B598" s="89" t="str">
        <f>IF(CONCATENATE(I598,Key!F$2)=CONCATENATE(INDEX(Dashboard!J:J,MATCH(I598,Dashboard!J:J,0),1),INDEX(Dashboard!J:K,MATCH(I598,Dashboard!J:J,0),2)),"ON",IF(Dashboard!K$32="ALL","ON","-"))</f>
        <v>-</v>
      </c>
      <c r="C598" s="88" t="s">
        <v>110</v>
      </c>
      <c r="D598" s="89">
        <f>IF(C598="ID",1,(IF(C598="PR",2,(IF(C598="DE",3,(IF(C598="RS",4,(IF(C598="RC",5,0)))))))))</f>
        <v>1</v>
      </c>
      <c r="E598" s="89" t="s">
        <v>140</v>
      </c>
      <c r="F598" s="89">
        <f>IF(E598="AM",1,(IF(E598="BE",2,(IF(E598="GV",3,(IF(E598="RA",4,(IF(E598="RM",5,(IF(E598="AC",1,(IF(E598="AT",2,(IF(E598="DS",3,(IF(E598="IP",4,(IF(E598="MA",5,(IF(E598="PT",6,(IF(E598="AE",1,(IF(E598="CM",2,(IF(E598="DP",3,(IF(E598="AN",1,(IF(E598="CO",2,(IF(E598="IM",3,(IF(E598="MI",4,(IF(E598="RP",5,(IF(E598="SC",6,0)))))))))))))))))))))))))))))))))))))))</f>
        <v>4</v>
      </c>
      <c r="G598" s="52">
        <v>1</v>
      </c>
      <c r="H598" s="90" t="s">
        <v>115</v>
      </c>
      <c r="I598" s="93" t="s">
        <v>85</v>
      </c>
      <c r="J598" s="87" t="s">
        <v>1088</v>
      </c>
      <c r="K598" s="119" t="s">
        <v>5111</v>
      </c>
      <c r="L598" s="117">
        <f>IF(O598="","",N598*O598*M598)</f>
        <v>0</v>
      </c>
      <c r="M598" s="108">
        <v>1</v>
      </c>
      <c r="N598" s="95">
        <v>1</v>
      </c>
      <c r="O598" s="109">
        <f>IF(Key!D$1="ON",P598,IF(SUM(Q598:DL598)&lt;1,"",SUM(Q598:DL598)/COUNTIF(Q598:DL598,"&gt;0")))</f>
        <v>0</v>
      </c>
      <c r="P598" s="109">
        <f>SUMIFS(Q598:DK598,Q$1:DK$1,Dashboard!$K$31)</f>
        <v>0</v>
      </c>
      <c r="U598" s="95">
        <v>33</v>
      </c>
      <c r="AA598" s="95">
        <v>25</v>
      </c>
      <c r="AH598" s="95">
        <v>75</v>
      </c>
    </row>
    <row r="599" spans="1:34" ht="15.6" x14ac:dyDescent="0.3">
      <c r="A599" s="89" t="str">
        <f>CONCATENATE(D599,".",F599,"-",G599,".",H599,"")</f>
        <v>1.4-1.1</v>
      </c>
      <c r="B599" s="89" t="str">
        <f>IF(CONCATENATE(I599,Key!F$2)=CONCATENATE(INDEX(Dashboard!J:J,MATCH(I599,Dashboard!J:J,0),1),INDEX(Dashboard!J:K,MATCH(I599,Dashboard!J:J,0),2)),"ON",IF(Dashboard!K$32="ALL","ON","-"))</f>
        <v>-</v>
      </c>
      <c r="C599" s="88" t="s">
        <v>110</v>
      </c>
      <c r="D599" s="89">
        <f>IF(C599="ID",1,(IF(C599="PR",2,(IF(C599="DE",3,(IF(C599="RS",4,(IF(C599="RC",5,0)))))))))</f>
        <v>1</v>
      </c>
      <c r="E599" s="89" t="s">
        <v>140</v>
      </c>
      <c r="F599" s="89">
        <f>IF(E599="AM",1,(IF(E599="BE",2,(IF(E599="GV",3,(IF(E599="RA",4,(IF(E599="RM",5,(IF(E599="AC",1,(IF(E599="AT",2,(IF(E599="DS",3,(IF(E599="IP",4,(IF(E599="MA",5,(IF(E599="PT",6,(IF(E599="AE",1,(IF(E599="CM",2,(IF(E599="DP",3,(IF(E599="AN",1,(IF(E599="CO",2,(IF(E599="IM",3,(IF(E599="MI",4,(IF(E599="RP",5,(IF(E599="SC",6,0)))))))))))))))))))))))))))))))))))))))</f>
        <v>4</v>
      </c>
      <c r="G599" s="52">
        <v>1</v>
      </c>
      <c r="H599" s="90" t="s">
        <v>115</v>
      </c>
      <c r="I599" s="93" t="s">
        <v>85</v>
      </c>
      <c r="J599" s="135" t="s">
        <v>3912</v>
      </c>
      <c r="K599" s="143" t="s">
        <v>4720</v>
      </c>
      <c r="L599" s="117">
        <f>IF(O599="","",N599*O599*M599)</f>
        <v>0</v>
      </c>
      <c r="M599" s="108">
        <v>1</v>
      </c>
      <c r="N599" s="95">
        <v>1</v>
      </c>
      <c r="O599" s="109">
        <f>IF(Key!D$1="ON",P599,IF(SUM(Q599:DL599)&lt;1,"",SUM(Q599:DL599)/COUNTIF(Q599:DL599,"&gt;0")))</f>
        <v>0</v>
      </c>
      <c r="P599" s="109">
        <f>SUMIFS(Q599:DK599,Q$1:DK$1,Dashboard!$K$31)</f>
        <v>0</v>
      </c>
      <c r="U599" s="95">
        <v>33</v>
      </c>
      <c r="AA599" s="95">
        <v>25</v>
      </c>
      <c r="AH599" s="95">
        <v>75</v>
      </c>
    </row>
    <row r="600" spans="1:34" x14ac:dyDescent="0.3">
      <c r="A600" s="89" t="str">
        <f>CONCATENATE(D600,".",F600,"-",G600,".",H600,"")</f>
        <v>1.4-2.0</v>
      </c>
      <c r="B600" s="89" t="str">
        <f>IF(CONCATENATE(I600,Key!F$2)=CONCATENATE(INDEX(Dashboard!J:J,MATCH(I600,Dashboard!J:J,0),1),INDEX(Dashboard!J:K,MATCH(I600,Dashboard!J:J,0),2)),"ON",IF(Dashboard!K$32="ALL","ON","-"))</f>
        <v>-</v>
      </c>
      <c r="C600" s="96" t="s">
        <v>110</v>
      </c>
      <c r="D600" s="89">
        <f>IF(C600="ID",1,(IF(C600="PR",2,(IF(C600="DE",3,(IF(C600="RS",4,(IF(C600="RC",5,0)))))))))</f>
        <v>1</v>
      </c>
      <c r="E600" s="89" t="s">
        <v>140</v>
      </c>
      <c r="F600" s="89">
        <f>IF(E600="AM",1,(IF(E600="BE",2,(IF(E600="GV",3,(IF(E600="RA",4,(IF(E600="RM",5,(IF(E600="AC",1,(IF(E600="AT",2,(IF(E600="DS",3,(IF(E600="IP",4,(IF(E600="MA",5,(IF(E600="PT",6,(IF(E600="AE",1,(IF(E600="CM",2,(IF(E600="DP",3,(IF(E600="AN",1,(IF(E600="CO",2,(IF(E600="IM",3,(IF(E600="MI",4,(IF(E600="RP",5,(IF(E600="SC",6,0)))))))))))))))))))))))))))))))))))))))</f>
        <v>4</v>
      </c>
      <c r="G600" s="52">
        <v>2</v>
      </c>
      <c r="H600" s="90" t="s">
        <v>347</v>
      </c>
      <c r="I600" s="93" t="s">
        <v>2835</v>
      </c>
      <c r="J600" s="53" t="s">
        <v>2880</v>
      </c>
      <c r="K600" s="152" t="s">
        <v>2881</v>
      </c>
      <c r="L600" s="117">
        <f>IF(O600="","",N600*O600*M600)</f>
        <v>0</v>
      </c>
      <c r="M600" s="108">
        <v>1</v>
      </c>
      <c r="N600" s="95">
        <v>1</v>
      </c>
      <c r="O600" s="109">
        <f>IF(Key!D$1="ON",P600,IF(SUM(Q600:DL600)&lt;1,"",SUM(Q600:DL600)/COUNTIF(Q600:DL600,"&gt;0")))</f>
        <v>0</v>
      </c>
      <c r="P600" s="109">
        <f>SUMIFS(Q600:DK600,Q$1:DK$1,Dashboard!$K$31)</f>
        <v>0</v>
      </c>
      <c r="U600" s="95">
        <v>33</v>
      </c>
    </row>
    <row r="601" spans="1:34" x14ac:dyDescent="0.3">
      <c r="A601" s="89" t="str">
        <f>CONCATENATE(D601,".",F601,"-",G601,".",H601,"")</f>
        <v>1.4-2.1</v>
      </c>
      <c r="B601" s="89" t="str">
        <f>IF(CONCATENATE(I601,Key!F$2)=CONCATENATE(INDEX(Dashboard!J:J,MATCH(I601,Dashboard!J:J,0),1),INDEX(Dashboard!J:K,MATCH(I601,Dashboard!J:J,0),2)),"ON",IF(Dashboard!K$32="ALL","ON","-"))</f>
        <v>ON</v>
      </c>
      <c r="C601" s="130" t="s">
        <v>110</v>
      </c>
      <c r="D601" s="89">
        <f>IF(C601="ID",1,(IF(C601="PR",2,(IF(C601="DE",3,(IF(C601="RS",4,(IF(C601="RC",5,0)))))))))</f>
        <v>1</v>
      </c>
      <c r="E601" s="95" t="s">
        <v>140</v>
      </c>
      <c r="F601" s="89">
        <f>IF(E601="AM",1,(IF(E601="BE",2,(IF(E601="GV",3,(IF(E601="RA",4,(IF(E601="RM",5,(IF(E601="AC",1,(IF(E601="AT",2,(IF(E601="DS",3,(IF(E601="IP",4,(IF(E601="MA",5,(IF(E601="PT",6,(IF(E601="AE",1,(IF(E601="CM",2,(IF(E601="DP",3,(IF(E601="AN",1,(IF(E601="CO",2,(IF(E601="IM",3,(IF(E601="MI",4,(IF(E601="RP",5,(IF(E601="SC",6,0)))))))))))))))))))))))))))))))))))))))</f>
        <v>4</v>
      </c>
      <c r="G601" s="52">
        <v>2</v>
      </c>
      <c r="H601" s="90" t="s">
        <v>115</v>
      </c>
      <c r="I601" s="93" t="s">
        <v>4107</v>
      </c>
      <c r="J601" s="86" t="s">
        <v>4051</v>
      </c>
      <c r="K601" s="101" t="s">
        <v>4483</v>
      </c>
      <c r="L601" s="117">
        <f>IF(O601="","",N601*O601*M601)</f>
        <v>0</v>
      </c>
      <c r="M601" s="108">
        <v>1</v>
      </c>
      <c r="N601" s="95">
        <v>1</v>
      </c>
      <c r="O601" s="109">
        <f>IF(Key!D$1="ON",P601,IF(SUM(Q601:DL601)&lt;1,"",SUM(Q601:DL601)/COUNTIF(Q601:DL601,"&gt;0")))</f>
        <v>0</v>
      </c>
      <c r="P601" s="109">
        <f>SUMIFS(Q601:DK601,Q$1:DK$1,Dashboard!$K$31)</f>
        <v>0</v>
      </c>
      <c r="U601" s="95">
        <v>33</v>
      </c>
      <c r="AA601" s="95">
        <v>25</v>
      </c>
      <c r="AH601" s="95">
        <v>75</v>
      </c>
    </row>
    <row r="602" spans="1:34" ht="15.6" x14ac:dyDescent="0.3">
      <c r="A602" s="89" t="str">
        <f>CONCATENATE(D602,".",F602,"-",G602,".",H602,"")</f>
        <v>1.4-2.1</v>
      </c>
      <c r="B602" s="89" t="str">
        <f>IF(CONCATENATE(I602,Key!F$2)=CONCATENATE(INDEX(Dashboard!J:J,MATCH(I602,Dashboard!J:J,0),1),INDEX(Dashboard!J:K,MATCH(I602,Dashboard!J:J,0),2)),"ON",IF(Dashboard!K$32="ALL","ON","-"))</f>
        <v>ON</v>
      </c>
      <c r="C602" s="130" t="s">
        <v>110</v>
      </c>
      <c r="D602" s="89">
        <f>IF(C602="ID",1,(IF(C602="PR",2,(IF(C602="DE",3,(IF(C602="RS",4,(IF(C602="RC",5,0)))))))))</f>
        <v>1</v>
      </c>
      <c r="E602" s="95" t="s">
        <v>140</v>
      </c>
      <c r="F602" s="89">
        <f>IF(E602="AM",1,(IF(E602="BE",2,(IF(E602="GV",3,(IF(E602="RA",4,(IF(E602="RM",5,(IF(E602="AC",1,(IF(E602="AT",2,(IF(E602="DS",3,(IF(E602="IP",4,(IF(E602="MA",5,(IF(E602="PT",6,(IF(E602="AE",1,(IF(E602="CM",2,(IF(E602="DP",3,(IF(E602="AN",1,(IF(E602="CO",2,(IF(E602="IM",3,(IF(E602="MI",4,(IF(E602="RP",5,(IF(E602="SC",6,0)))))))))))))))))))))))))))))))))))))))</f>
        <v>4</v>
      </c>
      <c r="G602" s="52">
        <v>2</v>
      </c>
      <c r="H602" s="90" t="s">
        <v>115</v>
      </c>
      <c r="I602" s="93" t="s">
        <v>4107</v>
      </c>
      <c r="J602" s="86" t="s">
        <v>4064</v>
      </c>
      <c r="K602" s="101" t="s">
        <v>4404</v>
      </c>
      <c r="L602" s="117">
        <f>IF(O602="","",N602*O602*M602)</f>
        <v>0</v>
      </c>
      <c r="M602" s="108">
        <v>1</v>
      </c>
      <c r="N602" s="95">
        <v>1</v>
      </c>
      <c r="O602" s="109">
        <f>IF(Key!D$1="ON",P602,IF(SUM(Q602:DL602)&lt;1,"",SUM(Q602:DL602)/COUNTIF(Q602:DL602,"&gt;0")))</f>
        <v>0</v>
      </c>
      <c r="P602" s="109">
        <f>SUMIFS(Q602:DK602,Q$1:DK$1,Dashboard!$K$31)</f>
        <v>0</v>
      </c>
      <c r="U602" s="95">
        <v>33</v>
      </c>
      <c r="AA602" s="95">
        <v>25</v>
      </c>
      <c r="AH602" s="95">
        <v>75</v>
      </c>
    </row>
    <row r="603" spans="1:34" x14ac:dyDescent="0.3">
      <c r="A603" s="89" t="str">
        <f>CONCATENATE(D603,".",F603,"-",G603,".",H603,"")</f>
        <v>1.4-2.1</v>
      </c>
      <c r="B603" s="89" t="str">
        <f>IF(CONCATENATE(I603,Key!F$2)=CONCATENATE(INDEX(Dashboard!J:J,MATCH(I603,Dashboard!J:J,0),1),INDEX(Dashboard!J:K,MATCH(I603,Dashboard!J:J,0),2)),"ON",IF(Dashboard!K$32="ALL","ON","-"))</f>
        <v>ON</v>
      </c>
      <c r="C603" s="130" t="s">
        <v>110</v>
      </c>
      <c r="D603" s="89">
        <f>IF(C603="ID",1,(IF(C603="PR",2,(IF(C603="DE",3,(IF(C603="RS",4,(IF(C603="RC",5,0)))))))))</f>
        <v>1</v>
      </c>
      <c r="E603" s="95" t="s">
        <v>140</v>
      </c>
      <c r="F603" s="89">
        <f>IF(E603="AM",1,(IF(E603="BE",2,(IF(E603="GV",3,(IF(E603="RA",4,(IF(E603="RM",5,(IF(E603="AC",1,(IF(E603="AT",2,(IF(E603="DS",3,(IF(E603="IP",4,(IF(E603="MA",5,(IF(E603="PT",6,(IF(E603="AE",1,(IF(E603="CM",2,(IF(E603="DP",3,(IF(E603="AN",1,(IF(E603="CO",2,(IF(E603="IM",3,(IF(E603="MI",4,(IF(E603="RP",5,(IF(E603="SC",6,0)))))))))))))))))))))))))))))))))))))))</f>
        <v>4</v>
      </c>
      <c r="G603" s="52">
        <v>2</v>
      </c>
      <c r="H603" s="90" t="s">
        <v>115</v>
      </c>
      <c r="I603" s="93" t="s">
        <v>4107</v>
      </c>
      <c r="J603" s="86" t="s">
        <v>4104</v>
      </c>
      <c r="K603" s="101" t="s">
        <v>4420</v>
      </c>
      <c r="L603" s="117">
        <f>IF(O603="","",N603*O603*M603)</f>
        <v>0</v>
      </c>
      <c r="M603" s="108">
        <v>1</v>
      </c>
      <c r="N603" s="95">
        <v>1</v>
      </c>
      <c r="O603" s="109">
        <f>IF(Key!D$1="ON",P603,IF(SUM(Q603:DL603)&lt;1,"",SUM(Q603:DL603)/COUNTIF(Q603:DL603,"&gt;0")))</f>
        <v>0</v>
      </c>
      <c r="P603" s="109">
        <f>SUMIFS(Q603:DK603,Q$1:DK$1,Dashboard!$K$31)</f>
        <v>0</v>
      </c>
      <c r="U603" s="95">
        <v>33</v>
      </c>
      <c r="AA603" s="95">
        <v>25</v>
      </c>
      <c r="AH603" s="95">
        <v>75</v>
      </c>
    </row>
    <row r="604" spans="1:34" ht="15.6" x14ac:dyDescent="0.3">
      <c r="A604" s="89" t="str">
        <f>CONCATENATE(D604,".",F604,"-",G604,".",H604,"")</f>
        <v>1.4-2.1</v>
      </c>
      <c r="B604" s="89" t="str">
        <f>IF(CONCATENATE(I604,Key!F$2)=CONCATENATE(INDEX(Dashboard!J:J,MATCH(I604,Dashboard!J:J,0),1),INDEX(Dashboard!J:K,MATCH(I604,Dashboard!J:J,0),2)),"ON",IF(Dashboard!K$32="ALL","ON","-"))</f>
        <v>-</v>
      </c>
      <c r="C604" s="96" t="s">
        <v>110</v>
      </c>
      <c r="D604" s="89">
        <f>IF(C604="ID",1,(IF(C604="PR",2,(IF(C604="DE",3,(IF(C604="RS",4,(IF(C604="RC",5,0)))))))))</f>
        <v>1</v>
      </c>
      <c r="E604" s="89" t="s">
        <v>140</v>
      </c>
      <c r="F604" s="89">
        <f>IF(E604="AM",1,(IF(E604="BE",2,(IF(E604="GV",3,(IF(E604="RA",4,(IF(E604="RM",5,(IF(E604="AC",1,(IF(E604="AT",2,(IF(E604="DS",3,(IF(E604="IP",4,(IF(E604="MA",5,(IF(E604="PT",6,(IF(E604="AE",1,(IF(E604="CM",2,(IF(E604="DP",3,(IF(E604="AN",1,(IF(E604="CO",2,(IF(E604="IM",3,(IF(E604="MI",4,(IF(E604="RP",5,(IF(E604="SC",6,0)))))))))))))))))))))))))))))))))))))))</f>
        <v>4</v>
      </c>
      <c r="G604" s="98">
        <v>2</v>
      </c>
      <c r="H604" s="90" t="s">
        <v>115</v>
      </c>
      <c r="I604" s="93" t="s">
        <v>52</v>
      </c>
      <c r="J604" s="129" t="s">
        <v>3327</v>
      </c>
      <c r="K604" s="102" t="s">
        <v>3328</v>
      </c>
      <c r="L604" s="117">
        <f>IF(O604="","",N604*O604*M604)</f>
        <v>0</v>
      </c>
      <c r="M604" s="108">
        <v>1</v>
      </c>
      <c r="N604" s="95">
        <v>1</v>
      </c>
      <c r="O604" s="109">
        <f>IF(Key!D$1="ON",P604,IF(SUM(Q604:DL604)&lt;1,"",SUM(Q604:DL604)/COUNTIF(Q604:DL604,"&gt;0")))</f>
        <v>0</v>
      </c>
      <c r="P604" s="109">
        <f>SUMIFS(Q604:DK604,Q$1:DK$1,Dashboard!$K$31)</f>
        <v>0</v>
      </c>
      <c r="U604" s="95">
        <v>33</v>
      </c>
      <c r="AA604" s="95">
        <v>25</v>
      </c>
      <c r="AH604" s="95">
        <v>75</v>
      </c>
    </row>
    <row r="605" spans="1:34" x14ac:dyDescent="0.3">
      <c r="A605" s="89" t="str">
        <f>CONCATENATE(D605,".",F605,"-",G605,".",H605,"")</f>
        <v>1.4-2.1</v>
      </c>
      <c r="B605" s="89" t="str">
        <f>IF(CONCATENATE(I605,Key!F$2)=CONCATENATE(INDEX(Dashboard!J:J,MATCH(I605,Dashboard!J:J,0),1),INDEX(Dashboard!J:K,MATCH(I605,Dashboard!J:J,0),2)),"ON",IF(Dashboard!K$32="ALL","ON","-"))</f>
        <v>-</v>
      </c>
      <c r="C605" s="88" t="s">
        <v>110</v>
      </c>
      <c r="D605" s="89">
        <f>IF(C605="ID",1,(IF(C605="PR",2,(IF(C605="DE",3,(IF(C605="RS",4,(IF(C605="RC",5,0)))))))))</f>
        <v>1</v>
      </c>
      <c r="E605" s="89" t="s">
        <v>140</v>
      </c>
      <c r="F605" s="89">
        <f>IF(E605="AM",1,(IF(E605="BE",2,(IF(E605="GV",3,(IF(E605="RA",4,(IF(E605="RM",5,(IF(E605="AC",1,(IF(E605="AT",2,(IF(E605="DS",3,(IF(E605="IP",4,(IF(E605="MA",5,(IF(E605="PT",6,(IF(E605="AE",1,(IF(E605="CM",2,(IF(E605="DP",3,(IF(E605="AN",1,(IF(E605="CO",2,(IF(E605="IM",3,(IF(E605="MI",4,(IF(E605="RP",5,(IF(E605="SC",6,0)))))))))))))))))))))))))))))))))))))))</f>
        <v>4</v>
      </c>
      <c r="G605" s="52">
        <v>2</v>
      </c>
      <c r="H605" s="89">
        <v>1</v>
      </c>
      <c r="I605" s="93" t="s">
        <v>60</v>
      </c>
      <c r="J605" s="88" t="s">
        <v>3156</v>
      </c>
      <c r="K605" s="51" t="s">
        <v>5269</v>
      </c>
      <c r="L605" s="117">
        <f>IF(O605="","",N605*O605*M605)</f>
        <v>0</v>
      </c>
      <c r="M605" s="108">
        <v>1</v>
      </c>
      <c r="N605" s="95">
        <v>1</v>
      </c>
      <c r="O605" s="109">
        <f>IF(Key!D$1="ON",P605,IF(SUM(Q605:DL605)&lt;1,"",SUM(Q605:DL605)/COUNTIF(Q605:DL605,"&gt;0")))</f>
        <v>0</v>
      </c>
      <c r="P605" s="109">
        <f>SUMIFS(Q605:DK605,Q$1:DK$1,Dashboard!$K$31)</f>
        <v>0</v>
      </c>
      <c r="U605" s="95">
        <v>33</v>
      </c>
      <c r="AA605" s="95">
        <v>25</v>
      </c>
      <c r="AH605" s="95">
        <v>75</v>
      </c>
    </row>
    <row r="606" spans="1:34" x14ac:dyDescent="0.3">
      <c r="A606" s="89" t="str">
        <f>CONCATENATE(D606,".",F606,"-",G606,".",H606,"")</f>
        <v>1.4-2.1</v>
      </c>
      <c r="B606" s="89" t="str">
        <f>IF(CONCATENATE(I606,Key!F$2)=CONCATENATE(INDEX(Dashboard!J:J,MATCH(I606,Dashboard!J:J,0),1),INDEX(Dashboard!J:K,MATCH(I606,Dashboard!J:J,0),2)),"ON",IF(Dashboard!K$32="ALL","ON","-"))</f>
        <v>-</v>
      </c>
      <c r="C606" s="88" t="s">
        <v>110</v>
      </c>
      <c r="D606" s="89">
        <f>IF(C606="ID",1,(IF(C606="PR",2,(IF(C606="DE",3,(IF(C606="RS",4,(IF(C606="RC",5,0)))))))))</f>
        <v>1</v>
      </c>
      <c r="E606" s="89" t="s">
        <v>140</v>
      </c>
      <c r="F606" s="89">
        <f>IF(E606="AM",1,(IF(E606="BE",2,(IF(E606="GV",3,(IF(E606="RA",4,(IF(E606="RM",5,(IF(E606="AC",1,(IF(E606="AT",2,(IF(E606="DS",3,(IF(E606="IP",4,(IF(E606="MA",5,(IF(E606="PT",6,(IF(E606="AE",1,(IF(E606="CM",2,(IF(E606="DP",3,(IF(E606="AN",1,(IF(E606="CO",2,(IF(E606="IM",3,(IF(E606="MI",4,(IF(E606="RP",5,(IF(E606="SC",6,0)))))))))))))))))))))))))))))))))))))))</f>
        <v>4</v>
      </c>
      <c r="G606" s="52">
        <v>2</v>
      </c>
      <c r="H606" s="90" t="s">
        <v>115</v>
      </c>
      <c r="I606" s="93" t="s">
        <v>73</v>
      </c>
      <c r="J606" s="86" t="s">
        <v>4241</v>
      </c>
      <c r="K606" s="101" t="s">
        <v>5184</v>
      </c>
      <c r="L606" s="117">
        <f>IF(O606="","",N606*O606*M606)</f>
        <v>0</v>
      </c>
      <c r="M606" s="108">
        <v>1</v>
      </c>
      <c r="N606" s="95">
        <v>1</v>
      </c>
      <c r="O606" s="109">
        <f>IF(Key!D$1="ON",P606,IF(SUM(Q606:DL606)&lt;1,"",SUM(Q606:DL606)/COUNTIF(Q606:DL606,"&gt;0")))</f>
        <v>0</v>
      </c>
      <c r="P606" s="109">
        <f>SUMIFS(Q606:DK606,Q$1:DK$1,Dashboard!$K$31)</f>
        <v>0</v>
      </c>
      <c r="U606" s="95">
        <v>33</v>
      </c>
      <c r="AA606" s="95">
        <v>25</v>
      </c>
      <c r="AH606" s="95">
        <v>75</v>
      </c>
    </row>
    <row r="607" spans="1:34" x14ac:dyDescent="0.3">
      <c r="A607" s="89" t="str">
        <f>CONCATENATE(D607,".",F607,"-",G607,".",H607,"")</f>
        <v>1.4-2.1</v>
      </c>
      <c r="B607" s="89" t="str">
        <f>IF(CONCATENATE(I607,Key!F$2)=CONCATENATE(INDEX(Dashboard!J:J,MATCH(I607,Dashboard!J:J,0),1),INDEX(Dashboard!J:K,MATCH(I607,Dashboard!J:J,0),2)),"ON",IF(Dashboard!K$32="ALL","ON","-"))</f>
        <v>-</v>
      </c>
      <c r="C607" s="88" t="s">
        <v>110</v>
      </c>
      <c r="D607" s="89">
        <f>IF(C607="ID",1,(IF(C607="PR",2,(IF(C607="DE",3,(IF(C607="RS",4,(IF(C607="RC",5,0)))))))))</f>
        <v>1</v>
      </c>
      <c r="E607" s="89" t="s">
        <v>140</v>
      </c>
      <c r="F607" s="89">
        <f>IF(E607="AM",1,(IF(E607="BE",2,(IF(E607="GV",3,(IF(E607="RA",4,(IF(E607="RM",5,(IF(E607="AC",1,(IF(E607="AT",2,(IF(E607="DS",3,(IF(E607="IP",4,(IF(E607="MA",5,(IF(E607="PT",6,(IF(E607="AE",1,(IF(E607="CM",2,(IF(E607="DP",3,(IF(E607="AN",1,(IF(E607="CO",2,(IF(E607="IM",3,(IF(E607="MI",4,(IF(E607="RP",5,(IF(E607="SC",6,0)))))))))))))))))))))))))))))))))))))))</f>
        <v>4</v>
      </c>
      <c r="G607" s="52">
        <v>2</v>
      </c>
      <c r="H607" s="90" t="s">
        <v>115</v>
      </c>
      <c r="I607" s="93" t="s">
        <v>73</v>
      </c>
      <c r="J607" s="86" t="s">
        <v>4244</v>
      </c>
      <c r="K607" s="101" t="s">
        <v>5185</v>
      </c>
      <c r="L607" s="117">
        <f>IF(O607="","",N607*O607*M607)</f>
        <v>0</v>
      </c>
      <c r="M607" s="108">
        <v>1</v>
      </c>
      <c r="N607" s="95">
        <v>1</v>
      </c>
      <c r="O607" s="109">
        <f>IF(Key!D$1="ON",P607,IF(SUM(Q607:DL607)&lt;1,"",SUM(Q607:DL607)/COUNTIF(Q607:DL607,"&gt;0")))</f>
        <v>0</v>
      </c>
      <c r="P607" s="109">
        <f>SUMIFS(Q607:DK607,Q$1:DK$1,Dashboard!$K$31)</f>
        <v>0</v>
      </c>
      <c r="U607" s="95">
        <v>33</v>
      </c>
      <c r="AA607" s="95">
        <v>25</v>
      </c>
      <c r="AH607" s="95">
        <v>75</v>
      </c>
    </row>
    <row r="608" spans="1:34" x14ac:dyDescent="0.3">
      <c r="A608" s="89" t="str">
        <f>CONCATENATE(D608,".",F608,"-",G608,".",H608,"")</f>
        <v>1.4-2.1</v>
      </c>
      <c r="B608" s="89" t="str">
        <f>IF(CONCATENATE(I608,Key!F$2)=CONCATENATE(INDEX(Dashboard!J:J,MATCH(I608,Dashboard!J:J,0),1),INDEX(Dashboard!J:K,MATCH(I608,Dashboard!J:J,0),2)),"ON",IF(Dashboard!K$32="ALL","ON","-"))</f>
        <v>-</v>
      </c>
      <c r="C608" s="96" t="s">
        <v>110</v>
      </c>
      <c r="D608" s="89">
        <f>IF(C608="ID",1,(IF(C608="PR",2,(IF(C608="DE",3,(IF(C608="RS",4,(IF(C608="RC",5,0)))))))))</f>
        <v>1</v>
      </c>
      <c r="E608" s="89" t="s">
        <v>140</v>
      </c>
      <c r="F608" s="89">
        <f>IF(E608="AM",1,(IF(E608="BE",2,(IF(E608="GV",3,(IF(E608="RA",4,(IF(E608="RM",5,(IF(E608="AC",1,(IF(E608="AT",2,(IF(E608="DS",3,(IF(E608="IP",4,(IF(E608="MA",5,(IF(E608="PT",6,(IF(E608="AE",1,(IF(E608="CM",2,(IF(E608="DP",3,(IF(E608="AN",1,(IF(E608="CO",2,(IF(E608="IM",3,(IF(E608="MI",4,(IF(E608="RP",5,(IF(E608="SC",6,0)))))))))))))))))))))))))))))))))))))))</f>
        <v>4</v>
      </c>
      <c r="G608" s="98">
        <v>2</v>
      </c>
      <c r="H608" s="90" t="s">
        <v>115</v>
      </c>
      <c r="I608" s="93" t="s">
        <v>77</v>
      </c>
      <c r="J608" s="87" t="s">
        <v>1096</v>
      </c>
      <c r="K608" s="102" t="s">
        <v>2138</v>
      </c>
      <c r="L608" s="117">
        <f>IF(O608="","",N608*O608*M608)</f>
        <v>0</v>
      </c>
      <c r="M608" s="108">
        <v>1</v>
      </c>
      <c r="N608" s="95">
        <v>1</v>
      </c>
      <c r="O608" s="109">
        <f>IF(Key!D$1="ON",P608,IF(SUM(Q608:DL608)&lt;1,"",SUM(Q608:DL608)/COUNTIF(Q608:DL608,"&gt;0")))</f>
        <v>0</v>
      </c>
      <c r="P608" s="109">
        <f>SUMIFS(Q608:DK608,Q$1:DK$1,Dashboard!$K$31)</f>
        <v>0</v>
      </c>
      <c r="U608" s="95">
        <v>33</v>
      </c>
      <c r="AA608" s="95">
        <v>25</v>
      </c>
      <c r="AH608" s="95">
        <v>75</v>
      </c>
    </row>
    <row r="609" spans="1:34" x14ac:dyDescent="0.3">
      <c r="A609" s="89" t="str">
        <f>CONCATENATE(D609,".",F609,"-",G609,".",H609,"")</f>
        <v>1.4-2.1</v>
      </c>
      <c r="B609" s="89" t="str">
        <f>IF(CONCATENATE(I609,Key!F$2)=CONCATENATE(INDEX(Dashboard!J:J,MATCH(I609,Dashboard!J:J,0),1),INDEX(Dashboard!J:K,MATCH(I609,Dashboard!J:J,0),2)),"ON",IF(Dashboard!K$32="ALL","ON","-"))</f>
        <v>-</v>
      </c>
      <c r="C609" s="96" t="s">
        <v>110</v>
      </c>
      <c r="D609" s="89">
        <f>IF(C609="ID",1,(IF(C609="PR",2,(IF(C609="DE",3,(IF(C609="RS",4,(IF(C609="RC",5,0)))))))))</f>
        <v>1</v>
      </c>
      <c r="E609" s="89" t="s">
        <v>140</v>
      </c>
      <c r="F609" s="89">
        <f>IF(E609="AM",1,(IF(E609="BE",2,(IF(E609="GV",3,(IF(E609="RA",4,(IF(E609="RM",5,(IF(E609="AC",1,(IF(E609="AT",2,(IF(E609="DS",3,(IF(E609="IP",4,(IF(E609="MA",5,(IF(E609="PT",6,(IF(E609="AE",1,(IF(E609="CM",2,(IF(E609="DP",3,(IF(E609="AN",1,(IF(E609="CO",2,(IF(E609="IM",3,(IF(E609="MI",4,(IF(E609="RP",5,(IF(E609="SC",6,0)))))))))))))))))))))))))))))))))))))))</f>
        <v>4</v>
      </c>
      <c r="G609" s="98">
        <v>2</v>
      </c>
      <c r="H609" s="90" t="s">
        <v>115</v>
      </c>
      <c r="I609" s="93" t="s">
        <v>77</v>
      </c>
      <c r="J609" s="87" t="s">
        <v>1098</v>
      </c>
      <c r="K609" s="102" t="s">
        <v>2139</v>
      </c>
      <c r="L609" s="117">
        <f>IF(O609="","",N609*O609*M609)</f>
        <v>0</v>
      </c>
      <c r="M609" s="108">
        <v>0.9</v>
      </c>
      <c r="N609" s="95">
        <v>1</v>
      </c>
      <c r="O609" s="109">
        <f>IF(Key!D$1="ON",P609,IF(SUM(Q609:DL609)&lt;1,"",SUM(Q609:DL609)/COUNTIF(Q609:DL609,"&gt;0")))</f>
        <v>0</v>
      </c>
      <c r="P609" s="109">
        <f>SUMIFS(Q609:DK609,Q$1:DK$1,Dashboard!$K$31)</f>
        <v>0</v>
      </c>
      <c r="S609" s="95">
        <v>99</v>
      </c>
      <c r="T609" s="95">
        <v>80</v>
      </c>
      <c r="U609" s="95">
        <v>33</v>
      </c>
      <c r="AA609" s="95">
        <v>25</v>
      </c>
      <c r="AH609" s="95">
        <v>75</v>
      </c>
    </row>
    <row r="610" spans="1:34" x14ac:dyDescent="0.3">
      <c r="A610" s="89" t="str">
        <f>CONCATENATE(D610,".",F610,"-",G610,".",H610,"")</f>
        <v>1.4-2.1</v>
      </c>
      <c r="B610" s="89" t="str">
        <f>IF(CONCATENATE(I610,Key!F$2)=CONCATENATE(INDEX(Dashboard!J:J,MATCH(I610,Dashboard!J:J,0),1),INDEX(Dashboard!J:K,MATCH(I610,Dashboard!J:J,0),2)),"ON",IF(Dashboard!K$32="ALL","ON","-"))</f>
        <v>-</v>
      </c>
      <c r="C610" s="88" t="s">
        <v>110</v>
      </c>
      <c r="D610" s="89">
        <f>IF(C610="ID",1,(IF(C610="PR",2,(IF(C610="DE",3,(IF(C610="RS",4,(IF(C610="RC",5,0)))))))))</f>
        <v>1</v>
      </c>
      <c r="E610" s="89" t="s">
        <v>140</v>
      </c>
      <c r="F610" s="89">
        <f>IF(E610="AM",1,(IF(E610="BE",2,(IF(E610="GV",3,(IF(E610="RA",4,(IF(E610="RM",5,(IF(E610="AC",1,(IF(E610="AT",2,(IF(E610="DS",3,(IF(E610="IP",4,(IF(E610="MA",5,(IF(E610="PT",6,(IF(E610="AE",1,(IF(E610="CM",2,(IF(E610="DP",3,(IF(E610="AN",1,(IF(E610="CO",2,(IF(E610="IM",3,(IF(E610="MI",4,(IF(E610="RP",5,(IF(E610="SC",6,0)))))))))))))))))))))))))))))))))))))))</f>
        <v>4</v>
      </c>
      <c r="G610" s="52">
        <v>2</v>
      </c>
      <c r="H610" s="90" t="s">
        <v>115</v>
      </c>
      <c r="I610" s="93" t="s">
        <v>85</v>
      </c>
      <c r="J610" s="86" t="s">
        <v>1040</v>
      </c>
      <c r="K610" s="119" t="s">
        <v>4650</v>
      </c>
      <c r="L610" s="117">
        <f>IF(O610="","",N610*O610*M610)</f>
        <v>0</v>
      </c>
      <c r="M610" s="108">
        <v>1</v>
      </c>
      <c r="N610" s="95">
        <v>1</v>
      </c>
      <c r="O610" s="109">
        <f>IF(Key!D$1="ON",P610,IF(SUM(Q610:DL610)&lt;1,"",SUM(Q610:DL610)/COUNTIF(Q610:DL610,"&gt;0")))</f>
        <v>0</v>
      </c>
      <c r="P610" s="109">
        <f>SUMIFS(Q610:DK610,Q$1:DK$1,Dashboard!$K$31)</f>
        <v>0</v>
      </c>
      <c r="U610" s="95">
        <v>33</v>
      </c>
      <c r="AA610" s="95">
        <v>25</v>
      </c>
      <c r="AH610" s="95">
        <v>75</v>
      </c>
    </row>
    <row r="611" spans="1:34" ht="15.6" x14ac:dyDescent="0.3">
      <c r="A611" s="89" t="str">
        <f>CONCATENATE(D611,".",F611,"-",G611,".",H611,"")</f>
        <v>1.4-2.1</v>
      </c>
      <c r="B611" s="89" t="str">
        <f>IF(CONCATENATE(I611,Key!F$2)=CONCATENATE(INDEX(Dashboard!J:J,MATCH(I611,Dashboard!J:J,0),1),INDEX(Dashboard!J:K,MATCH(I611,Dashboard!J:J,0),2)),"ON",IF(Dashboard!K$32="ALL","ON","-"))</f>
        <v>-</v>
      </c>
      <c r="C611" s="96" t="s">
        <v>110</v>
      </c>
      <c r="D611" s="89">
        <f>IF(C611="ID",1,(IF(C611="PR",2,(IF(C611="DE",3,(IF(C611="RS",4,(IF(C611="RC",5,0)))))))))</f>
        <v>1</v>
      </c>
      <c r="E611" s="89" t="s">
        <v>140</v>
      </c>
      <c r="F611" s="89">
        <f>IF(E611="AM",1,(IF(E611="BE",2,(IF(E611="GV",3,(IF(E611="RA",4,(IF(E611="RM",5,(IF(E611="AC",1,(IF(E611="AT",2,(IF(E611="DS",3,(IF(E611="IP",4,(IF(E611="MA",5,(IF(E611="PT",6,(IF(E611="AE",1,(IF(E611="CM",2,(IF(E611="DP",3,(IF(E611="AN",1,(IF(E611="CO",2,(IF(E611="IM",3,(IF(E611="MI",4,(IF(E611="RP",5,(IF(E611="SC",6,0)))))))))))))))))))))))))))))))))))))))</f>
        <v>4</v>
      </c>
      <c r="G611" s="98">
        <v>2</v>
      </c>
      <c r="H611" s="90" t="s">
        <v>115</v>
      </c>
      <c r="I611" s="93" t="s">
        <v>85</v>
      </c>
      <c r="J611" s="87" t="s">
        <v>1096</v>
      </c>
      <c r="K611" s="119" t="s">
        <v>1097</v>
      </c>
      <c r="L611" s="117">
        <f>IF(O611="","",N611*O611*M611)</f>
        <v>0</v>
      </c>
      <c r="M611" s="108">
        <v>1</v>
      </c>
      <c r="N611" s="95">
        <v>1</v>
      </c>
      <c r="O611" s="109">
        <f>IF(Key!D$1="ON",P611,IF(SUM(Q611:DL611)&lt;1,"",SUM(Q611:DL611)/COUNTIF(Q611:DL611,"&gt;0")))</f>
        <v>0</v>
      </c>
      <c r="P611" s="109">
        <f>SUMIFS(Q611:DK611,Q$1:DK$1,Dashboard!$K$31)</f>
        <v>0</v>
      </c>
      <c r="U611" s="95">
        <v>33</v>
      </c>
      <c r="AA611" s="95">
        <v>25</v>
      </c>
      <c r="AH611" s="95">
        <v>75</v>
      </c>
    </row>
    <row r="612" spans="1:34" ht="15.6" x14ac:dyDescent="0.3">
      <c r="A612" s="89" t="str">
        <f>CONCATENATE(D612,".",F612,"-",G612,".",H612,"")</f>
        <v>1.4-2.1</v>
      </c>
      <c r="B612" s="89" t="str">
        <f>IF(CONCATENATE(I612,Key!F$2)=CONCATENATE(INDEX(Dashboard!J:J,MATCH(I612,Dashboard!J:J,0),1),INDEX(Dashboard!J:K,MATCH(I612,Dashboard!J:J,0),2)),"ON",IF(Dashboard!K$32="ALL","ON","-"))</f>
        <v>-</v>
      </c>
      <c r="C612" s="96" t="s">
        <v>110</v>
      </c>
      <c r="D612" s="89">
        <f>IF(C612="ID",1,(IF(C612="PR",2,(IF(C612="DE",3,(IF(C612="RS",4,(IF(C612="RC",5,0)))))))))</f>
        <v>1</v>
      </c>
      <c r="E612" s="89" t="s">
        <v>140</v>
      </c>
      <c r="F612" s="89">
        <f>IF(E612="AM",1,(IF(E612="BE",2,(IF(E612="GV",3,(IF(E612="RA",4,(IF(E612="RM",5,(IF(E612="AC",1,(IF(E612="AT",2,(IF(E612="DS",3,(IF(E612="IP",4,(IF(E612="MA",5,(IF(E612="PT",6,(IF(E612="AE",1,(IF(E612="CM",2,(IF(E612="DP",3,(IF(E612="AN",1,(IF(E612="CO",2,(IF(E612="IM",3,(IF(E612="MI",4,(IF(E612="RP",5,(IF(E612="SC",6,0)))))))))))))))))))))))))))))))))))))))</f>
        <v>4</v>
      </c>
      <c r="G612" s="98">
        <v>2</v>
      </c>
      <c r="H612" s="90" t="s">
        <v>115</v>
      </c>
      <c r="I612" s="93" t="s">
        <v>85</v>
      </c>
      <c r="J612" s="87" t="s">
        <v>1098</v>
      </c>
      <c r="K612" s="119" t="s">
        <v>1099</v>
      </c>
      <c r="L612" s="117">
        <f>IF(O612="","",N612*O612*M612)</f>
        <v>0</v>
      </c>
      <c r="M612" s="108">
        <v>0.9</v>
      </c>
      <c r="N612" s="95">
        <v>1</v>
      </c>
      <c r="O612" s="109">
        <f>IF(Key!D$1="ON",P612,IF(SUM(Q612:DL612)&lt;1,"",SUM(Q612:DL612)/COUNTIF(Q612:DL612,"&gt;0")))</f>
        <v>0</v>
      </c>
      <c r="P612" s="109">
        <f>SUMIFS(Q612:DK612,Q$1:DK$1,Dashboard!$K$31)</f>
        <v>0</v>
      </c>
      <c r="S612" s="95">
        <v>25</v>
      </c>
      <c r="T612" s="95">
        <v>80</v>
      </c>
      <c r="U612" s="95">
        <v>33</v>
      </c>
      <c r="AA612" s="95">
        <v>25</v>
      </c>
      <c r="AH612" s="95">
        <v>75</v>
      </c>
    </row>
    <row r="613" spans="1:34" x14ac:dyDescent="0.3">
      <c r="A613" s="89" t="str">
        <f>CONCATENATE(D613,".",F613,"-",G613,".",H613,"")</f>
        <v>1.4-2.1</v>
      </c>
      <c r="B613" s="89" t="str">
        <f>IF(CONCATENATE(I613,Key!F$2)=CONCATENATE(INDEX(Dashboard!J:J,MATCH(I613,Dashboard!J:J,0),1),INDEX(Dashboard!J:K,MATCH(I613,Dashboard!J:J,0),2)),"ON",IF(Dashboard!K$32="ALL","ON","-"))</f>
        <v>-</v>
      </c>
      <c r="C613" s="96" t="s">
        <v>110</v>
      </c>
      <c r="D613" s="89">
        <f>IF(C613="ID",1,(IF(C613="PR",2,(IF(C613="DE",3,(IF(C613="RS",4,(IF(C613="RC",5,0)))))))))</f>
        <v>1</v>
      </c>
      <c r="E613" s="89" t="s">
        <v>140</v>
      </c>
      <c r="F613" s="89">
        <f>IF(E613="AM",1,(IF(E613="BE",2,(IF(E613="GV",3,(IF(E613="RA",4,(IF(E613="RM",5,(IF(E613="AC",1,(IF(E613="AT",2,(IF(E613="DS",3,(IF(E613="IP",4,(IF(E613="MA",5,(IF(E613="PT",6,(IF(E613="AE",1,(IF(E613="CM",2,(IF(E613="DP",3,(IF(E613="AN",1,(IF(E613="CO",2,(IF(E613="IM",3,(IF(E613="MI",4,(IF(E613="RP",5,(IF(E613="SC",6,0)))))))))))))))))))))))))))))))))))))))</f>
        <v>4</v>
      </c>
      <c r="G613" s="52">
        <v>2</v>
      </c>
      <c r="H613" s="90" t="s">
        <v>115</v>
      </c>
      <c r="I613" s="93" t="s">
        <v>85</v>
      </c>
      <c r="J613" s="86" t="s">
        <v>763</v>
      </c>
      <c r="K613" s="119" t="s">
        <v>4899</v>
      </c>
      <c r="L613" s="117">
        <f>IF(O613="","",N613*O613*M613)</f>
        <v>0</v>
      </c>
      <c r="M613" s="108">
        <v>1</v>
      </c>
      <c r="N613" s="95">
        <v>1</v>
      </c>
      <c r="O613" s="109">
        <f>IF(Key!D$1="ON",P613,IF(SUM(Q613:DL613)&lt;1,"",SUM(Q613:DL613)/COUNTIF(Q613:DL613,"&gt;0")))</f>
        <v>0</v>
      </c>
      <c r="P613" s="109">
        <f>SUMIFS(Q613:DK613,Q$1:DK$1,Dashboard!$K$31)</f>
        <v>0</v>
      </c>
      <c r="U613" s="95">
        <v>33</v>
      </c>
      <c r="AA613" s="95">
        <v>25</v>
      </c>
      <c r="AH613" s="95">
        <v>75</v>
      </c>
    </row>
    <row r="614" spans="1:34" ht="15.6" x14ac:dyDescent="0.3">
      <c r="A614" s="89" t="str">
        <f>CONCATENATE(D614,".",F614,"-",G614,".",H614,"")</f>
        <v>1.4-2.1</v>
      </c>
      <c r="B614" s="89" t="str">
        <f>IF(CONCATENATE(I614,Key!F$2)=CONCATENATE(INDEX(Dashboard!J:J,MATCH(I614,Dashboard!J:J,0),1),INDEX(Dashboard!J:K,MATCH(I614,Dashboard!J:J,0),2)),"ON",IF(Dashboard!K$32="ALL","ON","-"))</f>
        <v>-</v>
      </c>
      <c r="C614" s="88" t="s">
        <v>110</v>
      </c>
      <c r="D614" s="89">
        <f>IF(C614="ID",1,(IF(C614="PR",2,(IF(C614="DE",3,(IF(C614="RS",4,(IF(C614="RC",5,0)))))))))</f>
        <v>1</v>
      </c>
      <c r="E614" s="89" t="s">
        <v>140</v>
      </c>
      <c r="F614" s="89">
        <f>IF(E614="AM",1,(IF(E614="BE",2,(IF(E614="GV",3,(IF(E614="RA",4,(IF(E614="RM",5,(IF(E614="AC",1,(IF(E614="AT",2,(IF(E614="DS",3,(IF(E614="IP",4,(IF(E614="MA",5,(IF(E614="PT",6,(IF(E614="AE",1,(IF(E614="CM",2,(IF(E614="DP",3,(IF(E614="AN",1,(IF(E614="CO",2,(IF(E614="IM",3,(IF(E614="MI",4,(IF(E614="RP",5,(IF(E614="SC",6,0)))))))))))))))))))))))))))))))))))))))</f>
        <v>4</v>
      </c>
      <c r="G614" s="52">
        <v>2</v>
      </c>
      <c r="H614" s="90" t="s">
        <v>115</v>
      </c>
      <c r="I614" s="93" t="s">
        <v>85</v>
      </c>
      <c r="J614" s="87" t="s">
        <v>763</v>
      </c>
      <c r="K614" s="119" t="s">
        <v>4899</v>
      </c>
      <c r="L614" s="117">
        <f>IF(O614="","",N614*O614*M614)</f>
        <v>0</v>
      </c>
      <c r="M614" s="108">
        <v>1</v>
      </c>
      <c r="N614" s="95">
        <v>1</v>
      </c>
      <c r="O614" s="109">
        <f>IF(Key!D$1="ON",P614,IF(SUM(Q614:DL614)&lt;1,"",SUM(Q614:DL614)/COUNTIF(Q614:DL614,"&gt;0")))</f>
        <v>0</v>
      </c>
      <c r="P614" s="109">
        <f>SUMIFS(Q614:DK614,Q$1:DK$1,Dashboard!$K$31)</f>
        <v>0</v>
      </c>
      <c r="U614" s="95">
        <v>33</v>
      </c>
      <c r="AA614" s="95">
        <v>25</v>
      </c>
      <c r="AH614" s="95">
        <v>75</v>
      </c>
    </row>
    <row r="615" spans="1:34" ht="15.6" x14ac:dyDescent="0.3">
      <c r="A615" s="89" t="str">
        <f>CONCATENATE(D615,".",F615,"-",G615,".",H615,"")</f>
        <v>1.4-2.2</v>
      </c>
      <c r="B615" s="89" t="str">
        <f>IF(CONCATENATE(I615,Key!F$2)=CONCATENATE(INDEX(Dashboard!J:J,MATCH(I615,Dashboard!J:J,0),1),INDEX(Dashboard!J:K,MATCH(I615,Dashboard!J:J,0),2)),"ON",IF(Dashboard!K$32="ALL","ON","-"))</f>
        <v>-</v>
      </c>
      <c r="C615" s="96" t="s">
        <v>110</v>
      </c>
      <c r="D615" s="89">
        <f>IF(C615="ID",1,(IF(C615="PR",2,(IF(C615="DE",3,(IF(C615="RS",4,(IF(C615="RC",5,0)))))))))</f>
        <v>1</v>
      </c>
      <c r="E615" s="89" t="s">
        <v>140</v>
      </c>
      <c r="F615" s="89">
        <f>IF(E615="AM",1,(IF(E615="BE",2,(IF(E615="GV",3,(IF(E615="RA",4,(IF(E615="RM",5,(IF(E615="AC",1,(IF(E615="AT",2,(IF(E615="DS",3,(IF(E615="IP",4,(IF(E615="MA",5,(IF(E615="PT",6,(IF(E615="AE",1,(IF(E615="CM",2,(IF(E615="DP",3,(IF(E615="AN",1,(IF(E615="CO",2,(IF(E615="IM",3,(IF(E615="MI",4,(IF(E615="RP",5,(IF(E615="SC",6,0)))))))))))))))))))))))))))))))))))))))</f>
        <v>4</v>
      </c>
      <c r="G615" s="98">
        <v>2</v>
      </c>
      <c r="H615" s="90" t="s">
        <v>112</v>
      </c>
      <c r="I615" s="93" t="s">
        <v>64</v>
      </c>
      <c r="J615" s="86" t="s">
        <v>1047</v>
      </c>
      <c r="K615" s="103" t="s">
        <v>2096</v>
      </c>
      <c r="L615" s="117">
        <f>IF(O615="","",N615*O615*M615)</f>
        <v>0</v>
      </c>
      <c r="M615" s="108">
        <v>1</v>
      </c>
      <c r="N615" s="95">
        <v>1</v>
      </c>
      <c r="O615" s="109">
        <f>IF(Key!D$1="ON",P615,IF(SUM(Q615:DL615)&lt;1,"",SUM(Q615:DL615)/COUNTIF(Q615:DL615,"&gt;0")))</f>
        <v>0</v>
      </c>
      <c r="P615" s="109">
        <f>SUMIFS(Q615:DK615,Q$1:DK$1,Dashboard!$K$31)</f>
        <v>0</v>
      </c>
      <c r="U615" s="95">
        <v>33</v>
      </c>
      <c r="AA615" s="95">
        <v>25</v>
      </c>
      <c r="AH615" s="95">
        <v>75</v>
      </c>
    </row>
    <row r="616" spans="1:34" ht="15.6" x14ac:dyDescent="0.3">
      <c r="A616" s="89" t="str">
        <f>CONCATENATE(D616,".",F616,"-",G616,".",H616,"")</f>
        <v>1.4-3.0</v>
      </c>
      <c r="B616" s="89" t="str">
        <f>IF(CONCATENATE(I616,Key!F$2)=CONCATENATE(INDEX(Dashboard!J:J,MATCH(I616,Dashboard!J:J,0),1),INDEX(Dashboard!J:K,MATCH(I616,Dashboard!J:J,0),2)),"ON",IF(Dashboard!K$32="ALL","ON","-"))</f>
        <v>-</v>
      </c>
      <c r="C616" s="96" t="s">
        <v>110</v>
      </c>
      <c r="D616" s="89">
        <f>IF(C616="ID",1,(IF(C616="PR",2,(IF(C616="DE",3,(IF(C616="RS",4,(IF(C616="RC",5,0)))))))))</f>
        <v>1</v>
      </c>
      <c r="E616" s="89" t="s">
        <v>140</v>
      </c>
      <c r="F616" s="89">
        <f>IF(E616="AM",1,(IF(E616="BE",2,(IF(E616="GV",3,(IF(E616="RA",4,(IF(E616="RM",5,(IF(E616="AC",1,(IF(E616="AT",2,(IF(E616="DS",3,(IF(E616="IP",4,(IF(E616="MA",5,(IF(E616="PT",6,(IF(E616="AE",1,(IF(E616="CM",2,(IF(E616="DP",3,(IF(E616="AN",1,(IF(E616="CO",2,(IF(E616="IM",3,(IF(E616="MI",4,(IF(E616="RP",5,(IF(E616="SC",6,0)))))))))))))))))))))))))))))))))))))))</f>
        <v>4</v>
      </c>
      <c r="G616" s="52">
        <v>3</v>
      </c>
      <c r="H616" s="90" t="s">
        <v>347</v>
      </c>
      <c r="I616" s="93" t="s">
        <v>2835</v>
      </c>
      <c r="J616" s="53" t="s">
        <v>2882</v>
      </c>
      <c r="K616" s="152" t="s">
        <v>2883</v>
      </c>
      <c r="L616" s="117">
        <f>IF(O616="","",N616*O616*M616)</f>
        <v>0</v>
      </c>
      <c r="M616" s="108">
        <v>1</v>
      </c>
      <c r="N616" s="95">
        <v>1</v>
      </c>
      <c r="O616" s="109">
        <f>IF(Key!D$1="ON",P616,IF(SUM(Q616:DL616)&lt;1,"",SUM(Q616:DL616)/COUNTIF(Q616:DL616,"&gt;0")))</f>
        <v>0</v>
      </c>
      <c r="P616" s="109">
        <f>SUMIFS(Q616:DK616,Q$1:DK$1,Dashboard!$K$31)</f>
        <v>0</v>
      </c>
      <c r="U616" s="95">
        <v>33</v>
      </c>
    </row>
    <row r="617" spans="1:34" ht="15.6" x14ac:dyDescent="0.3">
      <c r="A617" s="89" t="str">
        <f>CONCATENATE(D617,".",F617,"-",G617,".",H617,"")</f>
        <v>1.4-3.1</v>
      </c>
      <c r="B617" s="89" t="str">
        <f>IF(CONCATENATE(I617,Key!F$2)=CONCATENATE(INDEX(Dashboard!J:J,MATCH(I617,Dashboard!J:J,0),1),INDEX(Dashboard!J:K,MATCH(I617,Dashboard!J:J,0),2)),"ON",IF(Dashboard!K$32="ALL","ON","-"))</f>
        <v>ON</v>
      </c>
      <c r="C617" s="130" t="s">
        <v>110</v>
      </c>
      <c r="D617" s="89">
        <f>IF(C617="ID",1,(IF(C617="PR",2,(IF(C617="DE",3,(IF(C617="RS",4,(IF(C617="RC",5,0)))))))))</f>
        <v>1</v>
      </c>
      <c r="E617" s="95" t="s">
        <v>140</v>
      </c>
      <c r="F617" s="89">
        <f>IF(E617="AM",1,(IF(E617="BE",2,(IF(E617="GV",3,(IF(E617="RA",4,(IF(E617="RM",5,(IF(E617="AC",1,(IF(E617="AT",2,(IF(E617="DS",3,(IF(E617="IP",4,(IF(E617="MA",5,(IF(E617="PT",6,(IF(E617="AE",1,(IF(E617="CM",2,(IF(E617="DP",3,(IF(E617="AN",1,(IF(E617="CO",2,(IF(E617="IM",3,(IF(E617="MI",4,(IF(E617="RP",5,(IF(E617="SC",6,0)))))))))))))))))))))))))))))))))))))))</f>
        <v>4</v>
      </c>
      <c r="G617" s="52">
        <v>3</v>
      </c>
      <c r="H617" s="90" t="s">
        <v>115</v>
      </c>
      <c r="I617" s="93" t="s">
        <v>4107</v>
      </c>
      <c r="J617" s="86" t="s">
        <v>3980</v>
      </c>
      <c r="K617" s="101" t="s">
        <v>4146</v>
      </c>
      <c r="L617" s="117">
        <f>IF(O617="","",N617*O617*M617)</f>
        <v>0</v>
      </c>
      <c r="M617" s="108">
        <v>1</v>
      </c>
      <c r="N617" s="95">
        <v>1</v>
      </c>
      <c r="O617" s="109">
        <f>IF(Key!D$1="ON",P617,IF(SUM(Q617:DL617)&lt;1,"",SUM(Q617:DL617)/COUNTIF(Q617:DL617,"&gt;0")))</f>
        <v>0</v>
      </c>
      <c r="P617" s="109">
        <f>SUMIFS(Q617:DK617,Q$1:DK$1,Dashboard!$K$31)</f>
        <v>0</v>
      </c>
      <c r="U617" s="95">
        <v>33</v>
      </c>
      <c r="AA617" s="95">
        <v>25</v>
      </c>
      <c r="AH617" s="95">
        <v>75</v>
      </c>
    </row>
    <row r="618" spans="1:34" ht="15.6" x14ac:dyDescent="0.3">
      <c r="A618" s="89" t="str">
        <f>CONCATENATE(D618,".",F618,"-",G618,".",H618,"")</f>
        <v>1.4-3.1</v>
      </c>
      <c r="B618" s="89" t="str">
        <f>IF(CONCATENATE(I618,Key!F$2)=CONCATENATE(INDEX(Dashboard!J:J,MATCH(I618,Dashboard!J:J,0),1),INDEX(Dashboard!J:K,MATCH(I618,Dashboard!J:J,0),2)),"ON",IF(Dashboard!K$32="ALL","ON","-"))</f>
        <v>ON</v>
      </c>
      <c r="C618" s="130" t="s">
        <v>110</v>
      </c>
      <c r="D618" s="89">
        <f>IF(C618="ID",1,(IF(C618="PR",2,(IF(C618="DE",3,(IF(C618="RS",4,(IF(C618="RC",5,0)))))))))</f>
        <v>1</v>
      </c>
      <c r="E618" s="95" t="s">
        <v>140</v>
      </c>
      <c r="F618" s="89">
        <f>IF(E618="AM",1,(IF(E618="BE",2,(IF(E618="GV",3,(IF(E618="RA",4,(IF(E618="RM",5,(IF(E618="AC",1,(IF(E618="AT",2,(IF(E618="DS",3,(IF(E618="IP",4,(IF(E618="MA",5,(IF(E618="PT",6,(IF(E618="AE",1,(IF(E618="CM",2,(IF(E618="DP",3,(IF(E618="AN",1,(IF(E618="CO",2,(IF(E618="IM",3,(IF(E618="MI",4,(IF(E618="RP",5,(IF(E618="SC",6,0)))))))))))))))))))))))))))))))))))))))</f>
        <v>4</v>
      </c>
      <c r="G618" s="52">
        <v>3</v>
      </c>
      <c r="H618" s="90" t="s">
        <v>115</v>
      </c>
      <c r="I618" s="93" t="s">
        <v>4107</v>
      </c>
      <c r="J618" s="86" t="s">
        <v>4051</v>
      </c>
      <c r="K618" s="101" t="s">
        <v>4483</v>
      </c>
      <c r="L618" s="117">
        <f>IF(O618="","",N618*O618*M618)</f>
        <v>0</v>
      </c>
      <c r="M618" s="108">
        <v>1</v>
      </c>
      <c r="N618" s="95">
        <v>1</v>
      </c>
      <c r="O618" s="109">
        <f>IF(Key!D$1="ON",P618,IF(SUM(Q618:DL618)&lt;1,"",SUM(Q618:DL618)/COUNTIF(Q618:DL618,"&gt;0")))</f>
        <v>0</v>
      </c>
      <c r="P618" s="109">
        <f>SUMIFS(Q618:DK618,Q$1:DK$1,Dashboard!$K$31)</f>
        <v>0</v>
      </c>
      <c r="U618" s="95">
        <v>33</v>
      </c>
      <c r="AA618" s="95">
        <v>25</v>
      </c>
      <c r="AH618" s="95">
        <v>75</v>
      </c>
    </row>
    <row r="619" spans="1:34" x14ac:dyDescent="0.3">
      <c r="A619" s="89" t="str">
        <f>CONCATENATE(D619,".",F619,"-",G619,".",H619,"")</f>
        <v>1.4-3.1</v>
      </c>
      <c r="B619" s="89" t="str">
        <f>IF(CONCATENATE(I619,Key!F$2)=CONCATENATE(INDEX(Dashboard!J:J,MATCH(I619,Dashboard!J:J,0),1),INDEX(Dashboard!J:K,MATCH(I619,Dashboard!J:J,0),2)),"ON",IF(Dashboard!K$32="ALL","ON","-"))</f>
        <v>ON</v>
      </c>
      <c r="C619" s="88" t="s">
        <v>110</v>
      </c>
      <c r="D619" s="89">
        <f>IF(C619="ID",1,(IF(C619="PR",2,(IF(C619="DE",3,(IF(C619="RS",4,(IF(C619="RC",5,0)))))))))</f>
        <v>1</v>
      </c>
      <c r="E619" s="89" t="s">
        <v>140</v>
      </c>
      <c r="F619" s="89">
        <f>IF(E619="AM",1,(IF(E619="BE",2,(IF(E619="GV",3,(IF(E619="RA",4,(IF(E619="RM",5,(IF(E619="AC",1,(IF(E619="AT",2,(IF(E619="DS",3,(IF(E619="IP",4,(IF(E619="MA",5,(IF(E619="PT",6,(IF(E619="AE",1,(IF(E619="CM",2,(IF(E619="DP",3,(IF(E619="AN",1,(IF(E619="CO",2,(IF(E619="IM",3,(IF(E619="MI",4,(IF(E619="RP",5,(IF(E619="SC",6,0)))))))))))))))))))))))))))))))))))))))</f>
        <v>4</v>
      </c>
      <c r="G619" s="52">
        <v>3</v>
      </c>
      <c r="H619" s="89">
        <v>1</v>
      </c>
      <c r="I619" s="93" t="s">
        <v>4107</v>
      </c>
      <c r="J619" s="86" t="s">
        <v>4055</v>
      </c>
      <c r="K619" s="101" t="s">
        <v>4399</v>
      </c>
      <c r="L619" s="117">
        <f>IF(O619="","",N619*O619*M619)</f>
        <v>0</v>
      </c>
      <c r="M619" s="108">
        <v>1</v>
      </c>
      <c r="N619" s="95">
        <v>1</v>
      </c>
      <c r="O619" s="109">
        <f>IF(Key!D$1="ON",P619,IF(SUM(Q619:DL619)&lt;1,"",SUM(Q619:DL619)/COUNTIF(Q619:DL619,"&gt;0")))</f>
        <v>0</v>
      </c>
      <c r="P619" s="109">
        <f>SUMIFS(Q619:DK619,Q$1:DK$1,Dashboard!$K$31)</f>
        <v>0</v>
      </c>
      <c r="U619" s="95">
        <v>33</v>
      </c>
      <c r="AA619" s="95">
        <v>25</v>
      </c>
      <c r="AH619" s="95">
        <v>75</v>
      </c>
    </row>
    <row r="620" spans="1:34" x14ac:dyDescent="0.3">
      <c r="A620" s="89" t="str">
        <f>CONCATENATE(D620,".",F620,"-",G620,".",H620,"")</f>
        <v>1.4-3.1</v>
      </c>
      <c r="B620" s="89" t="str">
        <f>IF(CONCATENATE(I620,Key!F$2)=CONCATENATE(INDEX(Dashboard!J:J,MATCH(I620,Dashboard!J:J,0),1),INDEX(Dashboard!J:K,MATCH(I620,Dashboard!J:J,0),2)),"ON",IF(Dashboard!K$32="ALL","ON","-"))</f>
        <v>ON</v>
      </c>
      <c r="C620" s="130" t="s">
        <v>110</v>
      </c>
      <c r="D620" s="89">
        <f>IF(C620="ID",1,(IF(C620="PR",2,(IF(C620="DE",3,(IF(C620="RS",4,(IF(C620="RC",5,0)))))))))</f>
        <v>1</v>
      </c>
      <c r="E620" s="95" t="s">
        <v>140</v>
      </c>
      <c r="F620" s="89">
        <f>IF(E620="AM",1,(IF(E620="BE",2,(IF(E620="GV",3,(IF(E620="RA",4,(IF(E620="RM",5,(IF(E620="AC",1,(IF(E620="AT",2,(IF(E620="DS",3,(IF(E620="IP",4,(IF(E620="MA",5,(IF(E620="PT",6,(IF(E620="AE",1,(IF(E620="CM",2,(IF(E620="DP",3,(IF(E620="AN",1,(IF(E620="CO",2,(IF(E620="IM",3,(IF(E620="MI",4,(IF(E620="RP",5,(IF(E620="SC",6,0)))))))))))))))))))))))))))))))))))))))</f>
        <v>4</v>
      </c>
      <c r="G620" s="52">
        <v>3</v>
      </c>
      <c r="H620" s="90" t="s">
        <v>115</v>
      </c>
      <c r="I620" s="93" t="s">
        <v>4107</v>
      </c>
      <c r="J620" s="86" t="s">
        <v>4104</v>
      </c>
      <c r="K620" s="101" t="s">
        <v>4420</v>
      </c>
      <c r="L620" s="117">
        <f>IF(O620="","",N620*O620*M620)</f>
        <v>0</v>
      </c>
      <c r="M620" s="108">
        <v>1</v>
      </c>
      <c r="N620" s="95">
        <v>1</v>
      </c>
      <c r="O620" s="109">
        <f>IF(Key!D$1="ON",P620,IF(SUM(Q620:DL620)&lt;1,"",SUM(Q620:DL620)/COUNTIF(Q620:DL620,"&gt;0")))</f>
        <v>0</v>
      </c>
      <c r="P620" s="109">
        <f>SUMIFS(Q620:DK620,Q$1:DK$1,Dashboard!$K$31)</f>
        <v>0</v>
      </c>
      <c r="U620" s="95">
        <v>33</v>
      </c>
      <c r="AA620" s="95">
        <v>25</v>
      </c>
      <c r="AH620" s="95">
        <v>75</v>
      </c>
    </row>
    <row r="621" spans="1:34" x14ac:dyDescent="0.3">
      <c r="A621" s="89" t="str">
        <f>CONCATENATE(D621,".",F621,"-",G621,".",H621,"")</f>
        <v>1.4-3.1</v>
      </c>
      <c r="B621" s="89" t="str">
        <f>IF(CONCATENATE(I621,Key!F$2)=CONCATENATE(INDEX(Dashboard!J:J,MATCH(I621,Dashboard!J:J,0),1),INDEX(Dashboard!J:K,MATCH(I621,Dashboard!J:J,0),2)),"ON",IF(Dashboard!K$32="ALL","ON","-"))</f>
        <v>-</v>
      </c>
      <c r="C621" s="96" t="s">
        <v>110</v>
      </c>
      <c r="D621" s="89">
        <f>IF(C621="ID",1,(IF(C621="PR",2,(IF(C621="DE",3,(IF(C621="RS",4,(IF(C621="RC",5,0)))))))))</f>
        <v>1</v>
      </c>
      <c r="E621" s="89" t="s">
        <v>140</v>
      </c>
      <c r="F621" s="89">
        <f>IF(E621="AM",1,(IF(E621="BE",2,(IF(E621="GV",3,(IF(E621="RA",4,(IF(E621="RM",5,(IF(E621="AC",1,(IF(E621="AT",2,(IF(E621="DS",3,(IF(E621="IP",4,(IF(E621="MA",5,(IF(E621="PT",6,(IF(E621="AE",1,(IF(E621="CM",2,(IF(E621="DP",3,(IF(E621="AN",1,(IF(E621="CO",2,(IF(E621="IM",3,(IF(E621="MI",4,(IF(E621="RP",5,(IF(E621="SC",6,0)))))))))))))))))))))))))))))))))))))))</f>
        <v>4</v>
      </c>
      <c r="G621" s="98">
        <v>3</v>
      </c>
      <c r="H621" s="90" t="s">
        <v>115</v>
      </c>
      <c r="I621" s="93" t="s">
        <v>52</v>
      </c>
      <c r="J621" s="88">
        <v>164.31399999999999</v>
      </c>
      <c r="K621" s="103" t="s">
        <v>3294</v>
      </c>
      <c r="L621" s="117">
        <f>IF(O621="","",N621*O621*M621)</f>
        <v>0</v>
      </c>
      <c r="M621" s="108">
        <v>1</v>
      </c>
      <c r="N621" s="95">
        <v>1</v>
      </c>
      <c r="O621" s="109">
        <f>IF(Key!D$1="ON",P621,IF(SUM(Q621:DL621)&lt;1,"",SUM(Q621:DL621)/COUNTIF(Q621:DL621,"&gt;0")))</f>
        <v>0</v>
      </c>
      <c r="P621" s="109">
        <f>SUMIFS(Q621:DK621,Q$1:DK$1,Dashboard!$K$31)</f>
        <v>0</v>
      </c>
      <c r="U621" s="95">
        <v>33</v>
      </c>
      <c r="AA621" s="95">
        <v>25</v>
      </c>
      <c r="AH621" s="95">
        <v>75</v>
      </c>
    </row>
    <row r="622" spans="1:34" x14ac:dyDescent="0.3">
      <c r="A622" s="89" t="str">
        <f>CONCATENATE(D622,".",F622,"-",G622,".",H622,"")</f>
        <v>1.4-3.1</v>
      </c>
      <c r="B622" s="89" t="str">
        <f>IF(CONCATENATE(I622,Key!F$2)=CONCATENATE(INDEX(Dashboard!J:J,MATCH(I622,Dashboard!J:J,0),1),INDEX(Dashboard!J:K,MATCH(I622,Dashboard!J:J,0),2)),"ON",IF(Dashboard!K$32="ALL","ON","-"))</f>
        <v>-</v>
      </c>
      <c r="C622" s="88" t="s">
        <v>110</v>
      </c>
      <c r="D622" s="89">
        <f>IF(C622="ID",1,(IF(C622="PR",2,(IF(C622="DE",3,(IF(C622="RS",4,(IF(C622="RC",5,0)))))))))</f>
        <v>1</v>
      </c>
      <c r="E622" s="89" t="s">
        <v>140</v>
      </c>
      <c r="F622" s="89">
        <f>IF(E622="AM",1,(IF(E622="BE",2,(IF(E622="GV",3,(IF(E622="RA",4,(IF(E622="RM",5,(IF(E622="AC",1,(IF(E622="AT",2,(IF(E622="DS",3,(IF(E622="IP",4,(IF(E622="MA",5,(IF(E622="PT",6,(IF(E622="AE",1,(IF(E622="CM",2,(IF(E622="DP",3,(IF(E622="AN",1,(IF(E622="CO",2,(IF(E622="IM",3,(IF(E622="MI",4,(IF(E622="RP",5,(IF(E622="SC",6,0)))))))))))))))))))))))))))))))))))))))</f>
        <v>4</v>
      </c>
      <c r="G622" s="52">
        <v>3</v>
      </c>
      <c r="H622" s="90" t="s">
        <v>115</v>
      </c>
      <c r="I622" s="93" t="s">
        <v>73</v>
      </c>
      <c r="J622" s="86" t="s">
        <v>4210</v>
      </c>
      <c r="K622" s="101" t="s">
        <v>5182</v>
      </c>
      <c r="L622" s="117">
        <f>IF(O622="","",N622*O622*M622)</f>
        <v>0</v>
      </c>
      <c r="M622" s="108">
        <v>1</v>
      </c>
      <c r="N622" s="95">
        <v>1</v>
      </c>
      <c r="O622" s="109">
        <f>IF(Key!D$1="ON",P622,IF(SUM(Q622:DL622)&lt;1,"",SUM(Q622:DL622)/COUNTIF(Q622:DL622,"&gt;0")))</f>
        <v>0</v>
      </c>
      <c r="P622" s="109">
        <f>SUMIFS(Q622:DK622,Q$1:DK$1,Dashboard!$K$31)</f>
        <v>0</v>
      </c>
      <c r="U622" s="95">
        <v>33</v>
      </c>
      <c r="AA622" s="95">
        <v>25</v>
      </c>
      <c r="AH622" s="95">
        <v>75</v>
      </c>
    </row>
    <row r="623" spans="1:34" x14ac:dyDescent="0.3">
      <c r="A623" s="89" t="str">
        <f>CONCATENATE(D623,".",F623,"-",G623,".",H623,"")</f>
        <v>1.4-3.1</v>
      </c>
      <c r="B623" s="89" t="str">
        <f>IF(CONCATENATE(I623,Key!F$2)=CONCATENATE(INDEX(Dashboard!J:J,MATCH(I623,Dashboard!J:J,0),1),INDEX(Dashboard!J:K,MATCH(I623,Dashboard!J:J,0),2)),"ON",IF(Dashboard!K$32="ALL","ON","-"))</f>
        <v>-</v>
      </c>
      <c r="C623" s="88" t="s">
        <v>110</v>
      </c>
      <c r="D623" s="89">
        <f>IF(C623="ID",1,(IF(C623="PR",2,(IF(C623="DE",3,(IF(C623="RS",4,(IF(C623="RC",5,0)))))))))</f>
        <v>1</v>
      </c>
      <c r="E623" s="89" t="s">
        <v>140</v>
      </c>
      <c r="F623" s="89">
        <f>IF(E623="AM",1,(IF(E623="BE",2,(IF(E623="GV",3,(IF(E623="RA",4,(IF(E623="RM",5,(IF(E623="AC",1,(IF(E623="AT",2,(IF(E623="DS",3,(IF(E623="IP",4,(IF(E623="MA",5,(IF(E623="PT",6,(IF(E623="AE",1,(IF(E623="CM",2,(IF(E623="DP",3,(IF(E623="AN",1,(IF(E623="CO",2,(IF(E623="IM",3,(IF(E623="MI",4,(IF(E623="RP",5,(IF(E623="SC",6,0)))))))))))))))))))))))))))))))))))))))</f>
        <v>4</v>
      </c>
      <c r="G623" s="52">
        <v>3</v>
      </c>
      <c r="H623" s="90" t="s">
        <v>115</v>
      </c>
      <c r="I623" s="93" t="s">
        <v>73</v>
      </c>
      <c r="J623" s="86" t="s">
        <v>4241</v>
      </c>
      <c r="K623" s="101" t="s">
        <v>5184</v>
      </c>
      <c r="L623" s="117">
        <f>IF(O623="","",N623*O623*M623)</f>
        <v>0</v>
      </c>
      <c r="M623" s="108">
        <v>1</v>
      </c>
      <c r="N623" s="95">
        <v>1</v>
      </c>
      <c r="O623" s="109">
        <f>IF(Key!D$1="ON",P623,IF(SUM(Q623:DL623)&lt;1,"",SUM(Q623:DL623)/COUNTIF(Q623:DL623,"&gt;0")))</f>
        <v>0</v>
      </c>
      <c r="P623" s="109">
        <f>SUMIFS(Q623:DK623,Q$1:DK$1,Dashboard!$K$31)</f>
        <v>0</v>
      </c>
      <c r="U623" s="95">
        <v>33</v>
      </c>
      <c r="AA623" s="95">
        <v>25</v>
      </c>
      <c r="AH623" s="95">
        <v>75</v>
      </c>
    </row>
    <row r="624" spans="1:34" x14ac:dyDescent="0.3">
      <c r="A624" s="89" t="str">
        <f>CONCATENATE(D624,".",F624,"-",G624,".",H624,"")</f>
        <v>1.4-3.1</v>
      </c>
      <c r="B624" s="89" t="str">
        <f>IF(CONCATENATE(I624,Key!F$2)=CONCATENATE(INDEX(Dashboard!J:J,MATCH(I624,Dashboard!J:J,0),1),INDEX(Dashboard!J:K,MATCH(I624,Dashboard!J:J,0),2)),"ON",IF(Dashboard!K$32="ALL","ON","-"))</f>
        <v>-</v>
      </c>
      <c r="C624" s="88" t="s">
        <v>110</v>
      </c>
      <c r="D624" s="89">
        <f>IF(C624="ID",1,(IF(C624="PR",2,(IF(C624="DE",3,(IF(C624="RS",4,(IF(C624="RC",5,0)))))))))</f>
        <v>1</v>
      </c>
      <c r="E624" s="89" t="s">
        <v>140</v>
      </c>
      <c r="F624" s="89">
        <f>IF(E624="AM",1,(IF(E624="BE",2,(IF(E624="GV",3,(IF(E624="RA",4,(IF(E624="RM",5,(IF(E624="AC",1,(IF(E624="AT",2,(IF(E624="DS",3,(IF(E624="IP",4,(IF(E624="MA",5,(IF(E624="PT",6,(IF(E624="AE",1,(IF(E624="CM",2,(IF(E624="DP",3,(IF(E624="AN",1,(IF(E624="CO",2,(IF(E624="IM",3,(IF(E624="MI",4,(IF(E624="RP",5,(IF(E624="SC",6,0)))))))))))))))))))))))))))))))))))))))</f>
        <v>4</v>
      </c>
      <c r="G624" s="52">
        <v>3</v>
      </c>
      <c r="H624" s="90" t="s">
        <v>115</v>
      </c>
      <c r="I624" s="93" t="s">
        <v>73</v>
      </c>
      <c r="J624" s="86" t="s">
        <v>4244</v>
      </c>
      <c r="K624" s="101" t="s">
        <v>5185</v>
      </c>
      <c r="L624" s="117">
        <f>IF(O624="","",N624*O624*M624)</f>
        <v>0</v>
      </c>
      <c r="M624" s="108">
        <v>1</v>
      </c>
      <c r="N624" s="95">
        <v>1</v>
      </c>
      <c r="O624" s="109">
        <f>IF(Key!D$1="ON",P624,IF(SUM(Q624:DL624)&lt;1,"",SUM(Q624:DL624)/COUNTIF(Q624:DL624,"&gt;0")))</f>
        <v>0</v>
      </c>
      <c r="P624" s="109">
        <f>SUMIFS(Q624:DK624,Q$1:DK$1,Dashboard!$K$31)</f>
        <v>0</v>
      </c>
      <c r="U624" s="95">
        <v>33</v>
      </c>
      <c r="AA624" s="95">
        <v>25</v>
      </c>
      <c r="AH624" s="95">
        <v>75</v>
      </c>
    </row>
    <row r="625" spans="1:34" ht="15.6" x14ac:dyDescent="0.3">
      <c r="A625" s="89" t="str">
        <f>CONCATENATE(D625,".",F625,"-",G625,".",H625,"")</f>
        <v>1.4-3.1</v>
      </c>
      <c r="B625" s="89" t="str">
        <f>IF(CONCATENATE(I625,Key!F$2)=CONCATENATE(INDEX(Dashboard!J:J,MATCH(I625,Dashboard!J:J,0),1),INDEX(Dashboard!J:K,MATCH(I625,Dashboard!J:J,0),2)),"ON",IF(Dashboard!K$32="ALL","ON","-"))</f>
        <v>-</v>
      </c>
      <c r="C625" s="96" t="s">
        <v>110</v>
      </c>
      <c r="D625" s="89">
        <f>IF(C625="ID",1,(IF(C625="PR",2,(IF(C625="DE",3,(IF(C625="RS",4,(IF(C625="RC",5,0)))))))))</f>
        <v>1</v>
      </c>
      <c r="E625" s="89" t="s">
        <v>140</v>
      </c>
      <c r="F625" s="89">
        <f>IF(E625="AM",1,(IF(E625="BE",2,(IF(E625="GV",3,(IF(E625="RA",4,(IF(E625="RM",5,(IF(E625="AC",1,(IF(E625="AT",2,(IF(E625="DS",3,(IF(E625="IP",4,(IF(E625="MA",5,(IF(E625="PT",6,(IF(E625="AE",1,(IF(E625="CM",2,(IF(E625="DP",3,(IF(E625="AN",1,(IF(E625="CO",2,(IF(E625="IM",3,(IF(E625="MI",4,(IF(E625="RP",5,(IF(E625="SC",6,0)))))))))))))))))))))))))))))))))))))))</f>
        <v>4</v>
      </c>
      <c r="G625" s="98">
        <v>3</v>
      </c>
      <c r="H625" s="90" t="s">
        <v>115</v>
      </c>
      <c r="I625" s="93" t="s">
        <v>77</v>
      </c>
      <c r="J625" s="87" t="s">
        <v>1100</v>
      </c>
      <c r="K625" s="102" t="s">
        <v>2140</v>
      </c>
      <c r="L625" s="117">
        <f>IF(O625="","",N625*O625*M625)</f>
        <v>0</v>
      </c>
      <c r="M625" s="108">
        <v>0.9</v>
      </c>
      <c r="N625" s="95">
        <v>1</v>
      </c>
      <c r="O625" s="109">
        <f>IF(Key!D$1="ON",P625,IF(SUM(Q625:DL625)&lt;1,"",SUM(Q625:DL625)/COUNTIF(Q625:DL625,"&gt;0")))</f>
        <v>0</v>
      </c>
      <c r="P625" s="109">
        <f>SUMIFS(Q625:DK625,Q$1:DK$1,Dashboard!$K$31)</f>
        <v>0</v>
      </c>
      <c r="S625" s="95">
        <v>99</v>
      </c>
      <c r="T625" s="95">
        <v>80</v>
      </c>
      <c r="U625" s="95">
        <v>33</v>
      </c>
      <c r="AA625" s="95">
        <v>25</v>
      </c>
      <c r="AH625" s="95">
        <v>75</v>
      </c>
    </row>
    <row r="626" spans="1:34" ht="15.6" x14ac:dyDescent="0.3">
      <c r="A626" s="89" t="str">
        <f>CONCATENATE(D626,".",F626,"-",G626,".",H626,"")</f>
        <v>1.4-3.1</v>
      </c>
      <c r="B626" s="89" t="str">
        <f>IF(CONCATENATE(I626,Key!F$2)=CONCATENATE(INDEX(Dashboard!J:J,MATCH(I626,Dashboard!J:J,0),1),INDEX(Dashboard!J:K,MATCH(I626,Dashboard!J:J,0),2)),"ON",IF(Dashboard!K$32="ALL","ON","-"))</f>
        <v>-</v>
      </c>
      <c r="C626" s="88" t="s">
        <v>110</v>
      </c>
      <c r="D626" s="89">
        <f>IF(C626="ID",1,(IF(C626="PR",2,(IF(C626="DE",3,(IF(C626="RS",4,(IF(C626="RC",5,0)))))))))</f>
        <v>1</v>
      </c>
      <c r="E626" s="89" t="s">
        <v>140</v>
      </c>
      <c r="F626" s="89">
        <f>IF(E626="AM",1,(IF(E626="BE",2,(IF(E626="GV",3,(IF(E626="RA",4,(IF(E626="RM",5,(IF(E626="AC",1,(IF(E626="AT",2,(IF(E626="DS",3,(IF(E626="IP",4,(IF(E626="MA",5,(IF(E626="PT",6,(IF(E626="AE",1,(IF(E626="CM",2,(IF(E626="DP",3,(IF(E626="AN",1,(IF(E626="CO",2,(IF(E626="IM",3,(IF(E626="MI",4,(IF(E626="RP",5,(IF(E626="SC",6,0)))))))))))))))))))))))))))))))))))))))</f>
        <v>4</v>
      </c>
      <c r="G626" s="52">
        <v>3</v>
      </c>
      <c r="H626" s="90" t="s">
        <v>115</v>
      </c>
      <c r="I626" s="93" t="s">
        <v>77</v>
      </c>
      <c r="J626" s="87" t="s">
        <v>1102</v>
      </c>
      <c r="K626" s="102" t="s">
        <v>2141</v>
      </c>
      <c r="L626" s="117">
        <f>IF(O626="","",N626*O626*M626)</f>
        <v>0</v>
      </c>
      <c r="M626" s="108">
        <v>1</v>
      </c>
      <c r="N626" s="95">
        <v>1</v>
      </c>
      <c r="O626" s="109">
        <f>IF(Key!D$1="ON",P626,IF(SUM(Q626:DL626)&lt;1,"",SUM(Q626:DL626)/COUNTIF(Q626:DL626,"&gt;0")))</f>
        <v>0</v>
      </c>
      <c r="P626" s="109">
        <f>SUMIFS(Q626:DK626,Q$1:DK$1,Dashboard!$K$31)</f>
        <v>0</v>
      </c>
      <c r="U626" s="95">
        <v>33</v>
      </c>
      <c r="AA626" s="95">
        <v>25</v>
      </c>
      <c r="AH626" s="95">
        <v>75</v>
      </c>
    </row>
    <row r="627" spans="1:34" ht="15.6" x14ac:dyDescent="0.3">
      <c r="A627" s="89" t="str">
        <f>CONCATENATE(D627,".",F627,"-",G627,".",H627,"")</f>
        <v>1.4-3.1</v>
      </c>
      <c r="B627" s="89" t="str">
        <f>IF(CONCATENATE(I627,Key!F$2)=CONCATENATE(INDEX(Dashboard!J:J,MATCH(I627,Dashboard!J:J,0),1),INDEX(Dashboard!J:K,MATCH(I627,Dashboard!J:J,0),2)),"ON",IF(Dashboard!K$32="ALL","ON","-"))</f>
        <v>-</v>
      </c>
      <c r="C627" s="88" t="s">
        <v>110</v>
      </c>
      <c r="D627" s="89">
        <f>IF(C627="ID",1,(IF(C627="PR",2,(IF(C627="DE",3,(IF(C627="RS",4,(IF(C627="RC",5,0)))))))))</f>
        <v>1</v>
      </c>
      <c r="E627" s="89" t="s">
        <v>140</v>
      </c>
      <c r="F627" s="89">
        <f>IF(E627="AM",1,(IF(E627="BE",2,(IF(E627="GV",3,(IF(E627="RA",4,(IF(E627="RM",5,(IF(E627="AC",1,(IF(E627="AT",2,(IF(E627="DS",3,(IF(E627="IP",4,(IF(E627="MA",5,(IF(E627="PT",6,(IF(E627="AE",1,(IF(E627="CM",2,(IF(E627="DP",3,(IF(E627="AN",1,(IF(E627="CO",2,(IF(E627="IM",3,(IF(E627="MI",4,(IF(E627="RP",5,(IF(E627="SC",6,0)))))))))))))))))))))))))))))))))))))))</f>
        <v>4</v>
      </c>
      <c r="G627" s="52">
        <v>3</v>
      </c>
      <c r="H627" s="90" t="s">
        <v>115</v>
      </c>
      <c r="I627" s="93" t="s">
        <v>85</v>
      </c>
      <c r="J627" s="87" t="s">
        <v>1102</v>
      </c>
      <c r="K627" s="119" t="s">
        <v>5122</v>
      </c>
      <c r="L627" s="117">
        <f>IF(O627="","",N627*O627*M627)</f>
        <v>0</v>
      </c>
      <c r="M627" s="108">
        <v>1</v>
      </c>
      <c r="N627" s="95">
        <v>1</v>
      </c>
      <c r="O627" s="109">
        <f>IF(Key!D$1="ON",P627,IF(SUM(Q627:DL627)&lt;1,"",SUM(Q627:DL627)/COUNTIF(Q627:DL627,"&gt;0")))</f>
        <v>0</v>
      </c>
      <c r="P627" s="109">
        <f>SUMIFS(Q627:DK627,Q$1:DK$1,Dashboard!$K$31)</f>
        <v>0</v>
      </c>
      <c r="U627" s="95">
        <v>33</v>
      </c>
      <c r="AA627" s="95">
        <v>25</v>
      </c>
      <c r="AH627" s="95">
        <v>75</v>
      </c>
    </row>
    <row r="628" spans="1:34" x14ac:dyDescent="0.3">
      <c r="A628" s="89" t="str">
        <f>CONCATENATE(D628,".",F628,"-",G628,".",H628,"")</f>
        <v>1.4-3.1</v>
      </c>
      <c r="B628" s="89" t="str">
        <f>IF(CONCATENATE(I628,Key!F$2)=CONCATENATE(INDEX(Dashboard!J:J,MATCH(I628,Dashboard!J:J,0),1),INDEX(Dashboard!J:K,MATCH(I628,Dashboard!J:J,0),2)),"ON",IF(Dashboard!K$32="ALL","ON","-"))</f>
        <v>-</v>
      </c>
      <c r="C628" s="96" t="s">
        <v>110</v>
      </c>
      <c r="D628" s="89">
        <f>IF(C628="ID",1,(IF(C628="PR",2,(IF(C628="DE",3,(IF(C628="RS",4,(IF(C628="RC",5,0)))))))))</f>
        <v>1</v>
      </c>
      <c r="E628" s="89" t="s">
        <v>140</v>
      </c>
      <c r="F628" s="89">
        <f>IF(E628="AM",1,(IF(E628="BE",2,(IF(E628="GV",3,(IF(E628="RA",4,(IF(E628="RM",5,(IF(E628="AC",1,(IF(E628="AT",2,(IF(E628="DS",3,(IF(E628="IP",4,(IF(E628="MA",5,(IF(E628="PT",6,(IF(E628="AE",1,(IF(E628="CM",2,(IF(E628="DP",3,(IF(E628="AN",1,(IF(E628="CO",2,(IF(E628="IM",3,(IF(E628="MI",4,(IF(E628="RP",5,(IF(E628="SC",6,0)))))))))))))))))))))))))))))))))))))))</f>
        <v>4</v>
      </c>
      <c r="G628" s="52">
        <v>3</v>
      </c>
      <c r="H628" s="90" t="s">
        <v>115</v>
      </c>
      <c r="I628" s="93" t="s">
        <v>85</v>
      </c>
      <c r="J628" s="86" t="s">
        <v>764</v>
      </c>
      <c r="K628" s="119" t="s">
        <v>4900</v>
      </c>
      <c r="L628" s="117">
        <f>IF(O628="","",N628*O628*M628)</f>
        <v>0</v>
      </c>
      <c r="M628" s="108">
        <v>0.9</v>
      </c>
      <c r="N628" s="95">
        <v>1</v>
      </c>
      <c r="O628" s="109">
        <f>IF(Key!D$1="ON",P628,IF(SUM(Q628:DL628)&lt;1,"",SUM(Q628:DL628)/COUNTIF(Q628:DL628,"&gt;0")))</f>
        <v>0</v>
      </c>
      <c r="P628" s="109">
        <f>SUMIFS(Q628:DK628,Q$1:DK$1,Dashboard!$K$31)</f>
        <v>0</v>
      </c>
      <c r="S628" s="95">
        <v>50</v>
      </c>
      <c r="T628" s="95">
        <v>80</v>
      </c>
      <c r="U628" s="95">
        <v>33</v>
      </c>
      <c r="AA628" s="95">
        <v>25</v>
      </c>
      <c r="AH628" s="95">
        <v>75</v>
      </c>
    </row>
    <row r="629" spans="1:34" x14ac:dyDescent="0.3">
      <c r="A629" s="89" t="str">
        <f>CONCATENATE(D629,".",F629,"-",G629,".",H629,"")</f>
        <v>1.4-3.1</v>
      </c>
      <c r="B629" s="89" t="str">
        <f>IF(CONCATENATE(I629,Key!F$2)=CONCATENATE(INDEX(Dashboard!J:J,MATCH(I629,Dashboard!J:J,0),1),INDEX(Dashboard!J:K,MATCH(I629,Dashboard!J:J,0),2)),"ON",IF(Dashboard!K$32="ALL","ON","-"))</f>
        <v>-</v>
      </c>
      <c r="C629" s="96" t="s">
        <v>110</v>
      </c>
      <c r="D629" s="89">
        <f>IF(C629="ID",1,(IF(C629="PR",2,(IF(C629="DE",3,(IF(C629="RS",4,(IF(C629="RC",5,0)))))))))</f>
        <v>1</v>
      </c>
      <c r="E629" s="89" t="s">
        <v>140</v>
      </c>
      <c r="F629" s="89">
        <f>IF(E629="AM",1,(IF(E629="BE",2,(IF(E629="GV",3,(IF(E629="RA",4,(IF(E629="RM",5,(IF(E629="AC",1,(IF(E629="AT",2,(IF(E629="DS",3,(IF(E629="IP",4,(IF(E629="MA",5,(IF(E629="PT",6,(IF(E629="AE",1,(IF(E629="CM",2,(IF(E629="DP",3,(IF(E629="AN",1,(IF(E629="CO",2,(IF(E629="IM",3,(IF(E629="MI",4,(IF(E629="RP",5,(IF(E629="SC",6,0)))))))))))))))))))))))))))))))))))))))</f>
        <v>4</v>
      </c>
      <c r="G629" s="98">
        <v>3</v>
      </c>
      <c r="H629" s="90" t="s">
        <v>115</v>
      </c>
      <c r="I629" s="93" t="s">
        <v>85</v>
      </c>
      <c r="J629" s="87" t="s">
        <v>1100</v>
      </c>
      <c r="K629" s="119" t="s">
        <v>1101</v>
      </c>
      <c r="L629" s="117">
        <f>IF(O629="","",N629*O629*M629)</f>
        <v>0</v>
      </c>
      <c r="M629" s="108">
        <v>0.9</v>
      </c>
      <c r="N629" s="95">
        <v>1</v>
      </c>
      <c r="O629" s="109">
        <f>IF(Key!D$1="ON",P629,IF(SUM(Q629:DL629)&lt;1,"",SUM(Q629:DL629)/COUNTIF(Q629:DL629,"&gt;0")))</f>
        <v>0</v>
      </c>
      <c r="P629" s="109">
        <f>SUMIFS(Q629:DK629,Q$1:DK$1,Dashboard!$K$31)</f>
        <v>0</v>
      </c>
      <c r="S629" s="95">
        <v>25</v>
      </c>
      <c r="T629" s="95">
        <v>80</v>
      </c>
      <c r="U629" s="95">
        <v>33</v>
      </c>
      <c r="AA629" s="95">
        <v>25</v>
      </c>
      <c r="AH629" s="95">
        <v>75</v>
      </c>
    </row>
    <row r="630" spans="1:34" x14ac:dyDescent="0.3">
      <c r="A630" s="89" t="str">
        <f>CONCATENATE(D630,".",F630,"-",G630,".",H630,"")</f>
        <v>1.4-3.1</v>
      </c>
      <c r="B630" s="89" t="str">
        <f>IF(CONCATENATE(I630,Key!F$2)=CONCATENATE(INDEX(Dashboard!J:J,MATCH(I630,Dashboard!J:J,0),1),INDEX(Dashboard!J:K,MATCH(I630,Dashboard!J:J,0),2)),"ON",IF(Dashboard!K$32="ALL","ON","-"))</f>
        <v>-</v>
      </c>
      <c r="C630" s="96" t="s">
        <v>110</v>
      </c>
      <c r="D630" s="89">
        <f>IF(C630="ID",1,(IF(C630="PR",2,(IF(C630="DE",3,(IF(C630="RS",4,(IF(C630="RC",5,0)))))))))</f>
        <v>1</v>
      </c>
      <c r="E630" s="89" t="s">
        <v>140</v>
      </c>
      <c r="F630" s="89">
        <f>IF(E630="AM",1,(IF(E630="BE",2,(IF(E630="GV",3,(IF(E630="RA",4,(IF(E630="RM",5,(IF(E630="AC",1,(IF(E630="AT",2,(IF(E630="DS",3,(IF(E630="IP",4,(IF(E630="MA",5,(IF(E630="PT",6,(IF(E630="AE",1,(IF(E630="CM",2,(IF(E630="DP",3,(IF(E630="AN",1,(IF(E630="CO",2,(IF(E630="IM",3,(IF(E630="MI",4,(IF(E630="RP",5,(IF(E630="SC",6,0)))))))))))))))))))))))))))))))))))))))</f>
        <v>4</v>
      </c>
      <c r="G630" s="52">
        <v>3</v>
      </c>
      <c r="H630" s="90" t="s">
        <v>115</v>
      </c>
      <c r="I630" s="93" t="s">
        <v>89</v>
      </c>
      <c r="J630" s="88">
        <v>500.09</v>
      </c>
      <c r="K630" s="102" t="s">
        <v>435</v>
      </c>
      <c r="L630" s="117">
        <f>IF(O630="","",N630*O630*M630)</f>
        <v>0</v>
      </c>
      <c r="M630" s="108">
        <v>1</v>
      </c>
      <c r="N630" s="95">
        <v>1</v>
      </c>
      <c r="O630" s="109">
        <f>IF(Key!D$1="ON",P630,IF(SUM(Q630:DL630)&lt;1,"",SUM(Q630:DL630)/COUNTIF(Q630:DL630,"&gt;0")))</f>
        <v>0</v>
      </c>
      <c r="P630" s="109">
        <f>SUMIFS(Q630:DK630,Q$1:DK$1,Dashboard!$K$31)</f>
        <v>0</v>
      </c>
      <c r="U630" s="95">
        <v>33</v>
      </c>
      <c r="AA630" s="95">
        <v>25</v>
      </c>
      <c r="AH630" s="95">
        <v>75</v>
      </c>
    </row>
    <row r="631" spans="1:34" ht="15.6" x14ac:dyDescent="0.3">
      <c r="A631" s="89" t="str">
        <f>CONCATENATE(D631,".",F631,"-",G631,".",H631,"")</f>
        <v>1.4-3.1</v>
      </c>
      <c r="B631" s="89" t="str">
        <f>IF(CONCATENATE(I631,Key!F$2)=CONCATENATE(INDEX(Dashboard!J:J,MATCH(I631,Dashboard!J:J,0),1),INDEX(Dashboard!J:K,MATCH(I631,Dashboard!J:J,0),2)),"ON",IF(Dashboard!K$32="ALL","ON","-"))</f>
        <v>-</v>
      </c>
      <c r="C631" s="96" t="s">
        <v>110</v>
      </c>
      <c r="D631" s="89">
        <f>IF(C631="ID",1,(IF(C631="PR",2,(IF(C631="DE",3,(IF(C631="RS",4,(IF(C631="RC",5,0)))))))))</f>
        <v>1</v>
      </c>
      <c r="E631" s="89" t="s">
        <v>140</v>
      </c>
      <c r="F631" s="89">
        <f>IF(E631="AM",1,(IF(E631="BE",2,(IF(E631="GV",3,(IF(E631="RA",4,(IF(E631="RM",5,(IF(E631="AC",1,(IF(E631="AT",2,(IF(E631="DS",3,(IF(E631="IP",4,(IF(E631="MA",5,(IF(E631="PT",6,(IF(E631="AE",1,(IF(E631="CM",2,(IF(E631="DP",3,(IF(E631="AN",1,(IF(E631="CO",2,(IF(E631="IM",3,(IF(E631="MI",4,(IF(E631="RP",5,(IF(E631="SC",6,0)))))))))))))))))))))))))))))))))))))))</f>
        <v>4</v>
      </c>
      <c r="G631" s="52">
        <v>3</v>
      </c>
      <c r="H631" s="90" t="s">
        <v>115</v>
      </c>
      <c r="I631" s="93" t="s">
        <v>89</v>
      </c>
      <c r="J631" s="88" t="s">
        <v>436</v>
      </c>
      <c r="K631" s="102" t="s">
        <v>437</v>
      </c>
      <c r="L631" s="117">
        <f>IF(O631="","",N631*O631*M631)</f>
        <v>0</v>
      </c>
      <c r="M631" s="108">
        <v>1</v>
      </c>
      <c r="N631" s="95">
        <v>1</v>
      </c>
      <c r="O631" s="109">
        <f>IF(Key!D$1="ON",P631,IF(SUM(Q631:DL631)&lt;1,"",SUM(Q631:DL631)/COUNTIF(Q631:DL631,"&gt;0")))</f>
        <v>0</v>
      </c>
      <c r="P631" s="109">
        <f>SUMIFS(Q631:DK631,Q$1:DK$1,Dashboard!$K$31)</f>
        <v>0</v>
      </c>
      <c r="U631" s="95">
        <v>33</v>
      </c>
      <c r="AA631" s="95">
        <v>25</v>
      </c>
      <c r="AH631" s="95">
        <v>75</v>
      </c>
    </row>
    <row r="632" spans="1:34" x14ac:dyDescent="0.3">
      <c r="A632" s="89" t="str">
        <f>CONCATENATE(D632,".",F632,"-",G632,".",H632,"")</f>
        <v>1.4-3.1</v>
      </c>
      <c r="B632" s="89" t="str">
        <f>IF(CONCATENATE(I632,Key!F$2)=CONCATENATE(INDEX(Dashboard!J:J,MATCH(I632,Dashboard!J:J,0),1),INDEX(Dashboard!J:K,MATCH(I632,Dashboard!J:J,0),2)),"ON",IF(Dashboard!K$32="ALL","ON","-"))</f>
        <v>-</v>
      </c>
      <c r="C632" s="96" t="s">
        <v>110</v>
      </c>
      <c r="D632" s="89">
        <f>IF(C632="ID",1,(IF(C632="PR",2,(IF(C632="DE",3,(IF(C632="RS",4,(IF(C632="RC",5,0)))))))))</f>
        <v>1</v>
      </c>
      <c r="E632" s="89" t="s">
        <v>140</v>
      </c>
      <c r="F632" s="89">
        <f>IF(E632="AM",1,(IF(E632="BE",2,(IF(E632="GV",3,(IF(E632="RA",4,(IF(E632="RM",5,(IF(E632="AC",1,(IF(E632="AT",2,(IF(E632="DS",3,(IF(E632="IP",4,(IF(E632="MA",5,(IF(E632="PT",6,(IF(E632="AE",1,(IF(E632="CM",2,(IF(E632="DP",3,(IF(E632="AN",1,(IF(E632="CO",2,(IF(E632="IM",3,(IF(E632="MI",4,(IF(E632="RP",5,(IF(E632="SC",6,0)))))))))))))))))))))))))))))))))))))))</f>
        <v>4</v>
      </c>
      <c r="G632" s="52">
        <v>3</v>
      </c>
      <c r="H632" s="90" t="s">
        <v>115</v>
      </c>
      <c r="I632" s="93" t="s">
        <v>89</v>
      </c>
      <c r="J632" s="88" t="s">
        <v>438</v>
      </c>
      <c r="K632" s="102" t="s">
        <v>439</v>
      </c>
      <c r="L632" s="117">
        <f>IF(O632="","",N632*O632*M632)</f>
        <v>0</v>
      </c>
      <c r="M632" s="108">
        <v>1</v>
      </c>
      <c r="N632" s="95">
        <v>1</v>
      </c>
      <c r="O632" s="109">
        <f>IF(Key!D$1="ON",P632,IF(SUM(Q632:DL632)&lt;1,"",SUM(Q632:DL632)/COUNTIF(Q632:DL632,"&gt;0")))</f>
        <v>0</v>
      </c>
      <c r="P632" s="109">
        <f>SUMIFS(Q632:DK632,Q$1:DK$1,Dashboard!$K$31)</f>
        <v>0</v>
      </c>
      <c r="U632" s="95">
        <v>33</v>
      </c>
      <c r="AA632" s="95">
        <v>25</v>
      </c>
      <c r="AH632" s="95">
        <v>75</v>
      </c>
    </row>
    <row r="633" spans="1:34" x14ac:dyDescent="0.3">
      <c r="A633" s="89" t="str">
        <f>CONCATENATE(D633,".",F633,"-",G633,".",H633,"")</f>
        <v>1.4-3.1</v>
      </c>
      <c r="B633" s="89" t="str">
        <f>IF(CONCATENATE(I633,Key!F$2)=CONCATENATE(INDEX(Dashboard!J:J,MATCH(I633,Dashboard!J:J,0),1),INDEX(Dashboard!J:K,MATCH(I633,Dashboard!J:J,0),2)),"ON",IF(Dashboard!K$32="ALL","ON","-"))</f>
        <v>-</v>
      </c>
      <c r="C633" s="96" t="s">
        <v>110</v>
      </c>
      <c r="D633" s="89">
        <f>IF(C633="ID",1,(IF(C633="PR",2,(IF(C633="DE",3,(IF(C633="RS",4,(IF(C633="RC",5,0)))))))))</f>
        <v>1</v>
      </c>
      <c r="E633" s="89" t="s">
        <v>140</v>
      </c>
      <c r="F633" s="89">
        <f>IF(E633="AM",1,(IF(E633="BE",2,(IF(E633="GV",3,(IF(E633="RA",4,(IF(E633="RM",5,(IF(E633="AC",1,(IF(E633="AT",2,(IF(E633="DS",3,(IF(E633="IP",4,(IF(E633="MA",5,(IF(E633="PT",6,(IF(E633="AE",1,(IF(E633="CM",2,(IF(E633="DP",3,(IF(E633="AN",1,(IF(E633="CO",2,(IF(E633="IM",3,(IF(E633="MI",4,(IF(E633="RP",5,(IF(E633="SC",6,0)))))))))))))))))))))))))))))))))))))))</f>
        <v>4</v>
      </c>
      <c r="G633" s="52">
        <v>3</v>
      </c>
      <c r="H633" s="90" t="s">
        <v>115</v>
      </c>
      <c r="I633" s="93" t="s">
        <v>89</v>
      </c>
      <c r="J633" s="88" t="s">
        <v>440</v>
      </c>
      <c r="K633" s="102" t="s">
        <v>441</v>
      </c>
      <c r="L633" s="117">
        <f>IF(O633="","",N633*O633*M633)</f>
        <v>0</v>
      </c>
      <c r="M633" s="108">
        <v>1</v>
      </c>
      <c r="N633" s="95">
        <v>1</v>
      </c>
      <c r="O633" s="109">
        <f>IF(Key!D$1="ON",P633,IF(SUM(Q633:DL633)&lt;1,"",SUM(Q633:DL633)/COUNTIF(Q633:DL633,"&gt;0")))</f>
        <v>0</v>
      </c>
      <c r="P633" s="109">
        <f>SUMIFS(Q633:DK633,Q$1:DK$1,Dashboard!$K$31)</f>
        <v>0</v>
      </c>
      <c r="U633" s="95">
        <v>33</v>
      </c>
      <c r="AA633" s="95">
        <v>25</v>
      </c>
      <c r="AH633" s="95">
        <v>75</v>
      </c>
    </row>
    <row r="634" spans="1:34" ht="15.6" x14ac:dyDescent="0.3">
      <c r="A634" s="89" t="str">
        <f>CONCATENATE(D634,".",F634,"-",G634,".",H634,"")</f>
        <v>1.4-3.1</v>
      </c>
      <c r="B634" s="89" t="str">
        <f>IF(CONCATENATE(I634,Key!F$2)=CONCATENATE(INDEX(Dashboard!J:J,MATCH(I634,Dashboard!J:J,0),1),INDEX(Dashboard!J:K,MATCH(I634,Dashboard!J:J,0),2)),"ON",IF(Dashboard!K$32="ALL","ON","-"))</f>
        <v>-</v>
      </c>
      <c r="C634" s="96" t="s">
        <v>110</v>
      </c>
      <c r="D634" s="89">
        <f>IF(C634="ID",1,(IF(C634="PR",2,(IF(C634="DE",3,(IF(C634="RS",4,(IF(C634="RC",5,0)))))))))</f>
        <v>1</v>
      </c>
      <c r="E634" s="89" t="s">
        <v>140</v>
      </c>
      <c r="F634" s="89">
        <f>IF(E634="AM",1,(IF(E634="BE",2,(IF(E634="GV",3,(IF(E634="RA",4,(IF(E634="RM",5,(IF(E634="AC",1,(IF(E634="AT",2,(IF(E634="DS",3,(IF(E634="IP",4,(IF(E634="MA",5,(IF(E634="PT",6,(IF(E634="AE",1,(IF(E634="CM",2,(IF(E634="DP",3,(IF(E634="AN",1,(IF(E634="CO",2,(IF(E634="IM",3,(IF(E634="MI",4,(IF(E634="RP",5,(IF(E634="SC",6,0)))))))))))))))))))))))))))))))))))))))</f>
        <v>4</v>
      </c>
      <c r="G634" s="52">
        <v>3</v>
      </c>
      <c r="H634" s="90" t="s">
        <v>115</v>
      </c>
      <c r="I634" s="93" t="s">
        <v>89</v>
      </c>
      <c r="J634" s="88" t="s">
        <v>442</v>
      </c>
      <c r="K634" s="102" t="s">
        <v>443</v>
      </c>
      <c r="L634" s="117">
        <f>IF(O634="","",N634*O634*M634)</f>
        <v>0</v>
      </c>
      <c r="M634" s="108">
        <v>1</v>
      </c>
      <c r="N634" s="95">
        <v>1</v>
      </c>
      <c r="O634" s="109">
        <f>IF(Key!D$1="ON",P634,IF(SUM(Q634:DL634)&lt;1,"",SUM(Q634:DL634)/COUNTIF(Q634:DL634,"&gt;0")))</f>
        <v>0</v>
      </c>
      <c r="P634" s="109">
        <f>SUMIFS(Q634:DK634,Q$1:DK$1,Dashboard!$K$31)</f>
        <v>0</v>
      </c>
      <c r="U634" s="95">
        <v>33</v>
      </c>
      <c r="AA634" s="95">
        <v>25</v>
      </c>
      <c r="AH634" s="95">
        <v>75</v>
      </c>
    </row>
    <row r="635" spans="1:34" x14ac:dyDescent="0.3">
      <c r="A635" s="89" t="str">
        <f>CONCATENATE(D635,".",F635,"-",G635,".",H635,"")</f>
        <v>1.4-4.0</v>
      </c>
      <c r="B635" s="89" t="str">
        <f>IF(CONCATENATE(I635,Key!F$2)=CONCATENATE(INDEX(Dashboard!J:J,MATCH(I635,Dashboard!J:J,0),1),INDEX(Dashboard!J:K,MATCH(I635,Dashboard!J:J,0),2)),"ON",IF(Dashboard!K$32="ALL","ON","-"))</f>
        <v>-</v>
      </c>
      <c r="C635" s="96" t="s">
        <v>110</v>
      </c>
      <c r="D635" s="89">
        <f>IF(C635="ID",1,(IF(C635="PR",2,(IF(C635="DE",3,(IF(C635="RS",4,(IF(C635="RC",5,0)))))))))</f>
        <v>1</v>
      </c>
      <c r="E635" s="89" t="s">
        <v>140</v>
      </c>
      <c r="F635" s="89">
        <f>IF(E635="AM",1,(IF(E635="BE",2,(IF(E635="GV",3,(IF(E635="RA",4,(IF(E635="RM",5,(IF(E635="AC",1,(IF(E635="AT",2,(IF(E635="DS",3,(IF(E635="IP",4,(IF(E635="MA",5,(IF(E635="PT",6,(IF(E635="AE",1,(IF(E635="CM",2,(IF(E635="DP",3,(IF(E635="AN",1,(IF(E635="CO",2,(IF(E635="IM",3,(IF(E635="MI",4,(IF(E635="RP",5,(IF(E635="SC",6,0)))))))))))))))))))))))))))))))))))))))</f>
        <v>4</v>
      </c>
      <c r="G635" s="52">
        <v>4</v>
      </c>
      <c r="H635" s="90" t="s">
        <v>347</v>
      </c>
      <c r="I635" s="93" t="s">
        <v>2835</v>
      </c>
      <c r="J635" s="53" t="s">
        <v>2884</v>
      </c>
      <c r="K635" s="152" t="s">
        <v>2885</v>
      </c>
      <c r="L635" s="117">
        <f>IF(O635="","",N635*O635*M635)</f>
        <v>0</v>
      </c>
      <c r="M635" s="108">
        <v>1</v>
      </c>
      <c r="N635" s="95">
        <v>1</v>
      </c>
      <c r="O635" s="109">
        <f>IF(Key!D$1="ON",P635,IF(SUM(Q635:DL635)&lt;1,"",SUM(Q635:DL635)/COUNTIF(Q635:DL635,"&gt;0")))</f>
        <v>0</v>
      </c>
      <c r="P635" s="109">
        <f>SUMIFS(Q635:DK635,Q$1:DK$1,Dashboard!$K$31)</f>
        <v>0</v>
      </c>
      <c r="U635" s="95">
        <v>33</v>
      </c>
    </row>
    <row r="636" spans="1:34" x14ac:dyDescent="0.3">
      <c r="A636" s="89" t="str">
        <f>CONCATENATE(D636,".",F636,"-",G636,".",H636,"")</f>
        <v>1.4-4.1</v>
      </c>
      <c r="B636" s="89" t="str">
        <f>IF(CONCATENATE(I636,Key!F$2)=CONCATENATE(INDEX(Dashboard!J:J,MATCH(I636,Dashboard!J:J,0),1),INDEX(Dashboard!J:K,MATCH(I636,Dashboard!J:J,0),2)),"ON",IF(Dashboard!K$32="ALL","ON","-"))</f>
        <v>ON</v>
      </c>
      <c r="C636" s="130" t="s">
        <v>110</v>
      </c>
      <c r="D636" s="89">
        <f>IF(C636="ID",1,(IF(C636="PR",2,(IF(C636="DE",3,(IF(C636="RS",4,(IF(C636="RC",5,0)))))))))</f>
        <v>1</v>
      </c>
      <c r="E636" s="95" t="s">
        <v>140</v>
      </c>
      <c r="F636" s="89">
        <f>IF(E636="AM",1,(IF(E636="BE",2,(IF(E636="GV",3,(IF(E636="RA",4,(IF(E636="RM",5,(IF(E636="AC",1,(IF(E636="AT",2,(IF(E636="DS",3,(IF(E636="IP",4,(IF(E636="MA",5,(IF(E636="PT",6,(IF(E636="AE",1,(IF(E636="CM",2,(IF(E636="DP",3,(IF(E636="AN",1,(IF(E636="CO",2,(IF(E636="IM",3,(IF(E636="MI",4,(IF(E636="RP",5,(IF(E636="SC",6,0)))))))))))))))))))))))))))))))))))))))</f>
        <v>4</v>
      </c>
      <c r="G636" s="52">
        <v>4</v>
      </c>
      <c r="H636" s="90" t="s">
        <v>115</v>
      </c>
      <c r="I636" s="93" t="s">
        <v>4107</v>
      </c>
      <c r="J636" s="86" t="s">
        <v>4044</v>
      </c>
      <c r="K636" s="101" t="s">
        <v>4460</v>
      </c>
      <c r="L636" s="117">
        <f>IF(O636="","",N636*O636*M636)</f>
        <v>0</v>
      </c>
      <c r="M636" s="108">
        <v>1</v>
      </c>
      <c r="N636" s="95">
        <v>1</v>
      </c>
      <c r="O636" s="109">
        <f>IF(Key!D$1="ON",P636,IF(SUM(Q636:DL636)&lt;1,"",SUM(Q636:DL636)/COUNTIF(Q636:DL636,"&gt;0")))</f>
        <v>0</v>
      </c>
      <c r="P636" s="109">
        <f>SUMIFS(Q636:DK636,Q$1:DK$1,Dashboard!$K$31)</f>
        <v>0</v>
      </c>
      <c r="U636" s="95">
        <v>33</v>
      </c>
      <c r="AA636" s="95">
        <v>25</v>
      </c>
      <c r="AH636" s="95">
        <v>75</v>
      </c>
    </row>
    <row r="637" spans="1:34" x14ac:dyDescent="0.3">
      <c r="A637" s="89" t="str">
        <f>CONCATENATE(D637,".",F637,"-",G637,".",H637,"")</f>
        <v>1.4-4.1</v>
      </c>
      <c r="B637" s="89" t="str">
        <f>IF(CONCATENATE(I637,Key!F$2)=CONCATENATE(INDEX(Dashboard!J:J,MATCH(I637,Dashboard!J:J,0),1),INDEX(Dashboard!J:K,MATCH(I637,Dashboard!J:J,0),2)),"ON",IF(Dashboard!K$32="ALL","ON","-"))</f>
        <v>-</v>
      </c>
      <c r="C637" s="96" t="s">
        <v>110</v>
      </c>
      <c r="D637" s="89">
        <f>IF(C637="ID",1,(IF(C637="PR",2,(IF(C637="DE",3,(IF(C637="RS",4,(IF(C637="RC",5,0)))))))))</f>
        <v>1</v>
      </c>
      <c r="E637" s="89" t="s">
        <v>140</v>
      </c>
      <c r="F637" s="89">
        <f>IF(E637="AM",1,(IF(E637="BE",2,(IF(E637="GV",3,(IF(E637="RA",4,(IF(E637="RM",5,(IF(E637="AC",1,(IF(E637="AT",2,(IF(E637="DS",3,(IF(E637="IP",4,(IF(E637="MA",5,(IF(E637="PT",6,(IF(E637="AE",1,(IF(E637="CM",2,(IF(E637="DP",3,(IF(E637="AN",1,(IF(E637="CO",2,(IF(E637="IM",3,(IF(E637="MI",4,(IF(E637="RP",5,(IF(E637="SC",6,0)))))))))))))))))))))))))))))))))))))))</f>
        <v>4</v>
      </c>
      <c r="G637" s="98">
        <v>4</v>
      </c>
      <c r="H637" s="90" t="s">
        <v>115</v>
      </c>
      <c r="I637" s="93" t="s">
        <v>52</v>
      </c>
      <c r="J637" s="88" t="s">
        <v>3282</v>
      </c>
      <c r="K637" s="103" t="s">
        <v>3283</v>
      </c>
      <c r="L637" s="117">
        <f>IF(O637="","",N637*O637*M637)</f>
        <v>0</v>
      </c>
      <c r="M637" s="108">
        <v>1</v>
      </c>
      <c r="N637" s="95">
        <v>1</v>
      </c>
      <c r="O637" s="109">
        <f>IF(Key!D$1="ON",P637,IF(SUM(Q637:DL637)&lt;1,"",SUM(Q637:DL637)/COUNTIF(Q637:DL637,"&gt;0")))</f>
        <v>0</v>
      </c>
      <c r="P637" s="109">
        <f>SUMIFS(Q637:DK637,Q$1:DK$1,Dashboard!$K$31)</f>
        <v>0</v>
      </c>
      <c r="U637" s="95">
        <v>33</v>
      </c>
      <c r="AA637" s="95">
        <v>25</v>
      </c>
      <c r="AH637" s="95">
        <v>75</v>
      </c>
    </row>
    <row r="638" spans="1:34" ht="15.6" x14ac:dyDescent="0.3">
      <c r="A638" s="89" t="str">
        <f>CONCATENATE(D638,".",F638,"-",G638,".",H638,"")</f>
        <v>1.4-4.1</v>
      </c>
      <c r="B638" s="89" t="str">
        <f>IF(CONCATENATE(I638,Key!F$2)=CONCATENATE(INDEX(Dashboard!J:J,MATCH(I638,Dashboard!J:J,0),1),INDEX(Dashboard!J:K,MATCH(I638,Dashboard!J:J,0),2)),"ON",IF(Dashboard!K$32="ALL","ON","-"))</f>
        <v>-</v>
      </c>
      <c r="C638" s="96" t="s">
        <v>110</v>
      </c>
      <c r="D638" s="89">
        <f>IF(C638="ID",1,(IF(C638="PR",2,(IF(C638="DE",3,(IF(C638="RS",4,(IF(C638="RC",5,0)))))))))</f>
        <v>1</v>
      </c>
      <c r="E638" s="89" t="s">
        <v>140</v>
      </c>
      <c r="F638" s="89">
        <f>IF(E638="AM",1,(IF(E638="BE",2,(IF(E638="GV",3,(IF(E638="RA",4,(IF(E638="RM",5,(IF(E638="AC",1,(IF(E638="AT",2,(IF(E638="DS",3,(IF(E638="IP",4,(IF(E638="MA",5,(IF(E638="PT",6,(IF(E638="AE",1,(IF(E638="CM",2,(IF(E638="DP",3,(IF(E638="AN",1,(IF(E638="CO",2,(IF(E638="IM",3,(IF(E638="MI",4,(IF(E638="RP",5,(IF(E638="SC",6,0)))))))))))))))))))))))))))))))))))))))</f>
        <v>4</v>
      </c>
      <c r="G638" s="98">
        <v>4</v>
      </c>
      <c r="H638" s="90" t="s">
        <v>115</v>
      </c>
      <c r="I638" s="93" t="s">
        <v>52</v>
      </c>
      <c r="J638" s="88" t="s">
        <v>3292</v>
      </c>
      <c r="K638" s="103" t="s">
        <v>3293</v>
      </c>
      <c r="L638" s="117">
        <f>IF(O638="","",N638*O638*M638)</f>
        <v>0</v>
      </c>
      <c r="M638" s="108">
        <v>1</v>
      </c>
      <c r="N638" s="95">
        <v>1</v>
      </c>
      <c r="O638" s="109">
        <f>IF(Key!D$1="ON",P638,IF(SUM(Q638:DL638)&lt;1,"",SUM(Q638:DL638)/COUNTIF(Q638:DL638,"&gt;0")))</f>
        <v>0</v>
      </c>
      <c r="P638" s="109">
        <f>SUMIFS(Q638:DK638,Q$1:DK$1,Dashboard!$K$31)</f>
        <v>0</v>
      </c>
      <c r="U638" s="95">
        <v>33</v>
      </c>
      <c r="AA638" s="95">
        <v>25</v>
      </c>
      <c r="AH638" s="95">
        <v>75</v>
      </c>
    </row>
    <row r="639" spans="1:34" ht="15.6" x14ac:dyDescent="0.3">
      <c r="A639" s="89" t="str">
        <f>CONCATENATE(D639,".",F639,"-",G639,".",H639,"")</f>
        <v>1.4-4.1</v>
      </c>
      <c r="B639" s="89" t="str">
        <f>IF(CONCATENATE(I639,Key!F$2)=CONCATENATE(INDEX(Dashboard!J:J,MATCH(I639,Dashboard!J:J,0),1),INDEX(Dashboard!J:K,MATCH(I639,Dashboard!J:J,0),2)),"ON",IF(Dashboard!K$32="ALL","ON","-"))</f>
        <v>-</v>
      </c>
      <c r="C639" s="88" t="s">
        <v>110</v>
      </c>
      <c r="D639" s="89">
        <f>IF(C639="ID",1,(IF(C639="PR",2,(IF(C639="DE",3,(IF(C639="RS",4,(IF(C639="RC",5,0)))))))))</f>
        <v>1</v>
      </c>
      <c r="E639" s="89" t="s">
        <v>140</v>
      </c>
      <c r="F639" s="89">
        <f>IF(E639="AM",1,(IF(E639="BE",2,(IF(E639="GV",3,(IF(E639="RA",4,(IF(E639="RM",5,(IF(E639="AC",1,(IF(E639="AT",2,(IF(E639="DS",3,(IF(E639="IP",4,(IF(E639="MA",5,(IF(E639="PT",6,(IF(E639="AE",1,(IF(E639="CM",2,(IF(E639="DP",3,(IF(E639="AN",1,(IF(E639="CO",2,(IF(E639="IM",3,(IF(E639="MI",4,(IF(E639="RP",5,(IF(E639="SC",6,0)))))))))))))))))))))))))))))))))))))))</f>
        <v>4</v>
      </c>
      <c r="G639" s="52">
        <v>4</v>
      </c>
      <c r="H639" s="89">
        <v>1</v>
      </c>
      <c r="I639" s="93" t="s">
        <v>60</v>
      </c>
      <c r="J639" s="127" t="s">
        <v>3133</v>
      </c>
      <c r="K639" s="51" t="s">
        <v>5246</v>
      </c>
      <c r="L639" s="117">
        <f>IF(O639="","",N639*O639*M639)</f>
        <v>0</v>
      </c>
      <c r="M639" s="108">
        <v>1</v>
      </c>
      <c r="N639" s="95">
        <v>1</v>
      </c>
      <c r="O639" s="109">
        <f>IF(Key!D$1="ON",P639,IF(SUM(Q639:DL639)&lt;1,"",SUM(Q639:DL639)/COUNTIF(Q639:DL639,"&gt;0")))</f>
        <v>0</v>
      </c>
      <c r="P639" s="109">
        <f>SUMIFS(Q639:DK639,Q$1:DK$1,Dashboard!$K$31)</f>
        <v>0</v>
      </c>
      <c r="U639" s="95">
        <v>33</v>
      </c>
      <c r="AA639" s="95">
        <v>25</v>
      </c>
      <c r="AH639" s="95">
        <v>75</v>
      </c>
    </row>
    <row r="640" spans="1:34" x14ac:dyDescent="0.3">
      <c r="A640" s="89" t="str">
        <f>CONCATENATE(D640,".",F640,"-",G640,".",H640,"")</f>
        <v>1.4-4.1</v>
      </c>
      <c r="B640" s="89" t="str">
        <f>IF(CONCATENATE(I640,Key!F$2)=CONCATENATE(INDEX(Dashboard!J:J,MATCH(I640,Dashboard!J:J,0),1),INDEX(Dashboard!J:K,MATCH(I640,Dashboard!J:J,0),2)),"ON",IF(Dashboard!K$32="ALL","ON","-"))</f>
        <v>-</v>
      </c>
      <c r="C640" s="88" t="s">
        <v>110</v>
      </c>
      <c r="D640" s="89">
        <f>IF(C640="ID",1,(IF(C640="PR",2,(IF(C640="DE",3,(IF(C640="RS",4,(IF(C640="RC",5,0)))))))))</f>
        <v>1</v>
      </c>
      <c r="E640" s="89" t="s">
        <v>140</v>
      </c>
      <c r="F640" s="89">
        <f>IF(E640="AM",1,(IF(E640="BE",2,(IF(E640="GV",3,(IF(E640="RA",4,(IF(E640="RM",5,(IF(E640="AC",1,(IF(E640="AT",2,(IF(E640="DS",3,(IF(E640="IP",4,(IF(E640="MA",5,(IF(E640="PT",6,(IF(E640="AE",1,(IF(E640="CM",2,(IF(E640="DP",3,(IF(E640="AN",1,(IF(E640="CO",2,(IF(E640="IM",3,(IF(E640="MI",4,(IF(E640="RP",5,(IF(E640="SC",6,0)))))))))))))))))))))))))))))))))))))))</f>
        <v>4</v>
      </c>
      <c r="G640" s="52">
        <v>4</v>
      </c>
      <c r="H640" s="90" t="s">
        <v>115</v>
      </c>
      <c r="I640" s="93" t="s">
        <v>73</v>
      </c>
      <c r="J640" s="118" t="s">
        <v>4210</v>
      </c>
      <c r="K640" s="101" t="s">
        <v>5182</v>
      </c>
      <c r="L640" s="117">
        <f>IF(O640="","",N640*O640*M640)</f>
        <v>0</v>
      </c>
      <c r="M640" s="108">
        <v>1</v>
      </c>
      <c r="N640" s="95">
        <v>1</v>
      </c>
      <c r="O640" s="109">
        <f>IF(Key!D$1="ON",P640,IF(SUM(Q640:DL640)&lt;1,"",SUM(Q640:DL640)/COUNTIF(Q640:DL640,"&gt;0")))</f>
        <v>0</v>
      </c>
      <c r="P640" s="109">
        <f>SUMIFS(Q640:DK640,Q$1:DK$1,Dashboard!$K$31)</f>
        <v>0</v>
      </c>
      <c r="U640" s="95">
        <v>33</v>
      </c>
      <c r="AA640" s="95">
        <v>25</v>
      </c>
      <c r="AH640" s="95">
        <v>75</v>
      </c>
    </row>
    <row r="641" spans="1:34" x14ac:dyDescent="0.3">
      <c r="A641" s="89" t="str">
        <f>CONCATENATE(D641,".",F641,"-",G641,".",H641,"")</f>
        <v>1.4-4.1</v>
      </c>
      <c r="B641" s="89" t="str">
        <f>IF(CONCATENATE(I641,Key!F$2)=CONCATENATE(INDEX(Dashboard!J:J,MATCH(I641,Dashboard!J:J,0),1),INDEX(Dashboard!J:K,MATCH(I641,Dashboard!J:J,0),2)),"ON",IF(Dashboard!K$32="ALL","ON","-"))</f>
        <v>-</v>
      </c>
      <c r="C641" s="96" t="s">
        <v>110</v>
      </c>
      <c r="D641" s="89">
        <f>IF(C641="ID",1,(IF(C641="PR",2,(IF(C641="DE",3,(IF(C641="RS",4,(IF(C641="RC",5,0)))))))))</f>
        <v>1</v>
      </c>
      <c r="E641" s="89" t="s">
        <v>140</v>
      </c>
      <c r="F641" s="89">
        <f>IF(E641="AM",1,(IF(E641="BE",2,(IF(E641="GV",3,(IF(E641="RA",4,(IF(E641="RM",5,(IF(E641="AC",1,(IF(E641="AT",2,(IF(E641="DS",3,(IF(E641="IP",4,(IF(E641="MA",5,(IF(E641="PT",6,(IF(E641="AE",1,(IF(E641="CM",2,(IF(E641="DP",3,(IF(E641="AN",1,(IF(E641="CO",2,(IF(E641="IM",3,(IF(E641="MI",4,(IF(E641="RP",5,(IF(E641="SC",6,0)))))))))))))))))))))))))))))))))))))))</f>
        <v>4</v>
      </c>
      <c r="G641" s="98">
        <v>4</v>
      </c>
      <c r="H641" s="90" t="s">
        <v>115</v>
      </c>
      <c r="I641" s="93" t="s">
        <v>77</v>
      </c>
      <c r="J641" s="87" t="s">
        <v>943</v>
      </c>
      <c r="K641" s="102" t="s">
        <v>2029</v>
      </c>
      <c r="L641" s="117">
        <f>IF(O641="","",N641*O641*M641)</f>
        <v>0</v>
      </c>
      <c r="M641" s="108">
        <v>1</v>
      </c>
      <c r="N641" s="95">
        <v>1</v>
      </c>
      <c r="O641" s="109">
        <f>IF(Key!D$1="ON",P641,IF(SUM(Q641:DL641)&lt;1,"",SUM(Q641:DL641)/COUNTIF(Q641:DL641,"&gt;0")))</f>
        <v>0</v>
      </c>
      <c r="P641" s="109">
        <f>SUMIFS(Q641:DK641,Q$1:DK$1,Dashboard!$K$31)</f>
        <v>0</v>
      </c>
      <c r="U641" s="95">
        <v>33</v>
      </c>
      <c r="AA641" s="95">
        <v>25</v>
      </c>
      <c r="AH641" s="95">
        <v>75</v>
      </c>
    </row>
    <row r="642" spans="1:34" x14ac:dyDescent="0.3">
      <c r="A642" s="89" t="str">
        <f>CONCATENATE(D642,".",F642,"-",G642,".",H642,"")</f>
        <v>1.4-4.1</v>
      </c>
      <c r="B642" s="89" t="str">
        <f>IF(CONCATENATE(I642,Key!F$2)=CONCATENATE(INDEX(Dashboard!J:J,MATCH(I642,Dashboard!J:J,0),1),INDEX(Dashboard!J:K,MATCH(I642,Dashboard!J:J,0),2)),"ON",IF(Dashboard!K$32="ALL","ON","-"))</f>
        <v>-</v>
      </c>
      <c r="C642" s="88" t="s">
        <v>110</v>
      </c>
      <c r="D642" s="89">
        <f>IF(C642="ID",1,(IF(C642="PR",2,(IF(C642="DE",3,(IF(C642="RS",4,(IF(C642="RC",5,0)))))))))</f>
        <v>1</v>
      </c>
      <c r="E642" s="89" t="s">
        <v>140</v>
      </c>
      <c r="F642" s="89">
        <f>IF(E642="AM",1,(IF(E642="BE",2,(IF(E642="GV",3,(IF(E642="RA",4,(IF(E642="RM",5,(IF(E642="AC",1,(IF(E642="AT",2,(IF(E642="DS",3,(IF(E642="IP",4,(IF(E642="MA",5,(IF(E642="PT",6,(IF(E642="AE",1,(IF(E642="CM",2,(IF(E642="DP",3,(IF(E642="AN",1,(IF(E642="CO",2,(IF(E642="IM",3,(IF(E642="MI",4,(IF(E642="RP",5,(IF(E642="SC",6,0)))))))))))))))))))))))))))))))))))))))</f>
        <v>4</v>
      </c>
      <c r="G642" s="52">
        <v>4</v>
      </c>
      <c r="H642" s="90" t="s">
        <v>115</v>
      </c>
      <c r="I642" s="93" t="s">
        <v>77</v>
      </c>
      <c r="J642" s="87" t="s">
        <v>1103</v>
      </c>
      <c r="K642" s="102" t="s">
        <v>2142</v>
      </c>
      <c r="L642" s="117">
        <f>IF(O642="","",N642*O642*M642)</f>
        <v>0</v>
      </c>
      <c r="M642" s="108">
        <v>1</v>
      </c>
      <c r="N642" s="95">
        <v>1</v>
      </c>
      <c r="O642" s="109">
        <f>IF(Key!D$1="ON",P642,IF(SUM(Q642:DL642)&lt;1,"",SUM(Q642:DL642)/COUNTIF(Q642:DL642,"&gt;0")))</f>
        <v>0</v>
      </c>
      <c r="P642" s="109">
        <f>SUMIFS(Q642:DK642,Q$1:DK$1,Dashboard!$K$31)</f>
        <v>0</v>
      </c>
      <c r="U642" s="95">
        <v>33</v>
      </c>
      <c r="AA642" s="95">
        <v>25</v>
      </c>
      <c r="AH642" s="95">
        <v>75</v>
      </c>
    </row>
    <row r="643" spans="1:34" ht="15.6" x14ac:dyDescent="0.3">
      <c r="A643" s="89" t="str">
        <f>CONCATENATE(D643,".",F643,"-",G643,".",H643,"")</f>
        <v>1.4-4.1</v>
      </c>
      <c r="B643" s="89" t="str">
        <f>IF(CONCATENATE(I643,Key!F$2)=CONCATENATE(INDEX(Dashboard!J:J,MATCH(I643,Dashboard!J:J,0),1),INDEX(Dashboard!J:K,MATCH(I643,Dashboard!J:J,0),2)),"ON",IF(Dashboard!K$32="ALL","ON","-"))</f>
        <v>-</v>
      </c>
      <c r="C643" s="88" t="s">
        <v>110</v>
      </c>
      <c r="D643" s="89">
        <f>IF(C643="ID",1,(IF(C643="PR",2,(IF(C643="DE",3,(IF(C643="RS",4,(IF(C643="RC",5,0)))))))))</f>
        <v>1</v>
      </c>
      <c r="E643" s="89" t="s">
        <v>140</v>
      </c>
      <c r="F643" s="89">
        <f>IF(E643="AM",1,(IF(E643="BE",2,(IF(E643="GV",3,(IF(E643="RA",4,(IF(E643="RM",5,(IF(E643="AC",1,(IF(E643="AT",2,(IF(E643="DS",3,(IF(E643="IP",4,(IF(E643="MA",5,(IF(E643="PT",6,(IF(E643="AE",1,(IF(E643="CM",2,(IF(E643="DP",3,(IF(E643="AN",1,(IF(E643="CO",2,(IF(E643="IM",3,(IF(E643="MI",4,(IF(E643="RP",5,(IF(E643="SC",6,0)))))))))))))))))))))))))))))))))))))))</f>
        <v>4</v>
      </c>
      <c r="G643" s="98">
        <v>4</v>
      </c>
      <c r="H643" s="90" t="s">
        <v>115</v>
      </c>
      <c r="I643" s="93" t="s">
        <v>81</v>
      </c>
      <c r="J643" s="129" t="s">
        <v>1954</v>
      </c>
      <c r="K643" s="103" t="s">
        <v>1955</v>
      </c>
      <c r="L643" s="117">
        <f>IF(O643="","",N643*O643*M643)</f>
        <v>0</v>
      </c>
      <c r="M643" s="108">
        <v>1</v>
      </c>
      <c r="N643" s="95">
        <v>1</v>
      </c>
      <c r="O643" s="109">
        <f>IF(Key!D$1="ON",P643,IF(SUM(Q643:DL643)&lt;1,"",SUM(Q643:DL643)/COUNTIF(Q643:DL643,"&gt;0")))</f>
        <v>0</v>
      </c>
      <c r="P643" s="109">
        <f>SUMIFS(Q643:DK643,Q$1:DK$1,Dashboard!$K$31)</f>
        <v>0</v>
      </c>
      <c r="U643" s="95">
        <v>33</v>
      </c>
      <c r="AA643" s="95">
        <v>25</v>
      </c>
      <c r="AH643" s="95">
        <v>75</v>
      </c>
    </row>
    <row r="644" spans="1:34" x14ac:dyDescent="0.3">
      <c r="A644" s="89" t="str">
        <f>CONCATENATE(D644,".",F644,"-",G644,".",H644,"")</f>
        <v>1.4-4.1</v>
      </c>
      <c r="B644" s="89" t="str">
        <f>IF(CONCATENATE(I644,Key!F$2)=CONCATENATE(INDEX(Dashboard!J:J,MATCH(I644,Dashboard!J:J,0),1),INDEX(Dashboard!J:K,MATCH(I644,Dashboard!J:J,0),2)),"ON",IF(Dashboard!K$32="ALL","ON","-"))</f>
        <v>-</v>
      </c>
      <c r="C644" s="88" t="s">
        <v>110</v>
      </c>
      <c r="D644" s="89">
        <f>IF(C644="ID",1,(IF(C644="PR",2,(IF(C644="DE",3,(IF(C644="RS",4,(IF(C644="RC",5,0)))))))))</f>
        <v>1</v>
      </c>
      <c r="E644" s="89" t="s">
        <v>140</v>
      </c>
      <c r="F644" s="89">
        <f>IF(E644="AM",1,(IF(E644="BE",2,(IF(E644="GV",3,(IF(E644="RA",4,(IF(E644="RM",5,(IF(E644="AC",1,(IF(E644="AT",2,(IF(E644="DS",3,(IF(E644="IP",4,(IF(E644="MA",5,(IF(E644="PT",6,(IF(E644="AE",1,(IF(E644="CM",2,(IF(E644="DP",3,(IF(E644="AN",1,(IF(E644="CO",2,(IF(E644="IM",3,(IF(E644="MI",4,(IF(E644="RP",5,(IF(E644="SC",6,0)))))))))))))))))))))))))))))))))))))))</f>
        <v>4</v>
      </c>
      <c r="G644" s="52">
        <v>4</v>
      </c>
      <c r="H644" s="89">
        <v>1</v>
      </c>
      <c r="I644" s="93" t="s">
        <v>85</v>
      </c>
      <c r="J644" s="86" t="s">
        <v>771</v>
      </c>
      <c r="K644" s="119" t="s">
        <v>772</v>
      </c>
      <c r="L644" s="117">
        <f>IF(O644="","",N644*O644*M644)</f>
        <v>0</v>
      </c>
      <c r="M644" s="108">
        <v>1</v>
      </c>
      <c r="N644" s="95">
        <v>1</v>
      </c>
      <c r="O644" s="109">
        <f>IF(Key!D$1="ON",P644,IF(SUM(Q644:DL644)&lt;1,"",SUM(Q644:DL644)/COUNTIF(Q644:DL644,"&gt;0")))</f>
        <v>0</v>
      </c>
      <c r="P644" s="109">
        <f>SUMIFS(Q644:DK644,Q$1:DK$1,Dashboard!$K$31)</f>
        <v>0</v>
      </c>
      <c r="U644" s="95">
        <v>33</v>
      </c>
      <c r="AA644" s="95">
        <v>25</v>
      </c>
      <c r="AH644" s="95">
        <v>75</v>
      </c>
    </row>
    <row r="645" spans="1:34" x14ac:dyDescent="0.3">
      <c r="A645" s="89" t="str">
        <f>CONCATENATE(D645,".",F645,"-",G645,".",H645,"")</f>
        <v>1.4-4.1</v>
      </c>
      <c r="B645" s="89" t="str">
        <f>IF(CONCATENATE(I645,Key!F$2)=CONCATENATE(INDEX(Dashboard!J:J,MATCH(I645,Dashboard!J:J,0),1),INDEX(Dashboard!J:K,MATCH(I645,Dashboard!J:J,0),2)),"ON",IF(Dashboard!K$32="ALL","ON","-"))</f>
        <v>-</v>
      </c>
      <c r="C645" s="88" t="s">
        <v>110</v>
      </c>
      <c r="D645" s="89">
        <f>IF(C645="ID",1,(IF(C645="PR",2,(IF(C645="DE",3,(IF(C645="RS",4,(IF(C645="RC",5,0)))))))))</f>
        <v>1</v>
      </c>
      <c r="E645" s="89" t="s">
        <v>140</v>
      </c>
      <c r="F645" s="89">
        <f>IF(E645="AM",1,(IF(E645="BE",2,(IF(E645="GV",3,(IF(E645="RA",4,(IF(E645="RM",5,(IF(E645="AC",1,(IF(E645="AT",2,(IF(E645="DS",3,(IF(E645="IP",4,(IF(E645="MA",5,(IF(E645="PT",6,(IF(E645="AE",1,(IF(E645="CM",2,(IF(E645="DP",3,(IF(E645="AN",1,(IF(E645="CO",2,(IF(E645="IM",3,(IF(E645="MI",4,(IF(E645="RP",5,(IF(E645="SC",6,0)))))))))))))))))))))))))))))))))))))))</f>
        <v>4</v>
      </c>
      <c r="G645" s="52">
        <v>4</v>
      </c>
      <c r="H645" s="90" t="s">
        <v>115</v>
      </c>
      <c r="I645" s="93" t="s">
        <v>85</v>
      </c>
      <c r="J645" s="87" t="s">
        <v>1104</v>
      </c>
      <c r="K645" s="119" t="s">
        <v>1105</v>
      </c>
      <c r="L645" s="117">
        <f>IF(O645="","",N645*O645*M645)</f>
        <v>0</v>
      </c>
      <c r="M645" s="108">
        <v>1</v>
      </c>
      <c r="N645" s="95">
        <v>1</v>
      </c>
      <c r="O645" s="109">
        <f>IF(Key!D$1="ON",P645,IF(SUM(Q645:DL645)&lt;1,"",SUM(Q645:DL645)/COUNTIF(Q645:DL645,"&gt;0")))</f>
        <v>0</v>
      </c>
      <c r="P645" s="109">
        <f>SUMIFS(Q645:DK645,Q$1:DK$1,Dashboard!$K$31)</f>
        <v>0</v>
      </c>
      <c r="U645" s="95">
        <v>33</v>
      </c>
      <c r="AA645" s="95">
        <v>25</v>
      </c>
      <c r="AH645" s="95">
        <v>75</v>
      </c>
    </row>
    <row r="646" spans="1:34" x14ac:dyDescent="0.3">
      <c r="A646" s="89" t="str">
        <f>CONCATENATE(D646,".",F646,"-",G646,".",H646,"")</f>
        <v>1.4-4.1</v>
      </c>
      <c r="B646" s="89" t="str">
        <f>IF(CONCATENATE(I646,Key!F$2)=CONCATENATE(INDEX(Dashboard!J:J,MATCH(I646,Dashboard!J:J,0),1),INDEX(Dashboard!J:K,MATCH(I646,Dashboard!J:J,0),2)),"ON",IF(Dashboard!K$32="ALL","ON","-"))</f>
        <v>-</v>
      </c>
      <c r="C646" s="88" t="s">
        <v>110</v>
      </c>
      <c r="D646" s="89">
        <f>IF(C646="ID",1,(IF(C646="PR",2,(IF(C646="DE",3,(IF(C646="RS",4,(IF(C646="RC",5,0)))))))))</f>
        <v>1</v>
      </c>
      <c r="E646" s="89" t="s">
        <v>140</v>
      </c>
      <c r="F646" s="89">
        <f>IF(E646="AM",1,(IF(E646="BE",2,(IF(E646="GV",3,(IF(E646="RA",4,(IF(E646="RM",5,(IF(E646="AC",1,(IF(E646="AT",2,(IF(E646="DS",3,(IF(E646="IP",4,(IF(E646="MA",5,(IF(E646="PT",6,(IF(E646="AE",1,(IF(E646="CM",2,(IF(E646="DP",3,(IF(E646="AN",1,(IF(E646="CO",2,(IF(E646="IM",3,(IF(E646="MI",4,(IF(E646="RP",5,(IF(E646="SC",6,0)))))))))))))))))))))))))))))))))))))))</f>
        <v>4</v>
      </c>
      <c r="G646" s="52">
        <v>4</v>
      </c>
      <c r="H646" s="90" t="s">
        <v>115</v>
      </c>
      <c r="I646" s="93" t="s">
        <v>85</v>
      </c>
      <c r="J646" s="86" t="s">
        <v>671</v>
      </c>
      <c r="K646" s="119" t="s">
        <v>4666</v>
      </c>
      <c r="L646" s="117">
        <f>IF(O646="","",N646*O646*M646)</f>
        <v>0</v>
      </c>
      <c r="M646" s="108">
        <v>1</v>
      </c>
      <c r="N646" s="95">
        <v>1</v>
      </c>
      <c r="O646" s="109">
        <f>IF(Key!D$1="ON",P646,IF(SUM(Q646:DL646)&lt;1,"",SUM(Q646:DL646)/COUNTIF(Q646:DL646,"&gt;0")))</f>
        <v>0</v>
      </c>
      <c r="P646" s="109">
        <f>SUMIFS(Q646:DK646,Q$1:DK$1,Dashboard!$K$31)</f>
        <v>0</v>
      </c>
      <c r="U646" s="95">
        <v>33</v>
      </c>
      <c r="AA646" s="95">
        <v>25</v>
      </c>
      <c r="AH646" s="95">
        <v>75</v>
      </c>
    </row>
    <row r="647" spans="1:34" ht="15.6" x14ac:dyDescent="0.3">
      <c r="A647" s="89" t="str">
        <f>CONCATENATE(D647,".",F647,"-",G647,".",H647,"")</f>
        <v>1.4-4.1</v>
      </c>
      <c r="B647" s="89" t="str">
        <f>IF(CONCATENATE(I647,Key!F$2)=CONCATENATE(INDEX(Dashboard!J:J,MATCH(I647,Dashboard!J:J,0),1),INDEX(Dashboard!J:K,MATCH(I647,Dashboard!J:J,0),2)),"ON",IF(Dashboard!K$32="ALL","ON","-"))</f>
        <v>-</v>
      </c>
      <c r="C647" s="88" t="s">
        <v>110</v>
      </c>
      <c r="D647" s="89">
        <f>IF(C647="ID",1,(IF(C647="PR",2,(IF(C647="DE",3,(IF(C647="RS",4,(IF(C647="RC",5,0)))))))))</f>
        <v>1</v>
      </c>
      <c r="E647" s="89" t="s">
        <v>140</v>
      </c>
      <c r="F647" s="89">
        <f>IF(E647="AM",1,(IF(E647="BE",2,(IF(E647="GV",3,(IF(E647="RA",4,(IF(E647="RM",5,(IF(E647="AC",1,(IF(E647="AT",2,(IF(E647="DS",3,(IF(E647="IP",4,(IF(E647="MA",5,(IF(E647="PT",6,(IF(E647="AE",1,(IF(E647="CM",2,(IF(E647="DP",3,(IF(E647="AN",1,(IF(E647="CO",2,(IF(E647="IM",3,(IF(E647="MI",4,(IF(E647="RP",5,(IF(E647="SC",6,0)))))))))))))))))))))))))))))))))))))))</f>
        <v>4</v>
      </c>
      <c r="G647" s="52">
        <v>4</v>
      </c>
      <c r="H647" s="89">
        <v>1</v>
      </c>
      <c r="I647" s="93" t="s">
        <v>85</v>
      </c>
      <c r="J647" s="86" t="s">
        <v>769</v>
      </c>
      <c r="K647" s="119" t="s">
        <v>770</v>
      </c>
      <c r="L647" s="117">
        <f>IF(O647="","",N647*O647*M647)</f>
        <v>0</v>
      </c>
      <c r="M647" s="108">
        <v>1</v>
      </c>
      <c r="N647" s="95">
        <v>1</v>
      </c>
      <c r="O647" s="109">
        <f>IF(Key!D$1="ON",P647,IF(SUM(Q647:DL647)&lt;1,"",SUM(Q647:DL647)/COUNTIF(Q647:DL647,"&gt;0")))</f>
        <v>0</v>
      </c>
      <c r="P647" s="109">
        <f>SUMIFS(Q647:DK647,Q$1:DK$1,Dashboard!$K$31)</f>
        <v>0</v>
      </c>
      <c r="U647" s="95">
        <v>33</v>
      </c>
      <c r="AA647" s="95">
        <v>25</v>
      </c>
      <c r="AH647" s="95">
        <v>75</v>
      </c>
    </row>
    <row r="648" spans="1:34" ht="15.6" x14ac:dyDescent="0.3">
      <c r="A648" s="89" t="str">
        <f>CONCATENATE(D648,".",F648,"-",G648,".",H648,"")</f>
        <v>1.4-4.1</v>
      </c>
      <c r="B648" s="89" t="str">
        <f>IF(CONCATENATE(I648,Key!F$2)=CONCATENATE(INDEX(Dashboard!J:J,MATCH(I648,Dashboard!J:J,0),1),INDEX(Dashboard!J:K,MATCH(I648,Dashboard!J:J,0),2)),"ON",IF(Dashboard!K$32="ALL","ON","-"))</f>
        <v>-</v>
      </c>
      <c r="C648" s="88" t="s">
        <v>110</v>
      </c>
      <c r="D648" s="89">
        <f>IF(C648="ID",1,(IF(C648="PR",2,(IF(C648="DE",3,(IF(C648="RS",4,(IF(C648="RC",5,0)))))))))</f>
        <v>1</v>
      </c>
      <c r="E648" s="89" t="s">
        <v>140</v>
      </c>
      <c r="F648" s="89">
        <f>IF(E648="AM",1,(IF(E648="BE",2,(IF(E648="GV",3,(IF(E648="RA",4,(IF(E648="RM",5,(IF(E648="AC",1,(IF(E648="AT",2,(IF(E648="DS",3,(IF(E648="IP",4,(IF(E648="MA",5,(IF(E648="PT",6,(IF(E648="AE",1,(IF(E648="CM",2,(IF(E648="DP",3,(IF(E648="AN",1,(IF(E648="CO",2,(IF(E648="IM",3,(IF(E648="MI",4,(IF(E648="RP",5,(IF(E648="SC",6,0)))))))))))))))))))))))))))))))))))))))</f>
        <v>4</v>
      </c>
      <c r="G648" s="52">
        <v>4</v>
      </c>
      <c r="H648" s="90" t="s">
        <v>115</v>
      </c>
      <c r="I648" s="93" t="s">
        <v>85</v>
      </c>
      <c r="J648" s="87" t="s">
        <v>1103</v>
      </c>
      <c r="K648" s="119" t="s">
        <v>4956</v>
      </c>
      <c r="L648" s="117">
        <f>IF(O648="","",N648*O648*M648)</f>
        <v>0</v>
      </c>
      <c r="M648" s="108">
        <v>1</v>
      </c>
      <c r="N648" s="95">
        <v>1</v>
      </c>
      <c r="O648" s="109">
        <f>IF(Key!D$1="ON",P648,IF(SUM(Q648:DL648)&lt;1,"",SUM(Q648:DL648)/COUNTIF(Q648:DL648,"&gt;0")))</f>
        <v>0</v>
      </c>
      <c r="P648" s="109">
        <f>SUMIFS(Q648:DK648,Q$1:DK$1,Dashboard!$K$31)</f>
        <v>0</v>
      </c>
      <c r="U648" s="95">
        <v>33</v>
      </c>
      <c r="AA648" s="95">
        <v>25</v>
      </c>
      <c r="AH648" s="95">
        <v>75</v>
      </c>
    </row>
    <row r="649" spans="1:34" x14ac:dyDescent="0.3">
      <c r="A649" s="89" t="str">
        <f>CONCATENATE(D649,".",F649,"-",G649,".",H649,"")</f>
        <v>1.4-4.1</v>
      </c>
      <c r="B649" s="89" t="str">
        <f>IF(CONCATENATE(I649,Key!F$2)=CONCATENATE(INDEX(Dashboard!J:J,MATCH(I649,Dashboard!J:J,0),1),INDEX(Dashboard!J:K,MATCH(I649,Dashboard!J:J,0),2)),"ON",IF(Dashboard!K$32="ALL","ON","-"))</f>
        <v>-</v>
      </c>
      <c r="C649" s="88" t="s">
        <v>110</v>
      </c>
      <c r="D649" s="89">
        <f>IF(C649="ID",1,(IF(C649="PR",2,(IF(C649="DE",3,(IF(C649="RS",4,(IF(C649="RC",5,0)))))))))</f>
        <v>1</v>
      </c>
      <c r="E649" s="89" t="s">
        <v>140</v>
      </c>
      <c r="F649" s="89">
        <f>IF(E649="AM",1,(IF(E649="BE",2,(IF(E649="GV",3,(IF(E649="RA",4,(IF(E649="RM",5,(IF(E649="AC",1,(IF(E649="AT",2,(IF(E649="DS",3,(IF(E649="IP",4,(IF(E649="MA",5,(IF(E649="PT",6,(IF(E649="AE",1,(IF(E649="CM",2,(IF(E649="DP",3,(IF(E649="AN",1,(IF(E649="CO",2,(IF(E649="IM",3,(IF(E649="MI",4,(IF(E649="RP",5,(IF(E649="SC",6,0)))))))))))))))))))))))))))))))))))))))</f>
        <v>4</v>
      </c>
      <c r="G649" s="52">
        <v>4</v>
      </c>
      <c r="H649" s="90" t="s">
        <v>115</v>
      </c>
      <c r="I649" s="93" t="s">
        <v>85</v>
      </c>
      <c r="J649" s="87" t="s">
        <v>943</v>
      </c>
      <c r="K649" s="119" t="s">
        <v>944</v>
      </c>
      <c r="L649" s="117">
        <f>IF(O649="","",N649*O649*M649)</f>
        <v>0</v>
      </c>
      <c r="M649" s="108">
        <v>1</v>
      </c>
      <c r="N649" s="95">
        <v>1</v>
      </c>
      <c r="O649" s="109">
        <f>IF(Key!D$1="ON",P649,IF(SUM(Q649:DL649)&lt;1,"",SUM(Q649:DL649)/COUNTIF(Q649:DL649,"&gt;0")))</f>
        <v>0</v>
      </c>
      <c r="P649" s="109">
        <f>SUMIFS(Q649:DK649,Q$1:DK$1,Dashboard!$K$31)</f>
        <v>0</v>
      </c>
      <c r="U649" s="95">
        <v>33</v>
      </c>
      <c r="AA649" s="95">
        <v>25</v>
      </c>
      <c r="AH649" s="95">
        <v>75</v>
      </c>
    </row>
    <row r="650" spans="1:34" x14ac:dyDescent="0.3">
      <c r="A650" s="89" t="str">
        <f>CONCATENATE(D650,".",F650,"-",G650,".",H650,"")</f>
        <v>1.4-4.1</v>
      </c>
      <c r="B650" s="89" t="str">
        <f>IF(CONCATENATE(I650,Key!F$2)=CONCATENATE(INDEX(Dashboard!J:J,MATCH(I650,Dashboard!J:J,0),1),INDEX(Dashboard!J:K,MATCH(I650,Dashboard!J:J,0),2)),"ON",IF(Dashboard!K$32="ALL","ON","-"))</f>
        <v>-</v>
      </c>
      <c r="C650" s="96" t="s">
        <v>110</v>
      </c>
      <c r="D650" s="89">
        <f>IF(C650="ID",1,(IF(C650="PR",2,(IF(C650="DE",3,(IF(C650="RS",4,(IF(C650="RC",5,0)))))))))</f>
        <v>1</v>
      </c>
      <c r="E650" s="89" t="s">
        <v>140</v>
      </c>
      <c r="F650" s="89">
        <f>IF(E650="AM",1,(IF(E650="BE",2,(IF(E650="GV",3,(IF(E650="RA",4,(IF(E650="RM",5,(IF(E650="AC",1,(IF(E650="AT",2,(IF(E650="DS",3,(IF(E650="IP",4,(IF(E650="MA",5,(IF(E650="PT",6,(IF(E650="AE",1,(IF(E650="CM",2,(IF(E650="DP",3,(IF(E650="AN",1,(IF(E650="CO",2,(IF(E650="IM",3,(IF(E650="MI",4,(IF(E650="RP",5,(IF(E650="SC",6,0)))))))))))))))))))))))))))))))))))))))</f>
        <v>4</v>
      </c>
      <c r="G650" s="52">
        <v>4</v>
      </c>
      <c r="H650" s="90" t="s">
        <v>115</v>
      </c>
      <c r="I650" s="93" t="s">
        <v>85</v>
      </c>
      <c r="J650" s="135" t="s">
        <v>802</v>
      </c>
      <c r="K650" s="143" t="s">
        <v>4947</v>
      </c>
      <c r="L650" s="117">
        <f>IF(O650="","",N650*O650*M650)</f>
        <v>0</v>
      </c>
      <c r="M650" s="108">
        <v>1</v>
      </c>
      <c r="N650" s="95">
        <v>1</v>
      </c>
      <c r="O650" s="109">
        <f>IF(Key!D$1="ON",P650,IF(SUM(Q650:DL650)&lt;1,"",SUM(Q650:DL650)/COUNTIF(Q650:DL650,"&gt;0")))</f>
        <v>0</v>
      </c>
      <c r="P650" s="109">
        <f>SUMIFS(Q650:DK650,Q$1:DK$1,Dashboard!$K$31)</f>
        <v>0</v>
      </c>
      <c r="U650" s="95">
        <v>33</v>
      </c>
      <c r="AA650" s="95">
        <v>25</v>
      </c>
      <c r="AH650" s="95">
        <v>75</v>
      </c>
    </row>
    <row r="651" spans="1:34" x14ac:dyDescent="0.3">
      <c r="A651" s="89" t="str">
        <f>CONCATENATE(D651,".",F651,"-",G651,".",H651,"")</f>
        <v>1.4-4.1</v>
      </c>
      <c r="B651" s="89" t="str">
        <f>IF(CONCATENATE(I651,Key!F$2)=CONCATENATE(INDEX(Dashboard!J:J,MATCH(I651,Dashboard!J:J,0),1),INDEX(Dashboard!J:K,MATCH(I651,Dashboard!J:J,0),2)),"ON",IF(Dashboard!K$32="ALL","ON","-"))</f>
        <v>-</v>
      </c>
      <c r="C651" s="96" t="s">
        <v>110</v>
      </c>
      <c r="D651" s="89">
        <f>IF(C651="ID",1,(IF(C651="PR",2,(IF(C651="DE",3,(IF(C651="RS",4,(IF(C651="RC",5,0)))))))))</f>
        <v>1</v>
      </c>
      <c r="E651" s="89" t="s">
        <v>140</v>
      </c>
      <c r="F651" s="89">
        <f>IF(E651="AM",1,(IF(E651="BE",2,(IF(E651="GV",3,(IF(E651="RA",4,(IF(E651="RM",5,(IF(E651="AC",1,(IF(E651="AT",2,(IF(E651="DS",3,(IF(E651="IP",4,(IF(E651="MA",5,(IF(E651="PT",6,(IF(E651="AE",1,(IF(E651="CM",2,(IF(E651="DP",3,(IF(E651="AN",1,(IF(E651="CO",2,(IF(E651="IM",3,(IF(E651="MI",4,(IF(E651="RP",5,(IF(E651="SC",6,0)))))))))))))))))))))))))))))))))))))))</f>
        <v>4</v>
      </c>
      <c r="G651" s="98">
        <v>4</v>
      </c>
      <c r="H651" s="90" t="s">
        <v>115</v>
      </c>
      <c r="I651" s="93" t="s">
        <v>92</v>
      </c>
      <c r="J651" s="88" t="s">
        <v>141</v>
      </c>
      <c r="K651" s="102" t="s">
        <v>5226</v>
      </c>
      <c r="L651" s="117">
        <f>IF(O651="","",N651*O651*M651)</f>
        <v>0</v>
      </c>
      <c r="M651" s="108">
        <v>1</v>
      </c>
      <c r="N651" s="95">
        <v>1</v>
      </c>
      <c r="O651" s="109">
        <f>IF(Key!D$1="ON",P651,IF(SUM(Q651:DL651)&lt;1,"",SUM(Q651:DL651)/COUNTIF(Q651:DL651,"&gt;0")))</f>
        <v>0</v>
      </c>
      <c r="P651" s="109">
        <f>SUMIFS(Q651:DK651,Q$1:DK$1,Dashboard!$K$31)</f>
        <v>0</v>
      </c>
      <c r="U651" s="95">
        <v>33</v>
      </c>
      <c r="AA651" s="95">
        <v>25</v>
      </c>
      <c r="AH651" s="95">
        <v>75</v>
      </c>
    </row>
    <row r="652" spans="1:34" x14ac:dyDescent="0.3">
      <c r="A652" s="89" t="str">
        <f>CONCATENATE(D652,".",F652,"-",G652,".",H652,"")</f>
        <v>1.4-4.5</v>
      </c>
      <c r="B652" s="89" t="str">
        <f>IF(CONCATENATE(I652,Key!F$2)=CONCATENATE(INDEX(Dashboard!J:J,MATCH(I652,Dashboard!J:J,0),1),INDEX(Dashboard!J:K,MATCH(I652,Dashboard!J:J,0),2)),"ON",IF(Dashboard!K$32="ALL","ON","-"))</f>
        <v>-</v>
      </c>
      <c r="C652" s="88" t="s">
        <v>110</v>
      </c>
      <c r="D652" s="89">
        <f>IF(C652="ID",1,(IF(C652="PR",2,(IF(C652="DE",3,(IF(C652="RS",4,(IF(C652="RC",5,0)))))))))</f>
        <v>1</v>
      </c>
      <c r="E652" s="89" t="s">
        <v>140</v>
      </c>
      <c r="F652" s="89">
        <f>IF(E652="AM",1,(IF(E652="BE",2,(IF(E652="GV",3,(IF(E652="RA",4,(IF(E652="RM",5,(IF(E652="AC",1,(IF(E652="AT",2,(IF(E652="DS",3,(IF(E652="IP",4,(IF(E652="MA",5,(IF(E652="PT",6,(IF(E652="AE",1,(IF(E652="CM",2,(IF(E652="DP",3,(IF(E652="AN",1,(IF(E652="CO",2,(IF(E652="IM",3,(IF(E652="MI",4,(IF(E652="RP",5,(IF(E652="SC",6,0)))))))))))))))))))))))))))))))))))))))</f>
        <v>4</v>
      </c>
      <c r="G652" s="52">
        <v>4</v>
      </c>
      <c r="H652" s="90" t="s">
        <v>123</v>
      </c>
      <c r="I652" s="93" t="s">
        <v>77</v>
      </c>
      <c r="J652" s="87" t="s">
        <v>1104</v>
      </c>
      <c r="K652" s="102" t="s">
        <v>2143</v>
      </c>
      <c r="L652" s="117">
        <f>IF(O652="","",N652*O652*M652)</f>
        <v>0</v>
      </c>
      <c r="M652" s="108">
        <v>1</v>
      </c>
      <c r="N652" s="95">
        <v>1</v>
      </c>
      <c r="O652" s="109">
        <f>IF(Key!D$1="ON",P652,IF(SUM(Q652:DL652)&lt;1,"",SUM(Q652:DL652)/COUNTIF(Q652:DL652,"&gt;0")))</f>
        <v>0</v>
      </c>
      <c r="P652" s="109">
        <f>SUMIFS(Q652:DK652,Q$1:DK$1,Dashboard!$K$31)</f>
        <v>0</v>
      </c>
      <c r="U652" s="95">
        <v>33</v>
      </c>
      <c r="AA652" s="95">
        <v>25</v>
      </c>
      <c r="AH652" s="95">
        <v>75</v>
      </c>
    </row>
    <row r="653" spans="1:34" x14ac:dyDescent="0.3">
      <c r="A653" s="89" t="str">
        <f>CONCATENATE(D653,".",F653,"-",G653,".",H653,"")</f>
        <v>1.4-5.0</v>
      </c>
      <c r="B653" s="89" t="str">
        <f>IF(CONCATENATE(I653,Key!F$2)=CONCATENATE(INDEX(Dashboard!J:J,MATCH(I653,Dashboard!J:J,0),1),INDEX(Dashboard!J:K,MATCH(I653,Dashboard!J:J,0),2)),"ON",IF(Dashboard!K$32="ALL","ON","-"))</f>
        <v>-</v>
      </c>
      <c r="C653" s="96" t="s">
        <v>110</v>
      </c>
      <c r="D653" s="89">
        <f>IF(C653="ID",1,(IF(C653="PR",2,(IF(C653="DE",3,(IF(C653="RS",4,(IF(C653="RC",5,0)))))))))</f>
        <v>1</v>
      </c>
      <c r="E653" s="89" t="s">
        <v>140</v>
      </c>
      <c r="F653" s="89">
        <f>IF(E653="AM",1,(IF(E653="BE",2,(IF(E653="GV",3,(IF(E653="RA",4,(IF(E653="RM",5,(IF(E653="AC",1,(IF(E653="AT",2,(IF(E653="DS",3,(IF(E653="IP",4,(IF(E653="MA",5,(IF(E653="PT",6,(IF(E653="AE",1,(IF(E653="CM",2,(IF(E653="DP",3,(IF(E653="AN",1,(IF(E653="CO",2,(IF(E653="IM",3,(IF(E653="MI",4,(IF(E653="RP",5,(IF(E653="SC",6,0)))))))))))))))))))))))))))))))))))))))</f>
        <v>4</v>
      </c>
      <c r="G653" s="52">
        <v>5</v>
      </c>
      <c r="H653" s="90" t="s">
        <v>347</v>
      </c>
      <c r="I653" s="93" t="s">
        <v>2835</v>
      </c>
      <c r="J653" s="53" t="s">
        <v>2886</v>
      </c>
      <c r="K653" s="152" t="s">
        <v>2887</v>
      </c>
      <c r="L653" s="117">
        <f>IF(O653="","",N653*O653*M653)</f>
        <v>0</v>
      </c>
      <c r="M653" s="108">
        <v>1</v>
      </c>
      <c r="N653" s="95">
        <v>1</v>
      </c>
      <c r="O653" s="109">
        <f>IF(Key!D$1="ON",P653,IF(SUM(Q653:DL653)&lt;1,"",SUM(Q653:DL653)/COUNTIF(Q653:DL653,"&gt;0")))</f>
        <v>0</v>
      </c>
      <c r="P653" s="109">
        <f>SUMIFS(Q653:DK653,Q$1:DK$1,Dashboard!$K$31)</f>
        <v>0</v>
      </c>
      <c r="U653" s="95">
        <v>33</v>
      </c>
    </row>
    <row r="654" spans="1:34" x14ac:dyDescent="0.3">
      <c r="A654" s="89" t="str">
        <f>CONCATENATE(D654,".",F654,"-",G654,".",H654,"")</f>
        <v>1.4-5.1</v>
      </c>
      <c r="B654" s="89" t="str">
        <f>IF(CONCATENATE(I654,Key!F$2)=CONCATENATE(INDEX(Dashboard!J:J,MATCH(I654,Dashboard!J:J,0),1),INDEX(Dashboard!J:K,MATCH(I654,Dashboard!J:J,0),2)),"ON",IF(Dashboard!K$32="ALL","ON","-"))</f>
        <v>ON</v>
      </c>
      <c r="C654" s="130" t="s">
        <v>110</v>
      </c>
      <c r="D654" s="89">
        <f>IF(C654="ID",1,(IF(C654="PR",2,(IF(C654="DE",3,(IF(C654="RS",4,(IF(C654="RC",5,0)))))))))</f>
        <v>1</v>
      </c>
      <c r="E654" s="95" t="s">
        <v>140</v>
      </c>
      <c r="F654" s="89">
        <f>IF(E654="AM",1,(IF(E654="BE",2,(IF(E654="GV",3,(IF(E654="RA",4,(IF(E654="RM",5,(IF(E654="AC",1,(IF(E654="AT",2,(IF(E654="DS",3,(IF(E654="IP",4,(IF(E654="MA",5,(IF(E654="PT",6,(IF(E654="AE",1,(IF(E654="CM",2,(IF(E654="DP",3,(IF(E654="AN",1,(IF(E654="CO",2,(IF(E654="IM",3,(IF(E654="MI",4,(IF(E654="RP",5,(IF(E654="SC",6,0)))))))))))))))))))))))))))))))))))))))</f>
        <v>4</v>
      </c>
      <c r="G654" s="52">
        <v>5</v>
      </c>
      <c r="H654" s="90" t="s">
        <v>115</v>
      </c>
      <c r="I654" s="93" t="s">
        <v>4107</v>
      </c>
      <c r="J654" s="86" t="s">
        <v>4047</v>
      </c>
      <c r="K654" s="101" t="s">
        <v>4461</v>
      </c>
      <c r="L654" s="117">
        <f>IF(O654="","",N654*O654*M654)</f>
        <v>0</v>
      </c>
      <c r="M654" s="108">
        <v>1</v>
      </c>
      <c r="N654" s="95">
        <v>1</v>
      </c>
      <c r="O654" s="109">
        <f>IF(Key!D$1="ON",P654,IF(SUM(Q654:DL654)&lt;1,"",SUM(Q654:DL654)/COUNTIF(Q654:DL654,"&gt;0")))</f>
        <v>0</v>
      </c>
      <c r="P654" s="109">
        <f>SUMIFS(Q654:DK654,Q$1:DK$1,Dashboard!$K$31)</f>
        <v>0</v>
      </c>
      <c r="U654" s="95">
        <v>33</v>
      </c>
      <c r="AA654" s="95">
        <v>25</v>
      </c>
      <c r="AH654" s="95">
        <v>75</v>
      </c>
    </row>
    <row r="655" spans="1:34" x14ac:dyDescent="0.3">
      <c r="A655" s="89" t="str">
        <f>CONCATENATE(D655,".",F655,"-",G655,".",H655,"")</f>
        <v>1.4-5.1</v>
      </c>
      <c r="B655" s="89" t="str">
        <f>IF(CONCATENATE(I655,Key!F$2)=CONCATENATE(INDEX(Dashboard!J:J,MATCH(I655,Dashboard!J:J,0),1),INDEX(Dashboard!J:K,MATCH(I655,Dashboard!J:J,0),2)),"ON",IF(Dashboard!K$32="ALL","ON","-"))</f>
        <v>-</v>
      </c>
      <c r="C655" s="88" t="s">
        <v>110</v>
      </c>
      <c r="D655" s="89">
        <f>IF(C655="ID",1,(IF(C655="PR",2,(IF(C655="DE",3,(IF(C655="RS",4,(IF(C655="RC",5,0)))))))))</f>
        <v>1</v>
      </c>
      <c r="E655" s="89" t="s">
        <v>140</v>
      </c>
      <c r="F655" s="89">
        <f>IF(E655="AM",1,(IF(E655="BE",2,(IF(E655="GV",3,(IF(E655="RA",4,(IF(E655="RM",5,(IF(E655="AC",1,(IF(E655="AT",2,(IF(E655="DS",3,(IF(E655="IP",4,(IF(E655="MA",5,(IF(E655="PT",6,(IF(E655="AE",1,(IF(E655="CM",2,(IF(E655="DP",3,(IF(E655="AN",1,(IF(E655="CO",2,(IF(E655="IM",3,(IF(E655="MI",4,(IF(E655="RP",5,(IF(E655="SC",6,0)))))))))))))))))))))))))))))))))))))))</f>
        <v>4</v>
      </c>
      <c r="G655" s="52">
        <v>5</v>
      </c>
      <c r="H655" s="99">
        <v>1</v>
      </c>
      <c r="I655" s="93" t="s">
        <v>37</v>
      </c>
      <c r="J655" s="86">
        <v>4.8</v>
      </c>
      <c r="K655" s="102" t="s">
        <v>3691</v>
      </c>
      <c r="L655" s="117">
        <f>IF(O655="","",N655*O655*M655)</f>
        <v>0</v>
      </c>
      <c r="M655" s="108">
        <v>1</v>
      </c>
      <c r="N655" s="95">
        <v>1</v>
      </c>
      <c r="O655" s="109">
        <f>IF(Key!D$1="ON",P655,IF(SUM(Q655:DL655)&lt;1,"",SUM(Q655:DL655)/COUNTIF(Q655:DL655,"&gt;0")))</f>
        <v>0</v>
      </c>
      <c r="P655" s="109">
        <f>SUMIFS(Q655:DK655,Q$1:DK$1,Dashboard!$K$31)</f>
        <v>0</v>
      </c>
      <c r="U655" s="95">
        <v>33</v>
      </c>
      <c r="AA655" s="95">
        <v>25</v>
      </c>
      <c r="AH655" s="95">
        <v>75</v>
      </c>
    </row>
    <row r="656" spans="1:34" x14ac:dyDescent="0.3">
      <c r="A656" s="89" t="str">
        <f>CONCATENATE(D656,".",F656,"-",G656,".",H656,"")</f>
        <v>1.4-5.1</v>
      </c>
      <c r="B656" s="89" t="str">
        <f>IF(CONCATENATE(I656,Key!F$2)=CONCATENATE(INDEX(Dashboard!J:J,MATCH(I656,Dashboard!J:J,0),1),INDEX(Dashboard!J:K,MATCH(I656,Dashboard!J:J,0),2)),"ON",IF(Dashboard!K$32="ALL","ON","-"))</f>
        <v>-</v>
      </c>
      <c r="C656" s="96" t="s">
        <v>110</v>
      </c>
      <c r="D656" s="89">
        <f>IF(C656="ID",1,(IF(C656="PR",2,(IF(C656="DE",3,(IF(C656="RS",4,(IF(C656="RC",5,0)))))))))</f>
        <v>1</v>
      </c>
      <c r="E656" s="89" t="s">
        <v>140</v>
      </c>
      <c r="F656" s="89">
        <f>IF(E656="AM",1,(IF(E656="BE",2,(IF(E656="GV",3,(IF(E656="RA",4,(IF(E656="RM",5,(IF(E656="AC",1,(IF(E656="AT",2,(IF(E656="DS",3,(IF(E656="IP",4,(IF(E656="MA",5,(IF(E656="PT",6,(IF(E656="AE",1,(IF(E656="CM",2,(IF(E656="DP",3,(IF(E656="AN",1,(IF(E656="CO",2,(IF(E656="IM",3,(IF(E656="MI",4,(IF(E656="RP",5,(IF(E656="SC",6,0)))))))))))))))))))))))))))))))))))))))</f>
        <v>4</v>
      </c>
      <c r="G656" s="98">
        <v>5</v>
      </c>
      <c r="H656" s="90" t="s">
        <v>115</v>
      </c>
      <c r="I656" s="93" t="s">
        <v>52</v>
      </c>
      <c r="J656" s="88" t="s">
        <v>3329</v>
      </c>
      <c r="K656" s="103" t="s">
        <v>3330</v>
      </c>
      <c r="L656" s="117">
        <f>IF(O656="","",N656*O656*M656)</f>
        <v>0</v>
      </c>
      <c r="M656" s="108">
        <v>1</v>
      </c>
      <c r="N656" s="95">
        <v>1</v>
      </c>
      <c r="O656" s="109">
        <f>IF(Key!D$1="ON",P656,IF(SUM(Q656:DL656)&lt;1,"",SUM(Q656:DL656)/COUNTIF(Q656:DL656,"&gt;0")))</f>
        <v>0</v>
      </c>
      <c r="P656" s="109">
        <f>SUMIFS(Q656:DK656,Q$1:DK$1,Dashboard!$K$31)</f>
        <v>0</v>
      </c>
      <c r="U656" s="95">
        <v>33</v>
      </c>
      <c r="AA656" s="95">
        <v>25</v>
      </c>
      <c r="AH656" s="95">
        <v>75</v>
      </c>
    </row>
    <row r="657" spans="1:34" x14ac:dyDescent="0.3">
      <c r="A657" s="89" t="str">
        <f>CONCATENATE(D657,".",F657,"-",G657,".",H657,"")</f>
        <v>1.4-5.1</v>
      </c>
      <c r="B657" s="89" t="str">
        <f>IF(CONCATENATE(I657,Key!F$2)=CONCATENATE(INDEX(Dashboard!J:J,MATCH(I657,Dashboard!J:J,0),1),INDEX(Dashboard!J:K,MATCH(I657,Dashboard!J:J,0),2)),"ON",IF(Dashboard!K$32="ALL","ON","-"))</f>
        <v>-</v>
      </c>
      <c r="C657" s="96" t="s">
        <v>110</v>
      </c>
      <c r="D657" s="89">
        <f>IF(C657="ID",1,(IF(C657="PR",2,(IF(C657="DE",3,(IF(C657="RS",4,(IF(C657="RC",5,0)))))))))</f>
        <v>1</v>
      </c>
      <c r="E657" s="89" t="s">
        <v>140</v>
      </c>
      <c r="F657" s="89">
        <f>IF(E657="AM",1,(IF(E657="BE",2,(IF(E657="GV",3,(IF(E657="RA",4,(IF(E657="RM",5,(IF(E657="AC",1,(IF(E657="AT",2,(IF(E657="DS",3,(IF(E657="IP",4,(IF(E657="MA",5,(IF(E657="PT",6,(IF(E657="AE",1,(IF(E657="CM",2,(IF(E657="DP",3,(IF(E657="AN",1,(IF(E657="CO",2,(IF(E657="IM",3,(IF(E657="MI",4,(IF(E657="RP",5,(IF(E657="SC",6,0)))))))))))))))))))))))))))))))))))))))</f>
        <v>4</v>
      </c>
      <c r="G657" s="98">
        <v>5</v>
      </c>
      <c r="H657" s="90" t="s">
        <v>115</v>
      </c>
      <c r="I657" s="93" t="s">
        <v>52</v>
      </c>
      <c r="J657" s="88" t="s">
        <v>3282</v>
      </c>
      <c r="K657" s="103" t="s">
        <v>3283</v>
      </c>
      <c r="L657" s="117">
        <f>IF(O657="","",N657*O657*M657)</f>
        <v>0</v>
      </c>
      <c r="M657" s="108">
        <v>1</v>
      </c>
      <c r="N657" s="95">
        <v>1</v>
      </c>
      <c r="O657" s="109">
        <f>IF(Key!D$1="ON",P657,IF(SUM(Q657:DL657)&lt;1,"",SUM(Q657:DL657)/COUNTIF(Q657:DL657,"&gt;0")))</f>
        <v>0</v>
      </c>
      <c r="P657" s="109">
        <f>SUMIFS(Q657:DK657,Q$1:DK$1,Dashboard!$K$31)</f>
        <v>0</v>
      </c>
      <c r="U657" s="95">
        <v>33</v>
      </c>
      <c r="AA657" s="95">
        <v>25</v>
      </c>
      <c r="AH657" s="95">
        <v>75</v>
      </c>
    </row>
    <row r="658" spans="1:34" x14ac:dyDescent="0.3">
      <c r="A658" s="89" t="str">
        <f>CONCATENATE(D658,".",F658,"-",G658,".",H658,"")</f>
        <v>1.4-5.1</v>
      </c>
      <c r="B658" s="89" t="str">
        <f>IF(CONCATENATE(I658,Key!F$2)=CONCATENATE(INDEX(Dashboard!J:J,MATCH(I658,Dashboard!J:J,0),1),INDEX(Dashboard!J:K,MATCH(I658,Dashboard!J:J,0),2)),"ON",IF(Dashboard!K$32="ALL","ON","-"))</f>
        <v>-</v>
      </c>
      <c r="C658" s="88" t="s">
        <v>110</v>
      </c>
      <c r="D658" s="89">
        <f>IF(C658="ID",1,(IF(C658="PR",2,(IF(C658="DE",3,(IF(C658="RS",4,(IF(C658="RC",5,0)))))))))</f>
        <v>1</v>
      </c>
      <c r="E658" s="89" t="s">
        <v>140</v>
      </c>
      <c r="F658" s="89">
        <f>IF(E658="AM",1,(IF(E658="BE",2,(IF(E658="GV",3,(IF(E658="RA",4,(IF(E658="RM",5,(IF(E658="AC",1,(IF(E658="AT",2,(IF(E658="DS",3,(IF(E658="IP",4,(IF(E658="MA",5,(IF(E658="PT",6,(IF(E658="AE",1,(IF(E658="CM",2,(IF(E658="DP",3,(IF(E658="AN",1,(IF(E658="CO",2,(IF(E658="IM",3,(IF(E658="MI",4,(IF(E658="RP",5,(IF(E658="SC",6,0)))))))))))))))))))))))))))))))))))))))</f>
        <v>4</v>
      </c>
      <c r="G658" s="52">
        <v>5</v>
      </c>
      <c r="H658" s="90" t="s">
        <v>115</v>
      </c>
      <c r="I658" s="93" t="s">
        <v>60</v>
      </c>
      <c r="J658" s="87" t="s">
        <v>3155</v>
      </c>
      <c r="K658" s="51" t="s">
        <v>5268</v>
      </c>
      <c r="L658" s="117">
        <f>IF(O658="","",N658*O658*M658)</f>
        <v>0</v>
      </c>
      <c r="M658" s="108">
        <v>1</v>
      </c>
      <c r="N658" s="95">
        <v>1</v>
      </c>
      <c r="O658" s="109">
        <f>IF(Key!D$1="ON",P658,IF(SUM(Q658:DL658)&lt;1,"",SUM(Q658:DL658)/COUNTIF(Q658:DL658,"&gt;0")))</f>
        <v>0</v>
      </c>
      <c r="P658" s="109">
        <f>SUMIFS(Q658:DK658,Q$1:DK$1,Dashboard!$K$31)</f>
        <v>0</v>
      </c>
      <c r="U658" s="95">
        <v>33</v>
      </c>
      <c r="AA658" s="95">
        <v>25</v>
      </c>
      <c r="AH658" s="95">
        <v>75</v>
      </c>
    </row>
    <row r="659" spans="1:34" x14ac:dyDescent="0.3">
      <c r="A659" s="89" t="str">
        <f>CONCATENATE(D659,".",F659,"-",G659,".",H659,"")</f>
        <v>1.4-5.1</v>
      </c>
      <c r="B659" s="89" t="str">
        <f>IF(CONCATENATE(I659,Key!F$2)=CONCATENATE(INDEX(Dashboard!J:J,MATCH(I659,Dashboard!J:J,0),1),INDEX(Dashboard!J:K,MATCH(I659,Dashboard!J:J,0),2)),"ON",IF(Dashboard!K$32="ALL","ON","-"))</f>
        <v>-</v>
      </c>
      <c r="C659" s="88" t="s">
        <v>110</v>
      </c>
      <c r="D659" s="89">
        <f>IF(C659="ID",1,(IF(C659="PR",2,(IF(C659="DE",3,(IF(C659="RS",4,(IF(C659="RC",5,0)))))))))</f>
        <v>1</v>
      </c>
      <c r="E659" s="89" t="s">
        <v>140</v>
      </c>
      <c r="F659" s="89">
        <f>IF(E659="AM",1,(IF(E659="BE",2,(IF(E659="GV",3,(IF(E659="RA",4,(IF(E659="RM",5,(IF(E659="AC",1,(IF(E659="AT",2,(IF(E659="DS",3,(IF(E659="IP",4,(IF(E659="MA",5,(IF(E659="PT",6,(IF(E659="AE",1,(IF(E659="CM",2,(IF(E659="DP",3,(IF(E659="AN",1,(IF(E659="CO",2,(IF(E659="IM",3,(IF(E659="MI",4,(IF(E659="RP",5,(IF(E659="SC",6,0)))))))))))))))))))))))))))))))))))))))</f>
        <v>4</v>
      </c>
      <c r="G659" s="52">
        <v>5</v>
      </c>
      <c r="H659" s="89">
        <v>1</v>
      </c>
      <c r="I659" s="93" t="s">
        <v>60</v>
      </c>
      <c r="J659" s="88" t="s">
        <v>3157</v>
      </c>
      <c r="K659" s="51" t="s">
        <v>5270</v>
      </c>
      <c r="L659" s="117">
        <f>IF(O659="","",N659*O659*M659)</f>
        <v>0</v>
      </c>
      <c r="M659" s="108">
        <v>1</v>
      </c>
      <c r="N659" s="95">
        <v>1</v>
      </c>
      <c r="O659" s="109">
        <f>IF(Key!D$1="ON",P659,IF(SUM(Q659:DL659)&lt;1,"",SUM(Q659:DL659)/COUNTIF(Q659:DL659,"&gt;0")))</f>
        <v>0</v>
      </c>
      <c r="P659" s="109">
        <f>SUMIFS(Q659:DK659,Q$1:DK$1,Dashboard!$K$31)</f>
        <v>0</v>
      </c>
      <c r="U659" s="95">
        <v>33</v>
      </c>
      <c r="AA659" s="95">
        <v>25</v>
      </c>
      <c r="AH659" s="95">
        <v>75</v>
      </c>
    </row>
    <row r="660" spans="1:34" x14ac:dyDescent="0.3">
      <c r="A660" s="89" t="str">
        <f>CONCATENATE(D660,".",F660,"-",G660,".",H660,"")</f>
        <v>1.4-5.1</v>
      </c>
      <c r="B660" s="89" t="str">
        <f>IF(CONCATENATE(I660,Key!F$2)=CONCATENATE(INDEX(Dashboard!J:J,MATCH(I660,Dashboard!J:J,0),1),INDEX(Dashboard!J:K,MATCH(I660,Dashboard!J:J,0),2)),"ON",IF(Dashboard!K$32="ALL","ON","-"))</f>
        <v>-</v>
      </c>
      <c r="C660" s="88" t="s">
        <v>110</v>
      </c>
      <c r="D660" s="89">
        <f>IF(C660="ID",1,(IF(C660="PR",2,(IF(C660="DE",3,(IF(C660="RS",4,(IF(C660="RC",5,0)))))))))</f>
        <v>1</v>
      </c>
      <c r="E660" s="89" t="s">
        <v>140</v>
      </c>
      <c r="F660" s="89">
        <f>IF(E660="AM",1,(IF(E660="BE",2,(IF(E660="GV",3,(IF(E660="RA",4,(IF(E660="RM",5,(IF(E660="AC",1,(IF(E660="AT",2,(IF(E660="DS",3,(IF(E660="IP",4,(IF(E660="MA",5,(IF(E660="PT",6,(IF(E660="AE",1,(IF(E660="CM",2,(IF(E660="DP",3,(IF(E660="AN",1,(IF(E660="CO",2,(IF(E660="IM",3,(IF(E660="MI",4,(IF(E660="RP",5,(IF(E660="SC",6,0)))))))))))))))))))))))))))))))))))))))</f>
        <v>4</v>
      </c>
      <c r="G660" s="52">
        <v>5</v>
      </c>
      <c r="H660" s="90" t="s">
        <v>115</v>
      </c>
      <c r="I660" s="93" t="s">
        <v>73</v>
      </c>
      <c r="J660" s="86" t="s">
        <v>4210</v>
      </c>
      <c r="K660" s="101" t="s">
        <v>5182</v>
      </c>
      <c r="L660" s="117">
        <f>IF(O660="","",N660*O660*M660)</f>
        <v>0</v>
      </c>
      <c r="M660" s="108">
        <v>1</v>
      </c>
      <c r="N660" s="95">
        <v>1</v>
      </c>
      <c r="O660" s="109">
        <f>IF(Key!D$1="ON",P660,IF(SUM(Q660:DL660)&lt;1,"",SUM(Q660:DL660)/COUNTIF(Q660:DL660,"&gt;0")))</f>
        <v>0</v>
      </c>
      <c r="P660" s="109">
        <f>SUMIFS(Q660:DK660,Q$1:DK$1,Dashboard!$K$31)</f>
        <v>0</v>
      </c>
      <c r="U660" s="95">
        <v>33</v>
      </c>
      <c r="AA660" s="95">
        <v>25</v>
      </c>
      <c r="AH660" s="95">
        <v>75</v>
      </c>
    </row>
    <row r="661" spans="1:34" x14ac:dyDescent="0.3">
      <c r="A661" s="89" t="str">
        <f>CONCATENATE(D661,".",F661,"-",G661,".",H661,"")</f>
        <v>1.4-5.1</v>
      </c>
      <c r="B661" s="89" t="str">
        <f>IF(CONCATENATE(I661,Key!F$2)=CONCATENATE(INDEX(Dashboard!J:J,MATCH(I661,Dashboard!J:J,0),1),INDEX(Dashboard!J:K,MATCH(I661,Dashboard!J:J,0),2)),"ON",IF(Dashboard!K$32="ALL","ON","-"))</f>
        <v>-</v>
      </c>
      <c r="C661" s="88" t="s">
        <v>110</v>
      </c>
      <c r="D661" s="89">
        <f>IF(C661="ID",1,(IF(C661="PR",2,(IF(C661="DE",3,(IF(C661="RS",4,(IF(C661="RC",5,0)))))))))</f>
        <v>1</v>
      </c>
      <c r="E661" s="89" t="s">
        <v>140</v>
      </c>
      <c r="F661" s="89">
        <f>IF(E661="AM",1,(IF(E661="BE",2,(IF(E661="GV",3,(IF(E661="RA",4,(IF(E661="RM",5,(IF(E661="AC",1,(IF(E661="AT",2,(IF(E661="DS",3,(IF(E661="IP",4,(IF(E661="MA",5,(IF(E661="PT",6,(IF(E661="AE",1,(IF(E661="CM",2,(IF(E661="DP",3,(IF(E661="AN",1,(IF(E661="CO",2,(IF(E661="IM",3,(IF(E661="MI",4,(IF(E661="RP",5,(IF(E661="SC",6,0)))))))))))))))))))))))))))))))))))))))</f>
        <v>4</v>
      </c>
      <c r="G661" s="52">
        <v>5</v>
      </c>
      <c r="H661" s="90" t="s">
        <v>115</v>
      </c>
      <c r="I661" s="93" t="s">
        <v>85</v>
      </c>
      <c r="J661" s="86" t="s">
        <v>670</v>
      </c>
      <c r="K661" s="119" t="s">
        <v>4662</v>
      </c>
      <c r="L661" s="117">
        <f>IF(O661="","",N661*O661*M661)</f>
        <v>0</v>
      </c>
      <c r="M661" s="108">
        <v>1</v>
      </c>
      <c r="N661" s="95">
        <v>1</v>
      </c>
      <c r="O661" s="109">
        <f>IF(Key!D$1="ON",P661,IF(SUM(Q661:DL661)&lt;1,"",SUM(Q661:DL661)/COUNTIF(Q661:DL661,"&gt;0")))</f>
        <v>0</v>
      </c>
      <c r="P661" s="109">
        <f>SUMIFS(Q661:DK661,Q$1:DK$1,Dashboard!$K$31)</f>
        <v>0</v>
      </c>
      <c r="U661" s="95">
        <v>33</v>
      </c>
      <c r="AA661" s="95">
        <v>25</v>
      </c>
      <c r="AH661" s="95">
        <v>75</v>
      </c>
    </row>
    <row r="662" spans="1:34" x14ac:dyDescent="0.3">
      <c r="A662" s="89" t="str">
        <f>CONCATENATE(D662,".",F662,"-",G662,".",H662,"")</f>
        <v>1.4-5.1</v>
      </c>
      <c r="B662" s="89" t="str">
        <f>IF(CONCATENATE(I662,Key!F$2)=CONCATENATE(INDEX(Dashboard!J:J,MATCH(I662,Dashboard!J:J,0),1),INDEX(Dashboard!J:K,MATCH(I662,Dashboard!J:J,0),2)),"ON",IF(Dashboard!K$32="ALL","ON","-"))</f>
        <v>-</v>
      </c>
      <c r="C662" s="88" t="s">
        <v>110</v>
      </c>
      <c r="D662" s="89">
        <f>IF(C662="ID",1,(IF(C662="PR",2,(IF(C662="DE",3,(IF(C662="RS",4,(IF(C662="RC",5,0)))))))))</f>
        <v>1</v>
      </c>
      <c r="E662" s="89" t="s">
        <v>140</v>
      </c>
      <c r="F662" s="89">
        <f>IF(E662="AM",1,(IF(E662="BE",2,(IF(E662="GV",3,(IF(E662="RA",4,(IF(E662="RM",5,(IF(E662="AC",1,(IF(E662="AT",2,(IF(E662="DS",3,(IF(E662="IP",4,(IF(E662="MA",5,(IF(E662="PT",6,(IF(E662="AE",1,(IF(E662="CM",2,(IF(E662="DP",3,(IF(E662="AN",1,(IF(E662="CO",2,(IF(E662="IM",3,(IF(E662="MI",4,(IF(E662="RP",5,(IF(E662="SC",6,0)))))))))))))))))))))))))))))))))))))))</f>
        <v>4</v>
      </c>
      <c r="G662" s="52">
        <v>5</v>
      </c>
      <c r="H662" s="90" t="s">
        <v>115</v>
      </c>
      <c r="I662" s="93" t="s">
        <v>85</v>
      </c>
      <c r="J662" s="86" t="s">
        <v>761</v>
      </c>
      <c r="K662" s="119" t="s">
        <v>4897</v>
      </c>
      <c r="L662" s="117">
        <f>IF(O662="","",N662*O662*M662)</f>
        <v>0</v>
      </c>
      <c r="M662" s="108">
        <v>1</v>
      </c>
      <c r="N662" s="95">
        <v>1</v>
      </c>
      <c r="O662" s="109">
        <f>IF(Key!D$1="ON",P662,IF(SUM(Q662:DL662)&lt;1,"",SUM(Q662:DL662)/COUNTIF(Q662:DL662,"&gt;0")))</f>
        <v>0</v>
      </c>
      <c r="P662" s="109">
        <f>SUMIFS(Q662:DK662,Q$1:DK$1,Dashboard!$K$31)</f>
        <v>0</v>
      </c>
      <c r="U662" s="95">
        <v>33</v>
      </c>
      <c r="AA662" s="95">
        <v>25</v>
      </c>
      <c r="AH662" s="95">
        <v>75</v>
      </c>
    </row>
    <row r="663" spans="1:34" ht="15.6" x14ac:dyDescent="0.3">
      <c r="A663" s="89" t="str">
        <f>CONCATENATE(D663,".",F663,"-",G663,".",H663,"")</f>
        <v>1.4-5.1</v>
      </c>
      <c r="B663" s="89" t="str">
        <f>IF(CONCATENATE(I663,Key!F$2)=CONCATENATE(INDEX(Dashboard!J:J,MATCH(I663,Dashboard!J:J,0),1),INDEX(Dashboard!J:K,MATCH(I663,Dashboard!J:J,0),2)),"ON",IF(Dashboard!K$32="ALL","ON","-"))</f>
        <v>-</v>
      </c>
      <c r="C663" s="96" t="s">
        <v>110</v>
      </c>
      <c r="D663" s="89">
        <f>IF(C663="ID",1,(IF(C663="PR",2,(IF(C663="DE",3,(IF(C663="RS",4,(IF(C663="RC",5,0)))))))))</f>
        <v>1</v>
      </c>
      <c r="E663" s="89" t="s">
        <v>140</v>
      </c>
      <c r="F663" s="89">
        <f>IF(E663="AM",1,(IF(E663="BE",2,(IF(E663="GV",3,(IF(E663="RA",4,(IF(E663="RM",5,(IF(E663="AC",1,(IF(E663="AT",2,(IF(E663="DS",3,(IF(E663="IP",4,(IF(E663="MA",5,(IF(E663="PT",6,(IF(E663="AE",1,(IF(E663="CM",2,(IF(E663="DP",3,(IF(E663="AN",1,(IF(E663="CO",2,(IF(E663="IM",3,(IF(E663="MI",4,(IF(E663="RP",5,(IF(E663="SC",6,0)))))))))))))))))))))))))))))))))))))))</f>
        <v>4</v>
      </c>
      <c r="G663" s="52">
        <v>5</v>
      </c>
      <c r="H663" s="90" t="s">
        <v>115</v>
      </c>
      <c r="I663" s="93" t="s">
        <v>89</v>
      </c>
      <c r="J663" s="88" t="s">
        <v>444</v>
      </c>
      <c r="K663" s="102" t="s">
        <v>445</v>
      </c>
      <c r="L663" s="117">
        <f>IF(O663="","",N663*O663*M663)</f>
        <v>0</v>
      </c>
      <c r="M663" s="108">
        <v>1</v>
      </c>
      <c r="N663" s="95">
        <v>1</v>
      </c>
      <c r="O663" s="109">
        <f>IF(Key!D$1="ON",P663,IF(SUM(Q663:DL663)&lt;1,"",SUM(Q663:DL663)/COUNTIF(Q663:DL663,"&gt;0")))</f>
        <v>0</v>
      </c>
      <c r="P663" s="109">
        <f>SUMIFS(Q663:DK663,Q$1:DK$1,Dashboard!$K$31)</f>
        <v>0</v>
      </c>
      <c r="U663" s="95">
        <v>33</v>
      </c>
      <c r="AA663" s="95">
        <v>25</v>
      </c>
      <c r="AH663" s="95">
        <v>75</v>
      </c>
    </row>
    <row r="664" spans="1:34" ht="15.6" x14ac:dyDescent="0.3">
      <c r="A664" s="89" t="str">
        <f>CONCATENATE(D664,".",F664,"-",G664,".",H664,"")</f>
        <v>1.4-5.1</v>
      </c>
      <c r="B664" s="89" t="str">
        <f>IF(CONCATENATE(I664,Key!F$2)=CONCATENATE(INDEX(Dashboard!J:J,MATCH(I664,Dashboard!J:J,0),1),INDEX(Dashboard!J:K,MATCH(I664,Dashboard!J:J,0),2)),"ON",IF(Dashboard!K$32="ALL","ON","-"))</f>
        <v>-</v>
      </c>
      <c r="C664" s="88" t="s">
        <v>110</v>
      </c>
      <c r="D664" s="89">
        <f>IF(C664="ID",1,(IF(C664="PR",2,(IF(C664="DE",3,(IF(C664="RS",4,(IF(C664="RC",5,0)))))))))</f>
        <v>1</v>
      </c>
      <c r="E664" s="89" t="s">
        <v>140</v>
      </c>
      <c r="F664" s="89">
        <f>IF(E664="AM",1,(IF(E664="BE",2,(IF(E664="GV",3,(IF(E664="RA",4,(IF(E664="RM",5,(IF(E664="AC",1,(IF(E664="AT",2,(IF(E664="DS",3,(IF(E664="IP",4,(IF(E664="MA",5,(IF(E664="PT",6,(IF(E664="AE",1,(IF(E664="CM",2,(IF(E664="DP",3,(IF(E664="AN",1,(IF(E664="CO",2,(IF(E664="IM",3,(IF(E664="MI",4,(IF(E664="RP",5,(IF(E664="SC",6,0)))))))))))))))))))))))))))))))))))))))</f>
        <v>4</v>
      </c>
      <c r="G664" s="52">
        <v>5</v>
      </c>
      <c r="H664" s="90" t="s">
        <v>115</v>
      </c>
      <c r="I664" s="93" t="s">
        <v>92</v>
      </c>
      <c r="J664" s="88">
        <v>11.3</v>
      </c>
      <c r="K664" s="102" t="s">
        <v>5226</v>
      </c>
      <c r="L664" s="117">
        <f>IF(O664="","",N664*O664*M664)</f>
        <v>0</v>
      </c>
      <c r="M664" s="108">
        <v>1</v>
      </c>
      <c r="N664" s="95">
        <v>1</v>
      </c>
      <c r="O664" s="109">
        <f>IF(Key!D$1="ON",P664,IF(SUM(Q664:DL664)&lt;1,"",SUM(Q664:DL664)/COUNTIF(Q664:DL664,"&gt;0")))</f>
        <v>0</v>
      </c>
      <c r="P664" s="109">
        <f>SUMIFS(Q664:DK664,Q$1:DK$1,Dashboard!$K$31)</f>
        <v>0</v>
      </c>
      <c r="U664" s="95">
        <v>33</v>
      </c>
      <c r="AA664" s="95">
        <v>25</v>
      </c>
      <c r="AH664" s="95">
        <v>75</v>
      </c>
    </row>
    <row r="665" spans="1:34" ht="15.6" x14ac:dyDescent="0.3">
      <c r="A665" s="89" t="str">
        <f>CONCATENATE(D665,".",F665,"-",G665,".",H665,"")</f>
        <v>1.4-5.1</v>
      </c>
      <c r="B665" s="89" t="str">
        <f>IF(CONCATENATE(I665,Key!F$2)=CONCATENATE(INDEX(Dashboard!J:J,MATCH(I665,Dashboard!J:J,0),1),INDEX(Dashboard!J:K,MATCH(I665,Dashboard!J:J,0),2)),"ON",IF(Dashboard!K$32="ALL","ON","-"))</f>
        <v>-</v>
      </c>
      <c r="C665" s="96" t="s">
        <v>110</v>
      </c>
      <c r="D665" s="89">
        <f>IF(C665="ID",1,(IF(C665="PR",2,(IF(C665="DE",3,(IF(C665="RS",4,(IF(C665="RC",5,0)))))))))</f>
        <v>1</v>
      </c>
      <c r="E665" s="89" t="s">
        <v>140</v>
      </c>
      <c r="F665" s="89">
        <f>IF(E665="AM",1,(IF(E665="BE",2,(IF(E665="GV",3,(IF(E665="RA",4,(IF(E665="RM",5,(IF(E665="AC",1,(IF(E665="AT",2,(IF(E665="DS",3,(IF(E665="IP",4,(IF(E665="MA",5,(IF(E665="PT",6,(IF(E665="AE",1,(IF(E665="CM",2,(IF(E665="DP",3,(IF(E665="AN",1,(IF(E665="CO",2,(IF(E665="IM",3,(IF(E665="MI",4,(IF(E665="RP",5,(IF(E665="SC",6,0)))))))))))))))))))))))))))))))))))))))</f>
        <v>4</v>
      </c>
      <c r="G665" s="98">
        <v>5</v>
      </c>
      <c r="H665" s="90" t="s">
        <v>115</v>
      </c>
      <c r="I665" s="93" t="s">
        <v>92</v>
      </c>
      <c r="J665" s="87">
        <v>12.2</v>
      </c>
      <c r="K665" s="102" t="s">
        <v>5226</v>
      </c>
      <c r="L665" s="117">
        <f>IF(O665="","",N665*O665*M665)</f>
        <v>0</v>
      </c>
      <c r="M665" s="108">
        <v>1</v>
      </c>
      <c r="N665" s="95">
        <v>1</v>
      </c>
      <c r="O665" s="109">
        <f>IF(Key!D$1="ON",P665,IF(SUM(Q665:DL665)&lt;1,"",SUM(Q665:DL665)/COUNTIF(Q665:DL665,"&gt;0")))</f>
        <v>0</v>
      </c>
      <c r="P665" s="109">
        <f>SUMIFS(Q665:DK665,Q$1:DK$1,Dashboard!$K$31)</f>
        <v>0</v>
      </c>
      <c r="U665" s="95">
        <v>33</v>
      </c>
      <c r="AA665" s="95">
        <v>25</v>
      </c>
      <c r="AH665" s="95">
        <v>75</v>
      </c>
    </row>
    <row r="666" spans="1:34" ht="15.6" x14ac:dyDescent="0.3">
      <c r="A666" s="89" t="str">
        <f>CONCATENATE(D666,".",F666,"-",G666,".",H666,"")</f>
        <v>1.4-5.1</v>
      </c>
      <c r="B666" s="89" t="str">
        <f>IF(CONCATENATE(I666,Key!F$2)=CONCATENATE(INDEX(Dashboard!J:J,MATCH(I666,Dashboard!J:J,0),1),INDEX(Dashboard!J:K,MATCH(I666,Dashboard!J:J,0),2)),"ON",IF(Dashboard!K$32="ALL","ON","-"))</f>
        <v>-</v>
      </c>
      <c r="C666" s="88" t="s">
        <v>110</v>
      </c>
      <c r="D666" s="89">
        <f>IF(C666="ID",1,(IF(C666="PR",2,(IF(C666="DE",3,(IF(C666="RS",4,(IF(C666="RC",5,0)))))))))</f>
        <v>1</v>
      </c>
      <c r="E666" s="89" t="s">
        <v>140</v>
      </c>
      <c r="F666" s="89">
        <f>IF(E666="AM",1,(IF(E666="BE",2,(IF(E666="GV",3,(IF(E666="RA",4,(IF(E666="RM",5,(IF(E666="AC",1,(IF(E666="AT",2,(IF(E666="DS",3,(IF(E666="IP",4,(IF(E666="MA",5,(IF(E666="PT",6,(IF(E666="AE",1,(IF(E666="CM",2,(IF(E666="DP",3,(IF(E666="AN",1,(IF(E666="CO",2,(IF(E666="IM",3,(IF(E666="MI",4,(IF(E666="RP",5,(IF(E666="SC",6,0)))))))))))))))))))))))))))))))))))))))</f>
        <v>4</v>
      </c>
      <c r="G666" s="52">
        <v>5</v>
      </c>
      <c r="H666" s="90" t="s">
        <v>115</v>
      </c>
      <c r="I666" s="93" t="s">
        <v>92</v>
      </c>
      <c r="J666" s="88" t="s">
        <v>142</v>
      </c>
      <c r="K666" s="102" t="s">
        <v>5226</v>
      </c>
      <c r="L666" s="117">
        <f>IF(O666="","",N666*O666*M666)</f>
        <v>0</v>
      </c>
      <c r="M666" s="108">
        <v>1</v>
      </c>
      <c r="N666" s="95">
        <v>1</v>
      </c>
      <c r="O666" s="109">
        <f>IF(Key!D$1="ON",P666,IF(SUM(Q666:DL666)&lt;1,"",SUM(Q666:DL666)/COUNTIF(Q666:DL666,"&gt;0")))</f>
        <v>0</v>
      </c>
      <c r="P666" s="109">
        <f>SUMIFS(Q666:DK666,Q$1:DK$1,Dashboard!$K$31)</f>
        <v>0</v>
      </c>
      <c r="U666" s="95">
        <v>33</v>
      </c>
      <c r="AA666" s="95">
        <v>25</v>
      </c>
      <c r="AH666" s="95">
        <v>75</v>
      </c>
    </row>
    <row r="667" spans="1:34" x14ac:dyDescent="0.3">
      <c r="A667" s="89" t="str">
        <f>CONCATENATE(D667,".",F667,"-",G667,".",H667,"")</f>
        <v>1.4-6.0</v>
      </c>
      <c r="B667" s="89" t="str">
        <f>IF(CONCATENATE(I667,Key!F$2)=CONCATENATE(INDEX(Dashboard!J:J,MATCH(I667,Dashboard!J:J,0),1),INDEX(Dashboard!J:K,MATCH(I667,Dashboard!J:J,0),2)),"ON",IF(Dashboard!K$32="ALL","ON","-"))</f>
        <v>-</v>
      </c>
      <c r="C667" s="96" t="s">
        <v>110</v>
      </c>
      <c r="D667" s="89">
        <f>IF(C667="ID",1,(IF(C667="PR",2,(IF(C667="DE",3,(IF(C667="RS",4,(IF(C667="RC",5,0)))))))))</f>
        <v>1</v>
      </c>
      <c r="E667" s="89" t="s">
        <v>140</v>
      </c>
      <c r="F667" s="89">
        <f>IF(E667="AM",1,(IF(E667="BE",2,(IF(E667="GV",3,(IF(E667="RA",4,(IF(E667="RM",5,(IF(E667="AC",1,(IF(E667="AT",2,(IF(E667="DS",3,(IF(E667="IP",4,(IF(E667="MA",5,(IF(E667="PT",6,(IF(E667="AE",1,(IF(E667="CM",2,(IF(E667="DP",3,(IF(E667="AN",1,(IF(E667="CO",2,(IF(E667="IM",3,(IF(E667="MI",4,(IF(E667="RP",5,(IF(E667="SC",6,0)))))))))))))))))))))))))))))))))))))))</f>
        <v>4</v>
      </c>
      <c r="G667" s="52">
        <v>6</v>
      </c>
      <c r="H667" s="90" t="s">
        <v>347</v>
      </c>
      <c r="I667" s="93" t="s">
        <v>2835</v>
      </c>
      <c r="J667" s="53" t="s">
        <v>2888</v>
      </c>
      <c r="K667" s="152" t="s">
        <v>2889</v>
      </c>
      <c r="L667" s="117">
        <f>IF(O667="","",N667*O667*M667)</f>
        <v>0</v>
      </c>
      <c r="M667" s="108">
        <v>1</v>
      </c>
      <c r="N667" s="95">
        <v>1</v>
      </c>
      <c r="O667" s="109">
        <f>IF(Key!D$1="ON",P667,IF(SUM(Q667:DL667)&lt;1,"",SUM(Q667:DL667)/COUNTIF(Q667:DL667,"&gt;0")))</f>
        <v>0</v>
      </c>
      <c r="P667" s="109">
        <f>SUMIFS(Q667:DK667,Q$1:DK$1,Dashboard!$K$31)</f>
        <v>0</v>
      </c>
      <c r="U667" s="95">
        <v>33</v>
      </c>
    </row>
    <row r="668" spans="1:34" x14ac:dyDescent="0.3">
      <c r="A668" s="89" t="str">
        <f>CONCATENATE(D668,".",F668,"-",G668,".",H668,"")</f>
        <v>1.4-6.1</v>
      </c>
      <c r="B668" s="89" t="str">
        <f>IF(CONCATENATE(I668,Key!F$2)=CONCATENATE(INDEX(Dashboard!J:J,MATCH(I668,Dashboard!J:J,0),1),INDEX(Dashboard!J:K,MATCH(I668,Dashboard!J:J,0),2)),"ON",IF(Dashboard!K$32="ALL","ON","-"))</f>
        <v>ON</v>
      </c>
      <c r="C668" s="130" t="s">
        <v>110</v>
      </c>
      <c r="D668" s="89">
        <f>IF(C668="ID",1,(IF(C668="PR",2,(IF(C668="DE",3,(IF(C668="RS",4,(IF(C668="RC",5,0)))))))))</f>
        <v>1</v>
      </c>
      <c r="E668" s="95" t="s">
        <v>140</v>
      </c>
      <c r="F668" s="89">
        <f>IF(E668="AM",1,(IF(E668="BE",2,(IF(E668="GV",3,(IF(E668="RA",4,(IF(E668="RM",5,(IF(E668="AC",1,(IF(E668="AT",2,(IF(E668="DS",3,(IF(E668="IP",4,(IF(E668="MA",5,(IF(E668="PT",6,(IF(E668="AE",1,(IF(E668="CM",2,(IF(E668="DP",3,(IF(E668="AN",1,(IF(E668="CO",2,(IF(E668="IM",3,(IF(E668="MI",4,(IF(E668="RP",5,(IF(E668="SC",6,0)))))))))))))))))))))))))))))))))))))))</f>
        <v>4</v>
      </c>
      <c r="G668" s="52">
        <v>6</v>
      </c>
      <c r="H668" s="90" t="s">
        <v>115</v>
      </c>
      <c r="I668" s="93" t="s">
        <v>4107</v>
      </c>
      <c r="J668" s="86" t="s">
        <v>4048</v>
      </c>
      <c r="K668" s="101" t="s">
        <v>4397</v>
      </c>
      <c r="L668" s="117">
        <f>IF(O668="","",N668*O668*M668)</f>
        <v>0</v>
      </c>
      <c r="M668" s="108">
        <v>1</v>
      </c>
      <c r="N668" s="95">
        <v>1</v>
      </c>
      <c r="O668" s="109">
        <f>IF(Key!D$1="ON",P668,IF(SUM(Q668:DL668)&lt;1,"",SUM(Q668:DL668)/COUNTIF(Q668:DL668,"&gt;0")))</f>
        <v>0</v>
      </c>
      <c r="P668" s="109">
        <f>SUMIFS(Q668:DK668,Q$1:DK$1,Dashboard!$K$31)</f>
        <v>0</v>
      </c>
      <c r="U668" s="95">
        <v>33</v>
      </c>
      <c r="AA668" s="95">
        <v>25</v>
      </c>
      <c r="AH668" s="95">
        <v>75</v>
      </c>
    </row>
    <row r="669" spans="1:34" x14ac:dyDescent="0.3">
      <c r="A669" s="89" t="str">
        <f>CONCATENATE(D669,".",F669,"-",G669,".",H669,"")</f>
        <v>1.4-6.1</v>
      </c>
      <c r="B669" s="89" t="str">
        <f>IF(CONCATENATE(I669,Key!F$2)=CONCATENATE(INDEX(Dashboard!J:J,MATCH(I669,Dashboard!J:J,0),1),INDEX(Dashboard!J:K,MATCH(I669,Dashboard!J:J,0),2)),"ON",IF(Dashboard!K$32="ALL","ON","-"))</f>
        <v>ON</v>
      </c>
      <c r="C669" s="88" t="s">
        <v>110</v>
      </c>
      <c r="D669" s="89">
        <f>IF(C669="ID",1,(IF(C669="PR",2,(IF(C669="DE",3,(IF(C669="RS",4,(IF(C669="RC",5,0)))))))))</f>
        <v>1</v>
      </c>
      <c r="E669" s="89" t="s">
        <v>140</v>
      </c>
      <c r="F669" s="89">
        <f>IF(E669="AM",1,(IF(E669="BE",2,(IF(E669="GV",3,(IF(E669="RA",4,(IF(E669="RM",5,(IF(E669="AC",1,(IF(E669="AT",2,(IF(E669="DS",3,(IF(E669="IP",4,(IF(E669="MA",5,(IF(E669="PT",6,(IF(E669="AE",1,(IF(E669="CM",2,(IF(E669="DP",3,(IF(E669="AN",1,(IF(E669="CO",2,(IF(E669="IM",3,(IF(E669="MI",4,(IF(E669="RP",5,(IF(E669="SC",6,0)))))))))))))))))))))))))))))))))))))))</f>
        <v>4</v>
      </c>
      <c r="G669" s="52">
        <v>6</v>
      </c>
      <c r="H669" s="89">
        <v>1</v>
      </c>
      <c r="I669" s="93" t="s">
        <v>4107</v>
      </c>
      <c r="J669" s="86" t="s">
        <v>4054</v>
      </c>
      <c r="K669" s="101" t="s">
        <v>4464</v>
      </c>
      <c r="L669" s="117">
        <f>IF(O669="","",N669*O669*M669)</f>
        <v>0</v>
      </c>
      <c r="M669" s="108">
        <v>1</v>
      </c>
      <c r="N669" s="95">
        <v>1</v>
      </c>
      <c r="O669" s="109">
        <f>IF(Key!D$1="ON",P669,IF(SUM(Q669:DL669)&lt;1,"",SUM(Q669:DL669)/COUNTIF(Q669:DL669,"&gt;0")))</f>
        <v>0</v>
      </c>
      <c r="P669" s="109">
        <f>SUMIFS(Q669:DK669,Q$1:DK$1,Dashboard!$K$31)</f>
        <v>0</v>
      </c>
      <c r="U669" s="95">
        <v>33</v>
      </c>
      <c r="AA669" s="95">
        <v>25</v>
      </c>
      <c r="AH669" s="95">
        <v>75</v>
      </c>
    </row>
    <row r="670" spans="1:34" x14ac:dyDescent="0.3">
      <c r="A670" s="89" t="str">
        <f>CONCATENATE(D670,".",F670,"-",G670,".",H670,"")</f>
        <v>1.4-6.1</v>
      </c>
      <c r="B670" s="89" t="str">
        <f>IF(CONCATENATE(I670,Key!F$2)=CONCATENATE(INDEX(Dashboard!J:J,MATCH(I670,Dashboard!J:J,0),1),INDEX(Dashboard!J:K,MATCH(I670,Dashboard!J:J,0),2)),"ON",IF(Dashboard!K$32="ALL","ON","-"))</f>
        <v>-</v>
      </c>
      <c r="C670" s="88" t="s">
        <v>110</v>
      </c>
      <c r="D670" s="89">
        <f>IF(C670="ID",1,(IF(C670="PR",2,(IF(C670="DE",3,(IF(C670="RS",4,(IF(C670="RC",5,0)))))))))</f>
        <v>1</v>
      </c>
      <c r="E670" s="89" t="s">
        <v>140</v>
      </c>
      <c r="F670" s="89">
        <f>IF(E670="AM",1,(IF(E670="BE",2,(IF(E670="GV",3,(IF(E670="RA",4,(IF(E670="RM",5,(IF(E670="AC",1,(IF(E670="AT",2,(IF(E670="DS",3,(IF(E670="IP",4,(IF(E670="MA",5,(IF(E670="PT",6,(IF(E670="AE",1,(IF(E670="CM",2,(IF(E670="DP",3,(IF(E670="AN",1,(IF(E670="CO",2,(IF(E670="IM",3,(IF(E670="MI",4,(IF(E670="RP",5,(IF(E670="SC",6,0)))))))))))))))))))))))))))))))))))))))</f>
        <v>4</v>
      </c>
      <c r="G670" s="52">
        <v>6</v>
      </c>
      <c r="H670" s="99">
        <v>1</v>
      </c>
      <c r="I670" s="93" t="s">
        <v>37</v>
      </c>
      <c r="J670" s="86">
        <v>19.399999999999999</v>
      </c>
      <c r="K670" s="102" t="s">
        <v>3692</v>
      </c>
      <c r="L670" s="117">
        <f>IF(O670="","",N670*O670*M670)</f>
        <v>0</v>
      </c>
      <c r="M670" s="108">
        <v>1</v>
      </c>
      <c r="N670" s="95">
        <v>1</v>
      </c>
      <c r="O670" s="109">
        <f>IF(Key!D$1="ON",P670,IF(SUM(Q670:DL670)&lt;1,"",SUM(Q670:DL670)/COUNTIF(Q670:DL670,"&gt;0")))</f>
        <v>0</v>
      </c>
      <c r="P670" s="109">
        <f>SUMIFS(Q670:DK670,Q$1:DK$1,Dashboard!$K$31)</f>
        <v>0</v>
      </c>
      <c r="U670" s="95">
        <v>33</v>
      </c>
      <c r="AA670" s="95">
        <v>25</v>
      </c>
      <c r="AH670" s="95">
        <v>75</v>
      </c>
    </row>
    <row r="671" spans="1:34" x14ac:dyDescent="0.3">
      <c r="A671" s="89" t="str">
        <f>CONCATENATE(D671,".",F671,"-",G671,".",H671,"")</f>
        <v>1.4-6.1</v>
      </c>
      <c r="B671" s="89" t="str">
        <f>IF(CONCATENATE(I671,Key!F$2)=CONCATENATE(INDEX(Dashboard!J:J,MATCH(I671,Dashboard!J:J,0),1),INDEX(Dashboard!J:K,MATCH(I671,Dashboard!J:J,0),2)),"ON",IF(Dashboard!K$32="ALL","ON","-"))</f>
        <v>-</v>
      </c>
      <c r="C671" s="96" t="s">
        <v>110</v>
      </c>
      <c r="D671" s="89">
        <f>IF(C671="ID",1,(IF(C671="PR",2,(IF(C671="DE",3,(IF(C671="RS",4,(IF(C671="RC",5,0)))))))))</f>
        <v>1</v>
      </c>
      <c r="E671" s="89" t="s">
        <v>140</v>
      </c>
      <c r="F671" s="89">
        <f>IF(E671="AM",1,(IF(E671="BE",2,(IF(E671="GV",3,(IF(E671="RA",4,(IF(E671="RM",5,(IF(E671="AC",1,(IF(E671="AT",2,(IF(E671="DS",3,(IF(E671="IP",4,(IF(E671="MA",5,(IF(E671="PT",6,(IF(E671="AE",1,(IF(E671="CM",2,(IF(E671="DP",3,(IF(E671="AN",1,(IF(E671="CO",2,(IF(E671="IM",3,(IF(E671="MI",4,(IF(E671="RP",5,(IF(E671="SC",6,0)))))))))))))))))))))))))))))))))))))))</f>
        <v>4</v>
      </c>
      <c r="G671" s="52">
        <v>6</v>
      </c>
      <c r="H671" s="99">
        <v>1</v>
      </c>
      <c r="I671" s="93" t="s">
        <v>41</v>
      </c>
      <c r="J671" s="86">
        <v>3.7</v>
      </c>
      <c r="K671" s="103" t="s">
        <v>3476</v>
      </c>
      <c r="L671" s="117">
        <f>IF(O671="","",N671*O671*M671)</f>
        <v>0</v>
      </c>
      <c r="M671" s="108">
        <v>1</v>
      </c>
      <c r="N671" s="95">
        <v>1</v>
      </c>
      <c r="O671" s="109">
        <f>IF(Key!D$1="ON",P671,IF(SUM(Q671:DL671)&lt;1,"",SUM(Q671:DL671)/COUNTIF(Q671:DL671,"&gt;0")))</f>
        <v>0</v>
      </c>
      <c r="P671" s="109">
        <f>SUMIFS(Q671:DK671,Q$1:DK$1,Dashboard!$K$31)</f>
        <v>0</v>
      </c>
      <c r="U671" s="95">
        <v>33</v>
      </c>
    </row>
    <row r="672" spans="1:34" x14ac:dyDescent="0.3">
      <c r="A672" s="89" t="str">
        <f>CONCATENATE(D672,".",F672,"-",G672,".",H672,"")</f>
        <v>1.4-6.1</v>
      </c>
      <c r="B672" s="89" t="str">
        <f>IF(CONCATENATE(I672,Key!F$2)=CONCATENATE(INDEX(Dashboard!J:J,MATCH(I672,Dashboard!J:J,0),1),INDEX(Dashboard!J:K,MATCH(I672,Dashboard!J:J,0),2)),"ON",IF(Dashboard!K$32="ALL","ON","-"))</f>
        <v>-</v>
      </c>
      <c r="C672" s="88" t="s">
        <v>110</v>
      </c>
      <c r="D672" s="89">
        <f>IF(C672="ID",1,(IF(C672="PR",2,(IF(C672="DE",3,(IF(C672="RS",4,(IF(C672="RC",5,0)))))))))</f>
        <v>1</v>
      </c>
      <c r="E672" s="89" t="s">
        <v>140</v>
      </c>
      <c r="F672" s="89">
        <f>IF(E672="AM",1,(IF(E672="BE",2,(IF(E672="GV",3,(IF(E672="RA",4,(IF(E672="RM",5,(IF(E672="AC",1,(IF(E672="AT",2,(IF(E672="DS",3,(IF(E672="IP",4,(IF(E672="MA",5,(IF(E672="PT",6,(IF(E672="AE",1,(IF(E672="CM",2,(IF(E672="DP",3,(IF(E672="AN",1,(IF(E672="CO",2,(IF(E672="IM",3,(IF(E672="MI",4,(IF(E672="RP",5,(IF(E672="SC",6,0)))))))))))))))))))))))))))))))))))))))</f>
        <v>4</v>
      </c>
      <c r="G672" s="52">
        <v>6</v>
      </c>
      <c r="H672" s="99">
        <v>1</v>
      </c>
      <c r="I672" s="93" t="s">
        <v>41</v>
      </c>
      <c r="J672" s="86" t="s">
        <v>3650</v>
      </c>
      <c r="K672" s="103" t="s">
        <v>3651</v>
      </c>
      <c r="L672" s="117">
        <f>IF(O672="","",N672*O672*M672)</f>
        <v>0</v>
      </c>
      <c r="M672" s="108">
        <v>1</v>
      </c>
      <c r="N672" s="95">
        <v>1</v>
      </c>
      <c r="O672" s="109">
        <f>IF(Key!D$1="ON",P672,IF(SUM(Q672:DL672)&lt;1,"",SUM(Q672:DL672)/COUNTIF(Q672:DL672,"&gt;0")))</f>
        <v>0</v>
      </c>
      <c r="P672" s="109">
        <f>SUMIFS(Q672:DK672,Q$1:DK$1,Dashboard!$K$31)</f>
        <v>0</v>
      </c>
      <c r="U672" s="95">
        <v>33</v>
      </c>
    </row>
    <row r="673" spans="1:34" ht="15.6" x14ac:dyDescent="0.3">
      <c r="A673" s="89" t="str">
        <f>CONCATENATE(D673,".",F673,"-",G673,".",H673,"")</f>
        <v>1.4-6.1</v>
      </c>
      <c r="B673" s="89" t="str">
        <f>IF(CONCATENATE(I673,Key!F$2)=CONCATENATE(INDEX(Dashboard!J:J,MATCH(I673,Dashboard!J:J,0),1),INDEX(Dashboard!J:K,MATCH(I673,Dashboard!J:J,0),2)),"ON",IF(Dashboard!K$32="ALL","ON","-"))</f>
        <v>-</v>
      </c>
      <c r="C673" s="96" t="s">
        <v>110</v>
      </c>
      <c r="D673" s="89">
        <f>IF(C673="ID",1,(IF(C673="PR",2,(IF(C673="DE",3,(IF(C673="RS",4,(IF(C673="RC",5,0)))))))))</f>
        <v>1</v>
      </c>
      <c r="E673" s="89" t="s">
        <v>140</v>
      </c>
      <c r="F673" s="89">
        <f>IF(E673="AM",1,(IF(E673="BE",2,(IF(E673="GV",3,(IF(E673="RA",4,(IF(E673="RM",5,(IF(E673="AC",1,(IF(E673="AT",2,(IF(E673="DS",3,(IF(E673="IP",4,(IF(E673="MA",5,(IF(E673="PT",6,(IF(E673="AE",1,(IF(E673="CM",2,(IF(E673="DP",3,(IF(E673="AN",1,(IF(E673="CO",2,(IF(E673="IM",3,(IF(E673="MI",4,(IF(E673="RP",5,(IF(E673="SC",6,0)))))))))))))))))))))))))))))))))))))))</f>
        <v>4</v>
      </c>
      <c r="G673" s="98">
        <v>6</v>
      </c>
      <c r="H673" s="90" t="s">
        <v>115</v>
      </c>
      <c r="I673" s="93" t="s">
        <v>52</v>
      </c>
      <c r="J673" s="88" t="s">
        <v>3331</v>
      </c>
      <c r="K673" s="103" t="s">
        <v>3332</v>
      </c>
      <c r="L673" s="117">
        <f>IF(O673="","",N673*O673*M673)</f>
        <v>0</v>
      </c>
      <c r="M673" s="108">
        <v>1</v>
      </c>
      <c r="N673" s="95">
        <v>1</v>
      </c>
      <c r="O673" s="109">
        <f>IF(Key!D$1="ON",P673,IF(SUM(Q673:DL673)&lt;1,"",SUM(Q673:DL673)/COUNTIF(Q673:DL673,"&gt;0")))</f>
        <v>0</v>
      </c>
      <c r="P673" s="109">
        <f>SUMIFS(Q673:DK673,Q$1:DK$1,Dashboard!$K$31)</f>
        <v>0</v>
      </c>
      <c r="U673" s="95">
        <v>33</v>
      </c>
      <c r="AA673" s="95">
        <v>25</v>
      </c>
      <c r="AH673" s="95">
        <v>75</v>
      </c>
    </row>
    <row r="674" spans="1:34" x14ac:dyDescent="0.3">
      <c r="A674" s="89" t="str">
        <f>CONCATENATE(D674,".",F674,"-",G674,".",H674,"")</f>
        <v>1.4-6.1</v>
      </c>
      <c r="B674" s="89" t="str">
        <f>IF(CONCATENATE(I674,Key!F$2)=CONCATENATE(INDEX(Dashboard!J:J,MATCH(I674,Dashboard!J:J,0),1),INDEX(Dashboard!J:K,MATCH(I674,Dashboard!J:J,0),2)),"ON",IF(Dashboard!K$32="ALL","ON","-"))</f>
        <v>-</v>
      </c>
      <c r="C674" s="88" t="s">
        <v>110</v>
      </c>
      <c r="D674" s="89">
        <f>IF(C674="ID",1,(IF(C674="PR",2,(IF(C674="DE",3,(IF(C674="RS",4,(IF(C674="RC",5,0)))))))))</f>
        <v>1</v>
      </c>
      <c r="E674" s="89" t="s">
        <v>140</v>
      </c>
      <c r="F674" s="89">
        <f>IF(E674="AM",1,(IF(E674="BE",2,(IF(E674="GV",3,(IF(E674="RA",4,(IF(E674="RM",5,(IF(E674="AC",1,(IF(E674="AT",2,(IF(E674="DS",3,(IF(E674="IP",4,(IF(E674="MA",5,(IF(E674="PT",6,(IF(E674="AE",1,(IF(E674="CM",2,(IF(E674="DP",3,(IF(E674="AN",1,(IF(E674="CO",2,(IF(E674="IM",3,(IF(E674="MI",4,(IF(E674="RP",5,(IF(E674="SC",6,0)))))))))))))))))))))))))))))))))))))))</f>
        <v>4</v>
      </c>
      <c r="G674" s="52">
        <v>6</v>
      </c>
      <c r="H674" s="90" t="s">
        <v>115</v>
      </c>
      <c r="I674" s="93" t="s">
        <v>60</v>
      </c>
      <c r="J674" s="87" t="s">
        <v>3125</v>
      </c>
      <c r="K674" s="51" t="s">
        <v>5238</v>
      </c>
      <c r="L674" s="117">
        <f>IF(O674="","",N674*O674*M674)</f>
        <v>0</v>
      </c>
      <c r="M674" s="108">
        <v>1</v>
      </c>
      <c r="N674" s="95">
        <v>1</v>
      </c>
      <c r="O674" s="109">
        <f>IF(Key!D$1="ON",P674,IF(SUM(Q674:DL674)&lt;1,"",SUM(Q674:DL674)/COUNTIF(Q674:DL674,"&gt;0")))</f>
        <v>0</v>
      </c>
      <c r="P674" s="109">
        <f>SUMIFS(Q674:DK674,Q$1:DK$1,Dashboard!$K$31)</f>
        <v>0</v>
      </c>
      <c r="U674" s="95">
        <v>33</v>
      </c>
      <c r="AA674" s="95">
        <v>25</v>
      </c>
      <c r="AH674" s="95">
        <v>75</v>
      </c>
    </row>
    <row r="675" spans="1:34" ht="15.6" x14ac:dyDescent="0.3">
      <c r="A675" s="89" t="str">
        <f>CONCATENATE(D675,".",F675,"-",G675,".",H675,"")</f>
        <v>1.4-6.1</v>
      </c>
      <c r="B675" s="89" t="str">
        <f>IF(CONCATENATE(I675,Key!F$2)=CONCATENATE(INDEX(Dashboard!J:J,MATCH(I675,Dashboard!J:J,0),1),INDEX(Dashboard!J:K,MATCH(I675,Dashboard!J:J,0),2)),"ON",IF(Dashboard!K$32="ALL","ON","-"))</f>
        <v>-</v>
      </c>
      <c r="C675" s="96" t="s">
        <v>110</v>
      </c>
      <c r="D675" s="89">
        <f>IF(C675="ID",1,(IF(C675="PR",2,(IF(C675="DE",3,(IF(C675="RS",4,(IF(C675="RC",5,0)))))))))</f>
        <v>1</v>
      </c>
      <c r="E675" s="89" t="s">
        <v>140</v>
      </c>
      <c r="F675" s="89">
        <f>IF(E675="AM",1,(IF(E675="BE",2,(IF(E675="GV",3,(IF(E675="RA",4,(IF(E675="RM",5,(IF(E675="AC",1,(IF(E675="AT",2,(IF(E675="DS",3,(IF(E675="IP",4,(IF(E675="MA",5,(IF(E675="PT",6,(IF(E675="AE",1,(IF(E675="CM",2,(IF(E675="DP",3,(IF(E675="AN",1,(IF(E675="CO",2,(IF(E675="IM",3,(IF(E675="MI",4,(IF(E675="RP",5,(IF(E675="SC",6,0)))))))))))))))))))))))))))))))))))))))</f>
        <v>4</v>
      </c>
      <c r="G675" s="98">
        <v>6</v>
      </c>
      <c r="H675" s="90" t="s">
        <v>115</v>
      </c>
      <c r="I675" s="93" t="s">
        <v>77</v>
      </c>
      <c r="J675" s="87" t="s">
        <v>1106</v>
      </c>
      <c r="K675" s="102" t="s">
        <v>2144</v>
      </c>
      <c r="L675" s="117">
        <f>IF(O675="","",N675*O675*M675)</f>
        <v>0</v>
      </c>
      <c r="M675" s="108">
        <v>1</v>
      </c>
      <c r="N675" s="95">
        <v>1</v>
      </c>
      <c r="O675" s="109">
        <f>IF(Key!D$1="ON",P675,IF(SUM(Q675:DL675)&lt;1,"",SUM(Q675:DL675)/COUNTIF(Q675:DL675,"&gt;0")))</f>
        <v>0</v>
      </c>
      <c r="P675" s="109">
        <f>SUMIFS(Q675:DK675,Q$1:DK$1,Dashboard!$K$31)</f>
        <v>0</v>
      </c>
      <c r="U675" s="95">
        <v>33</v>
      </c>
      <c r="AA675" s="95">
        <v>25</v>
      </c>
      <c r="AH675" s="95">
        <v>75</v>
      </c>
    </row>
    <row r="676" spans="1:34" x14ac:dyDescent="0.3">
      <c r="A676" s="89" t="str">
        <f>CONCATENATE(D676,".",F676,"-",G676,".",H676,"")</f>
        <v>1.4-6.1</v>
      </c>
      <c r="B676" s="89" t="str">
        <f>IF(CONCATENATE(I676,Key!F$2)=CONCATENATE(INDEX(Dashboard!J:J,MATCH(I676,Dashboard!J:J,0),1),INDEX(Dashboard!J:K,MATCH(I676,Dashboard!J:J,0),2)),"ON",IF(Dashboard!K$32="ALL","ON","-"))</f>
        <v>-</v>
      </c>
      <c r="C676" s="96" t="s">
        <v>110</v>
      </c>
      <c r="D676" s="89">
        <f>IF(C676="ID",1,(IF(C676="PR",2,(IF(C676="DE",3,(IF(C676="RS",4,(IF(C676="RC",5,0)))))))))</f>
        <v>1</v>
      </c>
      <c r="E676" s="89" t="s">
        <v>140</v>
      </c>
      <c r="F676" s="89">
        <f>IF(E676="AM",1,(IF(E676="BE",2,(IF(E676="GV",3,(IF(E676="RA",4,(IF(E676="RM",5,(IF(E676="AC",1,(IF(E676="AT",2,(IF(E676="DS",3,(IF(E676="IP",4,(IF(E676="MA",5,(IF(E676="PT",6,(IF(E676="AE",1,(IF(E676="CM",2,(IF(E676="DP",3,(IF(E676="AN",1,(IF(E676="CO",2,(IF(E676="IM",3,(IF(E676="MI",4,(IF(E676="RP",5,(IF(E676="SC",6,0)))))))))))))))))))))))))))))))))))))))</f>
        <v>4</v>
      </c>
      <c r="G676" s="98">
        <v>6</v>
      </c>
      <c r="H676" s="90" t="s">
        <v>115</v>
      </c>
      <c r="I676" s="93" t="s">
        <v>85</v>
      </c>
      <c r="J676" s="87" t="s">
        <v>1106</v>
      </c>
      <c r="K676" s="119" t="s">
        <v>1107</v>
      </c>
      <c r="L676" s="117">
        <f>IF(O676="","",N676*O676*M676)</f>
        <v>0</v>
      </c>
      <c r="M676" s="108">
        <v>1</v>
      </c>
      <c r="N676" s="95">
        <v>1</v>
      </c>
      <c r="O676" s="109">
        <f>IF(Key!D$1="ON",P676,IF(SUM(Q676:DL676)&lt;1,"",SUM(Q676:DL676)/COUNTIF(Q676:DL676,"&gt;0")))</f>
        <v>0</v>
      </c>
      <c r="P676" s="109">
        <f>SUMIFS(Q676:DK676,Q$1:DK$1,Dashboard!$K$31)</f>
        <v>0</v>
      </c>
      <c r="U676" s="95">
        <v>33</v>
      </c>
      <c r="AA676" s="95">
        <v>25</v>
      </c>
      <c r="AH676" s="95">
        <v>75</v>
      </c>
    </row>
    <row r="677" spans="1:34" x14ac:dyDescent="0.3">
      <c r="A677" s="89" t="str">
        <f>CONCATENATE(D677,".",F677,"-",G677,".",H677,"")</f>
        <v>1.4-6.1</v>
      </c>
      <c r="B677" s="89" t="str">
        <f>IF(CONCATENATE(I677,Key!F$2)=CONCATENATE(INDEX(Dashboard!J:J,MATCH(I677,Dashboard!J:J,0),1),INDEX(Dashboard!J:K,MATCH(I677,Dashboard!J:J,0),2)),"ON",IF(Dashboard!K$32="ALL","ON","-"))</f>
        <v>-</v>
      </c>
      <c r="C677" s="88" t="s">
        <v>110</v>
      </c>
      <c r="D677" s="89">
        <f>IF(C677="ID",1,(IF(C677="PR",2,(IF(C677="DE",3,(IF(C677="RS",4,(IF(C677="RC",5,0)))))))))</f>
        <v>1</v>
      </c>
      <c r="E677" s="89" t="s">
        <v>140</v>
      </c>
      <c r="F677" s="89">
        <f>IF(E677="AM",1,(IF(E677="BE",2,(IF(E677="GV",3,(IF(E677="RA",4,(IF(E677="RM",5,(IF(E677="AC",1,(IF(E677="AT",2,(IF(E677="DS",3,(IF(E677="IP",4,(IF(E677="MA",5,(IF(E677="PT",6,(IF(E677="AE",1,(IF(E677="CM",2,(IF(E677="DP",3,(IF(E677="AN",1,(IF(E677="CO",2,(IF(E677="IM",3,(IF(E677="MI",4,(IF(E677="RP",5,(IF(E677="SC",6,0)))))))))))))))))))))))))))))))))))))))</f>
        <v>4</v>
      </c>
      <c r="G677" s="52">
        <v>6</v>
      </c>
      <c r="H677" s="89">
        <v>1</v>
      </c>
      <c r="I677" s="93" t="s">
        <v>85</v>
      </c>
      <c r="J677" s="86" t="s">
        <v>767</v>
      </c>
      <c r="K677" s="119" t="s">
        <v>768</v>
      </c>
      <c r="L677" s="117">
        <f>IF(O677="","",N677*O677*M677)</f>
        <v>0</v>
      </c>
      <c r="M677" s="108">
        <v>1</v>
      </c>
      <c r="N677" s="95">
        <v>1</v>
      </c>
      <c r="O677" s="109">
        <f>IF(Key!D$1="ON",P677,IF(SUM(Q677:DL677)&lt;1,"",SUM(Q677:DL677)/COUNTIF(Q677:DL677,"&gt;0")))</f>
        <v>0</v>
      </c>
      <c r="P677" s="109">
        <f>SUMIFS(Q677:DK677,Q$1:DK$1,Dashboard!$K$31)</f>
        <v>0</v>
      </c>
      <c r="U677" s="95">
        <v>33</v>
      </c>
      <c r="AA677" s="95">
        <v>25</v>
      </c>
      <c r="AH677" s="95">
        <v>75</v>
      </c>
    </row>
    <row r="678" spans="1:34" ht="15.6" x14ac:dyDescent="0.3">
      <c r="A678" s="89" t="str">
        <f>CONCATENATE(D678,".",F678,"-",G678,".",H678,"")</f>
        <v>1.4-6.1</v>
      </c>
      <c r="B678" s="89" t="str">
        <f>IF(CONCATENATE(I678,Key!F$2)=CONCATENATE(INDEX(Dashboard!J:J,MATCH(I678,Dashboard!J:J,0),1),INDEX(Dashboard!J:K,MATCH(I678,Dashboard!J:J,0),2)),"ON",IF(Dashboard!K$32="ALL","ON","-"))</f>
        <v>-</v>
      </c>
      <c r="C678" s="88" t="s">
        <v>110</v>
      </c>
      <c r="D678" s="89">
        <f>IF(C678="ID",1,(IF(C678="PR",2,(IF(C678="DE",3,(IF(C678="RS",4,(IF(C678="RC",5,0)))))))))</f>
        <v>1</v>
      </c>
      <c r="E678" s="89" t="s">
        <v>140</v>
      </c>
      <c r="F678" s="89">
        <f>IF(E678="AM",1,(IF(E678="BE",2,(IF(E678="GV",3,(IF(E678="RA",4,(IF(E678="RM",5,(IF(E678="AC",1,(IF(E678="AT",2,(IF(E678="DS",3,(IF(E678="IP",4,(IF(E678="MA",5,(IF(E678="PT",6,(IF(E678="AE",1,(IF(E678="CM",2,(IF(E678="DP",3,(IF(E678="AN",1,(IF(E678="CO",2,(IF(E678="IM",3,(IF(E678="MI",4,(IF(E678="RP",5,(IF(E678="SC",6,0)))))))))))))))))))))))))))))))))))))))</f>
        <v>4</v>
      </c>
      <c r="G678" s="52">
        <v>6</v>
      </c>
      <c r="H678" s="90" t="s">
        <v>115</v>
      </c>
      <c r="I678" s="93" t="s">
        <v>85</v>
      </c>
      <c r="J678" s="87" t="s">
        <v>1657</v>
      </c>
      <c r="K678" s="119" t="s">
        <v>4657</v>
      </c>
      <c r="L678" s="117">
        <f>IF(O678="","",N678*O678*M678)</f>
        <v>0</v>
      </c>
      <c r="M678" s="108">
        <v>1</v>
      </c>
      <c r="N678" s="95">
        <v>1</v>
      </c>
      <c r="O678" s="109">
        <f>IF(Key!D$1="ON",P678,IF(SUM(Q678:DL678)&lt;1,"",SUM(Q678:DL678)/COUNTIF(Q678:DL678,"&gt;0")))</f>
        <v>0</v>
      </c>
      <c r="P678" s="109">
        <f>SUMIFS(Q678:DK678,Q$1:DK$1,Dashboard!$K$31)</f>
        <v>0</v>
      </c>
      <c r="U678" s="95">
        <v>33</v>
      </c>
      <c r="AA678" s="95">
        <v>25</v>
      </c>
      <c r="AH678" s="95">
        <v>75</v>
      </c>
    </row>
    <row r="679" spans="1:34" x14ac:dyDescent="0.3">
      <c r="A679" s="89" t="str">
        <f>CONCATENATE(D679,".",F679,"-",G679,".",H679,"")</f>
        <v>1.4-6.1</v>
      </c>
      <c r="B679" s="89" t="str">
        <f>IF(CONCATENATE(I679,Key!F$2)=CONCATENATE(INDEX(Dashboard!J:J,MATCH(I679,Dashboard!J:J,0),1),INDEX(Dashboard!J:K,MATCH(I679,Dashboard!J:J,0),2)),"ON",IF(Dashboard!K$32="ALL","ON","-"))</f>
        <v>-</v>
      </c>
      <c r="C679" s="96" t="s">
        <v>110</v>
      </c>
      <c r="D679" s="89">
        <f>IF(C679="ID",1,(IF(C679="PR",2,(IF(C679="DE",3,(IF(C679="RS",4,(IF(C679="RC",5,0)))))))))</f>
        <v>1</v>
      </c>
      <c r="E679" s="89" t="s">
        <v>140</v>
      </c>
      <c r="F679" s="89">
        <f>IF(E679="AM",1,(IF(E679="BE",2,(IF(E679="GV",3,(IF(E679="RA",4,(IF(E679="RM",5,(IF(E679="AC",1,(IF(E679="AT",2,(IF(E679="DS",3,(IF(E679="IP",4,(IF(E679="MA",5,(IF(E679="PT",6,(IF(E679="AE",1,(IF(E679="CM",2,(IF(E679="DP",3,(IF(E679="AN",1,(IF(E679="CO",2,(IF(E679="IM",3,(IF(E679="MI",4,(IF(E679="RP",5,(IF(E679="SC",6,0)))))))))))))))))))))))))))))))))))))))</f>
        <v>4</v>
      </c>
      <c r="G679" s="52">
        <v>6</v>
      </c>
      <c r="H679" s="90" t="s">
        <v>115</v>
      </c>
      <c r="I679" s="93" t="s">
        <v>89</v>
      </c>
      <c r="J679" s="88" t="s">
        <v>446</v>
      </c>
      <c r="K679" s="102" t="s">
        <v>447</v>
      </c>
      <c r="L679" s="117">
        <f>IF(O679="","",N679*O679*M679)</f>
        <v>0</v>
      </c>
      <c r="M679" s="108">
        <v>1</v>
      </c>
      <c r="N679" s="95">
        <v>1</v>
      </c>
      <c r="O679" s="109">
        <f>IF(Key!D$1="ON",P679,IF(SUM(Q679:DL679)&lt;1,"",SUM(Q679:DL679)/COUNTIF(Q679:DL679,"&gt;0")))</f>
        <v>0</v>
      </c>
      <c r="P679" s="109">
        <f>SUMIFS(Q679:DK679,Q$1:DK$1,Dashboard!$K$31)</f>
        <v>0</v>
      </c>
      <c r="U679" s="95">
        <v>33</v>
      </c>
      <c r="AA679" s="95">
        <v>25</v>
      </c>
      <c r="AH679" s="95">
        <v>75</v>
      </c>
    </row>
    <row r="680" spans="1:34" x14ac:dyDescent="0.3">
      <c r="A680" s="89" t="str">
        <f>CONCATENATE(D680,".",F680,"-",G680,".",H680,"")</f>
        <v>1.5-0.0</v>
      </c>
      <c r="B680" s="89" t="str">
        <f>IF(CONCATENATE(I680,Key!F$2)=CONCATENATE(INDEX(Dashboard!J:J,MATCH(I680,Dashboard!J:J,0),1),INDEX(Dashboard!J:K,MATCH(I680,Dashboard!J:J,0),2)),"ON",IF(Dashboard!K$32="ALL","ON","-"))</f>
        <v>-</v>
      </c>
      <c r="C680" s="96" t="s">
        <v>110</v>
      </c>
      <c r="D680" s="89">
        <f>IF(C680="ID",1,(IF(C680="PR",2,(IF(C680="DE",3,(IF(C680="RS",4,(IF(C680="RC",5,0)))))))))</f>
        <v>1</v>
      </c>
      <c r="E680" s="89" t="s">
        <v>143</v>
      </c>
      <c r="F680" s="89">
        <f>IF(E680="AM",1,(IF(E680="BE",2,(IF(E680="GV",3,(IF(E680="RA",4,(IF(E680="RM",5,(IF(E680="AC",1,(IF(E680="AT",2,(IF(E680="DS",3,(IF(E680="IP",4,(IF(E680="MA",5,(IF(E680="PT",6,(IF(E680="AE",1,(IF(E680="CM",2,(IF(E680="DP",3,(IF(E680="AN",1,(IF(E680="CO",2,(IF(E680="IM",3,(IF(E680="MI",4,(IF(E680="RP",5,(IF(E680="SC",6,0)))))))))))))))))))))))))))))))))))))))</f>
        <v>5</v>
      </c>
      <c r="G680" s="52">
        <v>0</v>
      </c>
      <c r="H680" s="90" t="s">
        <v>347</v>
      </c>
      <c r="I680" s="93" t="s">
        <v>2835</v>
      </c>
      <c r="J680" s="153" t="s">
        <v>2890</v>
      </c>
      <c r="K680" s="152" t="s">
        <v>2891</v>
      </c>
      <c r="L680" s="117">
        <f>IF(O680="","",N680*O680*M680)</f>
        <v>0</v>
      </c>
      <c r="M680" s="108">
        <v>1</v>
      </c>
      <c r="N680" s="95">
        <v>1</v>
      </c>
      <c r="O680" s="109">
        <f>IF(Key!D$1="ON",P680,IF(SUM(Q680:DL680)&lt;1,"",SUM(Q680:DL680)/COUNTIF(Q680:DL680,"&gt;0")))</f>
        <v>0</v>
      </c>
      <c r="P680" s="109">
        <f>SUMIFS(Q680:DK680,Q$1:DK$1,Dashboard!$K$31)</f>
        <v>0</v>
      </c>
      <c r="Q680" s="110">
        <v>83</v>
      </c>
      <c r="U680" s="95">
        <v>33</v>
      </c>
    </row>
    <row r="681" spans="1:34" ht="15.6" x14ac:dyDescent="0.3">
      <c r="A681" s="89" t="str">
        <f>CONCATENATE(D681,".",F681,"-",G681,".",H681,"")</f>
        <v>1.5-0.1</v>
      </c>
      <c r="B681" s="89" t="str">
        <f>IF(CONCATENATE(I681,Key!F$2)=CONCATENATE(INDEX(Dashboard!J:J,MATCH(I681,Dashboard!J:J,0),1),INDEX(Dashboard!J:K,MATCH(I681,Dashboard!J:J,0),2)),"ON",IF(Dashboard!K$32="ALL","ON","-"))</f>
        <v>-</v>
      </c>
      <c r="C681" s="96" t="s">
        <v>110</v>
      </c>
      <c r="D681" s="89">
        <f>IF(C681="ID",1,(IF(C681="PR",2,(IF(C681="DE",3,(IF(C681="RS",4,(IF(C681="RC",5,0)))))))))</f>
        <v>1</v>
      </c>
      <c r="E681" s="89" t="s">
        <v>143</v>
      </c>
      <c r="F681" s="89">
        <f>IF(E681="AM",1,(IF(E681="BE",2,(IF(E681="GV",3,(IF(E681="RA",4,(IF(E681="RM",5,(IF(E681="AC",1,(IF(E681="AT",2,(IF(E681="DS",3,(IF(E681="IP",4,(IF(E681="MA",5,(IF(E681="PT",6,(IF(E681="AE",1,(IF(E681="CM",2,(IF(E681="DP",3,(IF(E681="AN",1,(IF(E681="CO",2,(IF(E681="IM",3,(IF(E681="MI",4,(IF(E681="RP",5,(IF(E681="SC",6,0)))))))))))))))))))))))))))))))))))))))</f>
        <v>5</v>
      </c>
      <c r="G681" s="52">
        <v>0</v>
      </c>
      <c r="H681" s="90" t="s">
        <v>115</v>
      </c>
      <c r="I681" s="93" t="s">
        <v>2835</v>
      </c>
      <c r="J681" s="153" t="s">
        <v>2890</v>
      </c>
      <c r="K681" s="152" t="s">
        <v>2892</v>
      </c>
      <c r="L681" s="117">
        <f>IF(O681="","",N681*O681*M681)</f>
        <v>0</v>
      </c>
      <c r="M681" s="108">
        <v>1</v>
      </c>
      <c r="N681" s="95">
        <v>1</v>
      </c>
      <c r="O681" s="109">
        <f>IF(Key!D$1="ON",P681,IF(SUM(Q681:DL681)&lt;1,"",SUM(Q681:DL681)/COUNTIF(Q681:DL681,"&gt;0")))</f>
        <v>0</v>
      </c>
      <c r="P681" s="109">
        <f>SUMIFS(Q681:DK681,Q$1:DK$1,Dashboard!$K$31)</f>
        <v>0</v>
      </c>
      <c r="Q681" s="110">
        <v>83</v>
      </c>
      <c r="U681" s="95">
        <v>33</v>
      </c>
      <c r="AA681" s="95">
        <v>50</v>
      </c>
    </row>
    <row r="682" spans="1:34" ht="15.6" x14ac:dyDescent="0.3">
      <c r="A682" s="89" t="str">
        <f>CONCATENATE(D682,".",F682,"-",G682,".",H682,"")</f>
        <v>1.5-1.0</v>
      </c>
      <c r="B682" s="89" t="str">
        <f>IF(CONCATENATE(I682,Key!F$2)=CONCATENATE(INDEX(Dashboard!J:J,MATCH(I682,Dashboard!J:J,0),1),INDEX(Dashboard!J:K,MATCH(I682,Dashboard!J:J,0),2)),"ON",IF(Dashboard!K$32="ALL","ON","-"))</f>
        <v>-</v>
      </c>
      <c r="C682" s="96" t="s">
        <v>110</v>
      </c>
      <c r="D682" s="89">
        <f>IF(C682="ID",1,(IF(C682="PR",2,(IF(C682="DE",3,(IF(C682="RS",4,(IF(C682="RC",5,0)))))))))</f>
        <v>1</v>
      </c>
      <c r="E682" s="89" t="s">
        <v>143</v>
      </c>
      <c r="F682" s="89">
        <f>IF(E682="AM",1,(IF(E682="BE",2,(IF(E682="GV",3,(IF(E682="RA",4,(IF(E682="RM",5,(IF(E682="AC",1,(IF(E682="AT",2,(IF(E682="DS",3,(IF(E682="IP",4,(IF(E682="MA",5,(IF(E682="PT",6,(IF(E682="AE",1,(IF(E682="CM",2,(IF(E682="DP",3,(IF(E682="AN",1,(IF(E682="CO",2,(IF(E682="IM",3,(IF(E682="MI",4,(IF(E682="RP",5,(IF(E682="SC",6,0)))))))))))))))))))))))))))))))))))))))</f>
        <v>5</v>
      </c>
      <c r="G682" s="52">
        <v>1</v>
      </c>
      <c r="H682" s="90" t="s">
        <v>347</v>
      </c>
      <c r="I682" s="93" t="s">
        <v>2835</v>
      </c>
      <c r="J682" s="53" t="s">
        <v>2893</v>
      </c>
      <c r="K682" s="152" t="s">
        <v>2894</v>
      </c>
      <c r="L682" s="117">
        <f>IF(O682="","",N682*O682*M682)</f>
        <v>0</v>
      </c>
      <c r="M682" s="108">
        <v>1</v>
      </c>
      <c r="N682" s="95">
        <v>1</v>
      </c>
      <c r="O682" s="109">
        <f>IF(Key!D$1="ON",P682,IF(SUM(Q682:DL682)&lt;1,"",SUM(Q682:DL682)/COUNTIF(Q682:DL682,"&gt;0")))</f>
        <v>0</v>
      </c>
      <c r="P682" s="109">
        <f>SUMIFS(Q682:DK682,Q$1:DK$1,Dashboard!$K$31)</f>
        <v>0</v>
      </c>
      <c r="U682" s="95">
        <v>33</v>
      </c>
    </row>
    <row r="683" spans="1:34" ht="15.6" x14ac:dyDescent="0.3">
      <c r="A683" s="89" t="str">
        <f>CONCATENATE(D683,".",F683,"-",G683,".",H683,"")</f>
        <v>1.5-1.1</v>
      </c>
      <c r="B683" s="89" t="str">
        <f>IF(CONCATENATE(I683,Key!F$2)=CONCATENATE(INDEX(Dashboard!J:J,MATCH(I683,Dashboard!J:J,0),1),INDEX(Dashboard!J:K,MATCH(I683,Dashboard!J:J,0),2)),"ON",IF(Dashboard!K$32="ALL","ON","-"))</f>
        <v>ON</v>
      </c>
      <c r="C683" s="130" t="s">
        <v>110</v>
      </c>
      <c r="D683" s="89">
        <f>IF(C683="ID",1,(IF(C683="PR",2,(IF(C683="DE",3,(IF(C683="RS",4,(IF(C683="RC",5,0)))))))))</f>
        <v>1</v>
      </c>
      <c r="E683" s="95" t="s">
        <v>143</v>
      </c>
      <c r="F683" s="89">
        <f>IF(E683="AM",1,(IF(E683="BE",2,(IF(E683="GV",3,(IF(E683="RA",4,(IF(E683="RM",5,(IF(E683="AC",1,(IF(E683="AT",2,(IF(E683="DS",3,(IF(E683="IP",4,(IF(E683="MA",5,(IF(E683="PT",6,(IF(E683="AE",1,(IF(E683="CM",2,(IF(E683="DP",3,(IF(E683="AN",1,(IF(E683="CO",2,(IF(E683="IM",3,(IF(E683="MI",4,(IF(E683="RP",5,(IF(E683="SC",6,0)))))))))))))))))))))))))))))))))))))))</f>
        <v>5</v>
      </c>
      <c r="G683" s="52">
        <v>1</v>
      </c>
      <c r="H683" s="90" t="s">
        <v>115</v>
      </c>
      <c r="I683" s="93" t="s">
        <v>4107</v>
      </c>
      <c r="J683" s="86" t="s">
        <v>4061</v>
      </c>
      <c r="K683" s="101" t="s">
        <v>4467</v>
      </c>
      <c r="L683" s="117">
        <f>IF(O683="","",N683*O683*M683)</f>
        <v>0</v>
      </c>
      <c r="M683" s="108">
        <v>1</v>
      </c>
      <c r="N683" s="95">
        <v>1</v>
      </c>
      <c r="O683" s="109">
        <f>IF(Key!D$1="ON",P683,IF(SUM(Q683:DL683)&lt;1,"",SUM(Q683:DL683)/COUNTIF(Q683:DL683,"&gt;0")))</f>
        <v>0</v>
      </c>
      <c r="P683" s="109">
        <f>SUMIFS(Q683:DK683,Q$1:DK$1,Dashboard!$K$31)</f>
        <v>0</v>
      </c>
      <c r="U683" s="95">
        <v>33</v>
      </c>
      <c r="AA683" s="95">
        <v>25</v>
      </c>
      <c r="AH683" s="95">
        <v>75</v>
      </c>
    </row>
    <row r="684" spans="1:34" ht="15.6" x14ac:dyDescent="0.3">
      <c r="A684" s="89" t="str">
        <f>CONCATENATE(D684,".",F684,"-",G684,".",H684,"")</f>
        <v>1.5-1.1</v>
      </c>
      <c r="B684" s="89" t="str">
        <f>IF(CONCATENATE(I684,Key!F$2)=CONCATENATE(INDEX(Dashboard!J:J,MATCH(I684,Dashboard!J:J,0),1),INDEX(Dashboard!J:K,MATCH(I684,Dashboard!J:J,0),2)),"ON",IF(Dashboard!K$32="ALL","ON","-"))</f>
        <v>ON</v>
      </c>
      <c r="C684" s="96" t="s">
        <v>110</v>
      </c>
      <c r="D684" s="89">
        <f>IF(C684="ID",1,(IF(C684="PR",2,(IF(C684="DE",3,(IF(C684="RS",4,(IF(C684="RC",5,0)))))))))</f>
        <v>1</v>
      </c>
      <c r="E684" s="89" t="s">
        <v>143</v>
      </c>
      <c r="F684" s="89">
        <f>IF(E684="AM",1,(IF(E684="BE",2,(IF(E684="GV",3,(IF(E684="RA",4,(IF(E684="RM",5,(IF(E684="AC",1,(IF(E684="AT",2,(IF(E684="DS",3,(IF(E684="IP",4,(IF(E684="MA",5,(IF(E684="PT",6,(IF(E684="AE",1,(IF(E684="CM",2,(IF(E684="DP",3,(IF(E684="AN",1,(IF(E684="CO",2,(IF(E684="IM",3,(IF(E684="MI",4,(IF(E684="RP",5,(IF(E684="SC",6,0)))))))))))))))))))))))))))))))))))))))</f>
        <v>5</v>
      </c>
      <c r="G684" s="98">
        <v>1</v>
      </c>
      <c r="H684" s="90" t="s">
        <v>115</v>
      </c>
      <c r="I684" s="93" t="s">
        <v>4107</v>
      </c>
      <c r="J684" s="86" t="s">
        <v>4039</v>
      </c>
      <c r="K684" s="101" t="s">
        <v>4393</v>
      </c>
      <c r="L684" s="117">
        <f>IF(O684="","",N684*O684*M684)</f>
        <v>0</v>
      </c>
      <c r="M684" s="108">
        <v>1</v>
      </c>
      <c r="N684" s="95">
        <v>1</v>
      </c>
      <c r="O684" s="109">
        <f>IF(Key!D$1="ON",P684,IF(SUM(Q684:DL684)&lt;1,"",SUM(Q684:DL684)/COUNTIF(Q684:DL684,"&gt;0")))</f>
        <v>0</v>
      </c>
      <c r="P684" s="109">
        <f>SUMIFS(Q684:DK684,Q$1:DK$1,Dashboard!$K$31)</f>
        <v>0</v>
      </c>
      <c r="U684" s="95">
        <v>33</v>
      </c>
      <c r="AA684" s="95">
        <v>25</v>
      </c>
      <c r="AH684" s="95">
        <v>75</v>
      </c>
    </row>
    <row r="685" spans="1:34" ht="15.6" x14ac:dyDescent="0.3">
      <c r="A685" s="89" t="str">
        <f>CONCATENATE(D685,".",F685,"-",G685,".",H685,"")</f>
        <v>1.5-1.1</v>
      </c>
      <c r="B685" s="89" t="str">
        <f>IF(CONCATENATE(I685,Key!F$2)=CONCATENATE(INDEX(Dashboard!J:J,MATCH(I685,Dashboard!J:J,0),1),INDEX(Dashboard!J:K,MATCH(I685,Dashboard!J:J,0),2)),"ON",IF(Dashboard!K$32="ALL","ON","-"))</f>
        <v>ON</v>
      </c>
      <c r="C685" s="130" t="s">
        <v>110</v>
      </c>
      <c r="D685" s="89">
        <f>IF(C685="ID",1,(IF(C685="PR",2,(IF(C685="DE",3,(IF(C685="RS",4,(IF(C685="RC",5,0)))))))))</f>
        <v>1</v>
      </c>
      <c r="E685" s="95" t="s">
        <v>143</v>
      </c>
      <c r="F685" s="89">
        <f>IF(E685="AM",1,(IF(E685="BE",2,(IF(E685="GV",3,(IF(E685="RA",4,(IF(E685="RM",5,(IF(E685="AC",1,(IF(E685="AT",2,(IF(E685="DS",3,(IF(E685="IP",4,(IF(E685="MA",5,(IF(E685="PT",6,(IF(E685="AE",1,(IF(E685="CM",2,(IF(E685="DP",3,(IF(E685="AN",1,(IF(E685="CO",2,(IF(E685="IM",3,(IF(E685="MI",4,(IF(E685="RP",5,(IF(E685="SC",6,0)))))))))))))))))))))))))))))))))))))))</f>
        <v>5</v>
      </c>
      <c r="G685" s="52">
        <v>1</v>
      </c>
      <c r="H685" s="90" t="s">
        <v>115</v>
      </c>
      <c r="I685" s="93" t="s">
        <v>4107</v>
      </c>
      <c r="J685" s="86" t="s">
        <v>4048</v>
      </c>
      <c r="K685" s="101" t="s">
        <v>4397</v>
      </c>
      <c r="L685" s="117">
        <f>IF(O685="","",N685*O685*M685)</f>
        <v>0</v>
      </c>
      <c r="M685" s="108">
        <v>1</v>
      </c>
      <c r="N685" s="95">
        <v>1</v>
      </c>
      <c r="O685" s="109">
        <f>IF(Key!D$1="ON",P685,IF(SUM(Q685:DL685)&lt;1,"",SUM(Q685:DL685)/COUNTIF(Q685:DL685,"&gt;0")))</f>
        <v>0</v>
      </c>
      <c r="P685" s="109">
        <f>SUMIFS(Q685:DK685,Q$1:DK$1,Dashboard!$K$31)</f>
        <v>0</v>
      </c>
      <c r="U685" s="95">
        <v>33</v>
      </c>
      <c r="AA685" s="95">
        <v>25</v>
      </c>
      <c r="AH685" s="95">
        <v>75</v>
      </c>
    </row>
    <row r="686" spans="1:34" ht="15.6" x14ac:dyDescent="0.3">
      <c r="A686" s="89" t="str">
        <f>CONCATENATE(D686,".",F686,"-",G686,".",H686,"")</f>
        <v>1.5-1.1</v>
      </c>
      <c r="B686" s="89" t="str">
        <f>IF(CONCATENATE(I686,Key!F$2)=CONCATENATE(INDEX(Dashboard!J:J,MATCH(I686,Dashboard!J:J,0),1),INDEX(Dashboard!J:K,MATCH(I686,Dashboard!J:J,0),2)),"ON",IF(Dashboard!K$32="ALL","ON","-"))</f>
        <v>-</v>
      </c>
      <c r="C686" s="96" t="s">
        <v>110</v>
      </c>
      <c r="D686" s="89">
        <f>IF(C686="ID",1,(IF(C686="PR",2,(IF(C686="DE",3,(IF(C686="RS",4,(IF(C686="RC",5,0)))))))))</f>
        <v>1</v>
      </c>
      <c r="E686" s="89" t="s">
        <v>143</v>
      </c>
      <c r="F686" s="89">
        <f>IF(E686="AM",1,(IF(E686="BE",2,(IF(E686="GV",3,(IF(E686="RA",4,(IF(E686="RM",5,(IF(E686="AC",1,(IF(E686="AT",2,(IF(E686="DS",3,(IF(E686="IP",4,(IF(E686="MA",5,(IF(E686="PT",6,(IF(E686="AE",1,(IF(E686="CM",2,(IF(E686="DP",3,(IF(E686="AN",1,(IF(E686="CO",2,(IF(E686="IM",3,(IF(E686="MI",4,(IF(E686="RP",5,(IF(E686="SC",6,0)))))))))))))))))))))))))))))))))))))))</f>
        <v>5</v>
      </c>
      <c r="G686" s="98">
        <v>1</v>
      </c>
      <c r="H686" s="90" t="s">
        <v>115</v>
      </c>
      <c r="I686" s="93" t="s">
        <v>52</v>
      </c>
      <c r="J686" s="88" t="s">
        <v>3333</v>
      </c>
      <c r="K686" s="103" t="s">
        <v>3334</v>
      </c>
      <c r="L686" s="117">
        <f>IF(O686="","",N686*O686*M686)</f>
        <v>0</v>
      </c>
      <c r="M686" s="108">
        <v>1</v>
      </c>
      <c r="N686" s="95">
        <v>1</v>
      </c>
      <c r="O686" s="109">
        <f>IF(Key!D$1="ON",P686,IF(SUM(Q686:DL686)&lt;1,"",SUM(Q686:DL686)/COUNTIF(Q686:DL686,"&gt;0")))</f>
        <v>0</v>
      </c>
      <c r="P686" s="109">
        <f>SUMIFS(Q686:DK686,Q$1:DK$1,Dashboard!$K$31)</f>
        <v>0</v>
      </c>
      <c r="U686" s="95">
        <v>33</v>
      </c>
      <c r="AA686" s="95">
        <v>25</v>
      </c>
      <c r="AH686" s="95">
        <v>75</v>
      </c>
    </row>
    <row r="687" spans="1:34" ht="15.6" x14ac:dyDescent="0.3">
      <c r="A687" s="89" t="str">
        <f>CONCATENATE(D687,".",F687,"-",G687,".",H687,"")</f>
        <v>1.5-1.1</v>
      </c>
      <c r="B687" s="89" t="str">
        <f>IF(CONCATENATE(I687,Key!F$2)=CONCATENATE(INDEX(Dashboard!J:J,MATCH(I687,Dashboard!J:J,0),1),INDEX(Dashboard!J:K,MATCH(I687,Dashboard!J:J,0),2)),"ON",IF(Dashboard!K$32="ALL","ON","-"))</f>
        <v>-</v>
      </c>
      <c r="C687" s="88" t="s">
        <v>110</v>
      </c>
      <c r="D687" s="89">
        <f>IF(C687="ID",1,(IF(C687="PR",2,(IF(C687="DE",3,(IF(C687="RS",4,(IF(C687="RC",5,0)))))))))</f>
        <v>1</v>
      </c>
      <c r="E687" s="89" t="s">
        <v>143</v>
      </c>
      <c r="F687" s="89">
        <f>IF(E687="AM",1,(IF(E687="BE",2,(IF(E687="GV",3,(IF(E687="RA",4,(IF(E687="RM",5,(IF(E687="AC",1,(IF(E687="AT",2,(IF(E687="DS",3,(IF(E687="IP",4,(IF(E687="MA",5,(IF(E687="PT",6,(IF(E687="AE",1,(IF(E687="CM",2,(IF(E687="DP",3,(IF(E687="AN",1,(IF(E687="CO",2,(IF(E687="IM",3,(IF(E687="MI",4,(IF(E687="RP",5,(IF(E687="SC",6,0)))))))))))))))))))))))))))))))))))))))</f>
        <v>5</v>
      </c>
      <c r="G687" s="52">
        <v>1</v>
      </c>
      <c r="H687" s="89">
        <v>1</v>
      </c>
      <c r="I687" s="93" t="s">
        <v>60</v>
      </c>
      <c r="J687" s="88" t="s">
        <v>3158</v>
      </c>
      <c r="K687" s="51" t="s">
        <v>5271</v>
      </c>
      <c r="L687" s="117">
        <f>IF(O687="","",N687*O687*M687)</f>
        <v>0</v>
      </c>
      <c r="M687" s="108">
        <v>1</v>
      </c>
      <c r="N687" s="95">
        <v>1</v>
      </c>
      <c r="O687" s="109">
        <f>IF(Key!D$1="ON",P687,IF(SUM(Q687:DL687)&lt;1,"",SUM(Q687:DL687)/COUNTIF(Q687:DL687,"&gt;0")))</f>
        <v>0</v>
      </c>
      <c r="P687" s="109">
        <f>SUMIFS(Q687:DK687,Q$1:DK$1,Dashboard!$K$31)</f>
        <v>0</v>
      </c>
      <c r="U687" s="95">
        <v>33</v>
      </c>
      <c r="AA687" s="95">
        <v>25</v>
      </c>
      <c r="AH687" s="95">
        <v>75</v>
      </c>
    </row>
    <row r="688" spans="1:34" ht="15.6" x14ac:dyDescent="0.3">
      <c r="A688" s="89" t="str">
        <f>CONCATENATE(D688,".",F688,"-",G688,".",H688,"")</f>
        <v>1.5-1.1</v>
      </c>
      <c r="B688" s="89" t="str">
        <f>IF(CONCATENATE(I688,Key!F$2)=CONCATENATE(INDEX(Dashboard!J:J,MATCH(I688,Dashboard!J:J,0),1),INDEX(Dashboard!J:K,MATCH(I688,Dashboard!J:J,0),2)),"ON",IF(Dashboard!K$32="ALL","ON","-"))</f>
        <v>-</v>
      </c>
      <c r="C688" s="88" t="s">
        <v>110</v>
      </c>
      <c r="D688" s="89">
        <f>IF(C688="ID",1,(IF(C688="PR",2,(IF(C688="DE",3,(IF(C688="RS",4,(IF(C688="RC",5,0)))))))))</f>
        <v>1</v>
      </c>
      <c r="E688" s="89" t="s">
        <v>143</v>
      </c>
      <c r="F688" s="89">
        <f>IF(E688="AM",1,(IF(E688="BE",2,(IF(E688="GV",3,(IF(E688="RA",4,(IF(E688="RM",5,(IF(E688="AC",1,(IF(E688="AT",2,(IF(E688="DS",3,(IF(E688="IP",4,(IF(E688="MA",5,(IF(E688="PT",6,(IF(E688="AE",1,(IF(E688="CM",2,(IF(E688="DP",3,(IF(E688="AN",1,(IF(E688="CO",2,(IF(E688="IM",3,(IF(E688="MI",4,(IF(E688="RP",5,(IF(E688="SC",6,0)))))))))))))))))))))))))))))))))))))))</f>
        <v>5</v>
      </c>
      <c r="G688" s="52">
        <v>1</v>
      </c>
      <c r="H688" s="90" t="s">
        <v>115</v>
      </c>
      <c r="I688" s="93" t="s">
        <v>60</v>
      </c>
      <c r="J688" s="87" t="s">
        <v>3133</v>
      </c>
      <c r="K688" s="51" t="s">
        <v>5246</v>
      </c>
      <c r="L688" s="117">
        <f>IF(O688="","",N688*O688*M688)</f>
        <v>0</v>
      </c>
      <c r="M688" s="108">
        <v>1</v>
      </c>
      <c r="N688" s="95">
        <v>1</v>
      </c>
      <c r="O688" s="109">
        <f>IF(Key!D$1="ON",P688,IF(SUM(Q688:DL688)&lt;1,"",SUM(Q688:DL688)/COUNTIF(Q688:DL688,"&gt;0")))</f>
        <v>0</v>
      </c>
      <c r="P688" s="109">
        <f>SUMIFS(Q688:DK688,Q$1:DK$1,Dashboard!$K$31)</f>
        <v>0</v>
      </c>
      <c r="U688" s="95">
        <v>33</v>
      </c>
      <c r="AA688" s="95">
        <v>25</v>
      </c>
      <c r="AH688" s="95">
        <v>75</v>
      </c>
    </row>
    <row r="689" spans="1:34" ht="15.6" x14ac:dyDescent="0.3">
      <c r="A689" s="89" t="str">
        <f>CONCATENATE(D689,".",F689,"-",G689,".",H689,"")</f>
        <v>1.5-1.1</v>
      </c>
      <c r="B689" s="89" t="str">
        <f>IF(CONCATENATE(I689,Key!F$2)=CONCATENATE(INDEX(Dashboard!J:J,MATCH(I689,Dashboard!J:J,0),1),INDEX(Dashboard!J:K,MATCH(I689,Dashboard!J:J,0),2)),"ON",IF(Dashboard!K$32="ALL","ON","-"))</f>
        <v>-</v>
      </c>
      <c r="C689" s="88" t="s">
        <v>110</v>
      </c>
      <c r="D689" s="89">
        <f>IF(C689="ID",1,(IF(C689="PR",2,(IF(C689="DE",3,(IF(C689="RS",4,(IF(C689="RC",5,0)))))))))</f>
        <v>1</v>
      </c>
      <c r="E689" s="89" t="s">
        <v>143</v>
      </c>
      <c r="F689" s="89">
        <f>IF(E689="AM",1,(IF(E689="BE",2,(IF(E689="GV",3,(IF(E689="RA",4,(IF(E689="RM",5,(IF(E689="AC",1,(IF(E689="AT",2,(IF(E689="DS",3,(IF(E689="IP",4,(IF(E689="MA",5,(IF(E689="PT",6,(IF(E689="AE",1,(IF(E689="CM",2,(IF(E689="DP",3,(IF(E689="AN",1,(IF(E689="CO",2,(IF(E689="IM",3,(IF(E689="MI",4,(IF(E689="RP",5,(IF(E689="SC",6,0)))))))))))))))))))))))))))))))))))))))</f>
        <v>5</v>
      </c>
      <c r="G689" s="52">
        <v>1</v>
      </c>
      <c r="H689" s="89">
        <v>1</v>
      </c>
      <c r="I689" s="93" t="s">
        <v>85</v>
      </c>
      <c r="J689" s="86" t="s">
        <v>732</v>
      </c>
      <c r="K689" s="119" t="s">
        <v>733</v>
      </c>
      <c r="L689" s="117">
        <f>IF(O689="","",N689*O689*M689)</f>
        <v>0</v>
      </c>
      <c r="M689" s="108">
        <v>1</v>
      </c>
      <c r="N689" s="95">
        <v>1</v>
      </c>
      <c r="O689" s="109">
        <f>IF(Key!D$1="ON",P689,IF(SUM(Q689:DL689)&lt;1,"",SUM(Q689:DL689)/COUNTIF(Q689:DL689,"&gt;0")))</f>
        <v>0</v>
      </c>
      <c r="P689" s="109">
        <f>SUMIFS(Q689:DK689,Q$1:DK$1,Dashboard!$K$31)</f>
        <v>0</v>
      </c>
      <c r="U689" s="95">
        <v>33</v>
      </c>
      <c r="AA689" s="95">
        <v>25</v>
      </c>
      <c r="AH689" s="95">
        <v>75</v>
      </c>
    </row>
    <row r="690" spans="1:34" ht="15.6" x14ac:dyDescent="0.3">
      <c r="A690" s="89" t="str">
        <f>CONCATENATE(D690,".",F690,"-",G690,".",H690,"")</f>
        <v>1.5-1.1</v>
      </c>
      <c r="B690" s="89" t="str">
        <f>IF(CONCATENATE(I690,Key!F$2)=CONCATENATE(INDEX(Dashboard!J:J,MATCH(I690,Dashboard!J:J,0),1),INDEX(Dashboard!J:K,MATCH(I690,Dashboard!J:J,0),2)),"ON",IF(Dashboard!K$32="ALL","ON","-"))</f>
        <v>-</v>
      </c>
      <c r="C690" s="96" t="s">
        <v>110</v>
      </c>
      <c r="D690" s="89">
        <f>IF(C690="ID",1,(IF(C690="PR",2,(IF(C690="DE",3,(IF(C690="RS",4,(IF(C690="RC",5,0)))))))))</f>
        <v>1</v>
      </c>
      <c r="E690" s="89" t="s">
        <v>143</v>
      </c>
      <c r="F690" s="89">
        <f>IF(E690="AM",1,(IF(E690="BE",2,(IF(E690="GV",3,(IF(E690="RA",4,(IF(E690="RM",5,(IF(E690="AC",1,(IF(E690="AT",2,(IF(E690="DS",3,(IF(E690="IP",4,(IF(E690="MA",5,(IF(E690="PT",6,(IF(E690="AE",1,(IF(E690="CM",2,(IF(E690="DP",3,(IF(E690="AN",1,(IF(E690="CO",2,(IF(E690="IM",3,(IF(E690="MI",4,(IF(E690="RP",5,(IF(E690="SC",6,0)))))))))))))))))))))))))))))))))))))))</f>
        <v>5</v>
      </c>
      <c r="G690" s="52">
        <v>1</v>
      </c>
      <c r="H690" s="90" t="s">
        <v>115</v>
      </c>
      <c r="I690" s="93" t="s">
        <v>89</v>
      </c>
      <c r="J690" s="88" t="s">
        <v>448</v>
      </c>
      <c r="K690" s="102" t="s">
        <v>449</v>
      </c>
      <c r="L690" s="117">
        <f>IF(O690="","",N690*O690*M690)</f>
        <v>0</v>
      </c>
      <c r="M690" s="108">
        <v>1</v>
      </c>
      <c r="N690" s="95">
        <v>1</v>
      </c>
      <c r="O690" s="109">
        <f>IF(Key!D$1="ON",P690,IF(SUM(Q690:DL690)&lt;1,"",SUM(Q690:DL690)/COUNTIF(Q690:DL690,"&gt;0")))</f>
        <v>0</v>
      </c>
      <c r="P690" s="109">
        <f>SUMIFS(Q690:DK690,Q$1:DK$1,Dashboard!$K$31)</f>
        <v>0</v>
      </c>
      <c r="U690" s="95">
        <v>33</v>
      </c>
      <c r="AA690" s="95">
        <v>25</v>
      </c>
      <c r="AH690" s="95">
        <v>75</v>
      </c>
    </row>
    <row r="691" spans="1:34" ht="15.6" x14ac:dyDescent="0.3">
      <c r="A691" s="89" t="str">
        <f>CONCATENATE(D691,".",F691,"-",G691,".",H691,"")</f>
        <v>1.5-1.1</v>
      </c>
      <c r="B691" s="89" t="str">
        <f>IF(CONCATENATE(I691,Key!F$2)=CONCATENATE(INDEX(Dashboard!J:J,MATCH(I691,Dashboard!J:J,0),1),INDEX(Dashboard!J:K,MATCH(I691,Dashboard!J:J,0),2)),"ON",IF(Dashboard!K$32="ALL","ON","-"))</f>
        <v>-</v>
      </c>
      <c r="C691" s="96" t="s">
        <v>110</v>
      </c>
      <c r="D691" s="89">
        <f>IF(C691="ID",1,(IF(C691="PR",2,(IF(C691="DE",3,(IF(C691="RS",4,(IF(C691="RC",5,0)))))))))</f>
        <v>1</v>
      </c>
      <c r="E691" s="89" t="s">
        <v>143</v>
      </c>
      <c r="F691" s="89">
        <f>IF(E691="AM",1,(IF(E691="BE",2,(IF(E691="GV",3,(IF(E691="RA",4,(IF(E691="RM",5,(IF(E691="AC",1,(IF(E691="AT",2,(IF(E691="DS",3,(IF(E691="IP",4,(IF(E691="MA",5,(IF(E691="PT",6,(IF(E691="AE",1,(IF(E691="CM",2,(IF(E691="DP",3,(IF(E691="AN",1,(IF(E691="CO",2,(IF(E691="IM",3,(IF(E691="MI",4,(IF(E691="RP",5,(IF(E691="SC",6,0)))))))))))))))))))))))))))))))))))))))</f>
        <v>5</v>
      </c>
      <c r="G691" s="52">
        <v>1</v>
      </c>
      <c r="H691" s="90" t="s">
        <v>115</v>
      </c>
      <c r="I691" s="93" t="s">
        <v>89</v>
      </c>
      <c r="J691" s="88" t="s">
        <v>450</v>
      </c>
      <c r="K691" s="102" t="s">
        <v>451</v>
      </c>
      <c r="L691" s="117">
        <f>IF(O691="","",N691*O691*M691)</f>
        <v>0</v>
      </c>
      <c r="M691" s="108">
        <v>1</v>
      </c>
      <c r="N691" s="95">
        <v>1</v>
      </c>
      <c r="O691" s="109">
        <f>IF(Key!D$1="ON",P691,IF(SUM(Q691:DL691)&lt;1,"",SUM(Q691:DL691)/COUNTIF(Q691:DL691,"&gt;0")))</f>
        <v>0</v>
      </c>
      <c r="P691" s="109">
        <f>SUMIFS(Q691:DK691,Q$1:DK$1,Dashboard!$K$31)</f>
        <v>0</v>
      </c>
      <c r="U691" s="95">
        <v>33</v>
      </c>
      <c r="AA691" s="95">
        <v>25</v>
      </c>
      <c r="AH691" s="95">
        <v>75</v>
      </c>
    </row>
    <row r="692" spans="1:34" ht="15.6" x14ac:dyDescent="0.3">
      <c r="A692" s="89" t="str">
        <f>CONCATENATE(D692,".",F692,"-",G692,".",H692,"")</f>
        <v>1.5-1.1</v>
      </c>
      <c r="B692" s="89" t="str">
        <f>IF(CONCATENATE(I692,Key!F$2)=CONCATENATE(INDEX(Dashboard!J:J,MATCH(I692,Dashboard!J:J,0),1),INDEX(Dashboard!J:K,MATCH(I692,Dashboard!J:J,0),2)),"ON",IF(Dashboard!K$32="ALL","ON","-"))</f>
        <v>-</v>
      </c>
      <c r="C692" s="96" t="s">
        <v>110</v>
      </c>
      <c r="D692" s="89">
        <f>IF(C692="ID",1,(IF(C692="PR",2,(IF(C692="DE",3,(IF(C692="RS",4,(IF(C692="RC",5,0)))))))))</f>
        <v>1</v>
      </c>
      <c r="E692" s="89" t="s">
        <v>143</v>
      </c>
      <c r="F692" s="89">
        <f>IF(E692="AM",1,(IF(E692="BE",2,(IF(E692="GV",3,(IF(E692="RA",4,(IF(E692="RM",5,(IF(E692="AC",1,(IF(E692="AT",2,(IF(E692="DS",3,(IF(E692="IP",4,(IF(E692="MA",5,(IF(E692="PT",6,(IF(E692="AE",1,(IF(E692="CM",2,(IF(E692="DP",3,(IF(E692="AN",1,(IF(E692="CO",2,(IF(E692="IM",3,(IF(E692="MI",4,(IF(E692="RP",5,(IF(E692="SC",6,0)))))))))))))))))))))))))))))))))))))))</f>
        <v>5</v>
      </c>
      <c r="G692" s="52">
        <v>1</v>
      </c>
      <c r="H692" s="90" t="s">
        <v>115</v>
      </c>
      <c r="I692" s="93" t="s">
        <v>89</v>
      </c>
      <c r="J692" s="88" t="s">
        <v>452</v>
      </c>
      <c r="K692" s="102" t="s">
        <v>453</v>
      </c>
      <c r="L692" s="117">
        <f>IF(O692="","",N692*O692*M692)</f>
        <v>0</v>
      </c>
      <c r="M692" s="108">
        <v>1</v>
      </c>
      <c r="N692" s="95">
        <v>1</v>
      </c>
      <c r="O692" s="109">
        <f>IF(Key!D$1="ON",P692,IF(SUM(Q692:DL692)&lt;1,"",SUM(Q692:DL692)/COUNTIF(Q692:DL692,"&gt;0")))</f>
        <v>0</v>
      </c>
      <c r="P692" s="109">
        <f>SUMIFS(Q692:DK692,Q$1:DK$1,Dashboard!$K$31)</f>
        <v>0</v>
      </c>
      <c r="U692" s="95">
        <v>33</v>
      </c>
      <c r="AA692" s="95">
        <v>25</v>
      </c>
      <c r="AH692" s="95">
        <v>75</v>
      </c>
    </row>
    <row r="693" spans="1:34" x14ac:dyDescent="0.3">
      <c r="A693" s="89" t="str">
        <f>CONCATENATE(D693,".",F693,"-",G693,".",H693,"")</f>
        <v>1.5-1.1</v>
      </c>
      <c r="B693" s="89" t="str">
        <f>IF(CONCATENATE(I693,Key!F$2)=CONCATENATE(INDEX(Dashboard!J:J,MATCH(I693,Dashboard!J:J,0),1),INDEX(Dashboard!J:K,MATCH(I693,Dashboard!J:J,0),2)),"ON",IF(Dashboard!K$32="ALL","ON","-"))</f>
        <v>-</v>
      </c>
      <c r="C693" s="96" t="s">
        <v>110</v>
      </c>
      <c r="D693" s="89">
        <f>IF(C693="ID",1,(IF(C693="PR",2,(IF(C693="DE",3,(IF(C693="RS",4,(IF(C693="RC",5,0)))))))))</f>
        <v>1</v>
      </c>
      <c r="E693" s="89" t="s">
        <v>143</v>
      </c>
      <c r="F693" s="89">
        <f>IF(E693="AM",1,(IF(E693="BE",2,(IF(E693="GV",3,(IF(E693="RA",4,(IF(E693="RM",5,(IF(E693="AC",1,(IF(E693="AT",2,(IF(E693="DS",3,(IF(E693="IP",4,(IF(E693="MA",5,(IF(E693="PT",6,(IF(E693="AE",1,(IF(E693="CM",2,(IF(E693="DP",3,(IF(E693="AN",1,(IF(E693="CO",2,(IF(E693="IM",3,(IF(E693="MI",4,(IF(E693="RP",5,(IF(E693="SC",6,0)))))))))))))))))))))))))))))))))))))))</f>
        <v>5</v>
      </c>
      <c r="G693" s="52">
        <v>1</v>
      </c>
      <c r="H693" s="90" t="s">
        <v>115</v>
      </c>
      <c r="I693" s="93" t="s">
        <v>89</v>
      </c>
      <c r="J693" s="88" t="s">
        <v>454</v>
      </c>
      <c r="K693" s="102" t="s">
        <v>455</v>
      </c>
      <c r="L693" s="117">
        <f>IF(O693="","",N693*O693*M693)</f>
        <v>0</v>
      </c>
      <c r="M693" s="108">
        <v>1</v>
      </c>
      <c r="N693" s="95">
        <v>1</v>
      </c>
      <c r="O693" s="109">
        <f>IF(Key!D$1="ON",P693,IF(SUM(Q693:DL693)&lt;1,"",SUM(Q693:DL693)/COUNTIF(Q693:DL693,"&gt;0")))</f>
        <v>0</v>
      </c>
      <c r="P693" s="109">
        <f>SUMIFS(Q693:DK693,Q$1:DK$1,Dashboard!$K$31)</f>
        <v>0</v>
      </c>
      <c r="U693" s="95">
        <v>33</v>
      </c>
      <c r="AA693" s="95">
        <v>25</v>
      </c>
      <c r="AH693" s="95">
        <v>75</v>
      </c>
    </row>
    <row r="694" spans="1:34" ht="15.6" x14ac:dyDescent="0.3">
      <c r="A694" s="89" t="str">
        <f>CONCATENATE(D694,".",F694,"-",G694,".",H694,"")</f>
        <v>1.5-1.1</v>
      </c>
      <c r="B694" s="89" t="str">
        <f>IF(CONCATENATE(I694,Key!F$2)=CONCATENATE(INDEX(Dashboard!J:J,MATCH(I694,Dashboard!J:J,0),1),INDEX(Dashboard!J:K,MATCH(I694,Dashboard!J:J,0),2)),"ON",IF(Dashboard!K$32="ALL","ON","-"))</f>
        <v>-</v>
      </c>
      <c r="C694" s="96" t="s">
        <v>110</v>
      </c>
      <c r="D694" s="89">
        <f>IF(C694="ID",1,(IF(C694="PR",2,(IF(C694="DE",3,(IF(C694="RS",4,(IF(C694="RC",5,0)))))))))</f>
        <v>1</v>
      </c>
      <c r="E694" s="89" t="s">
        <v>143</v>
      </c>
      <c r="F694" s="89">
        <f>IF(E694="AM",1,(IF(E694="BE",2,(IF(E694="GV",3,(IF(E694="RA",4,(IF(E694="RM",5,(IF(E694="AC",1,(IF(E694="AT",2,(IF(E694="DS",3,(IF(E694="IP",4,(IF(E694="MA",5,(IF(E694="PT",6,(IF(E694="AE",1,(IF(E694="CM",2,(IF(E694="DP",3,(IF(E694="AN",1,(IF(E694="CO",2,(IF(E694="IM",3,(IF(E694="MI",4,(IF(E694="RP",5,(IF(E694="SC",6,0)))))))))))))))))))))))))))))))))))))))</f>
        <v>5</v>
      </c>
      <c r="G694" s="52">
        <v>1</v>
      </c>
      <c r="H694" s="90" t="s">
        <v>115</v>
      </c>
      <c r="I694" s="93" t="s">
        <v>89</v>
      </c>
      <c r="J694" s="88" t="s">
        <v>456</v>
      </c>
      <c r="K694" s="102" t="s">
        <v>457</v>
      </c>
      <c r="L694" s="117">
        <f>IF(O694="","",N694*O694*M694)</f>
        <v>0</v>
      </c>
      <c r="M694" s="108">
        <v>1</v>
      </c>
      <c r="N694" s="95">
        <v>1</v>
      </c>
      <c r="O694" s="109">
        <f>IF(Key!D$1="ON",P694,IF(SUM(Q694:DL694)&lt;1,"",SUM(Q694:DL694)/COUNTIF(Q694:DL694,"&gt;0")))</f>
        <v>0</v>
      </c>
      <c r="P694" s="109">
        <f>SUMIFS(Q694:DK694,Q$1:DK$1,Dashboard!$K$31)</f>
        <v>0</v>
      </c>
      <c r="U694" s="95">
        <v>33</v>
      </c>
      <c r="AA694" s="95">
        <v>25</v>
      </c>
      <c r="AH694" s="95">
        <v>75</v>
      </c>
    </row>
    <row r="695" spans="1:34" x14ac:dyDescent="0.3">
      <c r="A695" s="89" t="str">
        <f>CONCATENATE(D695,".",F695,"-",G695,".",H695,"")</f>
        <v>1.5-1.1</v>
      </c>
      <c r="B695" s="89" t="str">
        <f>IF(CONCATENATE(I695,Key!F$2)=CONCATENATE(INDEX(Dashboard!J:J,MATCH(I695,Dashboard!J:J,0),1),INDEX(Dashboard!J:K,MATCH(I695,Dashboard!J:J,0),2)),"ON",IF(Dashboard!K$32="ALL","ON","-"))</f>
        <v>-</v>
      </c>
      <c r="C695" s="96" t="s">
        <v>110</v>
      </c>
      <c r="D695" s="89">
        <f>IF(C695="ID",1,(IF(C695="PR",2,(IF(C695="DE",3,(IF(C695="RS",4,(IF(C695="RC",5,0)))))))))</f>
        <v>1</v>
      </c>
      <c r="E695" s="89" t="s">
        <v>143</v>
      </c>
      <c r="F695" s="89">
        <f>IF(E695="AM",1,(IF(E695="BE",2,(IF(E695="GV",3,(IF(E695="RA",4,(IF(E695="RM",5,(IF(E695="AC",1,(IF(E695="AT",2,(IF(E695="DS",3,(IF(E695="IP",4,(IF(E695="MA",5,(IF(E695="PT",6,(IF(E695="AE",1,(IF(E695="CM",2,(IF(E695="DP",3,(IF(E695="AN",1,(IF(E695="CO",2,(IF(E695="IM",3,(IF(E695="MI",4,(IF(E695="RP",5,(IF(E695="SC",6,0)))))))))))))))))))))))))))))))))))))))</f>
        <v>5</v>
      </c>
      <c r="G695" s="52">
        <v>1</v>
      </c>
      <c r="H695" s="90" t="s">
        <v>115</v>
      </c>
      <c r="I695" s="93" t="s">
        <v>89</v>
      </c>
      <c r="J695" s="88" t="s">
        <v>458</v>
      </c>
      <c r="K695" s="102" t="s">
        <v>459</v>
      </c>
      <c r="L695" s="117">
        <f>IF(O695="","",N695*O695*M695)</f>
        <v>0</v>
      </c>
      <c r="M695" s="108">
        <v>1</v>
      </c>
      <c r="N695" s="95">
        <v>1</v>
      </c>
      <c r="O695" s="109">
        <f>IF(Key!D$1="ON",P695,IF(SUM(Q695:DL695)&lt;1,"",SUM(Q695:DL695)/COUNTIF(Q695:DL695,"&gt;0")))</f>
        <v>0</v>
      </c>
      <c r="P695" s="109">
        <f>SUMIFS(Q695:DK695,Q$1:DK$1,Dashboard!$K$31)</f>
        <v>0</v>
      </c>
      <c r="U695" s="95">
        <v>33</v>
      </c>
      <c r="AA695" s="95">
        <v>25</v>
      </c>
      <c r="AH695" s="95">
        <v>75</v>
      </c>
    </row>
    <row r="696" spans="1:34" ht="15.6" x14ac:dyDescent="0.3">
      <c r="A696" s="89" t="str">
        <f>CONCATENATE(D696,".",F696,"-",G696,".",H696,"")</f>
        <v>1.5-1.1</v>
      </c>
      <c r="B696" s="89" t="str">
        <f>IF(CONCATENATE(I696,Key!F$2)=CONCATENATE(INDEX(Dashboard!J:J,MATCH(I696,Dashboard!J:J,0),1),INDEX(Dashboard!J:K,MATCH(I696,Dashboard!J:J,0),2)),"ON",IF(Dashboard!K$32="ALL","ON","-"))</f>
        <v>-</v>
      </c>
      <c r="C696" s="88" t="s">
        <v>110</v>
      </c>
      <c r="D696" s="89">
        <f>IF(C696="ID",1,(IF(C696="PR",2,(IF(C696="DE",3,(IF(C696="RS",4,(IF(C696="RC",5,0)))))))))</f>
        <v>1</v>
      </c>
      <c r="E696" s="89" t="s">
        <v>143</v>
      </c>
      <c r="F696" s="89">
        <f>IF(E696="AM",1,(IF(E696="BE",2,(IF(E696="GV",3,(IF(E696="RA",4,(IF(E696="RM",5,(IF(E696="AC",1,(IF(E696="AT",2,(IF(E696="DS",3,(IF(E696="IP",4,(IF(E696="MA",5,(IF(E696="PT",6,(IF(E696="AE",1,(IF(E696="CM",2,(IF(E696="DP",3,(IF(E696="AN",1,(IF(E696="CO",2,(IF(E696="IM",3,(IF(E696="MI",4,(IF(E696="RP",5,(IF(E696="SC",6,0)))))))))))))))))))))))))))))))))))))))</f>
        <v>5</v>
      </c>
      <c r="G696" s="52">
        <v>1</v>
      </c>
      <c r="H696" s="90" t="s">
        <v>115</v>
      </c>
      <c r="I696" s="93" t="s">
        <v>92</v>
      </c>
      <c r="J696" s="88" t="s">
        <v>144</v>
      </c>
      <c r="K696" s="102" t="s">
        <v>5226</v>
      </c>
      <c r="L696" s="117">
        <f>IF(O696="","",N696*O696*M696)</f>
        <v>0</v>
      </c>
      <c r="M696" s="108">
        <v>1</v>
      </c>
      <c r="N696" s="95">
        <v>1</v>
      </c>
      <c r="O696" s="109">
        <f>IF(Key!D$1="ON",P696,IF(SUM(Q696:DL696)&lt;1,"",SUM(Q696:DL696)/COUNTIF(Q696:DL696,"&gt;0")))</f>
        <v>0</v>
      </c>
      <c r="P696" s="109">
        <f>SUMIFS(Q696:DK696,Q$1:DK$1,Dashboard!$K$31)</f>
        <v>0</v>
      </c>
      <c r="U696" s="95">
        <v>33</v>
      </c>
      <c r="AA696" s="95">
        <v>25</v>
      </c>
      <c r="AH696" s="95">
        <v>75</v>
      </c>
    </row>
    <row r="697" spans="1:34" ht="15.6" x14ac:dyDescent="0.3">
      <c r="A697" s="89" t="str">
        <f>CONCATENATE(D697,".",F697,"-",G697,".",H697,"")</f>
        <v>1.5-1.1</v>
      </c>
      <c r="B697" s="89" t="str">
        <f>IF(CONCATENATE(I697,Key!F$2)=CONCATENATE(INDEX(Dashboard!J:J,MATCH(I697,Dashboard!J:J,0),1),INDEX(Dashboard!J:K,MATCH(I697,Dashboard!J:J,0),2)),"ON",IF(Dashboard!K$32="ALL","ON","-"))</f>
        <v>-</v>
      </c>
      <c r="C697" s="96" t="s">
        <v>110</v>
      </c>
      <c r="D697" s="89">
        <f>IF(C697="ID",1,(IF(C697="PR",2,(IF(C697="DE",3,(IF(C697="RS",4,(IF(C697="RC",5,0)))))))))</f>
        <v>1</v>
      </c>
      <c r="E697" s="89" t="s">
        <v>143</v>
      </c>
      <c r="F697" s="89">
        <f>IF(E697="AM",1,(IF(E697="BE",2,(IF(E697="GV",3,(IF(E697="RA",4,(IF(E697="RM",5,(IF(E697="AC",1,(IF(E697="AT",2,(IF(E697="DS",3,(IF(E697="IP",4,(IF(E697="MA",5,(IF(E697="PT",6,(IF(E697="AE",1,(IF(E697="CM",2,(IF(E697="DP",3,(IF(E697="AN",1,(IF(E697="CO",2,(IF(E697="IM",3,(IF(E697="MI",4,(IF(E697="RP",5,(IF(E697="SC",6,0)))))))))))))))))))))))))))))))))))))))</f>
        <v>5</v>
      </c>
      <c r="G697" s="52">
        <v>1</v>
      </c>
      <c r="H697" s="90" t="s">
        <v>115</v>
      </c>
      <c r="I697" s="93" t="s">
        <v>92</v>
      </c>
      <c r="J697" s="88" t="s">
        <v>145</v>
      </c>
      <c r="K697" s="102" t="s">
        <v>5226</v>
      </c>
      <c r="L697" s="117">
        <f>IF(O697="","",N697*O697*M697)</f>
        <v>0</v>
      </c>
      <c r="M697" s="108">
        <v>1</v>
      </c>
      <c r="N697" s="95">
        <v>1</v>
      </c>
      <c r="O697" s="109">
        <f>IF(Key!D$1="ON",P697,IF(SUM(Q697:DL697)&lt;1,"",SUM(Q697:DL697)/COUNTIF(Q697:DL697,"&gt;0")))</f>
        <v>0</v>
      </c>
      <c r="P697" s="109">
        <f>SUMIFS(Q697:DK697,Q$1:DK$1,Dashboard!$K$31)</f>
        <v>0</v>
      </c>
      <c r="U697" s="95">
        <v>33</v>
      </c>
      <c r="AA697" s="95">
        <v>25</v>
      </c>
      <c r="AH697" s="95">
        <v>75</v>
      </c>
    </row>
    <row r="698" spans="1:34" ht="15.6" x14ac:dyDescent="0.3">
      <c r="A698" s="89" t="str">
        <f>CONCATENATE(D698,".",F698,"-",G698,".",H698,"")</f>
        <v>1.5-1.1</v>
      </c>
      <c r="B698" s="89" t="str">
        <f>IF(CONCATENATE(I698,Key!F$2)=CONCATENATE(INDEX(Dashboard!J:J,MATCH(I698,Dashboard!J:J,0),1),INDEX(Dashboard!J:K,MATCH(I698,Dashboard!J:J,0),2)),"ON",IF(Dashboard!K$32="ALL","ON","-"))</f>
        <v>-</v>
      </c>
      <c r="C698" s="96" t="s">
        <v>110</v>
      </c>
      <c r="D698" s="89">
        <f>IF(C698="ID",1,(IF(C698="PR",2,(IF(C698="DE",3,(IF(C698="RS",4,(IF(C698="RC",5,0)))))))))</f>
        <v>1</v>
      </c>
      <c r="E698" s="89" t="s">
        <v>143</v>
      </c>
      <c r="F698" s="89">
        <f>IF(E698="AM",1,(IF(E698="BE",2,(IF(E698="GV",3,(IF(E698="RA",4,(IF(E698="RM",5,(IF(E698="AC",1,(IF(E698="AT",2,(IF(E698="DS",3,(IF(E698="IP",4,(IF(E698="MA",5,(IF(E698="PT",6,(IF(E698="AE",1,(IF(E698="CM",2,(IF(E698="DP",3,(IF(E698="AN",1,(IF(E698="CO",2,(IF(E698="IM",3,(IF(E698="MI",4,(IF(E698="RP",5,(IF(E698="SC",6,0)))))))))))))))))))))))))))))))))))))))</f>
        <v>5</v>
      </c>
      <c r="G698" s="52">
        <v>1</v>
      </c>
      <c r="H698" s="90" t="s">
        <v>115</v>
      </c>
      <c r="I698" s="93" t="s">
        <v>92</v>
      </c>
      <c r="J698" s="88" t="s">
        <v>146</v>
      </c>
      <c r="K698" s="102" t="s">
        <v>5226</v>
      </c>
      <c r="L698" s="117">
        <f>IF(O698="","",N698*O698*M698)</f>
        <v>0</v>
      </c>
      <c r="M698" s="108">
        <v>1</v>
      </c>
      <c r="N698" s="95">
        <v>1</v>
      </c>
      <c r="O698" s="109">
        <f>IF(Key!D$1="ON",P698,IF(SUM(Q698:DL698)&lt;1,"",SUM(Q698:DL698)/COUNTIF(Q698:DL698,"&gt;0")))</f>
        <v>0</v>
      </c>
      <c r="P698" s="109">
        <f>SUMIFS(Q698:DK698,Q$1:DK$1,Dashboard!$K$31)</f>
        <v>0</v>
      </c>
      <c r="U698" s="95">
        <v>33</v>
      </c>
      <c r="AA698" s="95">
        <v>25</v>
      </c>
      <c r="AH698" s="95">
        <v>75</v>
      </c>
    </row>
    <row r="699" spans="1:34" ht="15.6" x14ac:dyDescent="0.3">
      <c r="A699" s="89" t="str">
        <f>CONCATENATE(D699,".",F699,"-",G699,".",H699,"")</f>
        <v>1.5-2.0</v>
      </c>
      <c r="B699" s="89" t="str">
        <f>IF(CONCATENATE(I699,Key!F$2)=CONCATENATE(INDEX(Dashboard!J:J,MATCH(I699,Dashboard!J:J,0),1),INDEX(Dashboard!J:K,MATCH(I699,Dashboard!J:J,0),2)),"ON",IF(Dashboard!K$32="ALL","ON","-"))</f>
        <v>-</v>
      </c>
      <c r="C699" s="96" t="s">
        <v>110</v>
      </c>
      <c r="D699" s="89">
        <f>IF(C699="ID",1,(IF(C699="PR",2,(IF(C699="DE",3,(IF(C699="RS",4,(IF(C699="RC",5,0)))))))))</f>
        <v>1</v>
      </c>
      <c r="E699" s="89" t="s">
        <v>143</v>
      </c>
      <c r="F699" s="89">
        <f>IF(E699="AM",1,(IF(E699="BE",2,(IF(E699="GV",3,(IF(E699="RA",4,(IF(E699="RM",5,(IF(E699="AC",1,(IF(E699="AT",2,(IF(E699="DS",3,(IF(E699="IP",4,(IF(E699="MA",5,(IF(E699="PT",6,(IF(E699="AE",1,(IF(E699="CM",2,(IF(E699="DP",3,(IF(E699="AN",1,(IF(E699="CO",2,(IF(E699="IM",3,(IF(E699="MI",4,(IF(E699="RP",5,(IF(E699="SC",6,0)))))))))))))))))))))))))))))))))))))))</f>
        <v>5</v>
      </c>
      <c r="G699" s="52">
        <v>2</v>
      </c>
      <c r="H699" s="90" t="s">
        <v>347</v>
      </c>
      <c r="I699" s="93" t="s">
        <v>2835</v>
      </c>
      <c r="J699" s="53" t="s">
        <v>2895</v>
      </c>
      <c r="K699" s="152" t="s">
        <v>2896</v>
      </c>
      <c r="L699" s="117">
        <f>IF(O699="","",N699*O699*M699)</f>
        <v>0</v>
      </c>
      <c r="M699" s="108">
        <v>1</v>
      </c>
      <c r="N699" s="95">
        <v>1</v>
      </c>
      <c r="O699" s="109">
        <f>IF(Key!D$1="ON",P699,IF(SUM(Q699:DL699)&lt;1,"",SUM(Q699:DL699)/COUNTIF(Q699:DL699,"&gt;0")))</f>
        <v>0</v>
      </c>
      <c r="P699" s="109">
        <f>SUMIFS(Q699:DK699,Q$1:DK$1,Dashboard!$K$31)</f>
        <v>0</v>
      </c>
      <c r="U699" s="95">
        <v>33</v>
      </c>
    </row>
    <row r="700" spans="1:34" ht="15.6" x14ac:dyDescent="0.3">
      <c r="A700" s="89" t="str">
        <f>CONCATENATE(D700,".",F700,"-",G700,".",H700,"")</f>
        <v>1.5-2.1</v>
      </c>
      <c r="B700" s="89" t="str">
        <f>IF(CONCATENATE(I700,Key!F$2)=CONCATENATE(INDEX(Dashboard!J:J,MATCH(I700,Dashboard!J:J,0),1),INDEX(Dashboard!J:K,MATCH(I700,Dashboard!J:J,0),2)),"ON",IF(Dashboard!K$32="ALL","ON","-"))</f>
        <v>-</v>
      </c>
      <c r="C700" s="88" t="s">
        <v>110</v>
      </c>
      <c r="D700" s="89">
        <f>IF(C700="ID",1,(IF(C700="PR",2,(IF(C700="DE",3,(IF(C700="RS",4,(IF(C700="RC",5,0)))))))))</f>
        <v>1</v>
      </c>
      <c r="E700" s="89" t="s">
        <v>143</v>
      </c>
      <c r="F700" s="89">
        <f>IF(E700="AM",1,(IF(E700="BE",2,(IF(E700="GV",3,(IF(E700="RA",4,(IF(E700="RM",5,(IF(E700="AC",1,(IF(E700="AT",2,(IF(E700="DS",3,(IF(E700="IP",4,(IF(E700="MA",5,(IF(E700="PT",6,(IF(E700="AE",1,(IF(E700="CM",2,(IF(E700="DP",3,(IF(E700="AN",1,(IF(E700="CO",2,(IF(E700="IM",3,(IF(E700="MI",4,(IF(E700="RP",5,(IF(E700="SC",6,0)))))))))))))))))))))))))))))))))))))))</f>
        <v>5</v>
      </c>
      <c r="G700" s="52">
        <v>2</v>
      </c>
      <c r="H700" s="89">
        <v>1</v>
      </c>
      <c r="I700" s="93" t="s">
        <v>60</v>
      </c>
      <c r="J700" s="88" t="s">
        <v>3158</v>
      </c>
      <c r="K700" s="51" t="s">
        <v>5271</v>
      </c>
      <c r="L700" s="117">
        <f>IF(O700="","",N700*O700*M700)</f>
        <v>0</v>
      </c>
      <c r="M700" s="108">
        <v>1</v>
      </c>
      <c r="N700" s="95">
        <v>1</v>
      </c>
      <c r="O700" s="109">
        <f>IF(Key!D$1="ON",P700,IF(SUM(Q700:DL700)&lt;1,"",SUM(Q700:DL700)/COUNTIF(Q700:DL700,"&gt;0")))</f>
        <v>0</v>
      </c>
      <c r="P700" s="109">
        <f>SUMIFS(Q700:DK700,Q$1:DK$1,Dashboard!$K$31)</f>
        <v>0</v>
      </c>
      <c r="U700" s="95">
        <v>33</v>
      </c>
      <c r="AA700" s="95">
        <v>25</v>
      </c>
      <c r="AH700" s="95">
        <v>75</v>
      </c>
    </row>
    <row r="701" spans="1:34" ht="15.6" x14ac:dyDescent="0.3">
      <c r="A701" s="89" t="str">
        <f>CONCATENATE(D701,".",F701,"-",G701,".",H701,"")</f>
        <v>1.5-2.1</v>
      </c>
      <c r="B701" s="89" t="str">
        <f>IF(CONCATENATE(I701,Key!F$2)=CONCATENATE(INDEX(Dashboard!J:J,MATCH(I701,Dashboard!J:J,0),1),INDEX(Dashboard!J:K,MATCH(I701,Dashboard!J:J,0),2)),"ON",IF(Dashboard!K$32="ALL","ON","-"))</f>
        <v>-</v>
      </c>
      <c r="C701" s="88" t="s">
        <v>110</v>
      </c>
      <c r="D701" s="89">
        <f>IF(C701="ID",1,(IF(C701="PR",2,(IF(C701="DE",3,(IF(C701="RS",4,(IF(C701="RC",5,0)))))))))</f>
        <v>1</v>
      </c>
      <c r="E701" s="89" t="s">
        <v>143</v>
      </c>
      <c r="F701" s="89">
        <f>IF(E701="AM",1,(IF(E701="BE",2,(IF(E701="GV",3,(IF(E701="RA",4,(IF(E701="RM",5,(IF(E701="AC",1,(IF(E701="AT",2,(IF(E701="DS",3,(IF(E701="IP",4,(IF(E701="MA",5,(IF(E701="PT",6,(IF(E701="AE",1,(IF(E701="CM",2,(IF(E701="DP",3,(IF(E701="AN",1,(IF(E701="CO",2,(IF(E701="IM",3,(IF(E701="MI",4,(IF(E701="RP",5,(IF(E701="SC",6,0)))))))))))))))))))))))))))))))))))))))</f>
        <v>5</v>
      </c>
      <c r="G701" s="52">
        <v>2</v>
      </c>
      <c r="H701" s="89">
        <v>1</v>
      </c>
      <c r="I701" s="93" t="s">
        <v>85</v>
      </c>
      <c r="J701" s="86" t="s">
        <v>730</v>
      </c>
      <c r="K701" s="119" t="s">
        <v>731</v>
      </c>
      <c r="L701" s="117">
        <f>IF(O701="","",N701*O701*M701)</f>
        <v>0</v>
      </c>
      <c r="M701" s="108">
        <v>1</v>
      </c>
      <c r="N701" s="95">
        <v>1</v>
      </c>
      <c r="O701" s="109">
        <f>IF(Key!D$1="ON",P701,IF(SUM(Q701:DL701)&lt;1,"",SUM(Q701:DL701)/COUNTIF(Q701:DL701,"&gt;0")))</f>
        <v>0</v>
      </c>
      <c r="P701" s="109">
        <f>SUMIFS(Q701:DK701,Q$1:DK$1,Dashboard!$K$31)</f>
        <v>0</v>
      </c>
      <c r="U701" s="95">
        <v>33</v>
      </c>
      <c r="AA701" s="95">
        <v>25</v>
      </c>
      <c r="AH701" s="95">
        <v>75</v>
      </c>
    </row>
    <row r="702" spans="1:34" ht="15.6" x14ac:dyDescent="0.3">
      <c r="A702" s="89" t="str">
        <f>CONCATENATE(D702,".",F702,"-",G702,".",H702,"")</f>
        <v>1.5-3.0</v>
      </c>
      <c r="B702" s="89" t="str">
        <f>IF(CONCATENATE(I702,Key!F$2)=CONCATENATE(INDEX(Dashboard!J:J,MATCH(I702,Dashboard!J:J,0),1),INDEX(Dashboard!J:K,MATCH(I702,Dashboard!J:J,0),2)),"ON",IF(Dashboard!K$32="ALL","ON","-"))</f>
        <v>-</v>
      </c>
      <c r="C702" s="96" t="s">
        <v>110</v>
      </c>
      <c r="D702" s="89">
        <f>IF(C702="ID",1,(IF(C702="PR",2,(IF(C702="DE",3,(IF(C702="RS",4,(IF(C702="RC",5,0)))))))))</f>
        <v>1</v>
      </c>
      <c r="E702" s="89" t="s">
        <v>143</v>
      </c>
      <c r="F702" s="89">
        <f>IF(E702="AM",1,(IF(E702="BE",2,(IF(E702="GV",3,(IF(E702="RA",4,(IF(E702="RM",5,(IF(E702="AC",1,(IF(E702="AT",2,(IF(E702="DS",3,(IF(E702="IP",4,(IF(E702="MA",5,(IF(E702="PT",6,(IF(E702="AE",1,(IF(E702="CM",2,(IF(E702="DP",3,(IF(E702="AN",1,(IF(E702="CO",2,(IF(E702="IM",3,(IF(E702="MI",4,(IF(E702="RP",5,(IF(E702="SC",6,0)))))))))))))))))))))))))))))))))))))))</f>
        <v>5</v>
      </c>
      <c r="G702" s="52">
        <v>3</v>
      </c>
      <c r="H702" s="90" t="s">
        <v>347</v>
      </c>
      <c r="I702" s="93" t="s">
        <v>2835</v>
      </c>
      <c r="J702" s="53" t="s">
        <v>2897</v>
      </c>
      <c r="K702" s="152" t="s">
        <v>2898</v>
      </c>
      <c r="L702" s="117">
        <f>IF(O702="","",N702*O702*M702)</f>
        <v>0</v>
      </c>
      <c r="M702" s="108">
        <v>1</v>
      </c>
      <c r="N702" s="95">
        <v>1</v>
      </c>
      <c r="O702" s="109">
        <f>IF(Key!D$1="ON",P702,IF(SUM(Q702:DL702)&lt;1,"",SUM(Q702:DL702)/COUNTIF(Q702:DL702,"&gt;0")))</f>
        <v>0</v>
      </c>
      <c r="P702" s="109">
        <f>SUMIFS(Q702:DK702,Q$1:DK$1,Dashboard!$K$31)</f>
        <v>0</v>
      </c>
      <c r="U702" s="95">
        <v>33</v>
      </c>
    </row>
    <row r="703" spans="1:34" ht="15.6" x14ac:dyDescent="0.3">
      <c r="A703" s="89" t="str">
        <f>CONCATENATE(D703,".",F703,"-",G703,".",H703,"")</f>
        <v>1.5-3.1</v>
      </c>
      <c r="B703" s="89" t="str">
        <f>IF(CONCATENATE(I703,Key!F$2)=CONCATENATE(INDEX(Dashboard!J:J,MATCH(I703,Dashboard!J:J,0),1),INDEX(Dashboard!J:K,MATCH(I703,Dashboard!J:J,0),2)),"ON",IF(Dashboard!K$32="ALL","ON","-"))</f>
        <v>ON</v>
      </c>
      <c r="C703" s="96" t="s">
        <v>110</v>
      </c>
      <c r="D703" s="89">
        <f>IF(C703="ID",1,(IF(C703="PR",2,(IF(C703="DE",3,(IF(C703="RS",4,(IF(C703="RC",5,0)))))))))</f>
        <v>1</v>
      </c>
      <c r="E703" s="89" t="s">
        <v>143</v>
      </c>
      <c r="F703" s="89">
        <f>IF(E703="AM",1,(IF(E703="BE",2,(IF(E703="GV",3,(IF(E703="RA",4,(IF(E703="RM",5,(IF(E703="AC",1,(IF(E703="AT",2,(IF(E703="DS",3,(IF(E703="IP",4,(IF(E703="MA",5,(IF(E703="PT",6,(IF(E703="AE",1,(IF(E703="CM",2,(IF(E703="DP",3,(IF(E703="AN",1,(IF(E703="CO",2,(IF(E703="IM",3,(IF(E703="MI",4,(IF(E703="RP",5,(IF(E703="SC",6,0)))))))))))))))))))))))))))))))))))))))</f>
        <v>5</v>
      </c>
      <c r="G703" s="52">
        <v>3</v>
      </c>
      <c r="H703" s="90" t="s">
        <v>115</v>
      </c>
      <c r="I703" s="93" t="s">
        <v>4107</v>
      </c>
      <c r="J703" s="86" t="s">
        <v>4060</v>
      </c>
      <c r="K703" s="101" t="s">
        <v>4466</v>
      </c>
      <c r="L703" s="117">
        <f>IF(O703="","",N703*O703*M703)</f>
        <v>0</v>
      </c>
      <c r="M703" s="108">
        <v>1</v>
      </c>
      <c r="N703" s="95">
        <v>1</v>
      </c>
      <c r="O703" s="109">
        <f>IF(Key!D$1="ON",P703,IF(SUM(Q703:DL703)&lt;1,"",SUM(Q703:DL703)/COUNTIF(Q703:DL703,"&gt;0")))</f>
        <v>0</v>
      </c>
      <c r="P703" s="109">
        <f>SUMIFS(Q703:DK703,Q$1:DK$1,Dashboard!$K$31)</f>
        <v>0</v>
      </c>
      <c r="U703" s="95">
        <v>33</v>
      </c>
      <c r="AA703" s="95">
        <v>25</v>
      </c>
      <c r="AH703" s="95">
        <v>75</v>
      </c>
    </row>
    <row r="704" spans="1:34" x14ac:dyDescent="0.3">
      <c r="A704" s="89" t="str">
        <f>CONCATENATE(D704,".",F704,"-",G704,".",H704,"")</f>
        <v>1.5-3.1</v>
      </c>
      <c r="B704" s="89" t="str">
        <f>IF(CONCATENATE(I704,Key!F$2)=CONCATENATE(INDEX(Dashboard!J:J,MATCH(I704,Dashboard!J:J,0),1),INDEX(Dashboard!J:K,MATCH(I704,Dashboard!J:J,0),2)),"ON",IF(Dashboard!K$32="ALL","ON","-"))</f>
        <v>-</v>
      </c>
      <c r="C704" s="96" t="s">
        <v>110</v>
      </c>
      <c r="D704" s="89">
        <f>IF(C704="ID",1,(IF(C704="PR",2,(IF(C704="DE",3,(IF(C704="RS",4,(IF(C704="RC",5,0)))))))))</f>
        <v>1</v>
      </c>
      <c r="E704" s="89" t="s">
        <v>143</v>
      </c>
      <c r="F704" s="89">
        <f>IF(E704="AM",1,(IF(E704="BE",2,(IF(E704="GV",3,(IF(E704="RA",4,(IF(E704="RM",5,(IF(E704="AC",1,(IF(E704="AT",2,(IF(E704="DS",3,(IF(E704="IP",4,(IF(E704="MA",5,(IF(E704="PT",6,(IF(E704="AE",1,(IF(E704="CM",2,(IF(E704="DP",3,(IF(E704="AN",1,(IF(E704="CO",2,(IF(E704="IM",3,(IF(E704="MI",4,(IF(E704="RP",5,(IF(E704="SC",6,0)))))))))))))))))))))))))))))))))))))))</f>
        <v>5</v>
      </c>
      <c r="G704" s="98">
        <v>3</v>
      </c>
      <c r="H704" s="90" t="s">
        <v>115</v>
      </c>
      <c r="I704" s="93" t="s">
        <v>52</v>
      </c>
      <c r="J704" s="88" t="s">
        <v>3305</v>
      </c>
      <c r="K704" s="103" t="s">
        <v>3306</v>
      </c>
      <c r="L704" s="117">
        <f>IF(O704="","",N704*O704*M704)</f>
        <v>0</v>
      </c>
      <c r="M704" s="108">
        <v>1</v>
      </c>
      <c r="N704" s="95">
        <v>1</v>
      </c>
      <c r="O704" s="109">
        <f>IF(Key!D$1="ON",P704,IF(SUM(Q704:DL704)&lt;1,"",SUM(Q704:DL704)/COUNTIF(Q704:DL704,"&gt;0")))</f>
        <v>0</v>
      </c>
      <c r="P704" s="109">
        <f>SUMIFS(Q704:DK704,Q$1:DK$1,Dashboard!$K$31)</f>
        <v>0</v>
      </c>
      <c r="U704" s="95">
        <v>33</v>
      </c>
      <c r="AA704" s="95">
        <v>25</v>
      </c>
      <c r="AH704" s="95">
        <v>75</v>
      </c>
    </row>
    <row r="705" spans="1:34" x14ac:dyDescent="0.3">
      <c r="A705" s="89" t="str">
        <f>CONCATENATE(D705,".",F705,"-",G705,".",H705,"")</f>
        <v>1.5-3.1</v>
      </c>
      <c r="B705" s="89" t="str">
        <f>IF(CONCATENATE(I705,Key!F$2)=CONCATENATE(INDEX(Dashboard!J:J,MATCH(I705,Dashboard!J:J,0),1),INDEX(Dashboard!J:K,MATCH(I705,Dashboard!J:J,0),2)),"ON",IF(Dashboard!K$32="ALL","ON","-"))</f>
        <v>-</v>
      </c>
      <c r="C705" s="96" t="s">
        <v>110</v>
      </c>
      <c r="D705" s="89">
        <f>IF(C705="ID",1,(IF(C705="PR",2,(IF(C705="DE",3,(IF(C705="RS",4,(IF(C705="RC",5,0)))))))))</f>
        <v>1</v>
      </c>
      <c r="E705" s="89" t="s">
        <v>143</v>
      </c>
      <c r="F705" s="89">
        <f>IF(E705="AM",1,(IF(E705="BE",2,(IF(E705="GV",3,(IF(E705="RA",4,(IF(E705="RM",5,(IF(E705="AC",1,(IF(E705="AT",2,(IF(E705="DS",3,(IF(E705="IP",4,(IF(E705="MA",5,(IF(E705="PT",6,(IF(E705="AE",1,(IF(E705="CM",2,(IF(E705="DP",3,(IF(E705="AN",1,(IF(E705="CO",2,(IF(E705="IM",3,(IF(E705="MI",4,(IF(E705="RP",5,(IF(E705="SC",6,0)))))))))))))))))))))))))))))))))))))))</f>
        <v>5</v>
      </c>
      <c r="G705" s="98">
        <v>3</v>
      </c>
      <c r="H705" s="90" t="s">
        <v>115</v>
      </c>
      <c r="I705" s="93" t="s">
        <v>52</v>
      </c>
      <c r="J705" s="88" t="s">
        <v>3301</v>
      </c>
      <c r="K705" s="103" t="s">
        <v>3302</v>
      </c>
      <c r="L705" s="117">
        <f>IF(O705="","",N705*O705*M705)</f>
        <v>0</v>
      </c>
      <c r="M705" s="108">
        <v>1</v>
      </c>
      <c r="N705" s="95">
        <v>1</v>
      </c>
      <c r="O705" s="109">
        <f>IF(Key!D$1="ON",P705,IF(SUM(Q705:DL705)&lt;1,"",SUM(Q705:DL705)/COUNTIF(Q705:DL705,"&gt;0")))</f>
        <v>0</v>
      </c>
      <c r="P705" s="109">
        <f>SUMIFS(Q705:DK705,Q$1:DK$1,Dashboard!$K$31)</f>
        <v>0</v>
      </c>
      <c r="U705" s="95">
        <v>33</v>
      </c>
      <c r="AA705" s="95">
        <v>25</v>
      </c>
      <c r="AH705" s="95">
        <v>75</v>
      </c>
    </row>
    <row r="706" spans="1:34" ht="15.6" x14ac:dyDescent="0.3">
      <c r="A706" s="89" t="str">
        <f>CONCATENATE(D706,".",F706,"-",G706,".",H706,"")</f>
        <v>1.5-3.1</v>
      </c>
      <c r="B706" s="89" t="str">
        <f>IF(CONCATENATE(I706,Key!F$2)=CONCATENATE(INDEX(Dashboard!J:J,MATCH(I706,Dashboard!J:J,0),1),INDEX(Dashboard!J:K,MATCH(I706,Dashboard!J:J,0),2)),"ON",IF(Dashboard!K$32="ALL","ON","-"))</f>
        <v>-</v>
      </c>
      <c r="C706" s="96" t="s">
        <v>110</v>
      </c>
      <c r="D706" s="89">
        <f>IF(C706="ID",1,(IF(C706="PR",2,(IF(C706="DE",3,(IF(C706="RS",4,(IF(C706="RC",5,0)))))))))</f>
        <v>1</v>
      </c>
      <c r="E706" s="89" t="s">
        <v>143</v>
      </c>
      <c r="F706" s="89">
        <f>IF(E706="AM",1,(IF(E706="BE",2,(IF(E706="GV",3,(IF(E706="RA",4,(IF(E706="RM",5,(IF(E706="AC",1,(IF(E706="AT",2,(IF(E706="DS",3,(IF(E706="IP",4,(IF(E706="MA",5,(IF(E706="PT",6,(IF(E706="AE",1,(IF(E706="CM",2,(IF(E706="DP",3,(IF(E706="AN",1,(IF(E706="CO",2,(IF(E706="IM",3,(IF(E706="MI",4,(IF(E706="RP",5,(IF(E706="SC",6,0)))))))))))))))))))))))))))))))))))))))</f>
        <v>5</v>
      </c>
      <c r="G706" s="98">
        <v>3</v>
      </c>
      <c r="H706" s="90" t="s">
        <v>115</v>
      </c>
      <c r="I706" s="93" t="s">
        <v>52</v>
      </c>
      <c r="J706" s="88" t="s">
        <v>3290</v>
      </c>
      <c r="K706" s="103" t="s">
        <v>3291</v>
      </c>
      <c r="L706" s="117">
        <f>IF(O706="","",N706*O706*M706)</f>
        <v>0</v>
      </c>
      <c r="M706" s="108">
        <v>1</v>
      </c>
      <c r="N706" s="95">
        <v>1</v>
      </c>
      <c r="O706" s="109">
        <f>IF(Key!D$1="ON",P706,IF(SUM(Q706:DL706)&lt;1,"",SUM(Q706:DL706)/COUNTIF(Q706:DL706,"&gt;0")))</f>
        <v>0</v>
      </c>
      <c r="P706" s="109">
        <f>SUMIFS(Q706:DK706,Q$1:DK$1,Dashboard!$K$31)</f>
        <v>0</v>
      </c>
      <c r="U706" s="95">
        <v>33</v>
      </c>
      <c r="AA706" s="95">
        <v>25</v>
      </c>
      <c r="AH706" s="95">
        <v>75</v>
      </c>
    </row>
    <row r="707" spans="1:34" x14ac:dyDescent="0.3">
      <c r="A707" s="89" t="str">
        <f>CONCATENATE(D707,".",F707,"-",G707,".",H707,"")</f>
        <v>1.5-3.1</v>
      </c>
      <c r="B707" s="89" t="str">
        <f>IF(CONCATENATE(I707,Key!F$2)=CONCATENATE(INDEX(Dashboard!J:J,MATCH(I707,Dashboard!J:J,0),1),INDEX(Dashboard!J:K,MATCH(I707,Dashboard!J:J,0),2)),"ON",IF(Dashboard!K$32="ALL","ON","-"))</f>
        <v>-</v>
      </c>
      <c r="C707" s="96" t="s">
        <v>110</v>
      </c>
      <c r="D707" s="89">
        <f>IF(C707="ID",1,(IF(C707="PR",2,(IF(C707="DE",3,(IF(C707="RS",4,(IF(C707="RC",5,0)))))))))</f>
        <v>1</v>
      </c>
      <c r="E707" s="89" t="s">
        <v>143</v>
      </c>
      <c r="F707" s="89">
        <f>IF(E707="AM",1,(IF(E707="BE",2,(IF(E707="GV",3,(IF(E707="RA",4,(IF(E707="RM",5,(IF(E707="AC",1,(IF(E707="AT",2,(IF(E707="DS",3,(IF(E707="IP",4,(IF(E707="MA",5,(IF(E707="PT",6,(IF(E707="AE",1,(IF(E707="CM",2,(IF(E707="DP",3,(IF(E707="AN",1,(IF(E707="CO",2,(IF(E707="IM",3,(IF(E707="MI",4,(IF(E707="RP",5,(IF(E707="SC",6,0)))))))))))))))))))))))))))))))))))))))</f>
        <v>5</v>
      </c>
      <c r="G707" s="98">
        <v>3</v>
      </c>
      <c r="H707" s="90" t="s">
        <v>115</v>
      </c>
      <c r="I707" s="93" t="s">
        <v>52</v>
      </c>
      <c r="J707" s="88" t="s">
        <v>3282</v>
      </c>
      <c r="K707" s="103" t="s">
        <v>3283</v>
      </c>
      <c r="L707" s="117">
        <f>IF(O707="","",N707*O707*M707)</f>
        <v>0</v>
      </c>
      <c r="M707" s="108">
        <v>1</v>
      </c>
      <c r="N707" s="95">
        <v>1</v>
      </c>
      <c r="O707" s="109">
        <f>IF(Key!D$1="ON",P707,IF(SUM(Q707:DL707)&lt;1,"",SUM(Q707:DL707)/COUNTIF(Q707:DL707,"&gt;0")))</f>
        <v>0</v>
      </c>
      <c r="P707" s="109">
        <f>SUMIFS(Q707:DK707,Q$1:DK$1,Dashboard!$K$31)</f>
        <v>0</v>
      </c>
      <c r="U707" s="95">
        <v>33</v>
      </c>
      <c r="AA707" s="95">
        <v>25</v>
      </c>
      <c r="AH707" s="95">
        <v>75</v>
      </c>
    </row>
    <row r="708" spans="1:34" x14ac:dyDescent="0.3">
      <c r="A708" s="89" t="str">
        <f>CONCATENATE(D708,".",F708,"-",G708,".",H708,"")</f>
        <v>1.5-3.1</v>
      </c>
      <c r="B708" s="89" t="str">
        <f>IF(CONCATENATE(I708,Key!F$2)=CONCATENATE(INDEX(Dashboard!J:J,MATCH(I708,Dashboard!J:J,0),1),INDEX(Dashboard!J:K,MATCH(I708,Dashboard!J:J,0),2)),"ON",IF(Dashboard!K$32="ALL","ON","-"))</f>
        <v>-</v>
      </c>
      <c r="C708" s="96" t="s">
        <v>110</v>
      </c>
      <c r="D708" s="89">
        <f>IF(C708="ID",1,(IF(C708="PR",2,(IF(C708="DE",3,(IF(C708="RS",4,(IF(C708="RC",5,0)))))))))</f>
        <v>1</v>
      </c>
      <c r="E708" s="89" t="s">
        <v>143</v>
      </c>
      <c r="F708" s="89">
        <f>IF(E708="AM",1,(IF(E708="BE",2,(IF(E708="GV",3,(IF(E708="RA",4,(IF(E708="RM",5,(IF(E708="AC",1,(IF(E708="AT",2,(IF(E708="DS",3,(IF(E708="IP",4,(IF(E708="MA",5,(IF(E708="PT",6,(IF(E708="AE",1,(IF(E708="CM",2,(IF(E708="DP",3,(IF(E708="AN",1,(IF(E708="CO",2,(IF(E708="IM",3,(IF(E708="MI",4,(IF(E708="RP",5,(IF(E708="SC",6,0)))))))))))))))))))))))))))))))))))))))</f>
        <v>5</v>
      </c>
      <c r="G708" s="98">
        <v>3</v>
      </c>
      <c r="H708" s="90" t="s">
        <v>115</v>
      </c>
      <c r="I708" s="93" t="s">
        <v>52</v>
      </c>
      <c r="J708" s="88" t="s">
        <v>3307</v>
      </c>
      <c r="K708" s="103" t="s">
        <v>3308</v>
      </c>
      <c r="L708" s="117">
        <f>IF(O708="","",N708*O708*M708)</f>
        <v>0</v>
      </c>
      <c r="M708" s="108">
        <v>1</v>
      </c>
      <c r="N708" s="95">
        <v>1</v>
      </c>
      <c r="O708" s="109">
        <f>IF(Key!D$1="ON",P708,IF(SUM(Q708:DL708)&lt;1,"",SUM(Q708:DL708)/COUNTIF(Q708:DL708,"&gt;0")))</f>
        <v>0</v>
      </c>
      <c r="P708" s="109">
        <f>SUMIFS(Q708:DK708,Q$1:DK$1,Dashboard!$K$31)</f>
        <v>0</v>
      </c>
      <c r="U708" s="95">
        <v>33</v>
      </c>
      <c r="AA708" s="95">
        <v>25</v>
      </c>
      <c r="AH708" s="95">
        <v>75</v>
      </c>
    </row>
    <row r="709" spans="1:34" ht="15.6" x14ac:dyDescent="0.3">
      <c r="A709" s="89" t="str">
        <f>CONCATENATE(D709,".",F709,"-",G709,".",H709,"")</f>
        <v>1.5-3.1</v>
      </c>
      <c r="B709" s="89" t="str">
        <f>IF(CONCATENATE(I709,Key!F$2)=CONCATENATE(INDEX(Dashboard!J:J,MATCH(I709,Dashboard!J:J,0),1),INDEX(Dashboard!J:K,MATCH(I709,Dashboard!J:J,0),2)),"ON",IF(Dashboard!K$32="ALL","ON","-"))</f>
        <v>-</v>
      </c>
      <c r="C709" s="96" t="s">
        <v>110</v>
      </c>
      <c r="D709" s="89">
        <f>IF(C709="ID",1,(IF(C709="PR",2,(IF(C709="DE",3,(IF(C709="RS",4,(IF(C709="RC",5,0)))))))))</f>
        <v>1</v>
      </c>
      <c r="E709" s="89" t="s">
        <v>143</v>
      </c>
      <c r="F709" s="89">
        <f>IF(E709="AM",1,(IF(E709="BE",2,(IF(E709="GV",3,(IF(E709="RA",4,(IF(E709="RM",5,(IF(E709="AC",1,(IF(E709="AT",2,(IF(E709="DS",3,(IF(E709="IP",4,(IF(E709="MA",5,(IF(E709="PT",6,(IF(E709="AE",1,(IF(E709="CM",2,(IF(E709="DP",3,(IF(E709="AN",1,(IF(E709="CO",2,(IF(E709="IM",3,(IF(E709="MI",4,(IF(E709="RP",5,(IF(E709="SC",6,0)))))))))))))))))))))))))))))))))))))))</f>
        <v>5</v>
      </c>
      <c r="G709" s="98">
        <v>3</v>
      </c>
      <c r="H709" s="90" t="s">
        <v>115</v>
      </c>
      <c r="I709" s="93" t="s">
        <v>77</v>
      </c>
      <c r="J709" s="87" t="s">
        <v>937</v>
      </c>
      <c r="K709" s="102" t="s">
        <v>2025</v>
      </c>
      <c r="L709" s="117">
        <f>IF(O709="","",N709*O709*M709)</f>
        <v>0</v>
      </c>
      <c r="M709" s="108">
        <v>1</v>
      </c>
      <c r="N709" s="95">
        <v>1</v>
      </c>
      <c r="O709" s="109">
        <f>IF(Key!D$1="ON",P709,IF(SUM(Q709:DL709)&lt;1,"",SUM(Q709:DL709)/COUNTIF(Q709:DL709,"&gt;0")))</f>
        <v>0</v>
      </c>
      <c r="P709" s="109">
        <f>SUMIFS(Q709:DK709,Q$1:DK$1,Dashboard!$K$31)</f>
        <v>0</v>
      </c>
      <c r="U709" s="95">
        <v>33</v>
      </c>
      <c r="AA709" s="95">
        <v>25</v>
      </c>
      <c r="AH709" s="95">
        <v>75</v>
      </c>
    </row>
    <row r="710" spans="1:34" x14ac:dyDescent="0.3">
      <c r="A710" s="89" t="str">
        <f>CONCATENATE(D710,".",F710,"-",G710,".",H710,"")</f>
        <v>1.5-3.1</v>
      </c>
      <c r="B710" s="89" t="str">
        <f>IF(CONCATENATE(I710,Key!F$2)=CONCATENATE(INDEX(Dashboard!J:J,MATCH(I710,Dashboard!J:J,0),1),INDEX(Dashboard!J:K,MATCH(I710,Dashboard!J:J,0),2)),"ON",IF(Dashboard!K$32="ALL","ON","-"))</f>
        <v>-</v>
      </c>
      <c r="C710" s="88" t="s">
        <v>110</v>
      </c>
      <c r="D710" s="89">
        <f>IF(C710="ID",1,(IF(C710="PR",2,(IF(C710="DE",3,(IF(C710="RS",4,(IF(C710="RC",5,0)))))))))</f>
        <v>1</v>
      </c>
      <c r="E710" s="89" t="s">
        <v>143</v>
      </c>
      <c r="F710" s="89">
        <f>IF(E710="AM",1,(IF(E710="BE",2,(IF(E710="GV",3,(IF(E710="RA",4,(IF(E710="RM",5,(IF(E710="AC",1,(IF(E710="AT",2,(IF(E710="DS",3,(IF(E710="IP",4,(IF(E710="MA",5,(IF(E710="PT",6,(IF(E710="AE",1,(IF(E710="CM",2,(IF(E710="DP",3,(IF(E710="AN",1,(IF(E710="CO",2,(IF(E710="IM",3,(IF(E710="MI",4,(IF(E710="RP",5,(IF(E710="SC",6,0)))))))))))))))))))))))))))))))))))))))</f>
        <v>5</v>
      </c>
      <c r="G710" s="98">
        <v>3</v>
      </c>
      <c r="H710" s="90" t="s">
        <v>115</v>
      </c>
      <c r="I710" s="93" t="s">
        <v>81</v>
      </c>
      <c r="J710" s="129" t="s">
        <v>1962</v>
      </c>
      <c r="K710" s="103" t="s">
        <v>1963</v>
      </c>
      <c r="L710" s="117">
        <f>IF(O710="","",N710*O710*M710)</f>
        <v>0</v>
      </c>
      <c r="M710" s="108">
        <v>1</v>
      </c>
      <c r="N710" s="95">
        <v>1</v>
      </c>
      <c r="O710" s="109">
        <f>IF(Key!D$1="ON",P710,IF(SUM(Q710:DL710)&lt;1,"",SUM(Q710:DL710)/COUNTIF(Q710:DL710,"&gt;0")))</f>
        <v>0</v>
      </c>
      <c r="P710" s="109">
        <f>SUMIFS(Q710:DK710,Q$1:DK$1,Dashboard!$K$31)</f>
        <v>0</v>
      </c>
      <c r="U710" s="95">
        <v>33</v>
      </c>
      <c r="AA710" s="95">
        <v>25</v>
      </c>
      <c r="AH710" s="95">
        <v>75</v>
      </c>
    </row>
    <row r="711" spans="1:34" x14ac:dyDescent="0.3">
      <c r="A711" s="89" t="str">
        <f>CONCATENATE(D711,".",F711,"-",G711,".",H711,"")</f>
        <v>1.5-3.1</v>
      </c>
      <c r="B711" s="89" t="str">
        <f>IF(CONCATENATE(I711,Key!F$2)=CONCATENATE(INDEX(Dashboard!J:J,MATCH(I711,Dashboard!J:J,0),1),INDEX(Dashboard!J:K,MATCH(I711,Dashboard!J:J,0),2)),"ON",IF(Dashboard!K$32="ALL","ON","-"))</f>
        <v>-</v>
      </c>
      <c r="C711" s="88" t="s">
        <v>110</v>
      </c>
      <c r="D711" s="89">
        <f>IF(C711="ID",1,(IF(C711="PR",2,(IF(C711="DE",3,(IF(C711="RS",4,(IF(C711="RC",5,0)))))))))</f>
        <v>1</v>
      </c>
      <c r="E711" s="89" t="s">
        <v>143</v>
      </c>
      <c r="F711" s="89">
        <f>IF(E711="AM",1,(IF(E711="BE",2,(IF(E711="GV",3,(IF(E711="RA",4,(IF(E711="RM",5,(IF(E711="AC",1,(IF(E711="AT",2,(IF(E711="DS",3,(IF(E711="IP",4,(IF(E711="MA",5,(IF(E711="PT",6,(IF(E711="AE",1,(IF(E711="CM",2,(IF(E711="DP",3,(IF(E711="AN",1,(IF(E711="CO",2,(IF(E711="IM",3,(IF(E711="MI",4,(IF(E711="RP",5,(IF(E711="SC",6,0)))))))))))))))))))))))))))))))))))))))</f>
        <v>5</v>
      </c>
      <c r="G711" s="52">
        <v>3</v>
      </c>
      <c r="H711" s="89">
        <v>1</v>
      </c>
      <c r="I711" s="93" t="s">
        <v>85</v>
      </c>
      <c r="J711" s="86" t="s">
        <v>1008</v>
      </c>
      <c r="K711" s="119" t="s">
        <v>1009</v>
      </c>
      <c r="L711" s="117">
        <f>IF(O711="","",N711*O711*M711)</f>
        <v>0</v>
      </c>
      <c r="M711" s="108">
        <v>1</v>
      </c>
      <c r="N711" s="95">
        <v>1</v>
      </c>
      <c r="O711" s="109">
        <f>IF(Key!D$1="ON",P711,IF(SUM(Q711:DL711)&lt;1,"",SUM(Q711:DL711)/COUNTIF(Q711:DL711,"&gt;0")))</f>
        <v>0</v>
      </c>
      <c r="P711" s="109">
        <f>SUMIFS(Q711:DK711,Q$1:DK$1,Dashboard!$K$31)</f>
        <v>0</v>
      </c>
      <c r="U711" s="95">
        <v>33</v>
      </c>
      <c r="AA711" s="95">
        <v>25</v>
      </c>
      <c r="AH711" s="95">
        <v>75</v>
      </c>
    </row>
    <row r="712" spans="1:34" ht="15.6" x14ac:dyDescent="0.3">
      <c r="A712" s="89" t="str">
        <f>CONCATENATE(D712,".",F712,"-",G712,".",H712,"")</f>
        <v>1.5-3.1</v>
      </c>
      <c r="B712" s="89" t="str">
        <f>IF(CONCATENATE(I712,Key!F$2)=CONCATENATE(INDEX(Dashboard!J:J,MATCH(I712,Dashboard!J:J,0),1),INDEX(Dashboard!J:K,MATCH(I712,Dashboard!J:J,0),2)),"ON",IF(Dashboard!K$32="ALL","ON","-"))</f>
        <v>-</v>
      </c>
      <c r="C712" s="96" t="s">
        <v>110</v>
      </c>
      <c r="D712" s="89">
        <f>IF(C712="ID",1,(IF(C712="PR",2,(IF(C712="DE",3,(IF(C712="RS",4,(IF(C712="RC",5,0)))))))))</f>
        <v>1</v>
      </c>
      <c r="E712" s="89" t="s">
        <v>143</v>
      </c>
      <c r="F712" s="89">
        <f>IF(E712="AM",1,(IF(E712="BE",2,(IF(E712="GV",3,(IF(E712="RA",4,(IF(E712="RM",5,(IF(E712="AC",1,(IF(E712="AT",2,(IF(E712="DS",3,(IF(E712="IP",4,(IF(E712="MA",5,(IF(E712="PT",6,(IF(E712="AE",1,(IF(E712="CM",2,(IF(E712="DP",3,(IF(E712="AN",1,(IF(E712="CO",2,(IF(E712="IM",3,(IF(E712="MI",4,(IF(E712="RP",5,(IF(E712="SC",6,0)))))))))))))))))))))))))))))))))))))))</f>
        <v>5</v>
      </c>
      <c r="G712" s="52">
        <v>3</v>
      </c>
      <c r="H712" s="90" t="s">
        <v>115</v>
      </c>
      <c r="I712" s="93" t="s">
        <v>89</v>
      </c>
      <c r="J712" s="88" t="s">
        <v>460</v>
      </c>
      <c r="K712" s="102" t="s">
        <v>461</v>
      </c>
      <c r="L712" s="117">
        <f>IF(O712="","",N712*O712*M712)</f>
        <v>0</v>
      </c>
      <c r="M712" s="108">
        <v>1</v>
      </c>
      <c r="N712" s="95">
        <v>1</v>
      </c>
      <c r="O712" s="109">
        <f>IF(Key!D$1="ON",P712,IF(SUM(Q712:DL712)&lt;1,"",SUM(Q712:DL712)/COUNTIF(Q712:DL712,"&gt;0")))</f>
        <v>0</v>
      </c>
      <c r="P712" s="109">
        <f>SUMIFS(Q712:DK712,Q$1:DK$1,Dashboard!$K$31)</f>
        <v>0</v>
      </c>
      <c r="U712" s="95">
        <v>33</v>
      </c>
      <c r="AA712" s="95">
        <v>25</v>
      </c>
      <c r="AH712" s="95">
        <v>75</v>
      </c>
    </row>
    <row r="713" spans="1:34" ht="15.6" x14ac:dyDescent="0.3">
      <c r="A713" s="89" t="str">
        <f>CONCATENATE(D713,".",F713,"-",G713,".",H713,"")</f>
        <v>1.6-0.0</v>
      </c>
      <c r="B713" s="89" t="str">
        <f>IF(CONCATENATE(I713,Key!F$2)=CONCATENATE(INDEX(Dashboard!J:J,MATCH(I713,Dashboard!J:J,0),1),INDEX(Dashboard!J:K,MATCH(I713,Dashboard!J:J,0),2)),"ON",IF(Dashboard!K$32="ALL","ON","-"))</f>
        <v>-</v>
      </c>
      <c r="C713" s="96" t="s">
        <v>110</v>
      </c>
      <c r="D713" s="89">
        <f>IF(C713="ID",1,(IF(C713="PR",2,(IF(C713="DE",3,(IF(C713="RS",4,(IF(C713="RC",5,0)))))))))</f>
        <v>1</v>
      </c>
      <c r="E713" s="89" t="s">
        <v>147</v>
      </c>
      <c r="F713" s="89">
        <f>IF(E713="AM",1,(IF(E713="BE",2,(IF(E713="GV",3,(IF(E713="RA",4,(IF(E713="RM",5,(IF(E713="AC",1,(IF(E713="AT",2,(IF(E713="DS",3,(IF(E713="IP",4,(IF(E713="MA",5,(IF(E713="PT",6,(IF(E713="AE",1,(IF(E713="CM",2,(IF(E713="DP",3,(IF(E713="AN",1,(IF(E713="CO",2,(IF(E713="IM",3,(IF(E713="MI",4,(IF(E713="RP",5,(IF(E713="SC",6,0)))))))))))))))))))))))))))))))))))))))</f>
        <v>6</v>
      </c>
      <c r="G713" s="52">
        <v>0</v>
      </c>
      <c r="H713" s="90" t="s">
        <v>347</v>
      </c>
      <c r="I713" s="93" t="s">
        <v>2835</v>
      </c>
      <c r="J713" s="153" t="s">
        <v>2899</v>
      </c>
      <c r="K713" s="152" t="s">
        <v>2900</v>
      </c>
      <c r="L713" s="117">
        <f>IF(O713="","",N713*O713*M713)</f>
        <v>0</v>
      </c>
      <c r="M713" s="108">
        <v>1</v>
      </c>
      <c r="N713" s="95">
        <v>1</v>
      </c>
      <c r="O713" s="109">
        <f>IF(Key!D$1="ON",P713,IF(SUM(Q713:DL713)&lt;1,"",SUM(Q713:DL713)/COUNTIF(Q713:DL713,"&gt;0")))</f>
        <v>0</v>
      </c>
      <c r="P713" s="109">
        <f>SUMIFS(Q713:DK713,Q$1:DK$1,Dashboard!$K$31)</f>
        <v>0</v>
      </c>
      <c r="Q713" s="110">
        <v>83</v>
      </c>
      <c r="U713" s="95">
        <v>33</v>
      </c>
    </row>
    <row r="714" spans="1:34" ht="15.6" x14ac:dyDescent="0.3">
      <c r="A714" s="89" t="str">
        <f>CONCATENATE(D714,".",F714,"-",G714,".",H714,"")</f>
        <v>1.6-0.1</v>
      </c>
      <c r="B714" s="89" t="str">
        <f>IF(CONCATENATE(I714,Key!F$2)=CONCATENATE(INDEX(Dashboard!J:J,MATCH(I714,Dashboard!J:J,0),1),INDEX(Dashboard!J:K,MATCH(I714,Dashboard!J:J,0),2)),"ON",IF(Dashboard!K$32="ALL","ON","-"))</f>
        <v>-</v>
      </c>
      <c r="C714" s="96" t="s">
        <v>110</v>
      </c>
      <c r="D714" s="89">
        <f>IF(C714="ID",1,(IF(C714="PR",2,(IF(C714="DE",3,(IF(C714="RS",4,(IF(C714="RC",5,0)))))))))</f>
        <v>1</v>
      </c>
      <c r="E714" s="89" t="s">
        <v>147</v>
      </c>
      <c r="F714" s="89">
        <f>IF(E714="AM",1,(IF(E714="BE",2,(IF(E714="GV",3,(IF(E714="RA",4,(IF(E714="RM",5,(IF(E714="AC",1,(IF(E714="AT",2,(IF(E714="DS",3,(IF(E714="IP",4,(IF(E714="MA",5,(IF(E714="PT",6,(IF(E714="AE",1,(IF(E714="CM",2,(IF(E714="DP",3,(IF(E714="AN",1,(IF(E714="CO",2,(IF(E714="IM",3,(IF(E714="MI",4,(IF(E714="RP",5,(IF(E714="SC",6,0)))))))))))))))))))))))))))))))))))))))</f>
        <v>6</v>
      </c>
      <c r="G714" s="52">
        <v>0</v>
      </c>
      <c r="H714" s="90" t="s">
        <v>115</v>
      </c>
      <c r="I714" s="93" t="s">
        <v>2835</v>
      </c>
      <c r="J714" s="153" t="s">
        <v>2899</v>
      </c>
      <c r="K714" s="152" t="s">
        <v>2901</v>
      </c>
      <c r="L714" s="117">
        <f>IF(O714="","",N714*O714*M714)</f>
        <v>0</v>
      </c>
      <c r="M714" s="108">
        <v>1</v>
      </c>
      <c r="N714" s="95">
        <v>1</v>
      </c>
      <c r="O714" s="109">
        <f>IF(Key!D$1="ON",P714,IF(SUM(Q714:DL714)&lt;1,"",SUM(Q714:DL714)/COUNTIF(Q714:DL714,"&gt;0")))</f>
        <v>0</v>
      </c>
      <c r="P714" s="109">
        <f>SUMIFS(Q714:DK714,Q$1:DK$1,Dashboard!$K$31)</f>
        <v>0</v>
      </c>
      <c r="Q714" s="110">
        <v>83</v>
      </c>
      <c r="U714" s="95">
        <v>33</v>
      </c>
      <c r="AA714" s="95">
        <v>50</v>
      </c>
    </row>
    <row r="715" spans="1:34" x14ac:dyDescent="0.3">
      <c r="A715" s="89" t="str">
        <f>CONCATENATE(D715,".",F715,"-",G715,".",H715,"")</f>
        <v>1.6-1.0</v>
      </c>
      <c r="B715" s="89" t="str">
        <f>IF(CONCATENATE(I715,Key!F$2)=CONCATENATE(INDEX(Dashboard!J:J,MATCH(I715,Dashboard!J:J,0),1),INDEX(Dashboard!J:K,MATCH(I715,Dashboard!J:J,0),2)),"ON",IF(Dashboard!K$32="ALL","ON","-"))</f>
        <v>-</v>
      </c>
      <c r="C715" s="96" t="s">
        <v>110</v>
      </c>
      <c r="D715" s="89">
        <f>IF(C715="ID",1,(IF(C715="PR",2,(IF(C715="DE",3,(IF(C715="RS",4,(IF(C715="RC",5,0)))))))))</f>
        <v>1</v>
      </c>
      <c r="E715" s="89" t="s">
        <v>147</v>
      </c>
      <c r="F715" s="89">
        <f>IF(E715="AM",1,(IF(E715="BE",2,(IF(E715="GV",3,(IF(E715="RA",4,(IF(E715="RM",5,(IF(E715="AC",1,(IF(E715="AT",2,(IF(E715="DS",3,(IF(E715="IP",4,(IF(E715="MA",5,(IF(E715="PT",6,(IF(E715="AE",1,(IF(E715="CM",2,(IF(E715="DP",3,(IF(E715="AN",1,(IF(E715="CO",2,(IF(E715="IM",3,(IF(E715="MI",4,(IF(E715="RP",5,(IF(E715="SC",6,0)))))))))))))))))))))))))))))))))))))))</f>
        <v>6</v>
      </c>
      <c r="G715" s="52">
        <v>1</v>
      </c>
      <c r="H715" s="90" t="s">
        <v>347</v>
      </c>
      <c r="I715" s="93" t="s">
        <v>2835</v>
      </c>
      <c r="J715" s="54" t="s">
        <v>2902</v>
      </c>
      <c r="K715" s="152" t="s">
        <v>2903</v>
      </c>
      <c r="L715" s="117">
        <f>IF(O715="","",N715*O715*M715)</f>
        <v>0</v>
      </c>
      <c r="M715" s="108">
        <v>1</v>
      </c>
      <c r="N715" s="95">
        <v>1</v>
      </c>
      <c r="O715" s="109">
        <f>IF(Key!D$1="ON",P715,IF(SUM(Q715:DL715)&lt;1,"",SUM(Q715:DL715)/COUNTIF(Q715:DL715,"&gt;0")))</f>
        <v>0</v>
      </c>
      <c r="P715" s="109">
        <f>SUMIFS(Q715:DK715,Q$1:DK$1,Dashboard!$K$31)</f>
        <v>0</v>
      </c>
      <c r="U715" s="95">
        <v>33</v>
      </c>
    </row>
    <row r="716" spans="1:34" x14ac:dyDescent="0.3">
      <c r="A716" s="89" t="str">
        <f>CONCATENATE(D716,".",F716,"-",G716,".",H716,"")</f>
        <v>1.6-1.1</v>
      </c>
      <c r="B716" s="89" t="str">
        <f>IF(CONCATENATE(I716,Key!F$2)=CONCATENATE(INDEX(Dashboard!J:J,MATCH(I716,Dashboard!J:J,0),1),INDEX(Dashboard!J:K,MATCH(I716,Dashboard!J:J,0),2)),"ON",IF(Dashboard!K$32="ALL","ON","-"))</f>
        <v>ON</v>
      </c>
      <c r="C716" s="130" t="s">
        <v>110</v>
      </c>
      <c r="D716" s="89">
        <f>IF(C716="ID",1,(IF(C716="PR",2,(IF(C716="DE",3,(IF(C716="RS",4,(IF(C716="RC",5,0)))))))))</f>
        <v>1</v>
      </c>
      <c r="E716" s="95" t="s">
        <v>147</v>
      </c>
      <c r="F716" s="89">
        <f>IF(E716="AM",1,(IF(E716="BE",2,(IF(E716="GV",3,(IF(E716="RA",4,(IF(E716="RM",5,(IF(E716="AC",1,(IF(E716="AT",2,(IF(E716="DS",3,(IF(E716="IP",4,(IF(E716="MA",5,(IF(E716="PT",6,(IF(E716="AE",1,(IF(E716="CM",2,(IF(E716="DP",3,(IF(E716="AN",1,(IF(E716="CO",2,(IF(E716="IM",3,(IF(E716="MI",4,(IF(E716="RP",5,(IF(E716="SC",6,0)))))))))))))))))))))))))))))))))))))))</f>
        <v>6</v>
      </c>
      <c r="G716" s="52">
        <v>1</v>
      </c>
      <c r="H716" s="90" t="s">
        <v>115</v>
      </c>
      <c r="I716" s="93" t="s">
        <v>4107</v>
      </c>
      <c r="J716" s="86" t="s">
        <v>4053</v>
      </c>
      <c r="K716" s="101" t="s">
        <v>4463</v>
      </c>
      <c r="L716" s="117">
        <f>IF(O716="","",N716*O716*M716)</f>
        <v>0</v>
      </c>
      <c r="M716" s="108">
        <v>1</v>
      </c>
      <c r="N716" s="95">
        <v>1</v>
      </c>
      <c r="O716" s="109">
        <f>IF(Key!D$1="ON",P716,IF(SUM(Q716:DL716)&lt;1,"",SUM(Q716:DL716)/COUNTIF(Q716:DL716,"&gt;0")))</f>
        <v>0</v>
      </c>
      <c r="P716" s="109">
        <f>SUMIFS(Q716:DK716,Q$1:DK$1,Dashboard!$K$31)</f>
        <v>0</v>
      </c>
      <c r="U716" s="95">
        <v>33</v>
      </c>
      <c r="AA716" s="95">
        <v>25</v>
      </c>
      <c r="AH716" s="95">
        <v>75</v>
      </c>
    </row>
    <row r="717" spans="1:34" x14ac:dyDescent="0.3">
      <c r="A717" s="89" t="str">
        <f>CONCATENATE(D717,".",F717,"-",G717,".",H717,"")</f>
        <v>1.6-1.1</v>
      </c>
      <c r="B717" s="89" t="str">
        <f>IF(CONCATENATE(I717,Key!F$2)=CONCATENATE(INDEX(Dashboard!J:J,MATCH(I717,Dashboard!J:J,0),1),INDEX(Dashboard!J:K,MATCH(I717,Dashboard!J:J,0),2)),"ON",IF(Dashboard!K$32="ALL","ON","-"))</f>
        <v>-</v>
      </c>
      <c r="C717" s="88" t="s">
        <v>110</v>
      </c>
      <c r="D717" s="89">
        <f>IF(C717="ID",1,(IF(C717="PR",2,(IF(C717="DE",3,(IF(C717="RS",4,(IF(C717="RC",5,0)))))))))</f>
        <v>1</v>
      </c>
      <c r="E717" s="89" t="s">
        <v>147</v>
      </c>
      <c r="F717" s="89">
        <f>IF(E717="AM",1,(IF(E717="BE",2,(IF(E717="GV",3,(IF(E717="RA",4,(IF(E717="RM",5,(IF(E717="AC",1,(IF(E717="AT",2,(IF(E717="DS",3,(IF(E717="IP",4,(IF(E717="MA",5,(IF(E717="PT",6,(IF(E717="AE",1,(IF(E717="CM",2,(IF(E717="DP",3,(IF(E717="AN",1,(IF(E717="CO",2,(IF(E717="IM",3,(IF(E717="MI",4,(IF(E717="RP",5,(IF(E717="SC",6,0)))))))))))))))))))))))))))))))))))))))</f>
        <v>6</v>
      </c>
      <c r="G717" s="52">
        <v>1</v>
      </c>
      <c r="H717" s="90" t="s">
        <v>115</v>
      </c>
      <c r="I717" s="93" t="s">
        <v>60</v>
      </c>
      <c r="J717" s="87" t="s">
        <v>3159</v>
      </c>
      <c r="K717" s="51" t="s">
        <v>5272</v>
      </c>
      <c r="L717" s="117">
        <f>IF(O717="","",N717*O717*M717)</f>
        <v>0</v>
      </c>
      <c r="M717" s="108">
        <v>1</v>
      </c>
      <c r="N717" s="95">
        <v>1</v>
      </c>
      <c r="O717" s="109">
        <f>IF(Key!D$1="ON",P717,IF(SUM(Q717:DL717)&lt;1,"",SUM(Q717:DL717)/COUNTIF(Q717:DL717,"&gt;0")))</f>
        <v>0</v>
      </c>
      <c r="P717" s="109">
        <f>SUMIFS(Q717:DK717,Q$1:DK$1,Dashboard!$K$31)</f>
        <v>0</v>
      </c>
      <c r="U717" s="95">
        <v>33</v>
      </c>
      <c r="AA717" s="95">
        <v>25</v>
      </c>
      <c r="AH717" s="95">
        <v>75</v>
      </c>
    </row>
    <row r="718" spans="1:34" x14ac:dyDescent="0.3">
      <c r="A718" s="89" t="str">
        <f>CONCATENATE(D718,".",F718,"-",G718,".",H718,"")</f>
        <v>1.6-1.1</v>
      </c>
      <c r="B718" s="89" t="str">
        <f>IF(CONCATENATE(I718,Key!F$2)=CONCATENATE(INDEX(Dashboard!J:J,MATCH(I718,Dashboard!J:J,0),1),INDEX(Dashboard!J:K,MATCH(I718,Dashboard!J:J,0),2)),"ON",IF(Dashboard!K$32="ALL","ON","-"))</f>
        <v>-</v>
      </c>
      <c r="C718" s="88" t="s">
        <v>110</v>
      </c>
      <c r="D718" s="89">
        <f>IF(C718="ID",1,(IF(C718="PR",2,(IF(C718="DE",3,(IF(C718="RS",4,(IF(C718="RC",5,0)))))))))</f>
        <v>1</v>
      </c>
      <c r="E718" s="89" t="s">
        <v>147</v>
      </c>
      <c r="F718" s="89">
        <f>IF(E718="AM",1,(IF(E718="BE",2,(IF(E718="GV",3,(IF(E718="RA",4,(IF(E718="RM",5,(IF(E718="AC",1,(IF(E718="AT",2,(IF(E718="DS",3,(IF(E718="IP",4,(IF(E718="MA",5,(IF(E718="PT",6,(IF(E718="AE",1,(IF(E718="CM",2,(IF(E718="DP",3,(IF(E718="AN",1,(IF(E718="CO",2,(IF(E718="IM",3,(IF(E718="MI",4,(IF(E718="RP",5,(IF(E718="SC",6,0)))))))))))))))))))))))))))))))))))))))</f>
        <v>6</v>
      </c>
      <c r="G718" s="52">
        <v>1</v>
      </c>
      <c r="H718" s="90" t="s">
        <v>115</v>
      </c>
      <c r="I718" s="93" t="s">
        <v>60</v>
      </c>
      <c r="J718" s="87" t="s">
        <v>3160</v>
      </c>
      <c r="K718" s="51" t="s">
        <v>5273</v>
      </c>
      <c r="L718" s="117">
        <f>IF(O718="","",N718*O718*M718)</f>
        <v>0</v>
      </c>
      <c r="M718" s="108">
        <v>1</v>
      </c>
      <c r="N718" s="95">
        <v>1</v>
      </c>
      <c r="O718" s="109">
        <f>IF(Key!D$1="ON",P718,IF(SUM(Q718:DL718)&lt;1,"",SUM(Q718:DL718)/COUNTIF(Q718:DL718,"&gt;0")))</f>
        <v>0</v>
      </c>
      <c r="P718" s="109">
        <f>SUMIFS(Q718:DK718,Q$1:DK$1,Dashboard!$K$31)</f>
        <v>0</v>
      </c>
      <c r="U718" s="95">
        <v>33</v>
      </c>
      <c r="AA718" s="95">
        <v>25</v>
      </c>
      <c r="AH718" s="95">
        <v>75</v>
      </c>
    </row>
    <row r="719" spans="1:34" x14ac:dyDescent="0.3">
      <c r="A719" s="89" t="str">
        <f>CONCATENATE(D719,".",F719,"-",G719,".",H719,"")</f>
        <v>1.6-1.1</v>
      </c>
      <c r="B719" s="89" t="str">
        <f>IF(CONCATENATE(I719,Key!F$2)=CONCATENATE(INDEX(Dashboard!J:J,MATCH(I719,Dashboard!J:J,0),1),INDEX(Dashboard!J:K,MATCH(I719,Dashboard!J:J,0),2)),"ON",IF(Dashboard!K$32="ALL","ON","-"))</f>
        <v>-</v>
      </c>
      <c r="C719" s="96" t="s">
        <v>110</v>
      </c>
      <c r="D719" s="89">
        <f>IF(C719="ID",1,(IF(C719="PR",2,(IF(C719="DE",3,(IF(C719="RS",4,(IF(C719="RC",5,0)))))))))</f>
        <v>1</v>
      </c>
      <c r="E719" s="89" t="s">
        <v>147</v>
      </c>
      <c r="F719" s="89">
        <f>IF(E719="AM",1,(IF(E719="BE",2,(IF(E719="GV",3,(IF(E719="RA",4,(IF(E719="RM",5,(IF(E719="AC",1,(IF(E719="AT",2,(IF(E719="DS",3,(IF(E719="IP",4,(IF(E719="MA",5,(IF(E719="PT",6,(IF(E719="AE",1,(IF(E719="CM",2,(IF(E719="DP",3,(IF(E719="AN",1,(IF(E719="CO",2,(IF(E719="IM",3,(IF(E719="MI",4,(IF(E719="RP",5,(IF(E719="SC",6,0)))))))))))))))))))))))))))))))))))))))</f>
        <v>6</v>
      </c>
      <c r="G719" s="98">
        <v>1</v>
      </c>
      <c r="H719" s="90" t="s">
        <v>115</v>
      </c>
      <c r="I719" s="93" t="s">
        <v>77</v>
      </c>
      <c r="J719" s="87" t="s">
        <v>1108</v>
      </c>
      <c r="K719" s="102" t="s">
        <v>2145</v>
      </c>
      <c r="L719" s="117">
        <f>IF(O719="","",N719*O719*M719)</f>
        <v>0</v>
      </c>
      <c r="M719" s="108">
        <v>1</v>
      </c>
      <c r="N719" s="95">
        <v>1</v>
      </c>
      <c r="O719" s="109">
        <f>IF(Key!D$1="ON",P719,IF(SUM(Q719:DL719)&lt;1,"",SUM(Q719:DL719)/COUNTIF(Q719:DL719,"&gt;0")))</f>
        <v>0</v>
      </c>
      <c r="P719" s="109">
        <f>SUMIFS(Q719:DK719,Q$1:DK$1,Dashboard!$K$31)</f>
        <v>0</v>
      </c>
      <c r="U719" s="95">
        <v>33</v>
      </c>
      <c r="AA719" s="95">
        <v>25</v>
      </c>
      <c r="AH719" s="95">
        <v>75</v>
      </c>
    </row>
    <row r="720" spans="1:34" x14ac:dyDescent="0.3">
      <c r="A720" s="89" t="str">
        <f>CONCATENATE(D720,".",F720,"-",G720,".",H720,"")</f>
        <v>1.6-1.1</v>
      </c>
      <c r="B720" s="89" t="str">
        <f>IF(CONCATENATE(I720,Key!F$2)=CONCATENATE(INDEX(Dashboard!J:J,MATCH(I720,Dashboard!J:J,0),1),INDEX(Dashboard!J:K,MATCH(I720,Dashboard!J:J,0),2)),"ON",IF(Dashboard!K$32="ALL","ON","-"))</f>
        <v>-</v>
      </c>
      <c r="C720" s="96" t="s">
        <v>110</v>
      </c>
      <c r="D720" s="89">
        <f>IF(C720="ID",1,(IF(C720="PR",2,(IF(C720="DE",3,(IF(C720="RS",4,(IF(C720="RC",5,0)))))))))</f>
        <v>1</v>
      </c>
      <c r="E720" s="89" t="s">
        <v>147</v>
      </c>
      <c r="F720" s="89">
        <f>IF(E720="AM",1,(IF(E720="BE",2,(IF(E720="GV",3,(IF(E720="RA",4,(IF(E720="RM",5,(IF(E720="AC",1,(IF(E720="AT",2,(IF(E720="DS",3,(IF(E720="IP",4,(IF(E720="MA",5,(IF(E720="PT",6,(IF(E720="AE",1,(IF(E720="CM",2,(IF(E720="DP",3,(IF(E720="AN",1,(IF(E720="CO",2,(IF(E720="IM",3,(IF(E720="MI",4,(IF(E720="RP",5,(IF(E720="SC",6,0)))))))))))))))))))))))))))))))))))))))</f>
        <v>6</v>
      </c>
      <c r="G720" s="98">
        <v>1</v>
      </c>
      <c r="H720" s="90" t="s">
        <v>115</v>
      </c>
      <c r="I720" s="93" t="s">
        <v>77</v>
      </c>
      <c r="J720" s="87" t="s">
        <v>1110</v>
      </c>
      <c r="K720" s="102" t="s">
        <v>2146</v>
      </c>
      <c r="L720" s="117">
        <f>IF(O720="","",N720*O720*M720)</f>
        <v>0</v>
      </c>
      <c r="M720" s="108">
        <v>1</v>
      </c>
      <c r="N720" s="95">
        <v>1</v>
      </c>
      <c r="O720" s="109">
        <f>IF(Key!D$1="ON",P720,IF(SUM(Q720:DL720)&lt;1,"",SUM(Q720:DL720)/COUNTIF(Q720:DL720,"&gt;0")))</f>
        <v>0</v>
      </c>
      <c r="P720" s="109">
        <f>SUMIFS(Q720:DK720,Q$1:DK$1,Dashboard!$K$31)</f>
        <v>0</v>
      </c>
      <c r="U720" s="95">
        <v>33</v>
      </c>
      <c r="AA720" s="95">
        <v>25</v>
      </c>
      <c r="AH720" s="95">
        <v>75</v>
      </c>
    </row>
    <row r="721" spans="1:34" x14ac:dyDescent="0.3">
      <c r="A721" s="89" t="str">
        <f>CONCATENATE(D721,".",F721,"-",G721,".",H721,"")</f>
        <v>1.6-1.1</v>
      </c>
      <c r="B721" s="89" t="str">
        <f>IF(CONCATENATE(I721,Key!F$2)=CONCATENATE(INDEX(Dashboard!J:J,MATCH(I721,Dashboard!J:J,0),1),INDEX(Dashboard!J:K,MATCH(I721,Dashboard!J:J,0),2)),"ON",IF(Dashboard!K$32="ALL","ON","-"))</f>
        <v>-</v>
      </c>
      <c r="C721" s="88" t="s">
        <v>110</v>
      </c>
      <c r="D721" s="89">
        <f>IF(C721="ID",1,(IF(C721="PR",2,(IF(C721="DE",3,(IF(C721="RS",4,(IF(C721="RC",5,0)))))))))</f>
        <v>1</v>
      </c>
      <c r="E721" s="89" t="s">
        <v>147</v>
      </c>
      <c r="F721" s="89">
        <f>IF(E721="AM",1,(IF(E721="BE",2,(IF(E721="GV",3,(IF(E721="RA",4,(IF(E721="RM",5,(IF(E721="AC",1,(IF(E721="AT",2,(IF(E721="DS",3,(IF(E721="IP",4,(IF(E721="MA",5,(IF(E721="PT",6,(IF(E721="AE",1,(IF(E721="CM",2,(IF(E721="DP",3,(IF(E721="AN",1,(IF(E721="CO",2,(IF(E721="IM",3,(IF(E721="MI",4,(IF(E721="RP",5,(IF(E721="SC",6,0)))))))))))))))))))))))))))))))))))))))</f>
        <v>6</v>
      </c>
      <c r="G721" s="98">
        <v>1</v>
      </c>
      <c r="H721" s="90" t="s">
        <v>115</v>
      </c>
      <c r="I721" s="93" t="s">
        <v>85</v>
      </c>
      <c r="J721" s="86" t="s">
        <v>905</v>
      </c>
      <c r="K721" s="119" t="s">
        <v>906</v>
      </c>
      <c r="L721" s="117">
        <f>IF(O721="","",N721*O721*M721)</f>
        <v>0</v>
      </c>
      <c r="M721" s="108">
        <v>1</v>
      </c>
      <c r="N721" s="95">
        <v>1</v>
      </c>
      <c r="O721" s="109">
        <f>IF(Key!D$1="ON",P721,IF(SUM(Q721:DL721)&lt;1,"",SUM(Q721:DL721)/COUNTIF(Q721:DL721,"&gt;0")))</f>
        <v>0</v>
      </c>
      <c r="P721" s="109">
        <f>SUMIFS(Q721:DK721,Q$1:DK$1,Dashboard!$K$31)</f>
        <v>0</v>
      </c>
      <c r="U721" s="95">
        <v>33</v>
      </c>
      <c r="AA721" s="95">
        <v>25</v>
      </c>
      <c r="AH721" s="95">
        <v>75</v>
      </c>
    </row>
    <row r="722" spans="1:34" x14ac:dyDescent="0.3">
      <c r="A722" s="89" t="str">
        <f>CONCATENATE(D722,".",F722,"-",G722,".",H722,"")</f>
        <v>1.6-1.1</v>
      </c>
      <c r="B722" s="89" t="str">
        <f>IF(CONCATENATE(I722,Key!F$2)=CONCATENATE(INDEX(Dashboard!J:J,MATCH(I722,Dashboard!J:J,0),1),INDEX(Dashboard!J:K,MATCH(I722,Dashboard!J:J,0),2)),"ON",IF(Dashboard!K$32="ALL","ON","-"))</f>
        <v>-</v>
      </c>
      <c r="C722" s="88" t="s">
        <v>110</v>
      </c>
      <c r="D722" s="89">
        <f>IF(C722="ID",1,(IF(C722="PR",2,(IF(C722="DE",3,(IF(C722="RS",4,(IF(C722="RC",5,0)))))))))</f>
        <v>1</v>
      </c>
      <c r="E722" s="89" t="s">
        <v>147</v>
      </c>
      <c r="F722" s="89">
        <f>IF(E722="AM",1,(IF(E722="BE",2,(IF(E722="GV",3,(IF(E722="RA",4,(IF(E722="RM",5,(IF(E722="AC",1,(IF(E722="AT",2,(IF(E722="DS",3,(IF(E722="IP",4,(IF(E722="MA",5,(IF(E722="PT",6,(IF(E722="AE",1,(IF(E722="CM",2,(IF(E722="DP",3,(IF(E722="AN",1,(IF(E722="CO",2,(IF(E722="IM",3,(IF(E722="MI",4,(IF(E722="RP",5,(IF(E722="SC",6,0)))))))))))))))))))))))))))))))))))))))</f>
        <v>6</v>
      </c>
      <c r="G722" s="98">
        <v>1</v>
      </c>
      <c r="H722" s="99">
        <v>1</v>
      </c>
      <c r="I722" s="93" t="s">
        <v>85</v>
      </c>
      <c r="J722" s="86" t="s">
        <v>898</v>
      </c>
      <c r="K722" s="119" t="s">
        <v>5166</v>
      </c>
      <c r="L722" s="117">
        <f>IF(O722="","",N722*O722*M722)</f>
        <v>0</v>
      </c>
      <c r="M722" s="108">
        <v>1</v>
      </c>
      <c r="N722" s="95">
        <v>1</v>
      </c>
      <c r="O722" s="109">
        <f>IF(Key!D$1="ON",P722,IF(SUM(Q722:DL722)&lt;1,"",SUM(Q722:DL722)/COUNTIF(Q722:DL722,"&gt;0")))</f>
        <v>0</v>
      </c>
      <c r="P722" s="109">
        <f>SUMIFS(Q722:DK722,Q$1:DK$1,Dashboard!$K$31)</f>
        <v>0</v>
      </c>
      <c r="U722" s="95">
        <v>33</v>
      </c>
      <c r="AA722" s="95">
        <v>25</v>
      </c>
      <c r="AH722" s="95">
        <v>75</v>
      </c>
    </row>
    <row r="723" spans="1:34" x14ac:dyDescent="0.3">
      <c r="A723" s="89" t="str">
        <f>CONCATENATE(D723,".",F723,"-",G723,".",H723,"")</f>
        <v>1.6-1.1</v>
      </c>
      <c r="B723" s="89" t="str">
        <f>IF(CONCATENATE(I723,Key!F$2)=CONCATENATE(INDEX(Dashboard!J:J,MATCH(I723,Dashboard!J:J,0),1),INDEX(Dashboard!J:K,MATCH(I723,Dashboard!J:J,0),2)),"ON",IF(Dashboard!K$32="ALL","ON","-"))</f>
        <v>-</v>
      </c>
      <c r="C723" s="88" t="s">
        <v>110</v>
      </c>
      <c r="D723" s="89">
        <f>IF(C723="ID",1,(IF(C723="PR",2,(IF(C723="DE",3,(IF(C723="RS",4,(IF(C723="RC",5,0)))))))))</f>
        <v>1</v>
      </c>
      <c r="E723" s="89" t="s">
        <v>147</v>
      </c>
      <c r="F723" s="89">
        <f>IF(E723="AM",1,(IF(E723="BE",2,(IF(E723="GV",3,(IF(E723="RA",4,(IF(E723="RM",5,(IF(E723="AC",1,(IF(E723="AT",2,(IF(E723="DS",3,(IF(E723="IP",4,(IF(E723="MA",5,(IF(E723="PT",6,(IF(E723="AE",1,(IF(E723="CM",2,(IF(E723="DP",3,(IF(E723="AN",1,(IF(E723="CO",2,(IF(E723="IM",3,(IF(E723="MI",4,(IF(E723="RP",5,(IF(E723="SC",6,0)))))))))))))))))))))))))))))))))))))))</f>
        <v>6</v>
      </c>
      <c r="G723" s="52">
        <v>1</v>
      </c>
      <c r="H723" s="90" t="s">
        <v>115</v>
      </c>
      <c r="I723" s="93" t="s">
        <v>85</v>
      </c>
      <c r="J723" s="86" t="s">
        <v>895</v>
      </c>
      <c r="K723" s="119" t="s">
        <v>5165</v>
      </c>
      <c r="L723" s="117">
        <f>IF(O723="","",N723*O723*M723)</f>
        <v>0</v>
      </c>
      <c r="M723" s="108">
        <v>0.9</v>
      </c>
      <c r="N723" s="95">
        <v>1</v>
      </c>
      <c r="O723" s="109">
        <f>IF(Key!D$1="ON",P723,IF(SUM(Q723:DL723)&lt;1,"",SUM(Q723:DL723)/COUNTIF(Q723:DL723,"&gt;0")))</f>
        <v>0</v>
      </c>
      <c r="P723" s="109">
        <f>SUMIFS(Q723:DK723,Q$1:DK$1,Dashboard!$K$31)</f>
        <v>0</v>
      </c>
      <c r="S723" s="95">
        <v>50</v>
      </c>
      <c r="T723" s="95">
        <v>80</v>
      </c>
      <c r="U723" s="95">
        <v>33</v>
      </c>
      <c r="AA723" s="95">
        <v>25</v>
      </c>
      <c r="AH723" s="95">
        <v>75</v>
      </c>
    </row>
    <row r="724" spans="1:34" ht="15.6" x14ac:dyDescent="0.3">
      <c r="A724" s="89" t="str">
        <f>CONCATENATE(D724,".",F724,"-",G724,".",H724,"")</f>
        <v>1.6-1.1</v>
      </c>
      <c r="B724" s="89" t="str">
        <f>IF(CONCATENATE(I724,Key!F$2)=CONCATENATE(INDEX(Dashboard!J:J,MATCH(I724,Dashboard!J:J,0),1),INDEX(Dashboard!J:K,MATCH(I724,Dashboard!J:J,0),2)),"ON",IF(Dashboard!K$32="ALL","ON","-"))</f>
        <v>-</v>
      </c>
      <c r="C724" s="88" t="s">
        <v>110</v>
      </c>
      <c r="D724" s="89">
        <f>IF(C724="ID",1,(IF(C724="PR",2,(IF(C724="DE",3,(IF(C724="RS",4,(IF(C724="RC",5,0)))))))))</f>
        <v>1</v>
      </c>
      <c r="E724" s="89" t="s">
        <v>147</v>
      </c>
      <c r="F724" s="89">
        <f>IF(E724="AM",1,(IF(E724="BE",2,(IF(E724="GV",3,(IF(E724="RA",4,(IF(E724="RM",5,(IF(E724="AC",1,(IF(E724="AT",2,(IF(E724="DS",3,(IF(E724="IP",4,(IF(E724="MA",5,(IF(E724="PT",6,(IF(E724="AE",1,(IF(E724="CM",2,(IF(E724="DP",3,(IF(E724="AN",1,(IF(E724="CO",2,(IF(E724="IM",3,(IF(E724="MI",4,(IF(E724="RP",5,(IF(E724="SC",6,0)))))))))))))))))))))))))))))))))))))))</f>
        <v>6</v>
      </c>
      <c r="G724" s="98">
        <v>1</v>
      </c>
      <c r="H724" s="99">
        <v>1</v>
      </c>
      <c r="I724" s="93" t="s">
        <v>85</v>
      </c>
      <c r="J724" s="86" t="s">
        <v>896</v>
      </c>
      <c r="K724" s="119" t="s">
        <v>897</v>
      </c>
      <c r="L724" s="117">
        <f>IF(O724="","",N724*O724*M724)</f>
        <v>0</v>
      </c>
      <c r="M724" s="108">
        <v>1</v>
      </c>
      <c r="N724" s="95">
        <v>1</v>
      </c>
      <c r="O724" s="109">
        <f>IF(Key!D$1="ON",P724,IF(SUM(Q724:DL724)&lt;1,"",SUM(Q724:DL724)/COUNTIF(Q724:DL724,"&gt;0")))</f>
        <v>0</v>
      </c>
      <c r="P724" s="109">
        <f>SUMIFS(Q724:DK724,Q$1:DK$1,Dashboard!$K$31)</f>
        <v>0</v>
      </c>
      <c r="U724" s="95">
        <v>33</v>
      </c>
      <c r="AA724" s="95">
        <v>25</v>
      </c>
      <c r="AH724" s="95">
        <v>75</v>
      </c>
    </row>
    <row r="725" spans="1:34" ht="15.6" x14ac:dyDescent="0.3">
      <c r="A725" s="89" t="str">
        <f>CONCATENATE(D725,".",F725,"-",G725,".",H725,"")</f>
        <v>1.6-1.1</v>
      </c>
      <c r="B725" s="89" t="str">
        <f>IF(CONCATENATE(I725,Key!F$2)=CONCATENATE(INDEX(Dashboard!J:J,MATCH(I725,Dashboard!J:J,0),1),INDEX(Dashboard!J:K,MATCH(I725,Dashboard!J:J,0),2)),"ON",IF(Dashboard!K$32="ALL","ON","-"))</f>
        <v>-</v>
      </c>
      <c r="C725" s="88" t="s">
        <v>110</v>
      </c>
      <c r="D725" s="89">
        <f>IF(C725="ID",1,(IF(C725="PR",2,(IF(C725="DE",3,(IF(C725="RS",4,(IF(C725="RC",5,0)))))))))</f>
        <v>1</v>
      </c>
      <c r="E725" s="89" t="s">
        <v>147</v>
      </c>
      <c r="F725" s="89">
        <f>IF(E725="AM",1,(IF(E725="BE",2,(IF(E725="GV",3,(IF(E725="RA",4,(IF(E725="RM",5,(IF(E725="AC",1,(IF(E725="AT",2,(IF(E725="DS",3,(IF(E725="IP",4,(IF(E725="MA",5,(IF(E725="PT",6,(IF(E725="AE",1,(IF(E725="CM",2,(IF(E725="DP",3,(IF(E725="AN",1,(IF(E725="CO",2,(IF(E725="IM",3,(IF(E725="MI",4,(IF(E725="RP",5,(IF(E725="SC",6,0)))))))))))))))))))))))))))))))))))))))</f>
        <v>6</v>
      </c>
      <c r="G725" s="52">
        <v>1</v>
      </c>
      <c r="H725" s="90" t="s">
        <v>115</v>
      </c>
      <c r="I725" s="93" t="s">
        <v>85</v>
      </c>
      <c r="J725" s="86" t="s">
        <v>893</v>
      </c>
      <c r="K725" s="119" t="s">
        <v>894</v>
      </c>
      <c r="L725" s="117">
        <f>IF(O725="","",N725*O725*M725)</f>
        <v>0</v>
      </c>
      <c r="M725" s="108">
        <v>1</v>
      </c>
      <c r="N725" s="95">
        <v>1</v>
      </c>
      <c r="O725" s="109">
        <f>IF(Key!D$1="ON",P725,IF(SUM(Q725:DL725)&lt;1,"",SUM(Q725:DL725)/COUNTIF(Q725:DL725,"&gt;0")))</f>
        <v>0</v>
      </c>
      <c r="P725" s="109">
        <f>SUMIFS(Q725:DK725,Q$1:DK$1,Dashboard!$K$31)</f>
        <v>0</v>
      </c>
      <c r="U725" s="95">
        <v>33</v>
      </c>
      <c r="AA725" s="95">
        <v>25</v>
      </c>
      <c r="AH725" s="95">
        <v>75</v>
      </c>
    </row>
    <row r="726" spans="1:34" x14ac:dyDescent="0.3">
      <c r="A726" s="89" t="str">
        <f>CONCATENATE(D726,".",F726,"-",G726,".",H726,"")</f>
        <v>1.6-1.1</v>
      </c>
      <c r="B726" s="89" t="str">
        <f>IF(CONCATENATE(I726,Key!F$2)=CONCATENATE(INDEX(Dashboard!J:J,MATCH(I726,Dashboard!J:J,0),1),INDEX(Dashboard!J:K,MATCH(I726,Dashboard!J:J,0),2)),"ON",IF(Dashboard!K$32="ALL","ON","-"))</f>
        <v>-</v>
      </c>
      <c r="C726" s="96" t="s">
        <v>110</v>
      </c>
      <c r="D726" s="89">
        <f>IF(C726="ID",1,(IF(C726="PR",2,(IF(C726="DE",3,(IF(C726="RS",4,(IF(C726="RC",5,0)))))))))</f>
        <v>1</v>
      </c>
      <c r="E726" s="89" t="s">
        <v>147</v>
      </c>
      <c r="F726" s="89">
        <f>IF(E726="AM",1,(IF(E726="BE",2,(IF(E726="GV",3,(IF(E726="RA",4,(IF(E726="RM",5,(IF(E726="AC",1,(IF(E726="AT",2,(IF(E726="DS",3,(IF(E726="IP",4,(IF(E726="MA",5,(IF(E726="PT",6,(IF(E726="AE",1,(IF(E726="CM",2,(IF(E726="DP",3,(IF(E726="AN",1,(IF(E726="CO",2,(IF(E726="IM",3,(IF(E726="MI",4,(IF(E726="RP",5,(IF(E726="SC",6,0)))))))))))))))))))))))))))))))))))))))</f>
        <v>6</v>
      </c>
      <c r="G726" s="98">
        <v>1</v>
      </c>
      <c r="H726" s="90" t="s">
        <v>115</v>
      </c>
      <c r="I726" s="93" t="s">
        <v>85</v>
      </c>
      <c r="J726" s="87" t="s">
        <v>1108</v>
      </c>
      <c r="K726" s="119" t="s">
        <v>1109</v>
      </c>
      <c r="L726" s="117">
        <f>IF(O726="","",N726*O726*M726)</f>
        <v>0</v>
      </c>
      <c r="M726" s="108">
        <v>1</v>
      </c>
      <c r="N726" s="95">
        <v>1</v>
      </c>
      <c r="O726" s="109">
        <f>IF(Key!D$1="ON",P726,IF(SUM(Q726:DL726)&lt;1,"",SUM(Q726:DL726)/COUNTIF(Q726:DL726,"&gt;0")))</f>
        <v>0</v>
      </c>
      <c r="P726" s="109">
        <f>SUMIFS(Q726:DK726,Q$1:DK$1,Dashboard!$K$31)</f>
        <v>0</v>
      </c>
      <c r="U726" s="95">
        <v>33</v>
      </c>
      <c r="AA726" s="95">
        <v>25</v>
      </c>
      <c r="AH726" s="95">
        <v>75</v>
      </c>
    </row>
    <row r="727" spans="1:34" x14ac:dyDescent="0.3">
      <c r="A727" s="89" t="str">
        <f>CONCATENATE(D727,".",F727,"-",G727,".",H727,"")</f>
        <v>1.6-1.1</v>
      </c>
      <c r="B727" s="89" t="str">
        <f>IF(CONCATENATE(I727,Key!F$2)=CONCATENATE(INDEX(Dashboard!J:J,MATCH(I727,Dashboard!J:J,0),1),INDEX(Dashboard!J:K,MATCH(I727,Dashboard!J:J,0),2)),"ON",IF(Dashboard!K$32="ALL","ON","-"))</f>
        <v>-</v>
      </c>
      <c r="C727" s="88" t="s">
        <v>110</v>
      </c>
      <c r="D727" s="89">
        <f>IF(C727="ID",1,(IF(C727="PR",2,(IF(C727="DE",3,(IF(C727="RS",4,(IF(C727="RC",5,0)))))))))</f>
        <v>1</v>
      </c>
      <c r="E727" s="89" t="s">
        <v>147</v>
      </c>
      <c r="F727" s="89">
        <f>IF(E727="AM",1,(IF(E727="BE",2,(IF(E727="GV",3,(IF(E727="RA",4,(IF(E727="RM",5,(IF(E727="AC",1,(IF(E727="AT",2,(IF(E727="DS",3,(IF(E727="IP",4,(IF(E727="MA",5,(IF(E727="PT",6,(IF(E727="AE",1,(IF(E727="CM",2,(IF(E727="DP",3,(IF(E727="AN",1,(IF(E727="CO",2,(IF(E727="IM",3,(IF(E727="MI",4,(IF(E727="RP",5,(IF(E727="SC",6,0)))))))))))))))))))))))))))))))))))))))</f>
        <v>6</v>
      </c>
      <c r="G727" s="52">
        <v>1</v>
      </c>
      <c r="H727" s="89">
        <v>1</v>
      </c>
      <c r="I727" s="93" t="s">
        <v>85</v>
      </c>
      <c r="J727" s="135" t="s">
        <v>3916</v>
      </c>
      <c r="K727" s="143" t="s">
        <v>4879</v>
      </c>
      <c r="L727" s="117">
        <f>IF(O727="","",N727*O727*M727)</f>
        <v>0</v>
      </c>
      <c r="M727" s="108">
        <v>1</v>
      </c>
      <c r="N727" s="95">
        <v>1</v>
      </c>
      <c r="O727" s="109">
        <f>IF(Key!D$1="ON",P727,IF(SUM(Q727:DL727)&lt;1,"",SUM(Q727:DL727)/COUNTIF(Q727:DL727,"&gt;0")))</f>
        <v>0</v>
      </c>
      <c r="P727" s="109">
        <f>SUMIFS(Q727:DK727,Q$1:DK$1,Dashboard!$K$31)</f>
        <v>0</v>
      </c>
      <c r="U727" s="95">
        <v>33</v>
      </c>
      <c r="AA727" s="95">
        <v>25</v>
      </c>
      <c r="AH727" s="95">
        <v>75</v>
      </c>
    </row>
    <row r="728" spans="1:34" x14ac:dyDescent="0.3">
      <c r="A728" s="89" t="str">
        <f>CONCATENATE(D728,".",F728,"-",G728,".",H728,"")</f>
        <v>1.6-1.1</v>
      </c>
      <c r="B728" s="89" t="str">
        <f>IF(CONCATENATE(I728,Key!F$2)=CONCATENATE(INDEX(Dashboard!J:J,MATCH(I728,Dashboard!J:J,0),1),INDEX(Dashboard!J:K,MATCH(I728,Dashboard!J:J,0),2)),"ON",IF(Dashboard!K$32="ALL","ON","-"))</f>
        <v>-</v>
      </c>
      <c r="C728" s="96" t="s">
        <v>110</v>
      </c>
      <c r="D728" s="89">
        <f>IF(C728="ID",1,(IF(C728="PR",2,(IF(C728="DE",3,(IF(C728="RS",4,(IF(C728="RC",5,0)))))))))</f>
        <v>1</v>
      </c>
      <c r="E728" s="89" t="s">
        <v>147</v>
      </c>
      <c r="F728" s="89">
        <f>IF(E728="AM",1,(IF(E728="BE",2,(IF(E728="GV",3,(IF(E728="RA",4,(IF(E728="RM",5,(IF(E728="AC",1,(IF(E728="AT",2,(IF(E728="DS",3,(IF(E728="IP",4,(IF(E728="MA",5,(IF(E728="PT",6,(IF(E728="AE",1,(IF(E728="CM",2,(IF(E728="DP",3,(IF(E728="AN",1,(IF(E728="CO",2,(IF(E728="IM",3,(IF(E728="MI",4,(IF(E728="RP",5,(IF(E728="SC",6,0)))))))))))))))))))))))))))))))))))))))</f>
        <v>6</v>
      </c>
      <c r="G728" s="52">
        <v>1</v>
      </c>
      <c r="H728" s="90" t="s">
        <v>115</v>
      </c>
      <c r="I728" s="93" t="s">
        <v>89</v>
      </c>
      <c r="J728" s="88">
        <v>500.11</v>
      </c>
      <c r="K728" s="102" t="s">
        <v>462</v>
      </c>
      <c r="L728" s="117">
        <f>IF(O728="","",N728*O728*M728)</f>
        <v>0</v>
      </c>
      <c r="M728" s="108">
        <v>1</v>
      </c>
      <c r="N728" s="95">
        <v>1</v>
      </c>
      <c r="O728" s="109">
        <f>IF(Key!D$1="ON",P728,IF(SUM(Q728:DL728)&lt;1,"",SUM(Q728:DL728)/COUNTIF(Q728:DL728,"&gt;0")))</f>
        <v>0</v>
      </c>
      <c r="P728" s="109">
        <f>SUMIFS(Q728:DK728,Q$1:DK$1,Dashboard!$K$31)</f>
        <v>0</v>
      </c>
      <c r="U728" s="95">
        <v>33</v>
      </c>
      <c r="AA728" s="95">
        <v>25</v>
      </c>
      <c r="AH728" s="95">
        <v>75</v>
      </c>
    </row>
    <row r="729" spans="1:34" x14ac:dyDescent="0.3">
      <c r="A729" s="89" t="str">
        <f>CONCATENATE(D729,".",F729,"-",G729,".",H729,"")</f>
        <v>1.6-1.1</v>
      </c>
      <c r="B729" s="89" t="str">
        <f>IF(CONCATENATE(I729,Key!F$2)=CONCATENATE(INDEX(Dashboard!J:J,MATCH(I729,Dashboard!J:J,0),1),INDEX(Dashboard!J:K,MATCH(I729,Dashboard!J:J,0),2)),"ON",IF(Dashboard!K$32="ALL","ON","-"))</f>
        <v>-</v>
      </c>
      <c r="C729" s="96" t="s">
        <v>110</v>
      </c>
      <c r="D729" s="89">
        <f>IF(C729="ID",1,(IF(C729="PR",2,(IF(C729="DE",3,(IF(C729="RS",4,(IF(C729="RC",5,0)))))))))</f>
        <v>1</v>
      </c>
      <c r="E729" s="89" t="s">
        <v>147</v>
      </c>
      <c r="F729" s="89">
        <f>IF(E729="AM",1,(IF(E729="BE",2,(IF(E729="GV",3,(IF(E729="RA",4,(IF(E729="RM",5,(IF(E729="AC",1,(IF(E729="AT",2,(IF(E729="DS",3,(IF(E729="IP",4,(IF(E729="MA",5,(IF(E729="PT",6,(IF(E729="AE",1,(IF(E729="CM",2,(IF(E729="DP",3,(IF(E729="AN",1,(IF(E729="CO",2,(IF(E729="IM",3,(IF(E729="MI",4,(IF(E729="RP",5,(IF(E729="SC",6,0)))))))))))))))))))))))))))))))))))))))</f>
        <v>6</v>
      </c>
      <c r="G729" s="52">
        <v>1</v>
      </c>
      <c r="H729" s="90" t="s">
        <v>115</v>
      </c>
      <c r="I729" s="93" t="s">
        <v>89</v>
      </c>
      <c r="J729" s="88" t="s">
        <v>463</v>
      </c>
      <c r="K729" s="102" t="s">
        <v>464</v>
      </c>
      <c r="L729" s="117">
        <f>IF(O729="","",N729*O729*M729)</f>
        <v>0</v>
      </c>
      <c r="M729" s="108">
        <v>1</v>
      </c>
      <c r="N729" s="95">
        <v>1</v>
      </c>
      <c r="O729" s="109">
        <f>IF(Key!D$1="ON",P729,IF(SUM(Q729:DL729)&lt;1,"",SUM(Q729:DL729)/COUNTIF(Q729:DL729,"&gt;0")))</f>
        <v>0</v>
      </c>
      <c r="P729" s="109">
        <f>SUMIFS(Q729:DK729,Q$1:DK$1,Dashboard!$K$31)</f>
        <v>0</v>
      </c>
      <c r="U729" s="95">
        <v>33</v>
      </c>
      <c r="AA729" s="95">
        <v>25</v>
      </c>
      <c r="AH729" s="95">
        <v>75</v>
      </c>
    </row>
    <row r="730" spans="1:34" x14ac:dyDescent="0.3">
      <c r="A730" s="89" t="str">
        <f>CONCATENATE(D730,".",F730,"-",G730,".",H730,"")</f>
        <v>1.6-1.1</v>
      </c>
      <c r="B730" s="89" t="str">
        <f>IF(CONCATENATE(I730,Key!F$2)=CONCATENATE(INDEX(Dashboard!J:J,MATCH(I730,Dashboard!J:J,0),1),INDEX(Dashboard!J:K,MATCH(I730,Dashboard!J:J,0),2)),"ON",IF(Dashboard!K$32="ALL","ON","-"))</f>
        <v>-</v>
      </c>
      <c r="C730" s="88" t="s">
        <v>110</v>
      </c>
      <c r="D730" s="89">
        <f>IF(C730="ID",1,(IF(C730="PR",2,(IF(C730="DE",3,(IF(C730="RS",4,(IF(C730="RC",5,0)))))))))</f>
        <v>1</v>
      </c>
      <c r="E730" s="89" t="s">
        <v>147</v>
      </c>
      <c r="F730" s="89">
        <f>IF(E730="AM",1,(IF(E730="BE",2,(IF(E730="GV",3,(IF(E730="RA",4,(IF(E730="RM",5,(IF(E730="AC",1,(IF(E730="AT",2,(IF(E730="DS",3,(IF(E730="IP",4,(IF(E730="MA",5,(IF(E730="PT",6,(IF(E730="AE",1,(IF(E730="CM",2,(IF(E730="DP",3,(IF(E730="AN",1,(IF(E730="CO",2,(IF(E730="IM",3,(IF(E730="MI",4,(IF(E730="RP",5,(IF(E730="SC",6,0)))))))))))))))))))))))))))))))))))))))</f>
        <v>6</v>
      </c>
      <c r="G730" s="52">
        <v>1</v>
      </c>
      <c r="H730" s="90" t="s">
        <v>115</v>
      </c>
      <c r="I730" s="93" t="s">
        <v>92</v>
      </c>
      <c r="J730" s="88" t="s">
        <v>148</v>
      </c>
      <c r="K730" s="102" t="s">
        <v>5226</v>
      </c>
      <c r="L730" s="117">
        <f>IF(O730="","",N730*O730*M730)</f>
        <v>0</v>
      </c>
      <c r="M730" s="108">
        <v>1</v>
      </c>
      <c r="N730" s="95">
        <v>1</v>
      </c>
      <c r="O730" s="109">
        <f>IF(Key!D$1="ON",P730,IF(SUM(Q730:DL730)&lt;1,"",SUM(Q730:DL730)/COUNTIF(Q730:DL730,"&gt;0")))</f>
        <v>0</v>
      </c>
      <c r="P730" s="109">
        <f>SUMIFS(Q730:DK730,Q$1:DK$1,Dashboard!$K$31)</f>
        <v>0</v>
      </c>
      <c r="U730" s="95">
        <v>33</v>
      </c>
      <c r="AA730" s="95">
        <v>25</v>
      </c>
      <c r="AH730" s="95">
        <v>75</v>
      </c>
    </row>
    <row r="731" spans="1:34" x14ac:dyDescent="0.3">
      <c r="A731" s="89" t="str">
        <f>CONCATENATE(D731,".",F731,"-",G731,".",H731,"")</f>
        <v>1.6-2.0</v>
      </c>
      <c r="B731" s="89" t="str">
        <f>IF(CONCATENATE(I731,Key!F$2)=CONCATENATE(INDEX(Dashboard!J:J,MATCH(I731,Dashboard!J:J,0),1),INDEX(Dashboard!J:K,MATCH(I731,Dashboard!J:J,0),2)),"ON",IF(Dashboard!K$32="ALL","ON","-"))</f>
        <v>-</v>
      </c>
      <c r="C731" s="96" t="s">
        <v>110</v>
      </c>
      <c r="D731" s="89">
        <f>IF(C731="ID",1,(IF(C731="PR",2,(IF(C731="DE",3,(IF(C731="RS",4,(IF(C731="RC",5,0)))))))))</f>
        <v>1</v>
      </c>
      <c r="E731" s="89" t="s">
        <v>147</v>
      </c>
      <c r="F731" s="89">
        <f>IF(E731="AM",1,(IF(E731="BE",2,(IF(E731="GV",3,(IF(E731="RA",4,(IF(E731="RM",5,(IF(E731="AC",1,(IF(E731="AT",2,(IF(E731="DS",3,(IF(E731="IP",4,(IF(E731="MA",5,(IF(E731="PT",6,(IF(E731="AE",1,(IF(E731="CM",2,(IF(E731="DP",3,(IF(E731="AN",1,(IF(E731="CO",2,(IF(E731="IM",3,(IF(E731="MI",4,(IF(E731="RP",5,(IF(E731="SC",6,0)))))))))))))))))))))))))))))))))))))))</f>
        <v>6</v>
      </c>
      <c r="G731" s="52">
        <v>2</v>
      </c>
      <c r="H731" s="90" t="s">
        <v>347</v>
      </c>
      <c r="I731" s="93" t="s">
        <v>2835</v>
      </c>
      <c r="J731" s="54" t="s">
        <v>2904</v>
      </c>
      <c r="K731" s="152" t="s">
        <v>2905</v>
      </c>
      <c r="L731" s="117">
        <f>IF(O731="","",N731*O731*M731)</f>
        <v>0</v>
      </c>
      <c r="M731" s="108">
        <v>1</v>
      </c>
      <c r="N731" s="95">
        <v>1</v>
      </c>
      <c r="O731" s="109">
        <f>IF(Key!D$1="ON",P731,IF(SUM(Q731:DL731)&lt;1,"",SUM(Q731:DL731)/COUNTIF(Q731:DL731,"&gt;0")))</f>
        <v>0</v>
      </c>
      <c r="P731" s="109">
        <f>SUMIFS(Q731:DK731,Q$1:DK$1,Dashboard!$K$31)</f>
        <v>0</v>
      </c>
      <c r="U731" s="95">
        <v>33</v>
      </c>
    </row>
    <row r="732" spans="1:34" x14ac:dyDescent="0.3">
      <c r="A732" s="89" t="str">
        <f>CONCATENATE(D732,".",F732,"-",G732,".",H732,"")</f>
        <v>1.6-2.1</v>
      </c>
      <c r="B732" s="89" t="str">
        <f>IF(CONCATENATE(I732,Key!F$2)=CONCATENATE(INDEX(Dashboard!J:J,MATCH(I732,Dashboard!J:J,0),1),INDEX(Dashboard!J:K,MATCH(I732,Dashboard!J:J,0),2)),"ON",IF(Dashboard!K$32="ALL","ON","-"))</f>
        <v>ON</v>
      </c>
      <c r="C732" s="130" t="s">
        <v>110</v>
      </c>
      <c r="D732" s="89">
        <f>IF(C732="ID",1,(IF(C732="PR",2,(IF(C732="DE",3,(IF(C732="RS",4,(IF(C732="RC",5,0)))))))))</f>
        <v>1</v>
      </c>
      <c r="E732" s="95" t="s">
        <v>147</v>
      </c>
      <c r="F732" s="89">
        <f>IF(E732="AM",1,(IF(E732="BE",2,(IF(E732="GV",3,(IF(E732="RA",4,(IF(E732="RM",5,(IF(E732="AC",1,(IF(E732="AT",2,(IF(E732="DS",3,(IF(E732="IP",4,(IF(E732="MA",5,(IF(E732="PT",6,(IF(E732="AE",1,(IF(E732="CM",2,(IF(E732="DP",3,(IF(E732="AN",1,(IF(E732="CO",2,(IF(E732="IM",3,(IF(E732="MI",4,(IF(E732="RP",5,(IF(E732="SC",6,0)))))))))))))))))))))))))))))))))))))))</f>
        <v>6</v>
      </c>
      <c r="G732" s="52">
        <v>2</v>
      </c>
      <c r="H732" s="90" t="s">
        <v>115</v>
      </c>
      <c r="I732" s="93" t="s">
        <v>4107</v>
      </c>
      <c r="J732" s="86" t="s">
        <v>4053</v>
      </c>
      <c r="K732" s="101" t="s">
        <v>4463</v>
      </c>
      <c r="L732" s="117">
        <f>IF(O732="","",N732*O732*M732)</f>
        <v>0</v>
      </c>
      <c r="M732" s="108">
        <v>1</v>
      </c>
      <c r="N732" s="95">
        <v>1</v>
      </c>
      <c r="O732" s="109">
        <f>IF(Key!D$1="ON",P732,IF(SUM(Q732:DL732)&lt;1,"",SUM(Q732:DL732)/COUNTIF(Q732:DL732,"&gt;0")))</f>
        <v>0</v>
      </c>
      <c r="P732" s="109">
        <f>SUMIFS(Q732:DK732,Q$1:DK$1,Dashboard!$K$31)</f>
        <v>0</v>
      </c>
      <c r="U732" s="95">
        <v>33</v>
      </c>
      <c r="AA732" s="95">
        <v>25</v>
      </c>
      <c r="AH732" s="95">
        <v>75</v>
      </c>
    </row>
    <row r="733" spans="1:34" x14ac:dyDescent="0.3">
      <c r="A733" s="89" t="str">
        <f>CONCATENATE(D733,".",F733,"-",G733,".",H733,"")</f>
        <v>1.6-2.1</v>
      </c>
      <c r="B733" s="89" t="str">
        <f>IF(CONCATENATE(I733,Key!F$2)=CONCATENATE(INDEX(Dashboard!J:J,MATCH(I733,Dashboard!J:J,0),1),INDEX(Dashboard!J:K,MATCH(I733,Dashboard!J:J,0),2)),"ON",IF(Dashboard!K$32="ALL","ON","-"))</f>
        <v>-</v>
      </c>
      <c r="C733" s="88" t="s">
        <v>110</v>
      </c>
      <c r="D733" s="89">
        <f>IF(C733="ID",1,(IF(C733="PR",2,(IF(C733="DE",3,(IF(C733="RS",4,(IF(C733="RC",5,0)))))))))</f>
        <v>1</v>
      </c>
      <c r="E733" s="89" t="s">
        <v>147</v>
      </c>
      <c r="F733" s="89">
        <f>IF(E733="AM",1,(IF(E733="BE",2,(IF(E733="GV",3,(IF(E733="RA",4,(IF(E733="RM",5,(IF(E733="AC",1,(IF(E733="AT",2,(IF(E733="DS",3,(IF(E733="IP",4,(IF(E733="MA",5,(IF(E733="PT",6,(IF(E733="AE",1,(IF(E733="CM",2,(IF(E733="DP",3,(IF(E733="AN",1,(IF(E733="CO",2,(IF(E733="IM",3,(IF(E733="MI",4,(IF(E733="RP",5,(IF(E733="SC",6,0)))))))))))))))))))))))))))))))))))))))</f>
        <v>6</v>
      </c>
      <c r="G733" s="52">
        <v>2</v>
      </c>
      <c r="H733" s="90" t="s">
        <v>115</v>
      </c>
      <c r="I733" s="93" t="s">
        <v>60</v>
      </c>
      <c r="J733" s="87" t="s">
        <v>3161</v>
      </c>
      <c r="K733" s="51" t="s">
        <v>5274</v>
      </c>
      <c r="L733" s="117">
        <f>IF(O733="","",N733*O733*M733)</f>
        <v>0</v>
      </c>
      <c r="M733" s="108">
        <v>1</v>
      </c>
      <c r="N733" s="95">
        <v>1</v>
      </c>
      <c r="O733" s="109">
        <f>IF(Key!D$1="ON",P733,IF(SUM(Q733:DL733)&lt;1,"",SUM(Q733:DL733)/COUNTIF(Q733:DL733,"&gt;0")))</f>
        <v>0</v>
      </c>
      <c r="P733" s="109">
        <f>SUMIFS(Q733:DK733,Q$1:DK$1,Dashboard!$K$31)</f>
        <v>0</v>
      </c>
      <c r="U733" s="95">
        <v>33</v>
      </c>
      <c r="AA733" s="95">
        <v>25</v>
      </c>
      <c r="AH733" s="95">
        <v>75</v>
      </c>
    </row>
    <row r="734" spans="1:34" x14ac:dyDescent="0.3">
      <c r="A734" s="89" t="str">
        <f>CONCATENATE(D734,".",F734,"-",G734,".",H734,"")</f>
        <v>1.6-2.1</v>
      </c>
      <c r="B734" s="89" t="str">
        <f>IF(CONCATENATE(I734,Key!F$2)=CONCATENATE(INDEX(Dashboard!J:J,MATCH(I734,Dashboard!J:J,0),1),INDEX(Dashboard!J:K,MATCH(I734,Dashboard!J:J,0),2)),"ON",IF(Dashboard!K$32="ALL","ON","-"))</f>
        <v>-</v>
      </c>
      <c r="C734" s="88" t="s">
        <v>110</v>
      </c>
      <c r="D734" s="89">
        <f>IF(C734="ID",1,(IF(C734="PR",2,(IF(C734="DE",3,(IF(C734="RS",4,(IF(C734="RC",5,0)))))))))</f>
        <v>1</v>
      </c>
      <c r="E734" s="89" t="s">
        <v>147</v>
      </c>
      <c r="F734" s="89">
        <f>IF(E734="AM",1,(IF(E734="BE",2,(IF(E734="GV",3,(IF(E734="RA",4,(IF(E734="RM",5,(IF(E734="AC",1,(IF(E734="AT",2,(IF(E734="DS",3,(IF(E734="IP",4,(IF(E734="MA",5,(IF(E734="PT",6,(IF(E734="AE",1,(IF(E734="CM",2,(IF(E734="DP",3,(IF(E734="AN",1,(IF(E734="CO",2,(IF(E734="IM",3,(IF(E734="MI",4,(IF(E734="RP",5,(IF(E734="SC",6,0)))))))))))))))))))))))))))))))))))))))</f>
        <v>6</v>
      </c>
      <c r="G734" s="52">
        <v>2</v>
      </c>
      <c r="H734" s="90" t="s">
        <v>115</v>
      </c>
      <c r="I734" s="93" t="s">
        <v>64</v>
      </c>
      <c r="J734" s="87" t="s">
        <v>982</v>
      </c>
      <c r="K734" s="102" t="s">
        <v>2057</v>
      </c>
      <c r="L734" s="117">
        <f>IF(O734="","",N734*O734*M734)</f>
        <v>0</v>
      </c>
      <c r="M734" s="108">
        <v>1</v>
      </c>
      <c r="N734" s="95">
        <v>1</v>
      </c>
      <c r="O734" s="109">
        <f>IF(Key!D$1="ON",P734,IF(SUM(Q734:DL734)&lt;1,"",SUM(Q734:DL734)/COUNTIF(Q734:DL734,"&gt;0")))</f>
        <v>0</v>
      </c>
      <c r="P734" s="109">
        <f>SUMIFS(Q734:DK734,Q$1:DK$1,Dashboard!$K$31)</f>
        <v>0</v>
      </c>
      <c r="U734" s="95">
        <v>33</v>
      </c>
      <c r="AA734" s="95">
        <v>25</v>
      </c>
      <c r="AH734" s="95">
        <v>75</v>
      </c>
    </row>
    <row r="735" spans="1:34" x14ac:dyDescent="0.3">
      <c r="A735" s="89" t="str">
        <f>CONCATENATE(D735,".",F735,"-",G735,".",H735,"")</f>
        <v>1.6-2.1</v>
      </c>
      <c r="B735" s="89" t="str">
        <f>IF(CONCATENATE(I735,Key!F$2)=CONCATENATE(INDEX(Dashboard!J:J,MATCH(I735,Dashboard!J:J,0),1),INDEX(Dashboard!J:K,MATCH(I735,Dashboard!J:J,0),2)),"ON",IF(Dashboard!K$32="ALL","ON","-"))</f>
        <v>-</v>
      </c>
      <c r="C735" s="88" t="s">
        <v>110</v>
      </c>
      <c r="D735" s="89">
        <f>IF(C735="ID",1,(IF(C735="PR",2,(IF(C735="DE",3,(IF(C735="RS",4,(IF(C735="RC",5,0)))))))))</f>
        <v>1</v>
      </c>
      <c r="E735" s="89" t="s">
        <v>147</v>
      </c>
      <c r="F735" s="89">
        <f>IF(E735="AM",1,(IF(E735="BE",2,(IF(E735="GV",3,(IF(E735="RA",4,(IF(E735="RM",5,(IF(E735="AC",1,(IF(E735="AT",2,(IF(E735="DS",3,(IF(E735="IP",4,(IF(E735="MA",5,(IF(E735="PT",6,(IF(E735="AE",1,(IF(E735="CM",2,(IF(E735="DP",3,(IF(E735="AN",1,(IF(E735="CO",2,(IF(E735="IM",3,(IF(E735="MI",4,(IF(E735="RP",5,(IF(E735="SC",6,0)))))))))))))))))))))))))))))))))))))))</f>
        <v>6</v>
      </c>
      <c r="G735" s="52">
        <v>2</v>
      </c>
      <c r="H735" s="90" t="s">
        <v>115</v>
      </c>
      <c r="I735" s="93" t="s">
        <v>64</v>
      </c>
      <c r="J735" s="87" t="s">
        <v>930</v>
      </c>
      <c r="K735" s="102" t="s">
        <v>2017</v>
      </c>
      <c r="L735" s="117">
        <f>IF(O735="","",N735*O735*M735)</f>
        <v>0</v>
      </c>
      <c r="M735" s="108">
        <v>1</v>
      </c>
      <c r="N735" s="95">
        <v>1</v>
      </c>
      <c r="O735" s="109">
        <f>IF(Key!D$1="ON",P735,IF(SUM(Q735:DL735)&lt;1,"",SUM(Q735:DL735)/COUNTIF(Q735:DL735,"&gt;0")))</f>
        <v>0</v>
      </c>
      <c r="P735" s="109">
        <f>SUMIFS(Q735:DK735,Q$1:DK$1,Dashboard!$K$31)</f>
        <v>0</v>
      </c>
      <c r="U735" s="95">
        <v>33</v>
      </c>
      <c r="AA735" s="95">
        <v>25</v>
      </c>
      <c r="AH735" s="95">
        <v>75</v>
      </c>
    </row>
    <row r="736" spans="1:34" x14ac:dyDescent="0.3">
      <c r="A736" s="89" t="str">
        <f>CONCATENATE(D736,".",F736,"-",G736,".",H736,"")</f>
        <v>1.6-2.1</v>
      </c>
      <c r="B736" s="89" t="str">
        <f>IF(CONCATENATE(I736,Key!F$2)=CONCATENATE(INDEX(Dashboard!J:J,MATCH(I736,Dashboard!J:J,0),1),INDEX(Dashboard!J:K,MATCH(I736,Dashboard!J:J,0),2)),"ON",IF(Dashboard!K$32="ALL","ON","-"))</f>
        <v>-</v>
      </c>
      <c r="C736" s="88" t="s">
        <v>110</v>
      </c>
      <c r="D736" s="89">
        <f>IF(C736="ID",1,(IF(C736="PR",2,(IF(C736="DE",3,(IF(C736="RS",4,(IF(C736="RC",5,0)))))))))</f>
        <v>1</v>
      </c>
      <c r="E736" s="89" t="s">
        <v>147</v>
      </c>
      <c r="F736" s="89">
        <f>IF(E736="AM",1,(IF(E736="BE",2,(IF(E736="GV",3,(IF(E736="RA",4,(IF(E736="RM",5,(IF(E736="AC",1,(IF(E736="AT",2,(IF(E736="DS",3,(IF(E736="IP",4,(IF(E736="MA",5,(IF(E736="PT",6,(IF(E736="AE",1,(IF(E736="CM",2,(IF(E736="DP",3,(IF(E736="AN",1,(IF(E736="CO",2,(IF(E736="IM",3,(IF(E736="MI",4,(IF(E736="RP",5,(IF(E736="SC",6,0)))))))))))))))))))))))))))))))))))))))</f>
        <v>6</v>
      </c>
      <c r="G736" s="52">
        <v>2</v>
      </c>
      <c r="H736" s="90" t="s">
        <v>115</v>
      </c>
      <c r="I736" s="93" t="s">
        <v>64</v>
      </c>
      <c r="J736" s="87" t="s">
        <v>1111</v>
      </c>
      <c r="K736" s="102" t="s">
        <v>2147</v>
      </c>
      <c r="L736" s="117">
        <f>IF(O736="","",N736*O736*M736)</f>
        <v>0</v>
      </c>
      <c r="M736" s="108">
        <v>1</v>
      </c>
      <c r="N736" s="95">
        <v>1</v>
      </c>
      <c r="O736" s="109">
        <f>IF(Key!D$1="ON",P736,IF(SUM(Q736:DL736)&lt;1,"",SUM(Q736:DL736)/COUNTIF(Q736:DL736,"&gt;0")))</f>
        <v>0</v>
      </c>
      <c r="P736" s="109">
        <f>SUMIFS(Q736:DK736,Q$1:DK$1,Dashboard!$K$31)</f>
        <v>0</v>
      </c>
      <c r="U736" s="95">
        <v>33</v>
      </c>
      <c r="AA736" s="95">
        <v>25</v>
      </c>
      <c r="AH736" s="95">
        <v>75</v>
      </c>
    </row>
    <row r="737" spans="1:34" x14ac:dyDescent="0.3">
      <c r="A737" s="89" t="str">
        <f>CONCATENATE(D737,".",F737,"-",G737,".",H737,"")</f>
        <v>1.6-2.1</v>
      </c>
      <c r="B737" s="89" t="str">
        <f>IF(CONCATENATE(I737,Key!F$2)=CONCATENATE(INDEX(Dashboard!J:J,MATCH(I737,Dashboard!J:J,0),1),INDEX(Dashboard!J:K,MATCH(I737,Dashboard!J:J,0),2)),"ON",IF(Dashboard!K$32="ALL","ON","-"))</f>
        <v>-</v>
      </c>
      <c r="C737" s="88" t="s">
        <v>110</v>
      </c>
      <c r="D737" s="89">
        <f>IF(C737="ID",1,(IF(C737="PR",2,(IF(C737="DE",3,(IF(C737="RS",4,(IF(C737="RC",5,0)))))))))</f>
        <v>1</v>
      </c>
      <c r="E737" s="89" t="s">
        <v>147</v>
      </c>
      <c r="F737" s="89">
        <f>IF(E737="AM",1,(IF(E737="BE",2,(IF(E737="GV",3,(IF(E737="RA",4,(IF(E737="RM",5,(IF(E737="AC",1,(IF(E737="AT",2,(IF(E737="DS",3,(IF(E737="IP",4,(IF(E737="MA",5,(IF(E737="PT",6,(IF(E737="AE",1,(IF(E737="CM",2,(IF(E737="DP",3,(IF(E737="AN",1,(IF(E737="CO",2,(IF(E737="IM",3,(IF(E737="MI",4,(IF(E737="RP",5,(IF(E737="SC",6,0)))))))))))))))))))))))))))))))))))))))</f>
        <v>6</v>
      </c>
      <c r="G737" s="52">
        <v>2</v>
      </c>
      <c r="H737" s="90" t="s">
        <v>115</v>
      </c>
      <c r="I737" s="93" t="s">
        <v>77</v>
      </c>
      <c r="J737" s="87" t="s">
        <v>982</v>
      </c>
      <c r="K737" s="102" t="s">
        <v>2057</v>
      </c>
      <c r="L737" s="117">
        <f>IF(O737="","",N737*O737*M737)</f>
        <v>0</v>
      </c>
      <c r="M737" s="108">
        <v>1</v>
      </c>
      <c r="N737" s="95">
        <v>1</v>
      </c>
      <c r="O737" s="109">
        <f>IF(Key!D$1="ON",P737,IF(SUM(Q737:DL737)&lt;1,"",SUM(Q737:DL737)/COUNTIF(Q737:DL737,"&gt;0")))</f>
        <v>0</v>
      </c>
      <c r="P737" s="109">
        <f>SUMIFS(Q737:DK737,Q$1:DK$1,Dashboard!$K$31)</f>
        <v>0</v>
      </c>
      <c r="U737" s="95">
        <v>33</v>
      </c>
      <c r="AA737" s="95">
        <v>25</v>
      </c>
      <c r="AH737" s="95">
        <v>75</v>
      </c>
    </row>
    <row r="738" spans="1:34" x14ac:dyDescent="0.3">
      <c r="A738" s="89" t="str">
        <f>CONCATENATE(D738,".",F738,"-",G738,".",H738,"")</f>
        <v>1.6-2.1</v>
      </c>
      <c r="B738" s="89" t="str">
        <f>IF(CONCATENATE(I738,Key!F$2)=CONCATENATE(INDEX(Dashboard!J:J,MATCH(I738,Dashboard!J:J,0),1),INDEX(Dashboard!J:K,MATCH(I738,Dashboard!J:J,0),2)),"ON",IF(Dashboard!K$32="ALL","ON","-"))</f>
        <v>-</v>
      </c>
      <c r="C738" s="88" t="s">
        <v>110</v>
      </c>
      <c r="D738" s="89">
        <f>IF(C738="ID",1,(IF(C738="PR",2,(IF(C738="DE",3,(IF(C738="RS",4,(IF(C738="RC",5,0)))))))))</f>
        <v>1</v>
      </c>
      <c r="E738" s="89" t="s">
        <v>147</v>
      </c>
      <c r="F738" s="89">
        <f>IF(E738="AM",1,(IF(E738="BE",2,(IF(E738="GV",3,(IF(E738="RA",4,(IF(E738="RM",5,(IF(E738="AC",1,(IF(E738="AT",2,(IF(E738="DS",3,(IF(E738="IP",4,(IF(E738="MA",5,(IF(E738="PT",6,(IF(E738="AE",1,(IF(E738="CM",2,(IF(E738="DP",3,(IF(E738="AN",1,(IF(E738="CO",2,(IF(E738="IM",3,(IF(E738="MI",4,(IF(E738="RP",5,(IF(E738="SC",6,0)))))))))))))))))))))))))))))))))))))))</f>
        <v>6</v>
      </c>
      <c r="G738" s="52">
        <v>2</v>
      </c>
      <c r="H738" s="90" t="s">
        <v>115</v>
      </c>
      <c r="I738" s="93" t="s">
        <v>77</v>
      </c>
      <c r="J738" s="87" t="s">
        <v>930</v>
      </c>
      <c r="K738" s="102" t="s">
        <v>2017</v>
      </c>
      <c r="L738" s="117">
        <f>IF(O738="","",N738*O738*M738)</f>
        <v>0</v>
      </c>
      <c r="M738" s="108">
        <v>1</v>
      </c>
      <c r="N738" s="95">
        <v>1</v>
      </c>
      <c r="O738" s="109">
        <f>IF(Key!D$1="ON",P738,IF(SUM(Q738:DL738)&lt;1,"",SUM(Q738:DL738)/COUNTIF(Q738:DL738,"&gt;0")))</f>
        <v>0</v>
      </c>
      <c r="P738" s="109">
        <f>SUMIFS(Q738:DK738,Q$1:DK$1,Dashboard!$K$31)</f>
        <v>0</v>
      </c>
      <c r="U738" s="95">
        <v>33</v>
      </c>
      <c r="AA738" s="95">
        <v>25</v>
      </c>
      <c r="AH738" s="95">
        <v>75</v>
      </c>
    </row>
    <row r="739" spans="1:34" x14ac:dyDescent="0.3">
      <c r="A739" s="89" t="str">
        <f>CONCATENATE(D739,".",F739,"-",G739,".",H739,"")</f>
        <v>1.6-2.1</v>
      </c>
      <c r="B739" s="89" t="str">
        <f>IF(CONCATENATE(I739,Key!F$2)=CONCATENATE(INDEX(Dashboard!J:J,MATCH(I739,Dashboard!J:J,0),1),INDEX(Dashboard!J:K,MATCH(I739,Dashboard!J:J,0),2)),"ON",IF(Dashboard!K$32="ALL","ON","-"))</f>
        <v>-</v>
      </c>
      <c r="C739" s="88" t="s">
        <v>110</v>
      </c>
      <c r="D739" s="89">
        <f>IF(C739="ID",1,(IF(C739="PR",2,(IF(C739="DE",3,(IF(C739="RS",4,(IF(C739="RC",5,0)))))))))</f>
        <v>1</v>
      </c>
      <c r="E739" s="89" t="s">
        <v>147</v>
      </c>
      <c r="F739" s="89">
        <f>IF(E739="AM",1,(IF(E739="BE",2,(IF(E739="GV",3,(IF(E739="RA",4,(IF(E739="RM",5,(IF(E739="AC",1,(IF(E739="AT",2,(IF(E739="DS",3,(IF(E739="IP",4,(IF(E739="MA",5,(IF(E739="PT",6,(IF(E739="AE",1,(IF(E739="CM",2,(IF(E739="DP",3,(IF(E739="AN",1,(IF(E739="CO",2,(IF(E739="IM",3,(IF(E739="MI",4,(IF(E739="RP",5,(IF(E739="SC",6,0)))))))))))))))))))))))))))))))))))))))</f>
        <v>6</v>
      </c>
      <c r="G739" s="52">
        <v>2</v>
      </c>
      <c r="H739" s="90" t="s">
        <v>115</v>
      </c>
      <c r="I739" s="93" t="s">
        <v>77</v>
      </c>
      <c r="J739" s="87" t="s">
        <v>1111</v>
      </c>
      <c r="K739" s="102" t="s">
        <v>2147</v>
      </c>
      <c r="L739" s="117">
        <f>IF(O739="","",N739*O739*M739)</f>
        <v>0</v>
      </c>
      <c r="M739" s="108">
        <v>1</v>
      </c>
      <c r="N739" s="95">
        <v>1</v>
      </c>
      <c r="O739" s="109">
        <f>IF(Key!D$1="ON",P739,IF(SUM(Q739:DL739)&lt;1,"",SUM(Q739:DL739)/COUNTIF(Q739:DL739,"&gt;0")))</f>
        <v>0</v>
      </c>
      <c r="P739" s="109">
        <f>SUMIFS(Q739:DK739,Q$1:DK$1,Dashboard!$K$31)</f>
        <v>0</v>
      </c>
      <c r="U739" s="95">
        <v>33</v>
      </c>
      <c r="AA739" s="95">
        <v>25</v>
      </c>
      <c r="AH739" s="95">
        <v>75</v>
      </c>
    </row>
    <row r="740" spans="1:34" x14ac:dyDescent="0.3">
      <c r="A740" s="89" t="str">
        <f>CONCATENATE(D740,".",F740,"-",G740,".",H740,"")</f>
        <v>1.6-2.1</v>
      </c>
      <c r="B740" s="89" t="str">
        <f>IF(CONCATENATE(I740,Key!F$2)=CONCATENATE(INDEX(Dashboard!J:J,MATCH(I740,Dashboard!J:J,0),1),INDEX(Dashboard!J:K,MATCH(I740,Dashboard!J:J,0),2)),"ON",IF(Dashboard!K$32="ALL","ON","-"))</f>
        <v>-</v>
      </c>
      <c r="C740" s="88" t="s">
        <v>110</v>
      </c>
      <c r="D740" s="89">
        <f>IF(C740="ID",1,(IF(C740="PR",2,(IF(C740="DE",3,(IF(C740="RS",4,(IF(C740="RC",5,0)))))))))</f>
        <v>1</v>
      </c>
      <c r="E740" s="89" t="s">
        <v>147</v>
      </c>
      <c r="F740" s="89">
        <f>IF(E740="AM",1,(IF(E740="BE",2,(IF(E740="GV",3,(IF(E740="RA",4,(IF(E740="RM",5,(IF(E740="AC",1,(IF(E740="AT",2,(IF(E740="DS",3,(IF(E740="IP",4,(IF(E740="MA",5,(IF(E740="PT",6,(IF(E740="AE",1,(IF(E740="CM",2,(IF(E740="DP",3,(IF(E740="AN",1,(IF(E740="CO",2,(IF(E740="IM",3,(IF(E740="MI",4,(IF(E740="RP",5,(IF(E740="SC",6,0)))))))))))))))))))))))))))))))))))))))</f>
        <v>6</v>
      </c>
      <c r="G740" s="52">
        <v>2</v>
      </c>
      <c r="H740" s="90" t="s">
        <v>115</v>
      </c>
      <c r="I740" s="93" t="s">
        <v>85</v>
      </c>
      <c r="J740" s="87" t="s">
        <v>771</v>
      </c>
      <c r="K740" s="119" t="s">
        <v>772</v>
      </c>
      <c r="L740" s="117">
        <f>IF(O740="","",N740*O740*M740)</f>
        <v>0</v>
      </c>
      <c r="M740" s="108">
        <v>1</v>
      </c>
      <c r="N740" s="95">
        <v>1</v>
      </c>
      <c r="O740" s="109">
        <f>IF(Key!D$1="ON",P740,IF(SUM(Q740:DL740)&lt;1,"",SUM(Q740:DL740)/COUNTIF(Q740:DL740,"&gt;0")))</f>
        <v>0</v>
      </c>
      <c r="P740" s="109">
        <f>SUMIFS(Q740:DK740,Q$1:DK$1,Dashboard!$K$31)</f>
        <v>0</v>
      </c>
      <c r="U740" s="95">
        <v>33</v>
      </c>
      <c r="AA740" s="95">
        <v>25</v>
      </c>
      <c r="AH740" s="95">
        <v>75</v>
      </c>
    </row>
    <row r="741" spans="1:34" ht="15.6" x14ac:dyDescent="0.3">
      <c r="A741" s="89" t="str">
        <f>CONCATENATE(D741,".",F741,"-",G741,".",H741,"")</f>
        <v>1.6-2.1</v>
      </c>
      <c r="B741" s="89" t="str">
        <f>IF(CONCATENATE(I741,Key!F$2)=CONCATENATE(INDEX(Dashboard!J:J,MATCH(I741,Dashboard!J:J,0),1),INDEX(Dashboard!J:K,MATCH(I741,Dashboard!J:J,0),2)),"ON",IF(Dashboard!K$32="ALL","ON","-"))</f>
        <v>-</v>
      </c>
      <c r="C741" s="88" t="s">
        <v>110</v>
      </c>
      <c r="D741" s="89">
        <f>IF(C741="ID",1,(IF(C741="PR",2,(IF(C741="DE",3,(IF(C741="RS",4,(IF(C741="RC",5,0)))))))))</f>
        <v>1</v>
      </c>
      <c r="E741" s="89" t="s">
        <v>147</v>
      </c>
      <c r="F741" s="89">
        <f>IF(E741="AM",1,(IF(E741="BE",2,(IF(E741="GV",3,(IF(E741="RA",4,(IF(E741="RM",5,(IF(E741="AC",1,(IF(E741="AT",2,(IF(E741="DS",3,(IF(E741="IP",4,(IF(E741="MA",5,(IF(E741="PT",6,(IF(E741="AE",1,(IF(E741="CM",2,(IF(E741="DP",3,(IF(E741="AN",1,(IF(E741="CO",2,(IF(E741="IM",3,(IF(E741="MI",4,(IF(E741="RP",5,(IF(E741="SC",6,0)))))))))))))))))))))))))))))))))))))))</f>
        <v>6</v>
      </c>
      <c r="G741" s="98">
        <v>2</v>
      </c>
      <c r="H741" s="90" t="s">
        <v>115</v>
      </c>
      <c r="I741" s="93" t="s">
        <v>85</v>
      </c>
      <c r="J741" s="86" t="s">
        <v>902</v>
      </c>
      <c r="K741" s="119" t="s">
        <v>5168</v>
      </c>
      <c r="L741" s="117">
        <f>IF(O741="","",N741*O741*M741)</f>
        <v>0</v>
      </c>
      <c r="M741" s="108">
        <v>1</v>
      </c>
      <c r="N741" s="95">
        <v>1</v>
      </c>
      <c r="O741" s="109">
        <f>IF(Key!D$1="ON",P741,IF(SUM(Q741:DL741)&lt;1,"",SUM(Q741:DL741)/COUNTIF(Q741:DL741,"&gt;0")))</f>
        <v>0</v>
      </c>
      <c r="P741" s="109">
        <f>SUMIFS(Q741:DK741,Q$1:DK$1,Dashboard!$K$31)</f>
        <v>0</v>
      </c>
      <c r="U741" s="95">
        <v>33</v>
      </c>
      <c r="AA741" s="95">
        <v>25</v>
      </c>
      <c r="AH741" s="95">
        <v>75</v>
      </c>
    </row>
    <row r="742" spans="1:34" x14ac:dyDescent="0.3">
      <c r="A742" s="89" t="str">
        <f>CONCATENATE(D742,".",F742,"-",G742,".",H742,"")</f>
        <v>1.6-2.1</v>
      </c>
      <c r="B742" s="89" t="str">
        <f>IF(CONCATENATE(I742,Key!F$2)=CONCATENATE(INDEX(Dashboard!J:J,MATCH(I742,Dashboard!J:J,0),1),INDEX(Dashboard!J:K,MATCH(I742,Dashboard!J:J,0),2)),"ON",IF(Dashboard!K$32="ALL","ON","-"))</f>
        <v>-</v>
      </c>
      <c r="C742" s="88" t="s">
        <v>110</v>
      </c>
      <c r="D742" s="89">
        <f>IF(C742="ID",1,(IF(C742="PR",2,(IF(C742="DE",3,(IF(C742="RS",4,(IF(C742="RC",5,0)))))))))</f>
        <v>1</v>
      </c>
      <c r="E742" s="89" t="s">
        <v>147</v>
      </c>
      <c r="F742" s="89">
        <f>IF(E742="AM",1,(IF(E742="BE",2,(IF(E742="GV",3,(IF(E742="RA",4,(IF(E742="RM",5,(IF(E742="AC",1,(IF(E742="AT",2,(IF(E742="DS",3,(IF(E742="IP",4,(IF(E742="MA",5,(IF(E742="PT",6,(IF(E742="AE",1,(IF(E742="CM",2,(IF(E742="DP",3,(IF(E742="AN",1,(IF(E742="CO",2,(IF(E742="IM",3,(IF(E742="MI",4,(IF(E742="RP",5,(IF(E742="SC",6,0)))))))))))))))))))))))))))))))))))))))</f>
        <v>6</v>
      </c>
      <c r="G742" s="98">
        <v>2</v>
      </c>
      <c r="H742" s="90" t="s">
        <v>115</v>
      </c>
      <c r="I742" s="93" t="s">
        <v>85</v>
      </c>
      <c r="J742" s="87" t="s">
        <v>902</v>
      </c>
      <c r="K742" s="119" t="s">
        <v>5168</v>
      </c>
      <c r="L742" s="117">
        <f>IF(O742="","",N742*O742*M742)</f>
        <v>0</v>
      </c>
      <c r="M742" s="108">
        <v>1</v>
      </c>
      <c r="N742" s="95">
        <v>1</v>
      </c>
      <c r="O742" s="109">
        <f>IF(Key!D$1="ON",P742,IF(SUM(Q742:DL742)&lt;1,"",SUM(Q742:DL742)/COUNTIF(Q742:DL742,"&gt;0")))</f>
        <v>0</v>
      </c>
      <c r="P742" s="109">
        <f>SUMIFS(Q742:DK742,Q$1:DK$1,Dashboard!$K$31)</f>
        <v>0</v>
      </c>
      <c r="U742" s="95">
        <v>33</v>
      </c>
      <c r="AA742" s="95">
        <v>25</v>
      </c>
      <c r="AH742" s="95">
        <v>75</v>
      </c>
    </row>
    <row r="743" spans="1:34" x14ac:dyDescent="0.3">
      <c r="A743" s="89" t="str">
        <f>CONCATENATE(D743,".",F743,"-",G743,".",H743,"")</f>
        <v>1.6-2.1</v>
      </c>
      <c r="B743" s="89" t="str">
        <f>IF(CONCATENATE(I743,Key!F$2)=CONCATENATE(INDEX(Dashboard!J:J,MATCH(I743,Dashboard!J:J,0),1),INDEX(Dashboard!J:K,MATCH(I743,Dashboard!J:J,0),2)),"ON",IF(Dashboard!K$32="ALL","ON","-"))</f>
        <v>-</v>
      </c>
      <c r="C743" s="96" t="s">
        <v>110</v>
      </c>
      <c r="D743" s="89">
        <f>IF(C743="ID",1,(IF(C743="PR",2,(IF(C743="DE",3,(IF(C743="RS",4,(IF(C743="RC",5,0)))))))))</f>
        <v>1</v>
      </c>
      <c r="E743" s="89" t="s">
        <v>147</v>
      </c>
      <c r="F743" s="89">
        <f>IF(E743="AM",1,(IF(E743="BE",2,(IF(E743="GV",3,(IF(E743="RA",4,(IF(E743="RM",5,(IF(E743="AC",1,(IF(E743="AT",2,(IF(E743="DS",3,(IF(E743="IP",4,(IF(E743="MA",5,(IF(E743="PT",6,(IF(E743="AE",1,(IF(E743="CM",2,(IF(E743="DP",3,(IF(E743="AN",1,(IF(E743="CO",2,(IF(E743="IM",3,(IF(E743="MI",4,(IF(E743="RP",5,(IF(E743="SC",6,0)))))))))))))))))))))))))))))))))))))))</f>
        <v>6</v>
      </c>
      <c r="G743" s="52">
        <v>2</v>
      </c>
      <c r="H743" s="90" t="s">
        <v>115</v>
      </c>
      <c r="I743" s="93" t="s">
        <v>85</v>
      </c>
      <c r="J743" s="86" t="s">
        <v>762</v>
      </c>
      <c r="K743" s="119" t="s">
        <v>4898</v>
      </c>
      <c r="L743" s="117">
        <f>IF(O743="","",N743*O743*M743)</f>
        <v>0</v>
      </c>
      <c r="M743" s="108">
        <v>1</v>
      </c>
      <c r="N743" s="95">
        <v>1</v>
      </c>
      <c r="O743" s="109">
        <f>IF(Key!D$1="ON",P743,IF(SUM(Q743:DL743)&lt;1,"",SUM(Q743:DL743)/COUNTIF(Q743:DL743,"&gt;0")))</f>
        <v>0</v>
      </c>
      <c r="P743" s="109">
        <f>SUMIFS(Q743:DK743,Q$1:DK$1,Dashboard!$K$31)</f>
        <v>0</v>
      </c>
      <c r="U743" s="95">
        <v>33</v>
      </c>
      <c r="AA743" s="95">
        <v>25</v>
      </c>
      <c r="AH743" s="95">
        <v>75</v>
      </c>
    </row>
    <row r="744" spans="1:34" ht="15.6" x14ac:dyDescent="0.3">
      <c r="A744" s="89" t="str">
        <f>CONCATENATE(D744,".",F744,"-",G744,".",H744,"")</f>
        <v>1.6-2.1</v>
      </c>
      <c r="B744" s="89" t="str">
        <f>IF(CONCATENATE(I744,Key!F$2)=CONCATENATE(INDEX(Dashboard!J:J,MATCH(I744,Dashboard!J:J,0),1),INDEX(Dashboard!J:K,MATCH(I744,Dashboard!J:J,0),2)),"ON",IF(Dashboard!K$32="ALL","ON","-"))</f>
        <v>-</v>
      </c>
      <c r="C744" s="88" t="s">
        <v>110</v>
      </c>
      <c r="D744" s="89">
        <f>IF(C744="ID",1,(IF(C744="PR",2,(IF(C744="DE",3,(IF(C744="RS",4,(IF(C744="RC",5,0)))))))))</f>
        <v>1</v>
      </c>
      <c r="E744" s="89" t="s">
        <v>147</v>
      </c>
      <c r="F744" s="89">
        <f>IF(E744="AM",1,(IF(E744="BE",2,(IF(E744="GV",3,(IF(E744="RA",4,(IF(E744="RM",5,(IF(E744="AC",1,(IF(E744="AT",2,(IF(E744="DS",3,(IF(E744="IP",4,(IF(E744="MA",5,(IF(E744="PT",6,(IF(E744="AE",1,(IF(E744="CM",2,(IF(E744="DP",3,(IF(E744="AN",1,(IF(E744="CO",2,(IF(E744="IM",3,(IF(E744="MI",4,(IF(E744="RP",5,(IF(E744="SC",6,0)))))))))))))))))))))))))))))))))))))))</f>
        <v>6</v>
      </c>
      <c r="G744" s="52">
        <v>2</v>
      </c>
      <c r="H744" s="89">
        <v>1</v>
      </c>
      <c r="I744" s="93" t="s">
        <v>85</v>
      </c>
      <c r="J744" s="86" t="s">
        <v>734</v>
      </c>
      <c r="K744" s="119" t="s">
        <v>735</v>
      </c>
      <c r="L744" s="117">
        <f>IF(O744="","",N744*O744*M744)</f>
        <v>0</v>
      </c>
      <c r="M744" s="108">
        <v>1</v>
      </c>
      <c r="N744" s="95">
        <v>1</v>
      </c>
      <c r="O744" s="109">
        <f>IF(Key!D$1="ON",P744,IF(SUM(Q744:DL744)&lt;1,"",SUM(Q744:DL744)/COUNTIF(Q744:DL744,"&gt;0")))</f>
        <v>0</v>
      </c>
      <c r="P744" s="109">
        <f>SUMIFS(Q744:DK744,Q$1:DK$1,Dashboard!$K$31)</f>
        <v>0</v>
      </c>
      <c r="U744" s="95">
        <v>33</v>
      </c>
      <c r="AA744" s="95">
        <v>25</v>
      </c>
      <c r="AH744" s="95">
        <v>75</v>
      </c>
    </row>
    <row r="745" spans="1:34" x14ac:dyDescent="0.3">
      <c r="A745" s="89" t="str">
        <f>CONCATENATE(D745,".",F745,"-",G745,".",H745,"")</f>
        <v>1.6-2.1</v>
      </c>
      <c r="B745" s="89" t="str">
        <f>IF(CONCATENATE(I745,Key!F$2)=CONCATENATE(INDEX(Dashboard!J:J,MATCH(I745,Dashboard!J:J,0),1),INDEX(Dashboard!J:K,MATCH(I745,Dashboard!J:J,0),2)),"ON",IF(Dashboard!K$32="ALL","ON","-"))</f>
        <v>-</v>
      </c>
      <c r="C745" s="96" t="s">
        <v>110</v>
      </c>
      <c r="D745" s="89">
        <f>IF(C745="ID",1,(IF(C745="PR",2,(IF(C745="DE",3,(IF(C745="RS",4,(IF(C745="RC",5,0)))))))))</f>
        <v>1</v>
      </c>
      <c r="E745" s="89" t="s">
        <v>147</v>
      </c>
      <c r="F745" s="89">
        <f>IF(E745="AM",1,(IF(E745="BE",2,(IF(E745="GV",3,(IF(E745="RA",4,(IF(E745="RM",5,(IF(E745="AC",1,(IF(E745="AT",2,(IF(E745="DS",3,(IF(E745="IP",4,(IF(E745="MA",5,(IF(E745="PT",6,(IF(E745="AE",1,(IF(E745="CM",2,(IF(E745="DP",3,(IF(E745="AN",1,(IF(E745="CO",2,(IF(E745="IM",3,(IF(E745="MI",4,(IF(E745="RP",5,(IF(E745="SC",6,0)))))))))))))))))))))))))))))))))))))))</f>
        <v>6</v>
      </c>
      <c r="G745" s="52">
        <v>2</v>
      </c>
      <c r="H745" s="90" t="s">
        <v>115</v>
      </c>
      <c r="I745" s="93" t="s">
        <v>89</v>
      </c>
      <c r="J745" s="88" t="s">
        <v>465</v>
      </c>
      <c r="K745" s="102" t="s">
        <v>466</v>
      </c>
      <c r="L745" s="117">
        <f>IF(O745="","",N745*O745*M745)</f>
        <v>0</v>
      </c>
      <c r="M745" s="108">
        <v>1</v>
      </c>
      <c r="N745" s="95">
        <v>1</v>
      </c>
      <c r="O745" s="109">
        <f>IF(Key!D$1="ON",P745,IF(SUM(Q745:DL745)&lt;1,"",SUM(Q745:DL745)/COUNTIF(Q745:DL745,"&gt;0")))</f>
        <v>0</v>
      </c>
      <c r="P745" s="109">
        <f>SUMIFS(Q745:DK745,Q$1:DK$1,Dashboard!$K$31)</f>
        <v>0</v>
      </c>
      <c r="U745" s="95">
        <v>33</v>
      </c>
      <c r="AA745" s="95">
        <v>25</v>
      </c>
      <c r="AH745" s="95">
        <v>75</v>
      </c>
    </row>
    <row r="746" spans="1:34" x14ac:dyDescent="0.3">
      <c r="A746" s="89" t="str">
        <f>CONCATENATE(D746,".",F746,"-",G746,".",H746,"")</f>
        <v>1.6-2.1</v>
      </c>
      <c r="B746" s="89" t="str">
        <f>IF(CONCATENATE(I746,Key!F$2)=CONCATENATE(INDEX(Dashboard!J:J,MATCH(I746,Dashboard!J:J,0),1),INDEX(Dashboard!J:K,MATCH(I746,Dashboard!J:J,0),2)),"ON",IF(Dashboard!K$32="ALL","ON","-"))</f>
        <v>-</v>
      </c>
      <c r="C746" s="88" t="s">
        <v>110</v>
      </c>
      <c r="D746" s="89">
        <f>IF(C746="ID",1,(IF(C746="PR",2,(IF(C746="DE",3,(IF(C746="RS",4,(IF(C746="RC",5,0)))))))))</f>
        <v>1</v>
      </c>
      <c r="E746" s="89" t="s">
        <v>147</v>
      </c>
      <c r="F746" s="89">
        <f>IF(E746="AM",1,(IF(E746="BE",2,(IF(E746="GV",3,(IF(E746="RA",4,(IF(E746="RM",5,(IF(E746="AC",1,(IF(E746="AT",2,(IF(E746="DS",3,(IF(E746="IP",4,(IF(E746="MA",5,(IF(E746="PT",6,(IF(E746="AE",1,(IF(E746="CM",2,(IF(E746="DP",3,(IF(E746="AN",1,(IF(E746="CO",2,(IF(E746="IM",3,(IF(E746="MI",4,(IF(E746="RP",5,(IF(E746="SC",6,0)))))))))))))))))))))))))))))))))))))))</f>
        <v>6</v>
      </c>
      <c r="G746" s="52">
        <v>2</v>
      </c>
      <c r="H746" s="90" t="s">
        <v>115</v>
      </c>
      <c r="I746" s="93" t="s">
        <v>92</v>
      </c>
      <c r="J746" s="88" t="s">
        <v>149</v>
      </c>
      <c r="K746" s="102" t="s">
        <v>5226</v>
      </c>
      <c r="L746" s="117">
        <f>IF(O746="","",N746*O746*M746)</f>
        <v>0</v>
      </c>
      <c r="M746" s="108">
        <v>1</v>
      </c>
      <c r="N746" s="95">
        <v>1</v>
      </c>
      <c r="O746" s="109">
        <f>IF(Key!D$1="ON",P746,IF(SUM(Q746:DL746)&lt;1,"",SUM(Q746:DL746)/COUNTIF(Q746:DL746,"&gt;0")))</f>
        <v>0</v>
      </c>
      <c r="P746" s="109">
        <f>SUMIFS(Q746:DK746,Q$1:DK$1,Dashboard!$K$31)</f>
        <v>0</v>
      </c>
      <c r="U746" s="95">
        <v>33</v>
      </c>
      <c r="AA746" s="95">
        <v>25</v>
      </c>
      <c r="AH746" s="95">
        <v>75</v>
      </c>
    </row>
    <row r="747" spans="1:34" x14ac:dyDescent="0.3">
      <c r="A747" s="89" t="str">
        <f>CONCATENATE(D747,".",F747,"-",G747,".",H747,"")</f>
        <v>1.6-2.2</v>
      </c>
      <c r="B747" s="89" t="str">
        <f>IF(CONCATENATE(I747,Key!F$2)=CONCATENATE(INDEX(Dashboard!J:J,MATCH(I747,Dashboard!J:J,0),1),INDEX(Dashboard!J:K,MATCH(I747,Dashboard!J:J,0),2)),"ON",IF(Dashboard!K$32="ALL","ON","-"))</f>
        <v>-</v>
      </c>
      <c r="C747" s="96" t="s">
        <v>110</v>
      </c>
      <c r="D747" s="89">
        <f>IF(C747="ID",1,(IF(C747="PR",2,(IF(C747="DE",3,(IF(C747="RS",4,(IF(C747="RC",5,0)))))))))</f>
        <v>1</v>
      </c>
      <c r="E747" s="89" t="s">
        <v>147</v>
      </c>
      <c r="F747" s="89">
        <f>IF(E747="AM",1,(IF(E747="BE",2,(IF(E747="GV",3,(IF(E747="RA",4,(IF(E747="RM",5,(IF(E747="AC",1,(IF(E747="AT",2,(IF(E747="DS",3,(IF(E747="IP",4,(IF(E747="MA",5,(IF(E747="PT",6,(IF(E747="AE",1,(IF(E747="CM",2,(IF(E747="DP",3,(IF(E747="AN",1,(IF(E747="CO",2,(IF(E747="IM",3,(IF(E747="MI",4,(IF(E747="RP",5,(IF(E747="SC",6,0)))))))))))))))))))))))))))))))))))))))</f>
        <v>6</v>
      </c>
      <c r="G747" s="98">
        <v>2</v>
      </c>
      <c r="H747" s="90" t="s">
        <v>112</v>
      </c>
      <c r="I747" s="93" t="s">
        <v>64</v>
      </c>
      <c r="J747" s="86" t="s">
        <v>1110</v>
      </c>
      <c r="K747" s="103" t="s">
        <v>2146</v>
      </c>
      <c r="L747" s="117">
        <f>IF(O747="","",N747*O747*M747)</f>
        <v>0</v>
      </c>
      <c r="M747" s="108">
        <v>1</v>
      </c>
      <c r="N747" s="95">
        <v>1</v>
      </c>
      <c r="O747" s="109">
        <f>IF(Key!D$1="ON",P747,IF(SUM(Q747:DL747)&lt;1,"",SUM(Q747:DL747)/COUNTIF(Q747:DL747,"&gt;0")))</f>
        <v>0</v>
      </c>
      <c r="P747" s="109">
        <f>SUMIFS(Q747:DK747,Q$1:DK$1,Dashboard!$K$31)</f>
        <v>0</v>
      </c>
      <c r="U747" s="95">
        <v>33</v>
      </c>
      <c r="AA747" s="95">
        <v>25</v>
      </c>
      <c r="AH747" s="95">
        <v>75</v>
      </c>
    </row>
    <row r="748" spans="1:34" ht="15.6" x14ac:dyDescent="0.3">
      <c r="A748" s="89" t="str">
        <f>CONCATENATE(D748,".",F748,"-",G748,".",H748,"")</f>
        <v>1.6-3.0</v>
      </c>
      <c r="B748" s="89" t="str">
        <f>IF(CONCATENATE(I748,Key!F$2)=CONCATENATE(INDEX(Dashboard!J:J,MATCH(I748,Dashboard!J:J,0),1),INDEX(Dashboard!J:K,MATCH(I748,Dashboard!J:J,0),2)),"ON",IF(Dashboard!K$32="ALL","ON","-"))</f>
        <v>-</v>
      </c>
      <c r="C748" s="96" t="s">
        <v>110</v>
      </c>
      <c r="D748" s="89">
        <f>IF(C748="ID",1,(IF(C748="PR",2,(IF(C748="DE",3,(IF(C748="RS",4,(IF(C748="RC",5,0)))))))))</f>
        <v>1</v>
      </c>
      <c r="E748" s="89" t="s">
        <v>147</v>
      </c>
      <c r="F748" s="89">
        <f>IF(E748="AM",1,(IF(E748="BE",2,(IF(E748="GV",3,(IF(E748="RA",4,(IF(E748="RM",5,(IF(E748="AC",1,(IF(E748="AT",2,(IF(E748="DS",3,(IF(E748="IP",4,(IF(E748="MA",5,(IF(E748="PT",6,(IF(E748="AE",1,(IF(E748="CM",2,(IF(E748="DP",3,(IF(E748="AN",1,(IF(E748="CO",2,(IF(E748="IM",3,(IF(E748="MI",4,(IF(E748="RP",5,(IF(E748="SC",6,0)))))))))))))))))))))))))))))))))))))))</f>
        <v>6</v>
      </c>
      <c r="G748" s="52">
        <v>3</v>
      </c>
      <c r="H748" s="90" t="s">
        <v>347</v>
      </c>
      <c r="I748" s="93" t="s">
        <v>2835</v>
      </c>
      <c r="J748" s="54" t="s">
        <v>2906</v>
      </c>
      <c r="K748" s="152" t="s">
        <v>2907</v>
      </c>
      <c r="L748" s="117">
        <f>IF(O748="","",N748*O748*M748)</f>
        <v>0</v>
      </c>
      <c r="M748" s="108">
        <v>1</v>
      </c>
      <c r="N748" s="95">
        <v>1</v>
      </c>
      <c r="O748" s="109">
        <f>IF(Key!D$1="ON",P748,IF(SUM(Q748:DL748)&lt;1,"",SUM(Q748:DL748)/COUNTIF(Q748:DL748,"&gt;0")))</f>
        <v>0</v>
      </c>
      <c r="P748" s="109">
        <f>SUMIFS(Q748:DK748,Q$1:DK$1,Dashboard!$K$31)</f>
        <v>0</v>
      </c>
      <c r="U748" s="95">
        <v>33</v>
      </c>
    </row>
    <row r="749" spans="1:34" x14ac:dyDescent="0.3">
      <c r="A749" s="89" t="str">
        <f>CONCATENATE(D749,".",F749,"-",G749,".",H749,"")</f>
        <v>1.6-3.1</v>
      </c>
      <c r="B749" s="89" t="str">
        <f>IF(CONCATENATE(I749,Key!F$2)=CONCATENATE(INDEX(Dashboard!J:J,MATCH(I749,Dashboard!J:J,0),1),INDEX(Dashboard!J:K,MATCH(I749,Dashboard!J:J,0),2)),"ON",IF(Dashboard!K$32="ALL","ON","-"))</f>
        <v>-</v>
      </c>
      <c r="C749" s="96" t="s">
        <v>110</v>
      </c>
      <c r="D749" s="89">
        <f>IF(C749="ID",1,(IF(C749="PR",2,(IF(C749="DE",3,(IF(C749="RS",4,(IF(C749="RC",5,0)))))))))</f>
        <v>1</v>
      </c>
      <c r="E749" s="89" t="s">
        <v>147</v>
      </c>
      <c r="F749" s="89">
        <f>IF(E749="AM",1,(IF(E749="BE",2,(IF(E749="GV",3,(IF(E749="RA",4,(IF(E749="RM",5,(IF(E749="AC",1,(IF(E749="AT",2,(IF(E749="DS",3,(IF(E749="IP",4,(IF(E749="MA",5,(IF(E749="PT",6,(IF(E749="AE",1,(IF(E749="CM",2,(IF(E749="DP",3,(IF(E749="AN",1,(IF(E749="CO",2,(IF(E749="IM",3,(IF(E749="MI",4,(IF(E749="RP",5,(IF(E749="SC",6,0)))))))))))))))))))))))))))))))))))))))</f>
        <v>6</v>
      </c>
      <c r="G749" s="98">
        <v>3</v>
      </c>
      <c r="H749" s="90" t="s">
        <v>115</v>
      </c>
      <c r="I749" s="93" t="s">
        <v>52</v>
      </c>
      <c r="J749" s="88" t="s">
        <v>3286</v>
      </c>
      <c r="K749" s="103" t="s">
        <v>3287</v>
      </c>
      <c r="L749" s="117">
        <f>IF(O749="","",N749*O749*M749)</f>
        <v>0</v>
      </c>
      <c r="M749" s="108">
        <v>1</v>
      </c>
      <c r="N749" s="95">
        <v>1</v>
      </c>
      <c r="O749" s="109">
        <f>IF(Key!D$1="ON",P749,IF(SUM(Q749:DL749)&lt;1,"",SUM(Q749:DL749)/COUNTIF(Q749:DL749,"&gt;0")))</f>
        <v>0</v>
      </c>
      <c r="P749" s="109">
        <f>SUMIFS(Q749:DK749,Q$1:DK$1,Dashboard!$K$31)</f>
        <v>0</v>
      </c>
      <c r="U749" s="95">
        <v>33</v>
      </c>
      <c r="AA749" s="95">
        <v>25</v>
      </c>
      <c r="AH749" s="95">
        <v>75</v>
      </c>
    </row>
    <row r="750" spans="1:34" x14ac:dyDescent="0.3">
      <c r="A750" s="89" t="str">
        <f>CONCATENATE(D750,".",F750,"-",G750,".",H750,"")</f>
        <v>1.6-3.1</v>
      </c>
      <c r="B750" s="89" t="str">
        <f>IF(CONCATENATE(I750,Key!F$2)=CONCATENATE(INDEX(Dashboard!J:J,MATCH(I750,Dashboard!J:J,0),1),INDEX(Dashboard!J:K,MATCH(I750,Dashboard!J:J,0),2)),"ON",IF(Dashboard!K$32="ALL","ON","-"))</f>
        <v>-</v>
      </c>
      <c r="C750" s="96" t="s">
        <v>110</v>
      </c>
      <c r="D750" s="89">
        <f>IF(C750="ID",1,(IF(C750="PR",2,(IF(C750="DE",3,(IF(C750="RS",4,(IF(C750="RC",5,0)))))))))</f>
        <v>1</v>
      </c>
      <c r="E750" s="89" t="s">
        <v>147</v>
      </c>
      <c r="F750" s="89">
        <f>IF(E750="AM",1,(IF(E750="BE",2,(IF(E750="GV",3,(IF(E750="RA",4,(IF(E750="RM",5,(IF(E750="AC",1,(IF(E750="AT",2,(IF(E750="DS",3,(IF(E750="IP",4,(IF(E750="MA",5,(IF(E750="PT",6,(IF(E750="AE",1,(IF(E750="CM",2,(IF(E750="DP",3,(IF(E750="AN",1,(IF(E750="CO",2,(IF(E750="IM",3,(IF(E750="MI",4,(IF(E750="RP",5,(IF(E750="SC",6,0)))))))))))))))))))))))))))))))))))))))</f>
        <v>6</v>
      </c>
      <c r="G750" s="98">
        <v>3</v>
      </c>
      <c r="H750" s="90" t="s">
        <v>115</v>
      </c>
      <c r="I750" s="93" t="s">
        <v>52</v>
      </c>
      <c r="J750" s="88" t="s">
        <v>3335</v>
      </c>
      <c r="K750" s="103" t="s">
        <v>3336</v>
      </c>
      <c r="L750" s="117">
        <f>IF(O750="","",N750*O750*M750)</f>
        <v>0</v>
      </c>
      <c r="M750" s="108">
        <v>1</v>
      </c>
      <c r="N750" s="95">
        <v>1</v>
      </c>
      <c r="O750" s="109">
        <f>IF(Key!D$1="ON",P750,IF(SUM(Q750:DL750)&lt;1,"",SUM(Q750:DL750)/COUNTIF(Q750:DL750,"&gt;0")))</f>
        <v>0</v>
      </c>
      <c r="P750" s="109">
        <f>SUMIFS(Q750:DK750,Q$1:DK$1,Dashboard!$K$31)</f>
        <v>0</v>
      </c>
      <c r="U750" s="95">
        <v>33</v>
      </c>
      <c r="AA750" s="95">
        <v>25</v>
      </c>
      <c r="AH750" s="95">
        <v>75</v>
      </c>
    </row>
    <row r="751" spans="1:34" x14ac:dyDescent="0.3">
      <c r="A751" s="89" t="str">
        <f>CONCATENATE(D751,".",F751,"-",G751,".",H751,"")</f>
        <v>1.6-3.1</v>
      </c>
      <c r="B751" s="89" t="str">
        <f>IF(CONCATENATE(I751,Key!F$2)=CONCATENATE(INDEX(Dashboard!J:J,MATCH(I751,Dashboard!J:J,0),1),INDEX(Dashboard!J:K,MATCH(I751,Dashboard!J:J,0),2)),"ON",IF(Dashboard!K$32="ALL","ON","-"))</f>
        <v>-</v>
      </c>
      <c r="C751" s="96" t="s">
        <v>110</v>
      </c>
      <c r="D751" s="89">
        <f>IF(C751="ID",1,(IF(C751="PR",2,(IF(C751="DE",3,(IF(C751="RS",4,(IF(C751="RC",5,0)))))))))</f>
        <v>1</v>
      </c>
      <c r="E751" s="89" t="s">
        <v>147</v>
      </c>
      <c r="F751" s="89">
        <f>IF(E751="AM",1,(IF(E751="BE",2,(IF(E751="GV",3,(IF(E751="RA",4,(IF(E751="RM",5,(IF(E751="AC",1,(IF(E751="AT",2,(IF(E751="DS",3,(IF(E751="IP",4,(IF(E751="MA",5,(IF(E751="PT",6,(IF(E751="AE",1,(IF(E751="CM",2,(IF(E751="DP",3,(IF(E751="AN",1,(IF(E751="CO",2,(IF(E751="IM",3,(IF(E751="MI",4,(IF(E751="RP",5,(IF(E751="SC",6,0)))))))))))))))))))))))))))))))))))))))</f>
        <v>6</v>
      </c>
      <c r="G751" s="98">
        <v>3</v>
      </c>
      <c r="H751" s="90" t="s">
        <v>115</v>
      </c>
      <c r="I751" s="93" t="s">
        <v>52</v>
      </c>
      <c r="J751" s="88" t="s">
        <v>3337</v>
      </c>
      <c r="K751" s="102" t="s">
        <v>3338</v>
      </c>
      <c r="L751" s="117">
        <f>IF(O751="","",N751*O751*M751)</f>
        <v>0</v>
      </c>
      <c r="M751" s="108">
        <v>1</v>
      </c>
      <c r="N751" s="95">
        <v>1</v>
      </c>
      <c r="O751" s="109">
        <f>IF(Key!D$1="ON",P751,IF(SUM(Q751:DL751)&lt;1,"",SUM(Q751:DL751)/COUNTIF(Q751:DL751,"&gt;0")))</f>
        <v>0</v>
      </c>
      <c r="P751" s="109">
        <f>SUMIFS(Q751:DK751,Q$1:DK$1,Dashboard!$K$31)</f>
        <v>0</v>
      </c>
      <c r="U751" s="95">
        <v>33</v>
      </c>
      <c r="AA751" s="95">
        <v>25</v>
      </c>
      <c r="AH751" s="95">
        <v>75</v>
      </c>
    </row>
    <row r="752" spans="1:34" x14ac:dyDescent="0.3">
      <c r="A752" s="89" t="str">
        <f>CONCATENATE(D752,".",F752,"-",G752,".",H752,"")</f>
        <v>1.6-3.1</v>
      </c>
      <c r="B752" s="89" t="str">
        <f>IF(CONCATENATE(I752,Key!F$2)=CONCATENATE(INDEX(Dashboard!J:J,MATCH(I752,Dashboard!J:J,0),1),INDEX(Dashboard!J:K,MATCH(I752,Dashboard!J:J,0),2)),"ON",IF(Dashboard!K$32="ALL","ON","-"))</f>
        <v>-</v>
      </c>
      <c r="C752" s="96" t="s">
        <v>110</v>
      </c>
      <c r="D752" s="89">
        <f>IF(C752="ID",1,(IF(C752="PR",2,(IF(C752="DE",3,(IF(C752="RS",4,(IF(C752="RC",5,0)))))))))</f>
        <v>1</v>
      </c>
      <c r="E752" s="89" t="s">
        <v>147</v>
      </c>
      <c r="F752" s="89">
        <f>IF(E752="AM",1,(IF(E752="BE",2,(IF(E752="GV",3,(IF(E752="RA",4,(IF(E752="RM",5,(IF(E752="AC",1,(IF(E752="AT",2,(IF(E752="DS",3,(IF(E752="IP",4,(IF(E752="MA",5,(IF(E752="PT",6,(IF(E752="AE",1,(IF(E752="CM",2,(IF(E752="DP",3,(IF(E752="AN",1,(IF(E752="CO",2,(IF(E752="IM",3,(IF(E752="MI",4,(IF(E752="RP",5,(IF(E752="SC",6,0)))))))))))))))))))))))))))))))))))))))</f>
        <v>6</v>
      </c>
      <c r="G752" s="98">
        <v>3</v>
      </c>
      <c r="H752" s="90" t="s">
        <v>115</v>
      </c>
      <c r="I752" s="93" t="s">
        <v>52</v>
      </c>
      <c r="J752" s="88" t="s">
        <v>3339</v>
      </c>
      <c r="K752" s="102" t="s">
        <v>3340</v>
      </c>
      <c r="L752" s="117">
        <f>IF(O752="","",N752*O752*M752)</f>
        <v>0</v>
      </c>
      <c r="M752" s="108">
        <v>1</v>
      </c>
      <c r="N752" s="95">
        <v>1</v>
      </c>
      <c r="O752" s="109">
        <f>IF(Key!D$1="ON",P752,IF(SUM(Q752:DL752)&lt;1,"",SUM(Q752:DL752)/COUNTIF(Q752:DL752,"&gt;0")))</f>
        <v>0</v>
      </c>
      <c r="P752" s="109">
        <f>SUMIFS(Q752:DK752,Q$1:DK$1,Dashboard!$K$31)</f>
        <v>0</v>
      </c>
      <c r="U752" s="95">
        <v>33</v>
      </c>
      <c r="AA752" s="95">
        <v>25</v>
      </c>
      <c r="AH752" s="95">
        <v>75</v>
      </c>
    </row>
    <row r="753" spans="1:34" x14ac:dyDescent="0.3">
      <c r="A753" s="89" t="str">
        <f>CONCATENATE(D753,".",F753,"-",G753,".",H753,"")</f>
        <v>1.6-3.1</v>
      </c>
      <c r="B753" s="89" t="str">
        <f>IF(CONCATENATE(I753,Key!F$2)=CONCATENATE(INDEX(Dashboard!J:J,MATCH(I753,Dashboard!J:J,0),1),INDEX(Dashboard!J:K,MATCH(I753,Dashboard!J:J,0),2)),"ON",IF(Dashboard!K$32="ALL","ON","-"))</f>
        <v>-</v>
      </c>
      <c r="C753" s="96" t="s">
        <v>110</v>
      </c>
      <c r="D753" s="89">
        <f>IF(C753="ID",1,(IF(C753="PR",2,(IF(C753="DE",3,(IF(C753="RS",4,(IF(C753="RC",5,0)))))))))</f>
        <v>1</v>
      </c>
      <c r="E753" s="89" t="s">
        <v>147</v>
      </c>
      <c r="F753" s="89">
        <f>IF(E753="AM",1,(IF(E753="BE",2,(IF(E753="GV",3,(IF(E753="RA",4,(IF(E753="RM",5,(IF(E753="AC",1,(IF(E753="AT",2,(IF(E753="DS",3,(IF(E753="IP",4,(IF(E753="MA",5,(IF(E753="PT",6,(IF(E753="AE",1,(IF(E753="CM",2,(IF(E753="DP",3,(IF(E753="AN",1,(IF(E753="CO",2,(IF(E753="IM",3,(IF(E753="MI",4,(IF(E753="RP",5,(IF(E753="SC",6,0)))))))))))))))))))))))))))))))))))))))</f>
        <v>6</v>
      </c>
      <c r="G753" s="98">
        <v>3</v>
      </c>
      <c r="H753" s="90" t="s">
        <v>115</v>
      </c>
      <c r="I753" s="93" t="s">
        <v>52</v>
      </c>
      <c r="J753" s="88" t="s">
        <v>3341</v>
      </c>
      <c r="K753" s="103" t="s">
        <v>3342</v>
      </c>
      <c r="L753" s="117">
        <f>IF(O753="","",N753*O753*M753)</f>
        <v>0</v>
      </c>
      <c r="M753" s="108">
        <v>1</v>
      </c>
      <c r="N753" s="95">
        <v>1</v>
      </c>
      <c r="O753" s="109">
        <f>IF(Key!D$1="ON",P753,IF(SUM(Q753:DL753)&lt;1,"",SUM(Q753:DL753)/COUNTIF(Q753:DL753,"&gt;0")))</f>
        <v>0</v>
      </c>
      <c r="P753" s="109">
        <f>SUMIFS(Q753:DK753,Q$1:DK$1,Dashboard!$K$31)</f>
        <v>0</v>
      </c>
      <c r="U753" s="95">
        <v>33</v>
      </c>
      <c r="AA753" s="95">
        <v>25</v>
      </c>
      <c r="AH753" s="95">
        <v>75</v>
      </c>
    </row>
    <row r="754" spans="1:34" ht="15.6" x14ac:dyDescent="0.3">
      <c r="A754" s="89" t="str">
        <f>CONCATENATE(D754,".",F754,"-",G754,".",H754,"")</f>
        <v>1.6-3.1</v>
      </c>
      <c r="B754" s="89" t="str">
        <f>IF(CONCATENATE(I754,Key!F$2)=CONCATENATE(INDEX(Dashboard!J:J,MATCH(I754,Dashboard!J:J,0),1),INDEX(Dashboard!J:K,MATCH(I754,Dashboard!J:J,0),2)),"ON",IF(Dashboard!K$32="ALL","ON","-"))</f>
        <v>-</v>
      </c>
      <c r="C754" s="96" t="s">
        <v>110</v>
      </c>
      <c r="D754" s="89">
        <f>IF(C754="ID",1,(IF(C754="PR",2,(IF(C754="DE",3,(IF(C754="RS",4,(IF(C754="RC",5,0)))))))))</f>
        <v>1</v>
      </c>
      <c r="E754" s="89" t="s">
        <v>147</v>
      </c>
      <c r="F754" s="89">
        <f>IF(E754="AM",1,(IF(E754="BE",2,(IF(E754="GV",3,(IF(E754="RA",4,(IF(E754="RM",5,(IF(E754="AC",1,(IF(E754="AT",2,(IF(E754="DS",3,(IF(E754="IP",4,(IF(E754="MA",5,(IF(E754="PT",6,(IF(E754="AE",1,(IF(E754="CM",2,(IF(E754="DP",3,(IF(E754="AN",1,(IF(E754="CO",2,(IF(E754="IM",3,(IF(E754="MI",4,(IF(E754="RP",5,(IF(E754="SC",6,0)))))))))))))))))))))))))))))))))))))))</f>
        <v>6</v>
      </c>
      <c r="G754" s="98">
        <v>3</v>
      </c>
      <c r="H754" s="90" t="s">
        <v>115</v>
      </c>
      <c r="I754" s="93" t="s">
        <v>52</v>
      </c>
      <c r="J754" s="88" t="s">
        <v>3343</v>
      </c>
      <c r="K754" s="103" t="s">
        <v>3344</v>
      </c>
      <c r="L754" s="117">
        <f>IF(O754="","",N754*O754*M754)</f>
        <v>0</v>
      </c>
      <c r="M754" s="108">
        <v>1</v>
      </c>
      <c r="N754" s="95">
        <v>1</v>
      </c>
      <c r="O754" s="109">
        <f>IF(Key!D$1="ON",P754,IF(SUM(Q754:DL754)&lt;1,"",SUM(Q754:DL754)/COUNTIF(Q754:DL754,"&gt;0")))</f>
        <v>0</v>
      </c>
      <c r="P754" s="109">
        <f>SUMIFS(Q754:DK754,Q$1:DK$1,Dashboard!$K$31)</f>
        <v>0</v>
      </c>
      <c r="U754" s="95">
        <v>33</v>
      </c>
      <c r="AA754" s="95">
        <v>25</v>
      </c>
      <c r="AH754" s="95">
        <v>75</v>
      </c>
    </row>
    <row r="755" spans="1:34" ht="15.6" x14ac:dyDescent="0.3">
      <c r="A755" s="89" t="str">
        <f>CONCATENATE(D755,".",F755,"-",G755,".",H755,"")</f>
        <v>1.6-3.1</v>
      </c>
      <c r="B755" s="89" t="str">
        <f>IF(CONCATENATE(I755,Key!F$2)=CONCATENATE(INDEX(Dashboard!J:J,MATCH(I755,Dashboard!J:J,0),1),INDEX(Dashboard!J:K,MATCH(I755,Dashboard!J:J,0),2)),"ON",IF(Dashboard!K$32="ALL","ON","-"))</f>
        <v>-</v>
      </c>
      <c r="C755" s="96" t="s">
        <v>110</v>
      </c>
      <c r="D755" s="89">
        <f>IF(C755="ID",1,(IF(C755="PR",2,(IF(C755="DE",3,(IF(C755="RS",4,(IF(C755="RC",5,0)))))))))</f>
        <v>1</v>
      </c>
      <c r="E755" s="89" t="s">
        <v>147</v>
      </c>
      <c r="F755" s="89">
        <f>IF(E755="AM",1,(IF(E755="BE",2,(IF(E755="GV",3,(IF(E755="RA",4,(IF(E755="RM",5,(IF(E755="AC",1,(IF(E755="AT",2,(IF(E755="DS",3,(IF(E755="IP",4,(IF(E755="MA",5,(IF(E755="PT",6,(IF(E755="AE",1,(IF(E755="CM",2,(IF(E755="DP",3,(IF(E755="AN",1,(IF(E755="CO",2,(IF(E755="IM",3,(IF(E755="MI",4,(IF(E755="RP",5,(IF(E755="SC",6,0)))))))))))))))))))))))))))))))))))))))</f>
        <v>6</v>
      </c>
      <c r="G755" s="98">
        <v>3</v>
      </c>
      <c r="H755" s="90" t="s">
        <v>115</v>
      </c>
      <c r="I755" s="93" t="s">
        <v>52</v>
      </c>
      <c r="J755" s="88" t="s">
        <v>3345</v>
      </c>
      <c r="K755" s="103" t="s">
        <v>3346</v>
      </c>
      <c r="L755" s="117">
        <f>IF(O755="","",N755*O755*M755)</f>
        <v>0</v>
      </c>
      <c r="M755" s="108">
        <v>1</v>
      </c>
      <c r="N755" s="95">
        <v>1</v>
      </c>
      <c r="O755" s="109">
        <f>IF(Key!D$1="ON",P755,IF(SUM(Q755:DL755)&lt;1,"",SUM(Q755:DL755)/COUNTIF(Q755:DL755,"&gt;0")))</f>
        <v>0</v>
      </c>
      <c r="P755" s="109">
        <f>SUMIFS(Q755:DK755,Q$1:DK$1,Dashboard!$K$31)</f>
        <v>0</v>
      </c>
      <c r="U755" s="95">
        <v>33</v>
      </c>
      <c r="AA755" s="95">
        <v>25</v>
      </c>
      <c r="AH755" s="95">
        <v>75</v>
      </c>
    </row>
    <row r="756" spans="1:34" x14ac:dyDescent="0.3">
      <c r="A756" s="89" t="str">
        <f>CONCATENATE(D756,".",F756,"-",G756,".",H756,"")</f>
        <v>1.6-3.1</v>
      </c>
      <c r="B756" s="89" t="str">
        <f>IF(CONCATENATE(I756,Key!F$2)=CONCATENATE(INDEX(Dashboard!J:J,MATCH(I756,Dashboard!J:J,0),1),INDEX(Dashboard!J:K,MATCH(I756,Dashboard!J:J,0),2)),"ON",IF(Dashboard!K$32="ALL","ON","-"))</f>
        <v>-</v>
      </c>
      <c r="C756" s="96" t="s">
        <v>110</v>
      </c>
      <c r="D756" s="89">
        <f>IF(C756="ID",1,(IF(C756="PR",2,(IF(C756="DE",3,(IF(C756="RS",4,(IF(C756="RC",5,0)))))))))</f>
        <v>1</v>
      </c>
      <c r="E756" s="89" t="s">
        <v>147</v>
      </c>
      <c r="F756" s="89">
        <f>IF(E756="AM",1,(IF(E756="BE",2,(IF(E756="GV",3,(IF(E756="RA",4,(IF(E756="RM",5,(IF(E756="AC",1,(IF(E756="AT",2,(IF(E756="DS",3,(IF(E756="IP",4,(IF(E756="MA",5,(IF(E756="PT",6,(IF(E756="AE",1,(IF(E756="CM",2,(IF(E756="DP",3,(IF(E756="AN",1,(IF(E756="CO",2,(IF(E756="IM",3,(IF(E756="MI",4,(IF(E756="RP",5,(IF(E756="SC",6,0)))))))))))))))))))))))))))))))))))))))</f>
        <v>6</v>
      </c>
      <c r="G756" s="98">
        <v>3</v>
      </c>
      <c r="H756" s="90" t="s">
        <v>115</v>
      </c>
      <c r="I756" s="93" t="s">
        <v>52</v>
      </c>
      <c r="J756" s="88" t="s">
        <v>3347</v>
      </c>
      <c r="K756" s="103" t="s">
        <v>3348</v>
      </c>
      <c r="L756" s="117">
        <f>IF(O756="","",N756*O756*M756)</f>
        <v>0</v>
      </c>
      <c r="M756" s="108">
        <v>1</v>
      </c>
      <c r="N756" s="95">
        <v>1</v>
      </c>
      <c r="O756" s="109">
        <f>IF(Key!D$1="ON",P756,IF(SUM(Q756:DL756)&lt;1,"",SUM(Q756:DL756)/COUNTIF(Q756:DL756,"&gt;0")))</f>
        <v>0</v>
      </c>
      <c r="P756" s="109">
        <f>SUMIFS(Q756:DK756,Q$1:DK$1,Dashboard!$K$31)</f>
        <v>0</v>
      </c>
      <c r="U756" s="95">
        <v>33</v>
      </c>
      <c r="AA756" s="95">
        <v>25</v>
      </c>
      <c r="AH756" s="95">
        <v>75</v>
      </c>
    </row>
    <row r="757" spans="1:34" x14ac:dyDescent="0.3">
      <c r="A757" s="89" t="str">
        <f>CONCATENATE(D757,".",F757,"-",G757,".",H757,"")</f>
        <v>1.6-3.1</v>
      </c>
      <c r="B757" s="89" t="str">
        <f>IF(CONCATENATE(I757,Key!F$2)=CONCATENATE(INDEX(Dashboard!J:J,MATCH(I757,Dashboard!J:J,0),1),INDEX(Dashboard!J:K,MATCH(I757,Dashboard!J:J,0),2)),"ON",IF(Dashboard!K$32="ALL","ON","-"))</f>
        <v>-</v>
      </c>
      <c r="C757" s="96" t="s">
        <v>110</v>
      </c>
      <c r="D757" s="89">
        <f>IF(C757="ID",1,(IF(C757="PR",2,(IF(C757="DE",3,(IF(C757="RS",4,(IF(C757="RC",5,0)))))))))</f>
        <v>1</v>
      </c>
      <c r="E757" s="89" t="s">
        <v>147</v>
      </c>
      <c r="F757" s="89">
        <f>IF(E757="AM",1,(IF(E757="BE",2,(IF(E757="GV",3,(IF(E757="RA",4,(IF(E757="RM",5,(IF(E757="AC",1,(IF(E757="AT",2,(IF(E757="DS",3,(IF(E757="IP",4,(IF(E757="MA",5,(IF(E757="PT",6,(IF(E757="AE",1,(IF(E757="CM",2,(IF(E757="DP",3,(IF(E757="AN",1,(IF(E757="CO",2,(IF(E757="IM",3,(IF(E757="MI",4,(IF(E757="RP",5,(IF(E757="SC",6,0)))))))))))))))))))))))))))))))))))))))</f>
        <v>6</v>
      </c>
      <c r="G757" s="98">
        <v>3</v>
      </c>
      <c r="H757" s="90" t="s">
        <v>115</v>
      </c>
      <c r="I757" s="93" t="s">
        <v>52</v>
      </c>
      <c r="J757" s="88" t="s">
        <v>3349</v>
      </c>
      <c r="K757" s="103" t="s">
        <v>3350</v>
      </c>
      <c r="L757" s="117">
        <f>IF(O757="","",N757*O757*M757)</f>
        <v>0</v>
      </c>
      <c r="M757" s="108">
        <v>1</v>
      </c>
      <c r="N757" s="95">
        <v>1</v>
      </c>
      <c r="O757" s="109">
        <f>IF(Key!D$1="ON",P757,IF(SUM(Q757:DL757)&lt;1,"",SUM(Q757:DL757)/COUNTIF(Q757:DL757,"&gt;0")))</f>
        <v>0</v>
      </c>
      <c r="P757" s="109">
        <f>SUMIFS(Q757:DK757,Q$1:DK$1,Dashboard!$K$31)</f>
        <v>0</v>
      </c>
      <c r="U757" s="95">
        <v>33</v>
      </c>
      <c r="AA757" s="95">
        <v>25</v>
      </c>
      <c r="AH757" s="95">
        <v>75</v>
      </c>
    </row>
    <row r="758" spans="1:34" x14ac:dyDescent="0.3">
      <c r="A758" s="89" t="str">
        <f>CONCATENATE(D758,".",F758,"-",G758,".",H758,"")</f>
        <v>1.6-3.1</v>
      </c>
      <c r="B758" s="89" t="str">
        <f>IF(CONCATENATE(I758,Key!F$2)=CONCATENATE(INDEX(Dashboard!J:J,MATCH(I758,Dashboard!J:J,0),1),INDEX(Dashboard!J:K,MATCH(I758,Dashboard!J:J,0),2)),"ON",IF(Dashboard!K$32="ALL","ON","-"))</f>
        <v>-</v>
      </c>
      <c r="C758" s="96" t="s">
        <v>110</v>
      </c>
      <c r="D758" s="89">
        <f>IF(C758="ID",1,(IF(C758="PR",2,(IF(C758="DE",3,(IF(C758="RS",4,(IF(C758="RC",5,0)))))))))</f>
        <v>1</v>
      </c>
      <c r="E758" s="89" t="s">
        <v>147</v>
      </c>
      <c r="F758" s="89">
        <f>IF(E758="AM",1,(IF(E758="BE",2,(IF(E758="GV",3,(IF(E758="RA",4,(IF(E758="RM",5,(IF(E758="AC",1,(IF(E758="AT",2,(IF(E758="DS",3,(IF(E758="IP",4,(IF(E758="MA",5,(IF(E758="PT",6,(IF(E758="AE",1,(IF(E758="CM",2,(IF(E758="DP",3,(IF(E758="AN",1,(IF(E758="CO",2,(IF(E758="IM",3,(IF(E758="MI",4,(IF(E758="RP",5,(IF(E758="SC",6,0)))))))))))))))))))))))))))))))))))))))</f>
        <v>6</v>
      </c>
      <c r="G758" s="98">
        <v>3</v>
      </c>
      <c r="H758" s="90" t="s">
        <v>115</v>
      </c>
      <c r="I758" s="93" t="s">
        <v>52</v>
      </c>
      <c r="J758" s="88" t="s">
        <v>3351</v>
      </c>
      <c r="K758" s="103" t="s">
        <v>3352</v>
      </c>
      <c r="L758" s="117">
        <f>IF(O758="","",N758*O758*M758)</f>
        <v>0</v>
      </c>
      <c r="M758" s="108">
        <v>1</v>
      </c>
      <c r="N758" s="95">
        <v>1</v>
      </c>
      <c r="O758" s="109">
        <f>IF(Key!D$1="ON",P758,IF(SUM(Q758:DL758)&lt;1,"",SUM(Q758:DL758)/COUNTIF(Q758:DL758,"&gt;0")))</f>
        <v>0</v>
      </c>
      <c r="P758" s="109">
        <f>SUMIFS(Q758:DK758,Q$1:DK$1,Dashboard!$K$31)</f>
        <v>0</v>
      </c>
      <c r="U758" s="95">
        <v>33</v>
      </c>
      <c r="AA758" s="95">
        <v>25</v>
      </c>
      <c r="AH758" s="95">
        <v>75</v>
      </c>
    </row>
    <row r="759" spans="1:34" x14ac:dyDescent="0.3">
      <c r="A759" s="89" t="str">
        <f>CONCATENATE(D759,".",F759,"-",G759,".",H759,"")</f>
        <v>1.6-3.1</v>
      </c>
      <c r="B759" s="89" t="str">
        <f>IF(CONCATENATE(I759,Key!F$2)=CONCATENATE(INDEX(Dashboard!J:J,MATCH(I759,Dashboard!J:J,0),1),INDEX(Dashboard!J:K,MATCH(I759,Dashboard!J:J,0),2)),"ON",IF(Dashboard!K$32="ALL","ON","-"))</f>
        <v>-</v>
      </c>
      <c r="C759" s="88" t="s">
        <v>110</v>
      </c>
      <c r="D759" s="89">
        <f>IF(C759="ID",1,(IF(C759="PR",2,(IF(C759="DE",3,(IF(C759="RS",4,(IF(C759="RC",5,0)))))))))</f>
        <v>1</v>
      </c>
      <c r="E759" s="89" t="s">
        <v>147</v>
      </c>
      <c r="F759" s="89">
        <f>IF(E759="AM",1,(IF(E759="BE",2,(IF(E759="GV",3,(IF(E759="RA",4,(IF(E759="RM",5,(IF(E759="AC",1,(IF(E759="AT",2,(IF(E759="DS",3,(IF(E759="IP",4,(IF(E759="MA",5,(IF(E759="PT",6,(IF(E759="AE",1,(IF(E759="CM",2,(IF(E759="DP",3,(IF(E759="AN",1,(IF(E759="CO",2,(IF(E759="IM",3,(IF(E759="MI",4,(IF(E759="RP",5,(IF(E759="SC",6,0)))))))))))))))))))))))))))))))))))))))</f>
        <v>6</v>
      </c>
      <c r="G759" s="52">
        <v>3</v>
      </c>
      <c r="H759" s="90" t="s">
        <v>115</v>
      </c>
      <c r="I759" s="93" t="s">
        <v>60</v>
      </c>
      <c r="J759" s="87" t="s">
        <v>3162</v>
      </c>
      <c r="K759" s="51" t="s">
        <v>5275</v>
      </c>
      <c r="L759" s="117">
        <f>IF(O759="","",N759*O759*M759)</f>
        <v>0</v>
      </c>
      <c r="M759" s="108">
        <v>1</v>
      </c>
      <c r="N759" s="95">
        <v>1</v>
      </c>
      <c r="O759" s="109">
        <f>IF(Key!D$1="ON",P759,IF(SUM(Q759:DL759)&lt;1,"",SUM(Q759:DL759)/COUNTIF(Q759:DL759,"&gt;0")))</f>
        <v>0</v>
      </c>
      <c r="P759" s="109">
        <f>SUMIFS(Q759:DK759,Q$1:DK$1,Dashboard!$K$31)</f>
        <v>0</v>
      </c>
      <c r="U759" s="95">
        <v>33</v>
      </c>
      <c r="AA759" s="95">
        <v>25</v>
      </c>
      <c r="AH759" s="95">
        <v>75</v>
      </c>
    </row>
    <row r="760" spans="1:34" ht="15.6" x14ac:dyDescent="0.3">
      <c r="A760" s="89" t="str">
        <f>CONCATENATE(D760,".",F760,"-",G760,".",H760,"")</f>
        <v>1.6-3.1</v>
      </c>
      <c r="B760" s="89" t="str">
        <f>IF(CONCATENATE(I760,Key!F$2)=CONCATENATE(INDEX(Dashboard!J:J,MATCH(I760,Dashboard!J:J,0),1),INDEX(Dashboard!J:K,MATCH(I760,Dashboard!J:J,0),2)),"ON",IF(Dashboard!K$32="ALL","ON","-"))</f>
        <v>-</v>
      </c>
      <c r="C760" s="88" t="s">
        <v>110</v>
      </c>
      <c r="D760" s="89">
        <f>IF(C760="ID",1,(IF(C760="PR",2,(IF(C760="DE",3,(IF(C760="RS",4,(IF(C760="RC",5,0)))))))))</f>
        <v>1</v>
      </c>
      <c r="E760" s="89" t="s">
        <v>147</v>
      </c>
      <c r="F760" s="89">
        <f>IF(E760="AM",1,(IF(E760="BE",2,(IF(E760="GV",3,(IF(E760="RA",4,(IF(E760="RM",5,(IF(E760="AC",1,(IF(E760="AT",2,(IF(E760="DS",3,(IF(E760="IP",4,(IF(E760="MA",5,(IF(E760="PT",6,(IF(E760="AE",1,(IF(E760="CM",2,(IF(E760="DP",3,(IF(E760="AN",1,(IF(E760="CO",2,(IF(E760="IM",3,(IF(E760="MI",4,(IF(E760="RP",5,(IF(E760="SC",6,0)))))))))))))))))))))))))))))))))))))))</f>
        <v>6</v>
      </c>
      <c r="G760" s="52">
        <v>3</v>
      </c>
      <c r="H760" s="89">
        <v>1</v>
      </c>
      <c r="I760" s="93" t="s">
        <v>60</v>
      </c>
      <c r="J760" s="88" t="s">
        <v>3145</v>
      </c>
      <c r="K760" s="51" t="s">
        <v>5258</v>
      </c>
      <c r="L760" s="117">
        <f>IF(O760="","",N760*O760*M760)</f>
        <v>0</v>
      </c>
      <c r="M760" s="108">
        <v>1</v>
      </c>
      <c r="N760" s="95">
        <v>1</v>
      </c>
      <c r="O760" s="109">
        <f>IF(Key!D$1="ON",P760,IF(SUM(Q760:DL760)&lt;1,"",SUM(Q760:DL760)/COUNTIF(Q760:DL760,"&gt;0")))</f>
        <v>0</v>
      </c>
      <c r="P760" s="109">
        <f>SUMIFS(Q760:DK760,Q$1:DK$1,Dashboard!$K$31)</f>
        <v>0</v>
      </c>
      <c r="U760" s="95">
        <v>33</v>
      </c>
      <c r="AA760" s="95">
        <v>25</v>
      </c>
      <c r="AH760" s="95">
        <v>75</v>
      </c>
    </row>
    <row r="761" spans="1:34" x14ac:dyDescent="0.3">
      <c r="A761" s="89" t="str">
        <f>CONCATENATE(D761,".",F761,"-",G761,".",H761,"")</f>
        <v>1.6-3.1</v>
      </c>
      <c r="B761" s="89" t="str">
        <f>IF(CONCATENATE(I761,Key!F$2)=CONCATENATE(INDEX(Dashboard!J:J,MATCH(I761,Dashboard!J:J,0),1),INDEX(Dashboard!J:K,MATCH(I761,Dashboard!J:J,0),2)),"ON",IF(Dashboard!K$32="ALL","ON","-"))</f>
        <v>-</v>
      </c>
      <c r="C761" s="88" t="s">
        <v>110</v>
      </c>
      <c r="D761" s="89">
        <f>IF(C761="ID",1,(IF(C761="PR",2,(IF(C761="DE",3,(IF(C761="RS",4,(IF(C761="RC",5,0)))))))))</f>
        <v>1</v>
      </c>
      <c r="E761" s="89" t="s">
        <v>147</v>
      </c>
      <c r="F761" s="89">
        <f>IF(E761="AM",1,(IF(E761="BE",2,(IF(E761="GV",3,(IF(E761="RA",4,(IF(E761="RM",5,(IF(E761="AC",1,(IF(E761="AT",2,(IF(E761="DS",3,(IF(E761="IP",4,(IF(E761="MA",5,(IF(E761="PT",6,(IF(E761="AE",1,(IF(E761="CM",2,(IF(E761="DP",3,(IF(E761="AN",1,(IF(E761="CO",2,(IF(E761="IM",3,(IF(E761="MI",4,(IF(E761="RP",5,(IF(E761="SC",6,0)))))))))))))))))))))))))))))))))))))))</f>
        <v>6</v>
      </c>
      <c r="G761" s="52">
        <v>3</v>
      </c>
      <c r="H761" s="90" t="s">
        <v>115</v>
      </c>
      <c r="I761" s="93" t="s">
        <v>64</v>
      </c>
      <c r="J761" s="87" t="s">
        <v>1113</v>
      </c>
      <c r="K761" s="102" t="s">
        <v>2149</v>
      </c>
      <c r="L761" s="117">
        <f>IF(O761="","",N761*O761*M761)</f>
        <v>0</v>
      </c>
      <c r="M761" s="108">
        <v>1</v>
      </c>
      <c r="N761" s="95">
        <v>1</v>
      </c>
      <c r="O761" s="109">
        <f>IF(Key!D$1="ON",P761,IF(SUM(Q761:DL761)&lt;1,"",SUM(Q761:DL761)/COUNTIF(Q761:DL761,"&gt;0")))</f>
        <v>0</v>
      </c>
      <c r="P761" s="109">
        <f>SUMIFS(Q761:DK761,Q$1:DK$1,Dashboard!$K$31)</f>
        <v>0</v>
      </c>
      <c r="U761" s="95">
        <v>33</v>
      </c>
      <c r="AA761" s="95">
        <v>25</v>
      </c>
      <c r="AH761" s="95">
        <v>75</v>
      </c>
    </row>
    <row r="762" spans="1:34" x14ac:dyDescent="0.3">
      <c r="A762" s="89" t="str">
        <f>CONCATENATE(D762,".",F762,"-",G762,".",H762,"")</f>
        <v>1.6-3.1</v>
      </c>
      <c r="B762" s="89" t="str">
        <f>IF(CONCATENATE(I762,Key!F$2)=CONCATENATE(INDEX(Dashboard!J:J,MATCH(I762,Dashboard!J:J,0),1),INDEX(Dashboard!J:K,MATCH(I762,Dashboard!J:J,0),2)),"ON",IF(Dashboard!K$32="ALL","ON","-"))</f>
        <v>-</v>
      </c>
      <c r="C762" s="88" t="s">
        <v>110</v>
      </c>
      <c r="D762" s="89">
        <f>IF(C762="ID",1,(IF(C762="PR",2,(IF(C762="DE",3,(IF(C762="RS",4,(IF(C762="RC",5,0)))))))))</f>
        <v>1</v>
      </c>
      <c r="E762" s="89" t="s">
        <v>147</v>
      </c>
      <c r="F762" s="89">
        <f>IF(E762="AM",1,(IF(E762="BE",2,(IF(E762="GV",3,(IF(E762="RA",4,(IF(E762="RM",5,(IF(E762="AC",1,(IF(E762="AT",2,(IF(E762="DS",3,(IF(E762="IP",4,(IF(E762="MA",5,(IF(E762="PT",6,(IF(E762="AE",1,(IF(E762="CM",2,(IF(E762="DP",3,(IF(E762="AN",1,(IF(E762="CO",2,(IF(E762="IM",3,(IF(E762="MI",4,(IF(E762="RP",5,(IF(E762="SC",6,0)))))))))))))))))))))))))))))))))))))))</f>
        <v>6</v>
      </c>
      <c r="G762" s="52">
        <v>3</v>
      </c>
      <c r="H762" s="90" t="s">
        <v>115</v>
      </c>
      <c r="I762" s="93" t="s">
        <v>64</v>
      </c>
      <c r="J762" s="87" t="s">
        <v>1114</v>
      </c>
      <c r="K762" s="102" t="s">
        <v>2150</v>
      </c>
      <c r="L762" s="117">
        <f>IF(O762="","",N762*O762*M762)</f>
        <v>0</v>
      </c>
      <c r="M762" s="108">
        <v>1</v>
      </c>
      <c r="N762" s="95">
        <v>1</v>
      </c>
      <c r="O762" s="109">
        <f>IF(Key!D$1="ON",P762,IF(SUM(Q762:DL762)&lt;1,"",SUM(Q762:DL762)/COUNTIF(Q762:DL762,"&gt;0")))</f>
        <v>0</v>
      </c>
      <c r="P762" s="109">
        <f>SUMIFS(Q762:DK762,Q$1:DK$1,Dashboard!$K$31)</f>
        <v>0</v>
      </c>
      <c r="U762" s="95">
        <v>33</v>
      </c>
      <c r="AA762" s="95">
        <v>25</v>
      </c>
      <c r="AH762" s="95">
        <v>75</v>
      </c>
    </row>
    <row r="763" spans="1:34" x14ac:dyDescent="0.3">
      <c r="A763" s="89" t="str">
        <f>CONCATENATE(D763,".",F763,"-",G763,".",H763,"")</f>
        <v>1.6-3.1</v>
      </c>
      <c r="B763" s="89" t="str">
        <f>IF(CONCATENATE(I763,Key!F$2)=CONCATENATE(INDEX(Dashboard!J:J,MATCH(I763,Dashboard!J:J,0),1),INDEX(Dashboard!J:K,MATCH(I763,Dashboard!J:J,0),2)),"ON",IF(Dashboard!K$32="ALL","ON","-"))</f>
        <v>-</v>
      </c>
      <c r="C763" s="88" t="s">
        <v>110</v>
      </c>
      <c r="D763" s="89">
        <f>IF(C763="ID",1,(IF(C763="PR",2,(IF(C763="DE",3,(IF(C763="RS",4,(IF(C763="RC",5,0)))))))))</f>
        <v>1</v>
      </c>
      <c r="E763" s="89" t="s">
        <v>147</v>
      </c>
      <c r="F763" s="89">
        <f>IF(E763="AM",1,(IF(E763="BE",2,(IF(E763="GV",3,(IF(E763="RA",4,(IF(E763="RM",5,(IF(E763="AC",1,(IF(E763="AT",2,(IF(E763="DS",3,(IF(E763="IP",4,(IF(E763="MA",5,(IF(E763="PT",6,(IF(E763="AE",1,(IF(E763="CM",2,(IF(E763="DP",3,(IF(E763="AN",1,(IF(E763="CO",2,(IF(E763="IM",3,(IF(E763="MI",4,(IF(E763="RP",5,(IF(E763="SC",6,0)))))))))))))))))))))))))))))))))))))))</f>
        <v>6</v>
      </c>
      <c r="G763" s="52">
        <v>3</v>
      </c>
      <c r="H763" s="90" t="s">
        <v>115</v>
      </c>
      <c r="I763" s="93" t="s">
        <v>64</v>
      </c>
      <c r="J763" s="87" t="s">
        <v>1115</v>
      </c>
      <c r="K763" s="102" t="s">
        <v>2151</v>
      </c>
      <c r="L763" s="117">
        <f>IF(O763="","",N763*O763*M763)</f>
        <v>0</v>
      </c>
      <c r="M763" s="108">
        <v>1</v>
      </c>
      <c r="N763" s="95">
        <v>1</v>
      </c>
      <c r="O763" s="109">
        <f>IF(Key!D$1="ON",P763,IF(SUM(Q763:DL763)&lt;1,"",SUM(Q763:DL763)/COUNTIF(Q763:DL763,"&gt;0")))</f>
        <v>0</v>
      </c>
      <c r="P763" s="109">
        <f>SUMIFS(Q763:DK763,Q$1:DK$1,Dashboard!$K$31)</f>
        <v>0</v>
      </c>
      <c r="U763" s="95">
        <v>33</v>
      </c>
      <c r="AA763" s="95">
        <v>25</v>
      </c>
      <c r="AH763" s="95">
        <v>75</v>
      </c>
    </row>
    <row r="764" spans="1:34" ht="15.6" x14ac:dyDescent="0.3">
      <c r="A764" s="89" t="str">
        <f>CONCATENATE(D764,".",F764,"-",G764,".",H764,"")</f>
        <v>1.6-3.1</v>
      </c>
      <c r="B764" s="89" t="str">
        <f>IF(CONCATENATE(I764,Key!F$2)=CONCATENATE(INDEX(Dashboard!J:J,MATCH(I764,Dashboard!J:J,0),1),INDEX(Dashboard!J:K,MATCH(I764,Dashboard!J:J,0),2)),"ON",IF(Dashboard!K$32="ALL","ON","-"))</f>
        <v>-</v>
      </c>
      <c r="C764" s="88" t="s">
        <v>110</v>
      </c>
      <c r="D764" s="89">
        <f>IF(C764="ID",1,(IF(C764="PR",2,(IF(C764="DE",3,(IF(C764="RS",4,(IF(C764="RC",5,0)))))))))</f>
        <v>1</v>
      </c>
      <c r="E764" s="89" t="s">
        <v>147</v>
      </c>
      <c r="F764" s="89">
        <f>IF(E764="AM",1,(IF(E764="BE",2,(IF(E764="GV",3,(IF(E764="RA",4,(IF(E764="RM",5,(IF(E764="AC",1,(IF(E764="AT",2,(IF(E764="DS",3,(IF(E764="IP",4,(IF(E764="MA",5,(IF(E764="PT",6,(IF(E764="AE",1,(IF(E764="CM",2,(IF(E764="DP",3,(IF(E764="AN",1,(IF(E764="CO",2,(IF(E764="IM",3,(IF(E764="MI",4,(IF(E764="RP",5,(IF(E764="SC",6,0)))))))))))))))))))))))))))))))))))))))</f>
        <v>6</v>
      </c>
      <c r="G764" s="52">
        <v>3</v>
      </c>
      <c r="H764" s="90" t="s">
        <v>115</v>
      </c>
      <c r="I764" s="93" t="s">
        <v>77</v>
      </c>
      <c r="J764" s="87" t="s">
        <v>1112</v>
      </c>
      <c r="K764" s="102" t="s">
        <v>2148</v>
      </c>
      <c r="L764" s="117">
        <f>IF(O764="","",N764*O764*M764)</f>
        <v>0</v>
      </c>
      <c r="M764" s="108">
        <v>1</v>
      </c>
      <c r="N764" s="95">
        <v>1</v>
      </c>
      <c r="O764" s="109">
        <f>IF(Key!D$1="ON",P764,IF(SUM(Q764:DL764)&lt;1,"",SUM(Q764:DL764)/COUNTIF(Q764:DL764,"&gt;0")))</f>
        <v>0</v>
      </c>
      <c r="P764" s="109">
        <f>SUMIFS(Q764:DK764,Q$1:DK$1,Dashboard!$K$31)</f>
        <v>0</v>
      </c>
      <c r="U764" s="95">
        <v>33</v>
      </c>
      <c r="AA764" s="95">
        <v>25</v>
      </c>
      <c r="AH764" s="95">
        <v>75</v>
      </c>
    </row>
    <row r="765" spans="1:34" ht="15.6" x14ac:dyDescent="0.3">
      <c r="A765" s="89" t="str">
        <f>CONCATENATE(D765,".",F765,"-",G765,".",H765,"")</f>
        <v>1.6-3.1</v>
      </c>
      <c r="B765" s="89" t="str">
        <f>IF(CONCATENATE(I765,Key!F$2)=CONCATENATE(INDEX(Dashboard!J:J,MATCH(I765,Dashboard!J:J,0),1),INDEX(Dashboard!J:K,MATCH(I765,Dashboard!J:J,0),2)),"ON",IF(Dashboard!K$32="ALL","ON","-"))</f>
        <v>-</v>
      </c>
      <c r="C765" s="88" t="s">
        <v>110</v>
      </c>
      <c r="D765" s="89">
        <f>IF(C765="ID",1,(IF(C765="PR",2,(IF(C765="DE",3,(IF(C765="RS",4,(IF(C765="RC",5,0)))))))))</f>
        <v>1</v>
      </c>
      <c r="E765" s="89" t="s">
        <v>147</v>
      </c>
      <c r="F765" s="89">
        <f>IF(E765="AM",1,(IF(E765="BE",2,(IF(E765="GV",3,(IF(E765="RA",4,(IF(E765="RM",5,(IF(E765="AC",1,(IF(E765="AT",2,(IF(E765="DS",3,(IF(E765="IP",4,(IF(E765="MA",5,(IF(E765="PT",6,(IF(E765="AE",1,(IF(E765="CM",2,(IF(E765="DP",3,(IF(E765="AN",1,(IF(E765="CO",2,(IF(E765="IM",3,(IF(E765="MI",4,(IF(E765="RP",5,(IF(E765="SC",6,0)))))))))))))))))))))))))))))))))))))))</f>
        <v>6</v>
      </c>
      <c r="G765" s="52">
        <v>3</v>
      </c>
      <c r="H765" s="90" t="s">
        <v>115</v>
      </c>
      <c r="I765" s="93" t="s">
        <v>77</v>
      </c>
      <c r="J765" s="87" t="s">
        <v>1113</v>
      </c>
      <c r="K765" s="102" t="s">
        <v>2149</v>
      </c>
      <c r="L765" s="117">
        <f>IF(O765="","",N765*O765*M765)</f>
        <v>0</v>
      </c>
      <c r="M765" s="108">
        <v>1</v>
      </c>
      <c r="N765" s="95">
        <v>1</v>
      </c>
      <c r="O765" s="109">
        <f>IF(Key!D$1="ON",P765,IF(SUM(Q765:DL765)&lt;1,"",SUM(Q765:DL765)/COUNTIF(Q765:DL765,"&gt;0")))</f>
        <v>0</v>
      </c>
      <c r="P765" s="109">
        <f>SUMIFS(Q765:DK765,Q$1:DK$1,Dashboard!$K$31)</f>
        <v>0</v>
      </c>
      <c r="U765" s="95">
        <v>33</v>
      </c>
      <c r="AA765" s="95">
        <v>25</v>
      </c>
      <c r="AH765" s="95">
        <v>75</v>
      </c>
    </row>
    <row r="766" spans="1:34" ht="15.6" x14ac:dyDescent="0.3">
      <c r="A766" s="89" t="str">
        <f>CONCATENATE(D766,".",F766,"-",G766,".",H766,"")</f>
        <v>1.6-3.1</v>
      </c>
      <c r="B766" s="89" t="str">
        <f>IF(CONCATENATE(I766,Key!F$2)=CONCATENATE(INDEX(Dashboard!J:J,MATCH(I766,Dashboard!J:J,0),1),INDEX(Dashboard!J:K,MATCH(I766,Dashboard!J:J,0),2)),"ON",IF(Dashboard!K$32="ALL","ON","-"))</f>
        <v>-</v>
      </c>
      <c r="C766" s="88" t="s">
        <v>110</v>
      </c>
      <c r="D766" s="89">
        <f>IF(C766="ID",1,(IF(C766="PR",2,(IF(C766="DE",3,(IF(C766="RS",4,(IF(C766="RC",5,0)))))))))</f>
        <v>1</v>
      </c>
      <c r="E766" s="89" t="s">
        <v>147</v>
      </c>
      <c r="F766" s="89">
        <f>IF(E766="AM",1,(IF(E766="BE",2,(IF(E766="GV",3,(IF(E766="RA",4,(IF(E766="RM",5,(IF(E766="AC",1,(IF(E766="AT",2,(IF(E766="DS",3,(IF(E766="IP",4,(IF(E766="MA",5,(IF(E766="PT",6,(IF(E766="AE",1,(IF(E766="CM",2,(IF(E766="DP",3,(IF(E766="AN",1,(IF(E766="CO",2,(IF(E766="IM",3,(IF(E766="MI",4,(IF(E766="RP",5,(IF(E766="SC",6,0)))))))))))))))))))))))))))))))))))))))</f>
        <v>6</v>
      </c>
      <c r="G766" s="52">
        <v>3</v>
      </c>
      <c r="H766" s="90" t="s">
        <v>115</v>
      </c>
      <c r="I766" s="93" t="s">
        <v>77</v>
      </c>
      <c r="J766" s="87" t="s">
        <v>1114</v>
      </c>
      <c r="K766" s="102" t="s">
        <v>2150</v>
      </c>
      <c r="L766" s="117">
        <f>IF(O766="","",N766*O766*M766)</f>
        <v>0</v>
      </c>
      <c r="M766" s="108">
        <v>1</v>
      </c>
      <c r="N766" s="95">
        <v>1</v>
      </c>
      <c r="O766" s="109">
        <f>IF(Key!D$1="ON",P766,IF(SUM(Q766:DL766)&lt;1,"",SUM(Q766:DL766)/COUNTIF(Q766:DL766,"&gt;0")))</f>
        <v>0</v>
      </c>
      <c r="P766" s="109">
        <f>SUMIFS(Q766:DK766,Q$1:DK$1,Dashboard!$K$31)</f>
        <v>0</v>
      </c>
      <c r="U766" s="95">
        <v>33</v>
      </c>
      <c r="AA766" s="95">
        <v>25</v>
      </c>
      <c r="AH766" s="95">
        <v>75</v>
      </c>
    </row>
    <row r="767" spans="1:34" ht="15.6" x14ac:dyDescent="0.3">
      <c r="A767" s="89" t="str">
        <f>CONCATENATE(D767,".",F767,"-",G767,".",H767,"")</f>
        <v>1.6-3.1</v>
      </c>
      <c r="B767" s="89" t="str">
        <f>IF(CONCATENATE(I767,Key!F$2)=CONCATENATE(INDEX(Dashboard!J:J,MATCH(I767,Dashboard!J:J,0),1),INDEX(Dashboard!J:K,MATCH(I767,Dashboard!J:J,0),2)),"ON",IF(Dashboard!K$32="ALL","ON","-"))</f>
        <v>-</v>
      </c>
      <c r="C767" s="88" t="s">
        <v>110</v>
      </c>
      <c r="D767" s="89">
        <f>IF(C767="ID",1,(IF(C767="PR",2,(IF(C767="DE",3,(IF(C767="RS",4,(IF(C767="RC",5,0)))))))))</f>
        <v>1</v>
      </c>
      <c r="E767" s="89" t="s">
        <v>147</v>
      </c>
      <c r="F767" s="89">
        <f>IF(E767="AM",1,(IF(E767="BE",2,(IF(E767="GV",3,(IF(E767="RA",4,(IF(E767="RM",5,(IF(E767="AC",1,(IF(E767="AT",2,(IF(E767="DS",3,(IF(E767="IP",4,(IF(E767="MA",5,(IF(E767="PT",6,(IF(E767="AE",1,(IF(E767="CM",2,(IF(E767="DP",3,(IF(E767="AN",1,(IF(E767="CO",2,(IF(E767="IM",3,(IF(E767="MI",4,(IF(E767="RP",5,(IF(E767="SC",6,0)))))))))))))))))))))))))))))))))))))))</f>
        <v>6</v>
      </c>
      <c r="G767" s="52">
        <v>3</v>
      </c>
      <c r="H767" s="90" t="s">
        <v>115</v>
      </c>
      <c r="I767" s="93" t="s">
        <v>77</v>
      </c>
      <c r="J767" s="87" t="s">
        <v>1115</v>
      </c>
      <c r="K767" s="102" t="s">
        <v>2151</v>
      </c>
      <c r="L767" s="117">
        <f>IF(O767="","",N767*O767*M767)</f>
        <v>0</v>
      </c>
      <c r="M767" s="108">
        <v>1</v>
      </c>
      <c r="N767" s="95">
        <v>1</v>
      </c>
      <c r="O767" s="109">
        <f>IF(Key!D$1="ON",P767,IF(SUM(Q767:DL767)&lt;1,"",SUM(Q767:DL767)/COUNTIF(Q767:DL767,"&gt;0")))</f>
        <v>0</v>
      </c>
      <c r="P767" s="109">
        <f>SUMIFS(Q767:DK767,Q$1:DK$1,Dashboard!$K$31)</f>
        <v>0</v>
      </c>
      <c r="U767" s="95">
        <v>33</v>
      </c>
      <c r="AA767" s="95">
        <v>25</v>
      </c>
      <c r="AH767" s="95">
        <v>75</v>
      </c>
    </row>
    <row r="768" spans="1:34" ht="15.6" x14ac:dyDescent="0.3">
      <c r="A768" s="89" t="str">
        <f>CONCATENATE(D768,".",F768,"-",G768,".",H768,"")</f>
        <v>1.6-3.1</v>
      </c>
      <c r="B768" s="89" t="str">
        <f>IF(CONCATENATE(I768,Key!F$2)=CONCATENATE(INDEX(Dashboard!J:J,MATCH(I768,Dashboard!J:J,0),1),INDEX(Dashboard!J:K,MATCH(I768,Dashboard!J:J,0),2)),"ON",IF(Dashboard!K$32="ALL","ON","-"))</f>
        <v>-</v>
      </c>
      <c r="C768" s="88" t="s">
        <v>110</v>
      </c>
      <c r="D768" s="89">
        <f>IF(C768="ID",1,(IF(C768="PR",2,(IF(C768="DE",3,(IF(C768="RS",4,(IF(C768="RC",5,0)))))))))</f>
        <v>1</v>
      </c>
      <c r="E768" s="89" t="s">
        <v>147</v>
      </c>
      <c r="F768" s="89">
        <f>IF(E768="AM",1,(IF(E768="BE",2,(IF(E768="GV",3,(IF(E768="RA",4,(IF(E768="RM",5,(IF(E768="AC",1,(IF(E768="AT",2,(IF(E768="DS",3,(IF(E768="IP",4,(IF(E768="MA",5,(IF(E768="PT",6,(IF(E768="AE",1,(IF(E768="CM",2,(IF(E768="DP",3,(IF(E768="AN",1,(IF(E768="CO",2,(IF(E768="IM",3,(IF(E768="MI",4,(IF(E768="RP",5,(IF(E768="SC",6,0)))))))))))))))))))))))))))))))))))))))</f>
        <v>6</v>
      </c>
      <c r="G768" s="98">
        <v>3</v>
      </c>
      <c r="H768" s="90" t="s">
        <v>115</v>
      </c>
      <c r="I768" s="93" t="s">
        <v>81</v>
      </c>
      <c r="J768" s="129" t="s">
        <v>2006</v>
      </c>
      <c r="K768" s="103" t="s">
        <v>2007</v>
      </c>
      <c r="L768" s="117">
        <f>IF(O768="","",N768*O768*M768)</f>
        <v>0</v>
      </c>
      <c r="M768" s="108">
        <v>1</v>
      </c>
      <c r="N768" s="95">
        <v>1</v>
      </c>
      <c r="O768" s="109">
        <f>IF(Key!D$1="ON",P768,IF(SUM(Q768:DL768)&lt;1,"",SUM(Q768:DL768)/COUNTIF(Q768:DL768,"&gt;0")))</f>
        <v>0</v>
      </c>
      <c r="P768" s="109">
        <f>SUMIFS(Q768:DK768,Q$1:DK$1,Dashboard!$K$31)</f>
        <v>0</v>
      </c>
      <c r="U768" s="95">
        <v>33</v>
      </c>
      <c r="AA768" s="95">
        <v>25</v>
      </c>
      <c r="AH768" s="95">
        <v>75</v>
      </c>
    </row>
    <row r="769" spans="1:34" ht="15.6" x14ac:dyDescent="0.3">
      <c r="A769" s="89" t="str">
        <f>CONCATENATE(D769,".",F769,"-",G769,".",H769,"")</f>
        <v>1.6-3.1</v>
      </c>
      <c r="B769" s="89" t="str">
        <f>IF(CONCATENATE(I769,Key!F$2)=CONCATENATE(INDEX(Dashboard!J:J,MATCH(I769,Dashboard!J:J,0),1),INDEX(Dashboard!J:K,MATCH(I769,Dashboard!J:J,0),2)),"ON",IF(Dashboard!K$32="ALL","ON","-"))</f>
        <v>-</v>
      </c>
      <c r="C769" s="88" t="s">
        <v>110</v>
      </c>
      <c r="D769" s="89">
        <f>IF(C769="ID",1,(IF(C769="PR",2,(IF(C769="DE",3,(IF(C769="RS",4,(IF(C769="RC",5,0)))))))))</f>
        <v>1</v>
      </c>
      <c r="E769" s="89" t="s">
        <v>147</v>
      </c>
      <c r="F769" s="89">
        <f>IF(E769="AM",1,(IF(E769="BE",2,(IF(E769="GV",3,(IF(E769="RA",4,(IF(E769="RM",5,(IF(E769="AC",1,(IF(E769="AT",2,(IF(E769="DS",3,(IF(E769="IP",4,(IF(E769="MA",5,(IF(E769="PT",6,(IF(E769="AE",1,(IF(E769="CM",2,(IF(E769="DP",3,(IF(E769="AN",1,(IF(E769="CO",2,(IF(E769="IM",3,(IF(E769="MI",4,(IF(E769="RP",5,(IF(E769="SC",6,0)))))))))))))))))))))))))))))))))))))))</f>
        <v>6</v>
      </c>
      <c r="G769" s="52">
        <v>3</v>
      </c>
      <c r="H769" s="90" t="s">
        <v>115</v>
      </c>
      <c r="I769" s="93" t="s">
        <v>85</v>
      </c>
      <c r="J769" s="87" t="s">
        <v>937</v>
      </c>
      <c r="K769" s="119" t="s">
        <v>938</v>
      </c>
      <c r="L769" s="117">
        <f>IF(O769="","",N769*O769*M769)</f>
        <v>0</v>
      </c>
      <c r="M769" s="108">
        <v>1</v>
      </c>
      <c r="N769" s="95">
        <v>1</v>
      </c>
      <c r="O769" s="109">
        <f>IF(Key!D$1="ON",P769,IF(SUM(Q769:DL769)&lt;1,"",SUM(Q769:DL769)/COUNTIF(Q769:DL769,"&gt;0")))</f>
        <v>0</v>
      </c>
      <c r="P769" s="109">
        <f>SUMIFS(Q769:DK769,Q$1:DK$1,Dashboard!$K$31)</f>
        <v>0</v>
      </c>
      <c r="U769" s="95">
        <v>33</v>
      </c>
      <c r="AA769" s="95">
        <v>25</v>
      </c>
      <c r="AH769" s="95">
        <v>75</v>
      </c>
    </row>
    <row r="770" spans="1:34" ht="15.6" x14ac:dyDescent="0.3">
      <c r="A770" s="89" t="str">
        <f>CONCATENATE(D770,".",F770,"-",G770,".",H770,"")</f>
        <v>1.6-3.1</v>
      </c>
      <c r="B770" s="89" t="str">
        <f>IF(CONCATENATE(I770,Key!F$2)=CONCATENATE(INDEX(Dashboard!J:J,MATCH(I770,Dashboard!J:J,0),1),INDEX(Dashboard!J:K,MATCH(I770,Dashboard!J:J,0),2)),"ON",IF(Dashboard!K$32="ALL","ON","-"))</f>
        <v>-</v>
      </c>
      <c r="C770" s="88" t="s">
        <v>110</v>
      </c>
      <c r="D770" s="89">
        <f>IF(C770="ID",1,(IF(C770="PR",2,(IF(C770="DE",3,(IF(C770="RS",4,(IF(C770="RC",5,0)))))))))</f>
        <v>1</v>
      </c>
      <c r="E770" s="89" t="s">
        <v>147</v>
      </c>
      <c r="F770" s="89">
        <f>IF(E770="AM",1,(IF(E770="BE",2,(IF(E770="GV",3,(IF(E770="RA",4,(IF(E770="RM",5,(IF(E770="AC",1,(IF(E770="AT",2,(IF(E770="DS",3,(IF(E770="IP",4,(IF(E770="MA",5,(IF(E770="PT",6,(IF(E770="AE",1,(IF(E770="CM",2,(IF(E770="DP",3,(IF(E770="AN",1,(IF(E770="CO",2,(IF(E770="IM",3,(IF(E770="MI",4,(IF(E770="RP",5,(IF(E770="SC",6,0)))))))))))))))))))))))))))))))))))))))</f>
        <v>6</v>
      </c>
      <c r="G770" s="98">
        <v>3</v>
      </c>
      <c r="H770" s="99">
        <v>1</v>
      </c>
      <c r="I770" s="93" t="s">
        <v>85</v>
      </c>
      <c r="J770" s="86" t="s">
        <v>899</v>
      </c>
      <c r="K770" s="119" t="s">
        <v>4978</v>
      </c>
      <c r="L770" s="117">
        <f>IF(O770="","",N770*O770*M770)</f>
        <v>0</v>
      </c>
      <c r="M770" s="108">
        <v>1</v>
      </c>
      <c r="N770" s="95">
        <v>1</v>
      </c>
      <c r="O770" s="109">
        <f>IF(Key!D$1="ON",P770,IF(SUM(Q770:DL770)&lt;1,"",SUM(Q770:DL770)/COUNTIF(Q770:DL770,"&gt;0")))</f>
        <v>0</v>
      </c>
      <c r="P770" s="109">
        <f>SUMIFS(Q770:DK770,Q$1:DK$1,Dashboard!$K$31)</f>
        <v>0</v>
      </c>
      <c r="U770" s="95">
        <v>33</v>
      </c>
      <c r="AA770" s="95">
        <v>25</v>
      </c>
      <c r="AH770" s="95">
        <v>75</v>
      </c>
    </row>
    <row r="771" spans="1:34" ht="15.6" x14ac:dyDescent="0.3">
      <c r="A771" s="89" t="str">
        <f>CONCATENATE(D771,".",F771,"-",G771,".",H771,"")</f>
        <v>1.6-3.1</v>
      </c>
      <c r="B771" s="89" t="str">
        <f>IF(CONCATENATE(I771,Key!F$2)=CONCATENATE(INDEX(Dashboard!J:J,MATCH(I771,Dashboard!J:J,0),1),INDEX(Dashboard!J:K,MATCH(I771,Dashboard!J:J,0),2)),"ON",IF(Dashboard!K$32="ALL","ON","-"))</f>
        <v>-</v>
      </c>
      <c r="C771" s="88" t="s">
        <v>110</v>
      </c>
      <c r="D771" s="89">
        <f>IF(C771="ID",1,(IF(C771="PR",2,(IF(C771="DE",3,(IF(C771="RS",4,(IF(C771="RC",5,0)))))))))</f>
        <v>1</v>
      </c>
      <c r="E771" s="89" t="s">
        <v>147</v>
      </c>
      <c r="F771" s="89">
        <f>IF(E771="AM",1,(IF(E771="BE",2,(IF(E771="GV",3,(IF(E771="RA",4,(IF(E771="RM",5,(IF(E771="AC",1,(IF(E771="AT",2,(IF(E771="DS",3,(IF(E771="IP",4,(IF(E771="MA",5,(IF(E771="PT",6,(IF(E771="AE",1,(IF(E771="CM",2,(IF(E771="DP",3,(IF(E771="AN",1,(IF(E771="CO",2,(IF(E771="IM",3,(IF(E771="MI",4,(IF(E771="RP",5,(IF(E771="SC",6,0)))))))))))))))))))))))))))))))))))))))</f>
        <v>6</v>
      </c>
      <c r="G771" s="52">
        <v>3</v>
      </c>
      <c r="H771" s="90" t="s">
        <v>115</v>
      </c>
      <c r="I771" s="93" t="s">
        <v>85</v>
      </c>
      <c r="J771" s="87" t="s">
        <v>1112</v>
      </c>
      <c r="K771" s="119" t="s">
        <v>4587</v>
      </c>
      <c r="L771" s="117">
        <f>IF(O771="","",N771*O771*M771)</f>
        <v>0</v>
      </c>
      <c r="M771" s="108">
        <v>1</v>
      </c>
      <c r="N771" s="95">
        <v>1</v>
      </c>
      <c r="O771" s="109">
        <f>IF(Key!D$1="ON",P771,IF(SUM(Q771:DL771)&lt;1,"",SUM(Q771:DL771)/COUNTIF(Q771:DL771,"&gt;0")))</f>
        <v>0</v>
      </c>
      <c r="P771" s="109">
        <f>SUMIFS(Q771:DK771,Q$1:DK$1,Dashboard!$K$31)</f>
        <v>0</v>
      </c>
      <c r="U771" s="95">
        <v>33</v>
      </c>
      <c r="AA771" s="95">
        <v>25</v>
      </c>
      <c r="AH771" s="95">
        <v>75</v>
      </c>
    </row>
    <row r="772" spans="1:34" x14ac:dyDescent="0.3">
      <c r="A772" s="89" t="str">
        <f>CONCATENATE(D772,".",F772,"-",G772,".",H772,"")</f>
        <v>1.6-3.1</v>
      </c>
      <c r="B772" s="89" t="str">
        <f>IF(CONCATENATE(I772,Key!F$2)=CONCATENATE(INDEX(Dashboard!J:J,MATCH(I772,Dashboard!J:J,0),1),INDEX(Dashboard!J:K,MATCH(I772,Dashboard!J:J,0),2)),"ON",IF(Dashboard!K$32="ALL","ON","-"))</f>
        <v>-</v>
      </c>
      <c r="C772" s="88" t="s">
        <v>110</v>
      </c>
      <c r="D772" s="89">
        <f>IF(C772="ID",1,(IF(C772="PR",2,(IF(C772="DE",3,(IF(C772="RS",4,(IF(C772="RC",5,0)))))))))</f>
        <v>1</v>
      </c>
      <c r="E772" s="89" t="s">
        <v>147</v>
      </c>
      <c r="F772" s="89">
        <f>IF(E772="AM",1,(IF(E772="BE",2,(IF(E772="GV",3,(IF(E772="RA",4,(IF(E772="RM",5,(IF(E772="AC",1,(IF(E772="AT",2,(IF(E772="DS",3,(IF(E772="IP",4,(IF(E772="MA",5,(IF(E772="PT",6,(IF(E772="AE",1,(IF(E772="CM",2,(IF(E772="DP",3,(IF(E772="AN",1,(IF(E772="CO",2,(IF(E772="IM",3,(IF(E772="MI",4,(IF(E772="RP",5,(IF(E772="SC",6,0)))))))))))))))))))))))))))))))))))))))</f>
        <v>6</v>
      </c>
      <c r="G772" s="52">
        <v>3</v>
      </c>
      <c r="H772" s="90" t="s">
        <v>115</v>
      </c>
      <c r="I772" s="93" t="s">
        <v>85</v>
      </c>
      <c r="J772" s="87" t="s">
        <v>913</v>
      </c>
      <c r="K772" s="119" t="s">
        <v>914</v>
      </c>
      <c r="L772" s="117">
        <f>IF(O772="","",N772*O772*M772)</f>
        <v>0</v>
      </c>
      <c r="M772" s="108">
        <v>1</v>
      </c>
      <c r="N772" s="95">
        <v>1</v>
      </c>
      <c r="O772" s="109">
        <f>IF(Key!D$1="ON",P772,IF(SUM(Q772:DL772)&lt;1,"",SUM(Q772:DL772)/COUNTIF(Q772:DL772,"&gt;0")))</f>
        <v>0</v>
      </c>
      <c r="P772" s="109">
        <f>SUMIFS(Q772:DK772,Q$1:DK$1,Dashboard!$K$31)</f>
        <v>0</v>
      </c>
      <c r="U772" s="95">
        <v>33</v>
      </c>
      <c r="AA772" s="95">
        <v>25</v>
      </c>
      <c r="AH772" s="95">
        <v>75</v>
      </c>
    </row>
    <row r="773" spans="1:34" x14ac:dyDescent="0.3">
      <c r="A773" s="89" t="str">
        <f>CONCATENATE(D773,".",F773,"-",G773,".",H773,"")</f>
        <v>1.6-3.1</v>
      </c>
      <c r="B773" s="89" t="str">
        <f>IF(CONCATENATE(I773,Key!F$2)=CONCATENATE(INDEX(Dashboard!J:J,MATCH(I773,Dashboard!J:J,0),1),INDEX(Dashboard!J:K,MATCH(I773,Dashboard!J:J,0),2)),"ON",IF(Dashboard!K$32="ALL","ON","-"))</f>
        <v>-</v>
      </c>
      <c r="C773" s="88" t="s">
        <v>110</v>
      </c>
      <c r="D773" s="89">
        <f>IF(C773="ID",1,(IF(C773="PR",2,(IF(C773="DE",3,(IF(C773="RS",4,(IF(C773="RC",5,0)))))))))</f>
        <v>1</v>
      </c>
      <c r="E773" s="89" t="s">
        <v>147</v>
      </c>
      <c r="F773" s="89">
        <f>IF(E773="AM",1,(IF(E773="BE",2,(IF(E773="GV",3,(IF(E773="RA",4,(IF(E773="RM",5,(IF(E773="AC",1,(IF(E773="AT",2,(IF(E773="DS",3,(IF(E773="IP",4,(IF(E773="MA",5,(IF(E773="PT",6,(IF(E773="AE",1,(IF(E773="CM",2,(IF(E773="DP",3,(IF(E773="AN",1,(IF(E773="CO",2,(IF(E773="IM",3,(IF(E773="MI",4,(IF(E773="RP",5,(IF(E773="SC",6,0)))))))))))))))))))))))))))))))))))))))</f>
        <v>6</v>
      </c>
      <c r="G773" s="52">
        <v>3</v>
      </c>
      <c r="H773" s="90" t="s">
        <v>115</v>
      </c>
      <c r="I773" s="93" t="s">
        <v>85</v>
      </c>
      <c r="J773" s="87" t="s">
        <v>913</v>
      </c>
      <c r="K773" s="119" t="s">
        <v>914</v>
      </c>
      <c r="L773" s="117">
        <f>IF(O773="","",N773*O773*M773)</f>
        <v>0</v>
      </c>
      <c r="M773" s="108">
        <v>1</v>
      </c>
      <c r="N773" s="95">
        <v>1</v>
      </c>
      <c r="O773" s="109">
        <f>IF(Key!D$1="ON",P773,IF(SUM(Q773:DL773)&lt;1,"",SUM(Q773:DL773)/COUNTIF(Q773:DL773,"&gt;0")))</f>
        <v>0</v>
      </c>
      <c r="P773" s="109">
        <f>SUMIFS(Q773:DK773,Q$1:DK$1,Dashboard!$K$31)</f>
        <v>0</v>
      </c>
      <c r="U773" s="95">
        <v>33</v>
      </c>
      <c r="AA773" s="95">
        <v>25</v>
      </c>
      <c r="AH773" s="95">
        <v>75</v>
      </c>
    </row>
    <row r="774" spans="1:34" x14ac:dyDescent="0.3">
      <c r="A774" s="89" t="str">
        <f>CONCATENATE(D774,".",F774,"-",G774,".",H774,"")</f>
        <v>1.6-3.1</v>
      </c>
      <c r="B774" s="89" t="str">
        <f>IF(CONCATENATE(I774,Key!F$2)=CONCATENATE(INDEX(Dashboard!J:J,MATCH(I774,Dashboard!J:J,0),1),INDEX(Dashboard!J:K,MATCH(I774,Dashboard!J:J,0),2)),"ON",IF(Dashboard!K$32="ALL","ON","-"))</f>
        <v>-</v>
      </c>
      <c r="C774" s="88" t="s">
        <v>110</v>
      </c>
      <c r="D774" s="89">
        <f>IF(C774="ID",1,(IF(C774="PR",2,(IF(C774="DE",3,(IF(C774="RS",4,(IF(C774="RC",5,0)))))))))</f>
        <v>1</v>
      </c>
      <c r="E774" s="89" t="s">
        <v>147</v>
      </c>
      <c r="F774" s="89">
        <f>IF(E774="AM",1,(IF(E774="BE",2,(IF(E774="GV",3,(IF(E774="RA",4,(IF(E774="RM",5,(IF(E774="AC",1,(IF(E774="AT",2,(IF(E774="DS",3,(IF(E774="IP",4,(IF(E774="MA",5,(IF(E774="PT",6,(IF(E774="AE",1,(IF(E774="CM",2,(IF(E774="DP",3,(IF(E774="AN",1,(IF(E774="CO",2,(IF(E774="IM",3,(IF(E774="MI",4,(IF(E774="RP",5,(IF(E774="SC",6,0)))))))))))))))))))))))))))))))))))))))</f>
        <v>6</v>
      </c>
      <c r="G774" s="98">
        <v>3</v>
      </c>
      <c r="H774" s="99">
        <v>1</v>
      </c>
      <c r="I774" s="93" t="s">
        <v>85</v>
      </c>
      <c r="J774" s="86" t="s">
        <v>3930</v>
      </c>
      <c r="K774" s="119" t="s">
        <v>5167</v>
      </c>
      <c r="L774" s="117">
        <f>IF(O774="","",N774*O774*M774)</f>
        <v>0</v>
      </c>
      <c r="M774" s="108">
        <v>1</v>
      </c>
      <c r="N774" s="95">
        <v>1</v>
      </c>
      <c r="O774" s="109">
        <f>IF(Key!D$1="ON",P774,IF(SUM(Q774:DL774)&lt;1,"",SUM(Q774:DL774)/COUNTIF(Q774:DL774,"&gt;0")))</f>
        <v>0</v>
      </c>
      <c r="P774" s="109">
        <f>SUMIFS(Q774:DK774,Q$1:DK$1,Dashboard!$K$31)</f>
        <v>0</v>
      </c>
      <c r="U774" s="95">
        <v>33</v>
      </c>
      <c r="AA774" s="95">
        <v>25</v>
      </c>
      <c r="AH774" s="95">
        <v>75</v>
      </c>
    </row>
    <row r="775" spans="1:34" x14ac:dyDescent="0.3">
      <c r="A775" s="89" t="str">
        <f>CONCATENATE(D775,".",F775,"-",G775,".",H775,"")</f>
        <v>1.6-3.1</v>
      </c>
      <c r="B775" s="89" t="str">
        <f>IF(CONCATENATE(I775,Key!F$2)=CONCATENATE(INDEX(Dashboard!J:J,MATCH(I775,Dashboard!J:J,0),1),INDEX(Dashboard!J:K,MATCH(I775,Dashboard!J:J,0),2)),"ON",IF(Dashboard!K$32="ALL","ON","-"))</f>
        <v>-</v>
      </c>
      <c r="C775" s="88" t="s">
        <v>110</v>
      </c>
      <c r="D775" s="89">
        <f>IF(C775="ID",1,(IF(C775="PR",2,(IF(C775="DE",3,(IF(C775="RS",4,(IF(C775="RC",5,0)))))))))</f>
        <v>1</v>
      </c>
      <c r="E775" s="89" t="s">
        <v>147</v>
      </c>
      <c r="F775" s="89">
        <f>IF(E775="AM",1,(IF(E775="BE",2,(IF(E775="GV",3,(IF(E775="RA",4,(IF(E775="RM",5,(IF(E775="AC",1,(IF(E775="AT",2,(IF(E775="DS",3,(IF(E775="IP",4,(IF(E775="MA",5,(IF(E775="PT",6,(IF(E775="AE",1,(IF(E775="CM",2,(IF(E775="DP",3,(IF(E775="AN",1,(IF(E775="CO",2,(IF(E775="IM",3,(IF(E775="MI",4,(IF(E775="RP",5,(IF(E775="SC",6,0)))))))))))))))))))))))))))))))))))))))</f>
        <v>6</v>
      </c>
      <c r="G775" s="52">
        <v>3</v>
      </c>
      <c r="H775" s="90" t="s">
        <v>115</v>
      </c>
      <c r="I775" s="93" t="s">
        <v>85</v>
      </c>
      <c r="J775" s="87" t="s">
        <v>1691</v>
      </c>
      <c r="K775" s="119" t="s">
        <v>1692</v>
      </c>
      <c r="L775" s="117">
        <f>IF(O775="","",N775*O775*M775)</f>
        <v>0</v>
      </c>
      <c r="M775" s="108">
        <v>1</v>
      </c>
      <c r="N775" s="95">
        <v>1</v>
      </c>
      <c r="O775" s="109">
        <f>IF(Key!D$1="ON",P775,IF(SUM(Q775:DL775)&lt;1,"",SUM(Q775:DL775)/COUNTIF(Q775:DL775,"&gt;0")))</f>
        <v>0</v>
      </c>
      <c r="P775" s="109">
        <f>SUMIFS(Q775:DK775,Q$1:DK$1,Dashboard!$K$31)</f>
        <v>0</v>
      </c>
      <c r="U775" s="95">
        <v>33</v>
      </c>
      <c r="AA775" s="95">
        <v>25</v>
      </c>
      <c r="AH775" s="95">
        <v>75</v>
      </c>
    </row>
    <row r="776" spans="1:34" x14ac:dyDescent="0.3">
      <c r="A776" s="89" t="str">
        <f>CONCATENATE(D776,".",F776,"-",G776,".",H776,"")</f>
        <v>1.6-3.1</v>
      </c>
      <c r="B776" s="89" t="str">
        <f>IF(CONCATENATE(I776,Key!F$2)=CONCATENATE(INDEX(Dashboard!J:J,MATCH(I776,Dashboard!J:J,0),1),INDEX(Dashboard!J:K,MATCH(I776,Dashboard!J:J,0),2)),"ON",IF(Dashboard!K$32="ALL","ON","-"))</f>
        <v>-</v>
      </c>
      <c r="C776" s="96" t="s">
        <v>110</v>
      </c>
      <c r="D776" s="89">
        <f>IF(C776="ID",1,(IF(C776="PR",2,(IF(C776="DE",3,(IF(C776="RS",4,(IF(C776="RC",5,0)))))))))</f>
        <v>1</v>
      </c>
      <c r="E776" s="89" t="s">
        <v>147</v>
      </c>
      <c r="F776" s="89">
        <f>IF(E776="AM",1,(IF(E776="BE",2,(IF(E776="GV",3,(IF(E776="RA",4,(IF(E776="RM",5,(IF(E776="AC",1,(IF(E776="AT",2,(IF(E776="DS",3,(IF(E776="IP",4,(IF(E776="MA",5,(IF(E776="PT",6,(IF(E776="AE",1,(IF(E776="CM",2,(IF(E776="DP",3,(IF(E776="AN",1,(IF(E776="CO",2,(IF(E776="IM",3,(IF(E776="MI",4,(IF(E776="RP",5,(IF(E776="SC",6,0)))))))))))))))))))))))))))))))))))))))</f>
        <v>6</v>
      </c>
      <c r="G776" s="52">
        <v>3</v>
      </c>
      <c r="H776" s="90" t="s">
        <v>115</v>
      </c>
      <c r="I776" s="93" t="s">
        <v>89</v>
      </c>
      <c r="J776" s="88" t="s">
        <v>467</v>
      </c>
      <c r="K776" s="102" t="s">
        <v>468</v>
      </c>
      <c r="L776" s="117">
        <f>IF(O776="","",N776*O776*M776)</f>
        <v>0</v>
      </c>
      <c r="M776" s="108">
        <v>1</v>
      </c>
      <c r="N776" s="95">
        <v>1</v>
      </c>
      <c r="O776" s="109">
        <f>IF(Key!D$1="ON",P776,IF(SUM(Q776:DL776)&lt;1,"",SUM(Q776:DL776)/COUNTIF(Q776:DL776,"&gt;0")))</f>
        <v>0</v>
      </c>
      <c r="P776" s="109">
        <f>SUMIFS(Q776:DK776,Q$1:DK$1,Dashboard!$K$31)</f>
        <v>0</v>
      </c>
      <c r="U776" s="95">
        <v>33</v>
      </c>
      <c r="AA776" s="95">
        <v>25</v>
      </c>
      <c r="AH776" s="95">
        <v>75</v>
      </c>
    </row>
    <row r="777" spans="1:34" x14ac:dyDescent="0.3">
      <c r="A777" s="89" t="str">
        <f>CONCATENATE(D777,".",F777,"-",G777,".",H777,"")</f>
        <v>1.6-3.1</v>
      </c>
      <c r="B777" s="89" t="str">
        <f>IF(CONCATENATE(I777,Key!F$2)=CONCATENATE(INDEX(Dashboard!J:J,MATCH(I777,Dashboard!J:J,0),1),INDEX(Dashboard!J:K,MATCH(I777,Dashboard!J:J,0),2)),"ON",IF(Dashboard!K$32="ALL","ON","-"))</f>
        <v>-</v>
      </c>
      <c r="C777" s="96" t="s">
        <v>110</v>
      </c>
      <c r="D777" s="89">
        <f>IF(C777="ID",1,(IF(C777="PR",2,(IF(C777="DE",3,(IF(C777="RS",4,(IF(C777="RC",5,0)))))))))</f>
        <v>1</v>
      </c>
      <c r="E777" s="89" t="s">
        <v>147</v>
      </c>
      <c r="F777" s="89">
        <f>IF(E777="AM",1,(IF(E777="BE",2,(IF(E777="GV",3,(IF(E777="RA",4,(IF(E777="RM",5,(IF(E777="AC",1,(IF(E777="AT",2,(IF(E777="DS",3,(IF(E777="IP",4,(IF(E777="MA",5,(IF(E777="PT",6,(IF(E777="AE",1,(IF(E777="CM",2,(IF(E777="DP",3,(IF(E777="AN",1,(IF(E777="CO",2,(IF(E777="IM",3,(IF(E777="MI",4,(IF(E777="RP",5,(IF(E777="SC",6,0)))))))))))))))))))))))))))))))))))))))</f>
        <v>6</v>
      </c>
      <c r="G777" s="98">
        <v>3</v>
      </c>
      <c r="H777" s="90" t="s">
        <v>115</v>
      </c>
      <c r="I777" s="93" t="s">
        <v>92</v>
      </c>
      <c r="J777" s="87">
        <v>12.9</v>
      </c>
      <c r="K777" s="102" t="s">
        <v>5226</v>
      </c>
      <c r="L777" s="117">
        <f>IF(O777="","",N777*O777*M777)</f>
        <v>0</v>
      </c>
      <c r="M777" s="108">
        <v>1</v>
      </c>
      <c r="N777" s="95">
        <v>1</v>
      </c>
      <c r="O777" s="109">
        <f>IF(Key!D$1="ON",P777,IF(SUM(Q777:DL777)&lt;1,"",SUM(Q777:DL777)/COUNTIF(Q777:DL777,"&gt;0")))</f>
        <v>0</v>
      </c>
      <c r="P777" s="109">
        <f>SUMIFS(Q777:DK777,Q$1:DK$1,Dashboard!$K$31)</f>
        <v>0</v>
      </c>
      <c r="U777" s="95">
        <v>33</v>
      </c>
      <c r="AA777" s="95">
        <v>25</v>
      </c>
      <c r="AH777" s="95">
        <v>75</v>
      </c>
    </row>
    <row r="778" spans="1:34" x14ac:dyDescent="0.3">
      <c r="A778" s="89" t="str">
        <f>CONCATENATE(D778,".",F778,"-",G778,".",H778,"")</f>
        <v>1.6-3.1</v>
      </c>
      <c r="B778" s="89" t="str">
        <f>IF(CONCATENATE(I778,Key!F$2)=CONCATENATE(INDEX(Dashboard!J:J,MATCH(I778,Dashboard!J:J,0),1),INDEX(Dashboard!J:K,MATCH(I778,Dashboard!J:J,0),2)),"ON",IF(Dashboard!K$32="ALL","ON","-"))</f>
        <v>-</v>
      </c>
      <c r="C778" s="96" t="s">
        <v>110</v>
      </c>
      <c r="D778" s="89">
        <f>IF(C778="ID",1,(IF(C778="PR",2,(IF(C778="DE",3,(IF(C778="RS",4,(IF(C778="RC",5,0)))))))))</f>
        <v>1</v>
      </c>
      <c r="E778" s="89" t="s">
        <v>147</v>
      </c>
      <c r="F778" s="89">
        <f>IF(E778="AM",1,(IF(E778="BE",2,(IF(E778="GV",3,(IF(E778="RA",4,(IF(E778="RM",5,(IF(E778="AC",1,(IF(E778="AT",2,(IF(E778="DS",3,(IF(E778="IP",4,(IF(E778="MA",5,(IF(E778="PT",6,(IF(E778="AE",1,(IF(E778="CM",2,(IF(E778="DP",3,(IF(E778="AN",1,(IF(E778="CO",2,(IF(E778="IM",3,(IF(E778="MI",4,(IF(E778="RP",5,(IF(E778="SC",6,0)))))))))))))))))))))))))))))))))))))))</f>
        <v>6</v>
      </c>
      <c r="G778" s="98">
        <v>3</v>
      </c>
      <c r="H778" s="90" t="s">
        <v>115</v>
      </c>
      <c r="I778" s="93" t="s">
        <v>92</v>
      </c>
      <c r="J778" s="88" t="s">
        <v>150</v>
      </c>
      <c r="K778" s="102" t="s">
        <v>5226</v>
      </c>
      <c r="L778" s="117">
        <f>IF(O778="","",N778*O778*M778)</f>
        <v>0</v>
      </c>
      <c r="M778" s="108">
        <v>1</v>
      </c>
      <c r="N778" s="95">
        <v>1</v>
      </c>
      <c r="O778" s="109">
        <f>IF(Key!D$1="ON",P778,IF(SUM(Q778:DL778)&lt;1,"",SUM(Q778:DL778)/COUNTIF(Q778:DL778,"&gt;0")))</f>
        <v>0</v>
      </c>
      <c r="P778" s="109">
        <f>SUMIFS(Q778:DK778,Q$1:DK$1,Dashboard!$K$31)</f>
        <v>0</v>
      </c>
      <c r="U778" s="95">
        <v>33</v>
      </c>
      <c r="AA778" s="95">
        <v>25</v>
      </c>
      <c r="AH778" s="95">
        <v>75</v>
      </c>
    </row>
    <row r="779" spans="1:34" x14ac:dyDescent="0.3">
      <c r="A779" s="89" t="str">
        <f>CONCATENATE(D779,".",F779,"-",G779,".",H779,"")</f>
        <v>1.6-3.2</v>
      </c>
      <c r="B779" s="89" t="str">
        <f>IF(CONCATENATE(I779,Key!F$2)=CONCATENATE(INDEX(Dashboard!J:J,MATCH(I779,Dashboard!J:J,0),1),INDEX(Dashboard!J:K,MATCH(I779,Dashboard!J:J,0),2)),"ON",IF(Dashboard!K$32="ALL","ON","-"))</f>
        <v>-</v>
      </c>
      <c r="C779" s="88" t="s">
        <v>110</v>
      </c>
      <c r="D779" s="89">
        <f>IF(C779="ID",1,(IF(C779="PR",2,(IF(C779="DE",3,(IF(C779="RS",4,(IF(C779="RC",5,0)))))))))</f>
        <v>1</v>
      </c>
      <c r="E779" s="89" t="s">
        <v>147</v>
      </c>
      <c r="F779" s="89">
        <f>IF(E779="AM",1,(IF(E779="BE",2,(IF(E779="GV",3,(IF(E779="RA",4,(IF(E779="RM",5,(IF(E779="AC",1,(IF(E779="AT",2,(IF(E779="DS",3,(IF(E779="IP",4,(IF(E779="MA",5,(IF(E779="PT",6,(IF(E779="AE",1,(IF(E779="CM",2,(IF(E779="DP",3,(IF(E779="AN",1,(IF(E779="CO",2,(IF(E779="IM",3,(IF(E779="MI",4,(IF(E779="RP",5,(IF(E779="SC",6,0)))))))))))))))))))))))))))))))))))))))</f>
        <v>6</v>
      </c>
      <c r="G779" s="52">
        <v>3</v>
      </c>
      <c r="H779" s="90" t="s">
        <v>112</v>
      </c>
      <c r="I779" s="93" t="s">
        <v>60</v>
      </c>
      <c r="J779" s="87" t="s">
        <v>3163</v>
      </c>
      <c r="K779" s="51" t="s">
        <v>5276</v>
      </c>
      <c r="L779" s="117">
        <f>IF(O779="","",N779*O779*M779)</f>
        <v>0</v>
      </c>
      <c r="M779" s="108">
        <v>1</v>
      </c>
      <c r="N779" s="95">
        <v>1</v>
      </c>
      <c r="O779" s="109">
        <f>IF(Key!D$1="ON",P779,IF(SUM(Q779:DL779)&lt;1,"",SUM(Q779:DL779)/COUNTIF(Q779:DL779,"&gt;0")))</f>
        <v>0</v>
      </c>
      <c r="P779" s="109">
        <f>SUMIFS(Q779:DK779,Q$1:DK$1,Dashboard!$K$31)</f>
        <v>0</v>
      </c>
      <c r="U779" s="95">
        <v>33</v>
      </c>
      <c r="AA779" s="95">
        <v>25</v>
      </c>
      <c r="AH779" s="95">
        <v>75</v>
      </c>
    </row>
    <row r="780" spans="1:34" ht="15.6" x14ac:dyDescent="0.3">
      <c r="A780" s="89" t="str">
        <f>CONCATENATE(D780,".",F780,"-",G780,".",H780,"")</f>
        <v>1.6-3.2</v>
      </c>
      <c r="B780" s="89" t="str">
        <f>IF(CONCATENATE(I780,Key!F$2)=CONCATENATE(INDEX(Dashboard!J:J,MATCH(I780,Dashboard!J:J,0),1),INDEX(Dashboard!J:K,MATCH(I780,Dashboard!J:J,0),2)),"ON",IF(Dashboard!K$32="ALL","ON","-"))</f>
        <v>-</v>
      </c>
      <c r="C780" s="96" t="s">
        <v>110</v>
      </c>
      <c r="D780" s="89">
        <f>IF(C780="ID",1,(IF(C780="PR",2,(IF(C780="DE",3,(IF(C780="RS",4,(IF(C780="RC",5,0)))))))))</f>
        <v>1</v>
      </c>
      <c r="E780" s="89" t="s">
        <v>147</v>
      </c>
      <c r="F780" s="89">
        <f>IF(E780="AM",1,(IF(E780="BE",2,(IF(E780="GV",3,(IF(E780="RA",4,(IF(E780="RM",5,(IF(E780="AC",1,(IF(E780="AT",2,(IF(E780="DS",3,(IF(E780="IP",4,(IF(E780="MA",5,(IF(E780="PT",6,(IF(E780="AE",1,(IF(E780="CM",2,(IF(E780="DP",3,(IF(E780="AN",1,(IF(E780="CO",2,(IF(E780="IM",3,(IF(E780="MI",4,(IF(E780="RP",5,(IF(E780="SC",6,0)))))))))))))))))))))))))))))))))))))))</f>
        <v>6</v>
      </c>
      <c r="G780" s="52">
        <v>3</v>
      </c>
      <c r="H780" s="90" t="s">
        <v>112</v>
      </c>
      <c r="I780" s="93" t="s">
        <v>89</v>
      </c>
      <c r="J780" s="88" t="s">
        <v>469</v>
      </c>
      <c r="K780" s="102" t="s">
        <v>470</v>
      </c>
      <c r="L780" s="117">
        <f>IF(O780="","",N780*O780*M780)</f>
        <v>0</v>
      </c>
      <c r="M780" s="108">
        <v>1</v>
      </c>
      <c r="N780" s="95">
        <v>1</v>
      </c>
      <c r="O780" s="109">
        <f>IF(Key!D$1="ON",P780,IF(SUM(Q780:DL780)&lt;1,"",SUM(Q780:DL780)/COUNTIF(Q780:DL780,"&gt;0")))</f>
        <v>0</v>
      </c>
      <c r="P780" s="109">
        <f>SUMIFS(Q780:DK780,Q$1:DK$1,Dashboard!$K$31)</f>
        <v>0</v>
      </c>
      <c r="U780" s="95">
        <v>33</v>
      </c>
      <c r="AA780" s="95">
        <v>25</v>
      </c>
      <c r="AH780" s="95">
        <v>75</v>
      </c>
    </row>
    <row r="781" spans="1:34" ht="15.6" x14ac:dyDescent="0.3">
      <c r="A781" s="89" t="str">
        <f>CONCATENATE(D781,".",F781,"-",G781,".",H781,"")</f>
        <v>1.6-3.2</v>
      </c>
      <c r="B781" s="89" t="str">
        <f>IF(CONCATENATE(I781,Key!F$2)=CONCATENATE(INDEX(Dashboard!J:J,MATCH(I781,Dashboard!J:J,0),1),INDEX(Dashboard!J:K,MATCH(I781,Dashboard!J:J,0),2)),"ON",IF(Dashboard!K$32="ALL","ON","-"))</f>
        <v>-</v>
      </c>
      <c r="C781" s="96" t="s">
        <v>110</v>
      </c>
      <c r="D781" s="89">
        <f>IF(C781="ID",1,(IF(C781="PR",2,(IF(C781="DE",3,(IF(C781="RS",4,(IF(C781="RC",5,0)))))))))</f>
        <v>1</v>
      </c>
      <c r="E781" s="89" t="s">
        <v>147</v>
      </c>
      <c r="F781" s="89">
        <f>IF(E781="AM",1,(IF(E781="BE",2,(IF(E781="GV",3,(IF(E781="RA",4,(IF(E781="RM",5,(IF(E781="AC",1,(IF(E781="AT",2,(IF(E781="DS",3,(IF(E781="IP",4,(IF(E781="MA",5,(IF(E781="PT",6,(IF(E781="AE",1,(IF(E781="CM",2,(IF(E781="DP",3,(IF(E781="AN",1,(IF(E781="CO",2,(IF(E781="IM",3,(IF(E781="MI",4,(IF(E781="RP",5,(IF(E781="SC",6,0)))))))))))))))))))))))))))))))))))))))</f>
        <v>6</v>
      </c>
      <c r="G781" s="52">
        <v>3</v>
      </c>
      <c r="H781" s="90" t="s">
        <v>112</v>
      </c>
      <c r="I781" s="93" t="s">
        <v>89</v>
      </c>
      <c r="J781" s="88" t="s">
        <v>471</v>
      </c>
      <c r="K781" s="102" t="s">
        <v>472</v>
      </c>
      <c r="L781" s="117">
        <f>IF(O781="","",N781*O781*M781)</f>
        <v>0</v>
      </c>
      <c r="M781" s="108">
        <v>1</v>
      </c>
      <c r="N781" s="95">
        <v>1</v>
      </c>
      <c r="O781" s="109">
        <f>IF(Key!D$1="ON",P781,IF(SUM(Q781:DL781)&lt;1,"",SUM(Q781:DL781)/COUNTIF(Q781:DL781,"&gt;0")))</f>
        <v>0</v>
      </c>
      <c r="P781" s="109">
        <f>SUMIFS(Q781:DK781,Q$1:DK$1,Dashboard!$K$31)</f>
        <v>0</v>
      </c>
      <c r="U781" s="95">
        <v>33</v>
      </c>
      <c r="AA781" s="95">
        <v>25</v>
      </c>
      <c r="AH781" s="95">
        <v>75</v>
      </c>
    </row>
    <row r="782" spans="1:34" ht="15.6" x14ac:dyDescent="0.3">
      <c r="A782" s="89" t="str">
        <f>CONCATENATE(D782,".",F782,"-",G782,".",H782,"")</f>
        <v>1.6-3.2</v>
      </c>
      <c r="B782" s="89" t="str">
        <f>IF(CONCATENATE(I782,Key!F$2)=CONCATENATE(INDEX(Dashboard!J:J,MATCH(I782,Dashboard!J:J,0),1),INDEX(Dashboard!J:K,MATCH(I782,Dashboard!J:J,0),2)),"ON",IF(Dashboard!K$32="ALL","ON","-"))</f>
        <v>-</v>
      </c>
      <c r="C782" s="96" t="s">
        <v>110</v>
      </c>
      <c r="D782" s="89">
        <f>IF(C782="ID",1,(IF(C782="PR",2,(IF(C782="DE",3,(IF(C782="RS",4,(IF(C782="RC",5,0)))))))))</f>
        <v>1</v>
      </c>
      <c r="E782" s="89" t="s">
        <v>147</v>
      </c>
      <c r="F782" s="89">
        <f>IF(E782="AM",1,(IF(E782="BE",2,(IF(E782="GV",3,(IF(E782="RA",4,(IF(E782="RM",5,(IF(E782="AC",1,(IF(E782="AT",2,(IF(E782="DS",3,(IF(E782="IP",4,(IF(E782="MA",5,(IF(E782="PT",6,(IF(E782="AE",1,(IF(E782="CM",2,(IF(E782="DP",3,(IF(E782="AN",1,(IF(E782="CO",2,(IF(E782="IM",3,(IF(E782="MI",4,(IF(E782="RP",5,(IF(E782="SC",6,0)))))))))))))))))))))))))))))))))))))))</f>
        <v>6</v>
      </c>
      <c r="G782" s="52">
        <v>3</v>
      </c>
      <c r="H782" s="90" t="s">
        <v>112</v>
      </c>
      <c r="I782" s="93" t="s">
        <v>89</v>
      </c>
      <c r="J782" s="88" t="s">
        <v>473</v>
      </c>
      <c r="K782" s="102" t="s">
        <v>474</v>
      </c>
      <c r="L782" s="117">
        <f>IF(O782="","",N782*O782*M782)</f>
        <v>0</v>
      </c>
      <c r="M782" s="108">
        <v>1</v>
      </c>
      <c r="N782" s="95">
        <v>1</v>
      </c>
      <c r="O782" s="109">
        <f>IF(Key!D$1="ON",P782,IF(SUM(Q782:DL782)&lt;1,"",SUM(Q782:DL782)/COUNTIF(Q782:DL782,"&gt;0")))</f>
        <v>0</v>
      </c>
      <c r="P782" s="109">
        <f>SUMIFS(Q782:DK782,Q$1:DK$1,Dashboard!$K$31)</f>
        <v>0</v>
      </c>
      <c r="U782" s="95">
        <v>33</v>
      </c>
      <c r="AA782" s="95">
        <v>25</v>
      </c>
      <c r="AH782" s="95">
        <v>75</v>
      </c>
    </row>
    <row r="783" spans="1:34" ht="15.6" x14ac:dyDescent="0.3">
      <c r="A783" s="89" t="str">
        <f>CONCATENATE(D783,".",F783,"-",G783,".",H783,"")</f>
        <v>1.6-3.2</v>
      </c>
      <c r="B783" s="89" t="str">
        <f>IF(CONCATENATE(I783,Key!F$2)=CONCATENATE(INDEX(Dashboard!J:J,MATCH(I783,Dashboard!J:J,0),1),INDEX(Dashboard!J:K,MATCH(I783,Dashboard!J:J,0),2)),"ON",IF(Dashboard!K$32="ALL","ON","-"))</f>
        <v>-</v>
      </c>
      <c r="C783" s="96" t="s">
        <v>110</v>
      </c>
      <c r="D783" s="89">
        <f>IF(C783="ID",1,(IF(C783="PR",2,(IF(C783="DE",3,(IF(C783="RS",4,(IF(C783="RC",5,0)))))))))</f>
        <v>1</v>
      </c>
      <c r="E783" s="89" t="s">
        <v>147</v>
      </c>
      <c r="F783" s="89">
        <f>IF(E783="AM",1,(IF(E783="BE",2,(IF(E783="GV",3,(IF(E783="RA",4,(IF(E783="RM",5,(IF(E783="AC",1,(IF(E783="AT",2,(IF(E783="DS",3,(IF(E783="IP",4,(IF(E783="MA",5,(IF(E783="PT",6,(IF(E783="AE",1,(IF(E783="CM",2,(IF(E783="DP",3,(IF(E783="AN",1,(IF(E783="CO",2,(IF(E783="IM",3,(IF(E783="MI",4,(IF(E783="RP",5,(IF(E783="SC",6,0)))))))))))))))))))))))))))))))))))))))</f>
        <v>6</v>
      </c>
      <c r="G783" s="52">
        <v>3</v>
      </c>
      <c r="H783" s="90" t="s">
        <v>112</v>
      </c>
      <c r="I783" s="93" t="s">
        <v>89</v>
      </c>
      <c r="J783" s="88" t="s">
        <v>475</v>
      </c>
      <c r="K783" s="102" t="s">
        <v>476</v>
      </c>
      <c r="L783" s="117">
        <f>IF(O783="","",N783*O783*M783)</f>
        <v>0</v>
      </c>
      <c r="M783" s="108">
        <v>1</v>
      </c>
      <c r="N783" s="95">
        <v>1</v>
      </c>
      <c r="O783" s="109">
        <f>IF(Key!D$1="ON",P783,IF(SUM(Q783:DL783)&lt;1,"",SUM(Q783:DL783)/COUNTIF(Q783:DL783,"&gt;0")))</f>
        <v>0</v>
      </c>
      <c r="P783" s="109">
        <f>SUMIFS(Q783:DK783,Q$1:DK$1,Dashboard!$K$31)</f>
        <v>0</v>
      </c>
      <c r="U783" s="95">
        <v>33</v>
      </c>
      <c r="AA783" s="95">
        <v>25</v>
      </c>
      <c r="AH783" s="95">
        <v>75</v>
      </c>
    </row>
    <row r="784" spans="1:34" ht="15.6" x14ac:dyDescent="0.3">
      <c r="A784" s="89" t="str">
        <f>CONCATENATE(D784,".",F784,"-",G784,".",H784,"")</f>
        <v>1.6-3.2</v>
      </c>
      <c r="B784" s="89" t="str">
        <f>IF(CONCATENATE(I784,Key!F$2)=CONCATENATE(INDEX(Dashboard!J:J,MATCH(I784,Dashboard!J:J,0),1),INDEX(Dashboard!J:K,MATCH(I784,Dashboard!J:J,0),2)),"ON",IF(Dashboard!K$32="ALL","ON","-"))</f>
        <v>-</v>
      </c>
      <c r="C784" s="96" t="s">
        <v>110</v>
      </c>
      <c r="D784" s="89">
        <f>IF(C784="ID",1,(IF(C784="PR",2,(IF(C784="DE",3,(IF(C784="RS",4,(IF(C784="RC",5,0)))))))))</f>
        <v>1</v>
      </c>
      <c r="E784" s="89" t="s">
        <v>147</v>
      </c>
      <c r="F784" s="89">
        <f>IF(E784="AM",1,(IF(E784="BE",2,(IF(E784="GV",3,(IF(E784="RA",4,(IF(E784="RM",5,(IF(E784="AC",1,(IF(E784="AT",2,(IF(E784="DS",3,(IF(E784="IP",4,(IF(E784="MA",5,(IF(E784="PT",6,(IF(E784="AE",1,(IF(E784="CM",2,(IF(E784="DP",3,(IF(E784="AN",1,(IF(E784="CO",2,(IF(E784="IM",3,(IF(E784="MI",4,(IF(E784="RP",5,(IF(E784="SC",6,0)))))))))))))))))))))))))))))))))))))))</f>
        <v>6</v>
      </c>
      <c r="G784" s="52">
        <v>3</v>
      </c>
      <c r="H784" s="90" t="s">
        <v>112</v>
      </c>
      <c r="I784" s="93" t="s">
        <v>89</v>
      </c>
      <c r="J784" s="88" t="s">
        <v>477</v>
      </c>
      <c r="K784" s="102" t="s">
        <v>478</v>
      </c>
      <c r="L784" s="117">
        <f>IF(O784="","",N784*O784*M784)</f>
        <v>0</v>
      </c>
      <c r="M784" s="108">
        <v>1</v>
      </c>
      <c r="N784" s="95">
        <v>1</v>
      </c>
      <c r="O784" s="109">
        <f>IF(Key!D$1="ON",P784,IF(SUM(Q784:DL784)&lt;1,"",SUM(Q784:DL784)/COUNTIF(Q784:DL784,"&gt;0")))</f>
        <v>0</v>
      </c>
      <c r="P784" s="109">
        <f>SUMIFS(Q784:DK784,Q$1:DK$1,Dashboard!$K$31)</f>
        <v>0</v>
      </c>
      <c r="U784" s="95">
        <v>33</v>
      </c>
      <c r="AA784" s="95">
        <v>25</v>
      </c>
      <c r="AH784" s="95">
        <v>75</v>
      </c>
    </row>
    <row r="785" spans="1:34" x14ac:dyDescent="0.3">
      <c r="A785" s="89" t="str">
        <f>CONCATENATE(D785,".",F785,"-",G785,".",H785,"")</f>
        <v>1.6-3.3</v>
      </c>
      <c r="B785" s="89" t="str">
        <f>IF(CONCATENATE(I785,Key!F$2)=CONCATENATE(INDEX(Dashboard!J:J,MATCH(I785,Dashboard!J:J,0),1),INDEX(Dashboard!J:K,MATCH(I785,Dashboard!J:J,0),2)),"ON",IF(Dashboard!K$32="ALL","ON","-"))</f>
        <v>-</v>
      </c>
      <c r="C785" s="96" t="s">
        <v>110</v>
      </c>
      <c r="D785" s="89">
        <f>IF(C785="ID",1,(IF(C785="PR",2,(IF(C785="DE",3,(IF(C785="RS",4,(IF(C785="RC",5,0)))))))))</f>
        <v>1</v>
      </c>
      <c r="E785" s="89" t="s">
        <v>147</v>
      </c>
      <c r="F785" s="89">
        <f>IF(E785="AM",1,(IF(E785="BE",2,(IF(E785="GV",3,(IF(E785="RA",4,(IF(E785="RM",5,(IF(E785="AC",1,(IF(E785="AT",2,(IF(E785="DS",3,(IF(E785="IP",4,(IF(E785="MA",5,(IF(E785="PT",6,(IF(E785="AE",1,(IF(E785="CM",2,(IF(E785="DP",3,(IF(E785="AN",1,(IF(E785="CO",2,(IF(E785="IM",3,(IF(E785="MI",4,(IF(E785="RP",5,(IF(E785="SC",6,0)))))))))))))))))))))))))))))))))))))))</f>
        <v>6</v>
      </c>
      <c r="G785" s="52">
        <v>3</v>
      </c>
      <c r="H785" s="90" t="s">
        <v>280</v>
      </c>
      <c r="I785" s="93" t="s">
        <v>89</v>
      </c>
      <c r="J785" s="88" t="s">
        <v>479</v>
      </c>
      <c r="K785" s="102" t="s">
        <v>480</v>
      </c>
      <c r="L785" s="117">
        <f>IF(O785="","",N785*O785*M785)</f>
        <v>0</v>
      </c>
      <c r="M785" s="108">
        <v>1</v>
      </c>
      <c r="N785" s="95">
        <v>1</v>
      </c>
      <c r="O785" s="109">
        <f>IF(Key!D$1="ON",P785,IF(SUM(Q785:DL785)&lt;1,"",SUM(Q785:DL785)/COUNTIF(Q785:DL785,"&gt;0")))</f>
        <v>0</v>
      </c>
      <c r="P785" s="109">
        <f>SUMIFS(Q785:DK785,Q$1:DK$1,Dashboard!$K$31)</f>
        <v>0</v>
      </c>
      <c r="U785" s="95">
        <v>33</v>
      </c>
      <c r="AA785" s="95">
        <v>25</v>
      </c>
      <c r="AH785" s="95">
        <v>75</v>
      </c>
    </row>
    <row r="786" spans="1:34" x14ac:dyDescent="0.3">
      <c r="A786" s="89" t="str">
        <f>CONCATENATE(D786,".",F786,"-",G786,".",H786,"")</f>
        <v>1.6-3.4</v>
      </c>
      <c r="B786" s="89" t="str">
        <f>IF(CONCATENATE(I786,Key!F$2)=CONCATENATE(INDEX(Dashboard!J:J,MATCH(I786,Dashboard!J:J,0),1),INDEX(Dashboard!J:K,MATCH(I786,Dashboard!J:J,0),2)),"ON",IF(Dashboard!K$32="ALL","ON","-"))</f>
        <v>-</v>
      </c>
      <c r="C786" s="88" t="s">
        <v>110</v>
      </c>
      <c r="D786" s="89">
        <f>IF(C786="ID",1,(IF(C786="PR",2,(IF(C786="DE",3,(IF(C786="RS",4,(IF(C786="RC",5,0)))))))))</f>
        <v>1</v>
      </c>
      <c r="E786" s="89" t="s">
        <v>147</v>
      </c>
      <c r="F786" s="89">
        <f>IF(E786="AM",1,(IF(E786="BE",2,(IF(E786="GV",3,(IF(E786="RA",4,(IF(E786="RM",5,(IF(E786="AC",1,(IF(E786="AT",2,(IF(E786="DS",3,(IF(E786="IP",4,(IF(E786="MA",5,(IF(E786="PT",6,(IF(E786="AE",1,(IF(E786="CM",2,(IF(E786="DP",3,(IF(E786="AN",1,(IF(E786="CO",2,(IF(E786="IM",3,(IF(E786="MI",4,(IF(E786="RP",5,(IF(E786="SC",6,0)))))))))))))))))))))))))))))))))))))))</f>
        <v>6</v>
      </c>
      <c r="G786" s="52">
        <v>3</v>
      </c>
      <c r="H786" s="90" t="s">
        <v>151</v>
      </c>
      <c r="I786" s="93" t="s">
        <v>92</v>
      </c>
      <c r="J786" s="88">
        <v>2.6</v>
      </c>
      <c r="K786" s="102" t="s">
        <v>5226</v>
      </c>
      <c r="L786" s="117">
        <f>IF(O786="","",N786*O786*M786)</f>
        <v>0</v>
      </c>
      <c r="M786" s="108">
        <v>1</v>
      </c>
      <c r="N786" s="95">
        <v>1</v>
      </c>
      <c r="O786" s="109">
        <f>IF(Key!D$1="ON",P786,IF(SUM(Q786:DL786)&lt;1,"",SUM(Q786:DL786)/COUNTIF(Q786:DL786,"&gt;0")))</f>
        <v>0</v>
      </c>
      <c r="P786" s="109">
        <f>SUMIFS(Q786:DK786,Q$1:DK$1,Dashboard!$K$31)</f>
        <v>0</v>
      </c>
      <c r="U786" s="95">
        <v>33</v>
      </c>
      <c r="AA786" s="95">
        <v>25</v>
      </c>
      <c r="AH786" s="95">
        <v>75</v>
      </c>
    </row>
    <row r="787" spans="1:34" x14ac:dyDescent="0.3">
      <c r="A787" s="89" t="str">
        <f>CONCATENATE(D787,".",F787,"-",G787,".",H787,"")</f>
        <v>1.6-4.0</v>
      </c>
      <c r="B787" s="89" t="str">
        <f>IF(CONCATENATE(I787,Key!F$2)=CONCATENATE(INDEX(Dashboard!J:J,MATCH(I787,Dashboard!J:J,0),1),INDEX(Dashboard!J:K,MATCH(I787,Dashboard!J:J,0),2)),"ON",IF(Dashboard!K$32="ALL","ON","-"))</f>
        <v>-</v>
      </c>
      <c r="C787" s="96" t="s">
        <v>110</v>
      </c>
      <c r="D787" s="89">
        <f>IF(C787="ID",1,(IF(C787="PR",2,(IF(C787="DE",3,(IF(C787="RS",4,(IF(C787="RC",5,0)))))))))</f>
        <v>1</v>
      </c>
      <c r="E787" s="89" t="s">
        <v>147</v>
      </c>
      <c r="F787" s="89">
        <f>IF(E787="AM",1,(IF(E787="BE",2,(IF(E787="GV",3,(IF(E787="RA",4,(IF(E787="RM",5,(IF(E787="AC",1,(IF(E787="AT",2,(IF(E787="DS",3,(IF(E787="IP",4,(IF(E787="MA",5,(IF(E787="PT",6,(IF(E787="AE",1,(IF(E787="CM",2,(IF(E787="DP",3,(IF(E787="AN",1,(IF(E787="CO",2,(IF(E787="IM",3,(IF(E787="MI",4,(IF(E787="RP",5,(IF(E787="SC",6,0)))))))))))))))))))))))))))))))))))))))</f>
        <v>6</v>
      </c>
      <c r="G787" s="52">
        <v>4</v>
      </c>
      <c r="H787" s="90" t="s">
        <v>347</v>
      </c>
      <c r="I787" s="93" t="s">
        <v>2835</v>
      </c>
      <c r="J787" s="54" t="s">
        <v>2908</v>
      </c>
      <c r="K787" s="152" t="s">
        <v>2909</v>
      </c>
      <c r="L787" s="117">
        <f>IF(O787="","",N787*O787*M787)</f>
        <v>0</v>
      </c>
      <c r="M787" s="108">
        <v>1</v>
      </c>
      <c r="N787" s="95">
        <v>1</v>
      </c>
      <c r="O787" s="109">
        <f>IF(Key!D$1="ON",P787,IF(SUM(Q787:DL787)&lt;1,"",SUM(Q787:DL787)/COUNTIF(Q787:DL787,"&gt;0")))</f>
        <v>0</v>
      </c>
      <c r="P787" s="109">
        <f>SUMIFS(Q787:DK787,Q$1:DK$1,Dashboard!$K$31)</f>
        <v>0</v>
      </c>
      <c r="U787" s="95">
        <v>33</v>
      </c>
    </row>
    <row r="788" spans="1:34" x14ac:dyDescent="0.3">
      <c r="A788" s="89" t="str">
        <f>CONCATENATE(D788,".",F788,"-",G788,".",H788,"")</f>
        <v>1.6-4.1</v>
      </c>
      <c r="B788" s="89" t="str">
        <f>IF(CONCATENATE(I788,Key!F$2)=CONCATENATE(INDEX(Dashboard!J:J,MATCH(I788,Dashboard!J:J,0),1),INDEX(Dashboard!J:K,MATCH(I788,Dashboard!J:J,0),2)),"ON",IF(Dashboard!K$32="ALL","ON","-"))</f>
        <v>-</v>
      </c>
      <c r="C788" s="96" t="s">
        <v>110</v>
      </c>
      <c r="D788" s="89">
        <f>IF(C788="ID",1,(IF(C788="PR",2,(IF(C788="DE",3,(IF(C788="RS",4,(IF(C788="RC",5,0)))))))))</f>
        <v>1</v>
      </c>
      <c r="E788" s="89" t="s">
        <v>147</v>
      </c>
      <c r="F788" s="89">
        <f>IF(E788="AM",1,(IF(E788="BE",2,(IF(E788="GV",3,(IF(E788="RA",4,(IF(E788="RM",5,(IF(E788="AC",1,(IF(E788="AT",2,(IF(E788="DS",3,(IF(E788="IP",4,(IF(E788="MA",5,(IF(E788="PT",6,(IF(E788="AE",1,(IF(E788="CM",2,(IF(E788="DP",3,(IF(E788="AN",1,(IF(E788="CO",2,(IF(E788="IM",3,(IF(E788="MI",4,(IF(E788="RP",5,(IF(E788="SC",6,0)))))))))))))))))))))))))))))))))))))))</f>
        <v>6</v>
      </c>
      <c r="G788" s="52">
        <v>4</v>
      </c>
      <c r="H788" s="99">
        <v>1</v>
      </c>
      <c r="I788" s="93" t="s">
        <v>41</v>
      </c>
      <c r="J788" s="86">
        <v>2.2000000000000002</v>
      </c>
      <c r="K788" s="103" t="s">
        <v>3462</v>
      </c>
      <c r="L788" s="117">
        <f>IF(O788="","",N788*O788*M788)</f>
        <v>0</v>
      </c>
      <c r="M788" s="108">
        <v>1</v>
      </c>
      <c r="N788" s="95">
        <v>1</v>
      </c>
      <c r="O788" s="109">
        <f>IF(Key!D$1="ON",P788,IF(SUM(Q788:DL788)&lt;1,"",SUM(Q788:DL788)/COUNTIF(Q788:DL788,"&gt;0")))</f>
        <v>0</v>
      </c>
      <c r="P788" s="109">
        <f>SUMIFS(Q788:DK788,Q$1:DK$1,Dashboard!$K$31)</f>
        <v>0</v>
      </c>
      <c r="U788" s="95">
        <v>33</v>
      </c>
    </row>
    <row r="789" spans="1:34" x14ac:dyDescent="0.3">
      <c r="A789" s="89" t="str">
        <f>CONCATENATE(D789,".",F789,"-",G789,".",H789,"")</f>
        <v>1.6-4.1</v>
      </c>
      <c r="B789" s="89" t="str">
        <f>IF(CONCATENATE(I789,Key!F$2)=CONCATENATE(INDEX(Dashboard!J:J,MATCH(I789,Dashboard!J:J,0),1),INDEX(Dashboard!J:K,MATCH(I789,Dashboard!J:J,0),2)),"ON",IF(Dashboard!K$32="ALL","ON","-"))</f>
        <v>-</v>
      </c>
      <c r="C789" s="132" t="s">
        <v>110</v>
      </c>
      <c r="D789" s="89">
        <f>IF(C789="ID",1,(IF(C789="PR",2,(IF(C789="DE",3,(IF(C789="RS",4,(IF(C789="RC",5,0)))))))))</f>
        <v>1</v>
      </c>
      <c r="E789" s="89" t="s">
        <v>147</v>
      </c>
      <c r="F789" s="89">
        <f>IF(E789="AM",1,(IF(E789="BE",2,(IF(E789="GV",3,(IF(E789="RA",4,(IF(E789="RM",5,(IF(E789="AC",1,(IF(E789="AT",2,(IF(E789="DS",3,(IF(E789="IP",4,(IF(E789="MA",5,(IF(E789="PT",6,(IF(E789="AE",1,(IF(E789="CM",2,(IF(E789="DP",3,(IF(E789="AN",1,(IF(E789="CO",2,(IF(E789="IM",3,(IF(E789="MI",4,(IF(E789="RP",5,(IF(E789="SC",6,0)))))))))))))))))))))))))))))))))))))))</f>
        <v>6</v>
      </c>
      <c r="G789" s="98">
        <v>4</v>
      </c>
      <c r="H789" s="90" t="s">
        <v>115</v>
      </c>
      <c r="I789" s="93" t="s">
        <v>52</v>
      </c>
      <c r="J789" s="88" t="s">
        <v>3353</v>
      </c>
      <c r="K789" s="103" t="s">
        <v>3354</v>
      </c>
      <c r="L789" s="117">
        <f>IF(O789="","",N789*O789*M789)</f>
        <v>0</v>
      </c>
      <c r="M789" s="108">
        <v>1</v>
      </c>
      <c r="N789" s="95">
        <v>1</v>
      </c>
      <c r="O789" s="109">
        <f>IF(Key!D$1="ON",P789,IF(SUM(Q789:DL789)&lt;1,"",SUM(Q789:DL789)/COUNTIF(Q789:DL789,"&gt;0")))</f>
        <v>0</v>
      </c>
      <c r="P789" s="109">
        <f>SUMIFS(Q789:DK789,Q$1:DK$1,Dashboard!$K$31)</f>
        <v>0</v>
      </c>
      <c r="U789" s="95">
        <v>33</v>
      </c>
      <c r="AA789" s="95">
        <v>25</v>
      </c>
      <c r="AH789" s="95">
        <v>75</v>
      </c>
    </row>
    <row r="790" spans="1:34" ht="15.6" x14ac:dyDescent="0.3">
      <c r="A790" s="89" t="str">
        <f>CONCATENATE(D790,".",F790,"-",G790,".",H790,"")</f>
        <v>1.6-4.1</v>
      </c>
      <c r="B790" s="89" t="str">
        <f>IF(CONCATENATE(I790,Key!F$2)=CONCATENATE(INDEX(Dashboard!J:J,MATCH(I790,Dashboard!J:J,0),1),INDEX(Dashboard!J:K,MATCH(I790,Dashboard!J:J,0),2)),"ON",IF(Dashboard!K$32="ALL","ON","-"))</f>
        <v>-</v>
      </c>
      <c r="C790" s="96" t="s">
        <v>110</v>
      </c>
      <c r="D790" s="89">
        <f>IF(C790="ID",1,(IF(C790="PR",2,(IF(C790="DE",3,(IF(C790="RS",4,(IF(C790="RC",5,0)))))))))</f>
        <v>1</v>
      </c>
      <c r="E790" s="89" t="s">
        <v>147</v>
      </c>
      <c r="F790" s="89">
        <f>IF(E790="AM",1,(IF(E790="BE",2,(IF(E790="GV",3,(IF(E790="RA",4,(IF(E790="RM",5,(IF(E790="AC",1,(IF(E790="AT",2,(IF(E790="DS",3,(IF(E790="IP",4,(IF(E790="MA",5,(IF(E790="PT",6,(IF(E790="AE",1,(IF(E790="CM",2,(IF(E790="DP",3,(IF(E790="AN",1,(IF(E790="CO",2,(IF(E790="IM",3,(IF(E790="MI",4,(IF(E790="RP",5,(IF(E790="SC",6,0)))))))))))))))))))))))))))))))))))))))</f>
        <v>6</v>
      </c>
      <c r="G790" s="98">
        <v>4</v>
      </c>
      <c r="H790" s="90" t="s">
        <v>115</v>
      </c>
      <c r="I790" s="93" t="s">
        <v>52</v>
      </c>
      <c r="J790" s="88" t="s">
        <v>3355</v>
      </c>
      <c r="K790" s="103" t="s">
        <v>3356</v>
      </c>
      <c r="L790" s="117">
        <f>IF(O790="","",N790*O790*M790)</f>
        <v>0</v>
      </c>
      <c r="M790" s="108">
        <v>1</v>
      </c>
      <c r="N790" s="95">
        <v>1</v>
      </c>
      <c r="O790" s="109">
        <f>IF(Key!D$1="ON",P790,IF(SUM(Q790:DL790)&lt;1,"",SUM(Q790:DL790)/COUNTIF(Q790:DL790,"&gt;0")))</f>
        <v>0</v>
      </c>
      <c r="P790" s="109">
        <f>SUMIFS(Q790:DK790,Q$1:DK$1,Dashboard!$K$31)</f>
        <v>0</v>
      </c>
      <c r="U790" s="95">
        <v>33</v>
      </c>
      <c r="AA790" s="95">
        <v>25</v>
      </c>
      <c r="AH790" s="95">
        <v>75</v>
      </c>
    </row>
    <row r="791" spans="1:34" ht="15.6" x14ac:dyDescent="0.3">
      <c r="A791" s="89" t="str">
        <f>CONCATENATE(D791,".",F791,"-",G791,".",H791,"")</f>
        <v>1.6-4.1</v>
      </c>
      <c r="B791" s="89" t="str">
        <f>IF(CONCATENATE(I791,Key!F$2)=CONCATENATE(INDEX(Dashboard!J:J,MATCH(I791,Dashboard!J:J,0),1),INDEX(Dashboard!J:K,MATCH(I791,Dashboard!J:J,0),2)),"ON",IF(Dashboard!K$32="ALL","ON","-"))</f>
        <v>-</v>
      </c>
      <c r="C791" s="96" t="s">
        <v>110</v>
      </c>
      <c r="D791" s="89">
        <f>IF(C791="ID",1,(IF(C791="PR",2,(IF(C791="DE",3,(IF(C791="RS",4,(IF(C791="RC",5,0)))))))))</f>
        <v>1</v>
      </c>
      <c r="E791" s="89" t="s">
        <v>147</v>
      </c>
      <c r="F791" s="89">
        <f>IF(E791="AM",1,(IF(E791="BE",2,(IF(E791="GV",3,(IF(E791="RA",4,(IF(E791="RM",5,(IF(E791="AC",1,(IF(E791="AT",2,(IF(E791="DS",3,(IF(E791="IP",4,(IF(E791="MA",5,(IF(E791="PT",6,(IF(E791="AE",1,(IF(E791="CM",2,(IF(E791="DP",3,(IF(E791="AN",1,(IF(E791="CO",2,(IF(E791="IM",3,(IF(E791="MI",4,(IF(E791="RP",5,(IF(E791="SC",6,0)))))))))))))))))))))))))))))))))))))))</f>
        <v>6</v>
      </c>
      <c r="G791" s="98">
        <v>4</v>
      </c>
      <c r="H791" s="90" t="s">
        <v>115</v>
      </c>
      <c r="I791" s="93" t="s">
        <v>52</v>
      </c>
      <c r="J791" s="88" t="s">
        <v>3357</v>
      </c>
      <c r="K791" s="103" t="s">
        <v>3358</v>
      </c>
      <c r="L791" s="117">
        <f>IF(O791="","",N791*O791*M791)</f>
        <v>0</v>
      </c>
      <c r="M791" s="108">
        <v>1</v>
      </c>
      <c r="N791" s="95">
        <v>1</v>
      </c>
      <c r="O791" s="109">
        <f>IF(Key!D$1="ON",P791,IF(SUM(Q791:DL791)&lt;1,"",SUM(Q791:DL791)/COUNTIF(Q791:DL791,"&gt;0")))</f>
        <v>0</v>
      </c>
      <c r="P791" s="109">
        <f>SUMIFS(Q791:DK791,Q$1:DK$1,Dashboard!$K$31)</f>
        <v>0</v>
      </c>
      <c r="U791" s="95">
        <v>33</v>
      </c>
      <c r="AA791" s="95">
        <v>25</v>
      </c>
      <c r="AH791" s="95">
        <v>75</v>
      </c>
    </row>
    <row r="792" spans="1:34" ht="15.6" x14ac:dyDescent="0.3">
      <c r="A792" s="89" t="str">
        <f>CONCATENATE(D792,".",F792,"-",G792,".",H792,"")</f>
        <v>1.6-4.1</v>
      </c>
      <c r="B792" s="89" t="str">
        <f>IF(CONCATENATE(I792,Key!F$2)=CONCATENATE(INDEX(Dashboard!J:J,MATCH(I792,Dashboard!J:J,0),1),INDEX(Dashboard!J:K,MATCH(I792,Dashboard!J:J,0),2)),"ON",IF(Dashboard!K$32="ALL","ON","-"))</f>
        <v>-</v>
      </c>
      <c r="C792" s="88" t="s">
        <v>110</v>
      </c>
      <c r="D792" s="89">
        <f>IF(C792="ID",1,(IF(C792="PR",2,(IF(C792="DE",3,(IF(C792="RS",4,(IF(C792="RC",5,0)))))))))</f>
        <v>1</v>
      </c>
      <c r="E792" s="89" t="s">
        <v>147</v>
      </c>
      <c r="F792" s="89">
        <f>IF(E792="AM",1,(IF(E792="BE",2,(IF(E792="GV",3,(IF(E792="RA",4,(IF(E792="RM",5,(IF(E792="AC",1,(IF(E792="AT",2,(IF(E792="DS",3,(IF(E792="IP",4,(IF(E792="MA",5,(IF(E792="PT",6,(IF(E792="AE",1,(IF(E792="CM",2,(IF(E792="DP",3,(IF(E792="AN",1,(IF(E792="CO",2,(IF(E792="IM",3,(IF(E792="MI",4,(IF(E792="RP",5,(IF(E792="SC",6,0)))))))))))))))))))))))))))))))))))))))</f>
        <v>6</v>
      </c>
      <c r="G792" s="52">
        <v>4</v>
      </c>
      <c r="H792" s="90" t="s">
        <v>115</v>
      </c>
      <c r="I792" s="93" t="s">
        <v>60</v>
      </c>
      <c r="J792" s="87" t="s">
        <v>3164</v>
      </c>
      <c r="K792" s="51" t="s">
        <v>5277</v>
      </c>
      <c r="L792" s="117">
        <f>IF(O792="","",N792*O792*M792)</f>
        <v>0</v>
      </c>
      <c r="M792" s="108">
        <v>1</v>
      </c>
      <c r="N792" s="95">
        <v>1</v>
      </c>
      <c r="O792" s="109">
        <f>IF(Key!D$1="ON",P792,IF(SUM(Q792:DL792)&lt;1,"",SUM(Q792:DL792)/COUNTIF(Q792:DL792,"&gt;0")))</f>
        <v>0</v>
      </c>
      <c r="P792" s="109">
        <f>SUMIFS(Q792:DK792,Q$1:DK$1,Dashboard!$K$31)</f>
        <v>0</v>
      </c>
      <c r="U792" s="95">
        <v>33</v>
      </c>
      <c r="AA792" s="95">
        <v>25</v>
      </c>
      <c r="AH792" s="95">
        <v>75</v>
      </c>
    </row>
    <row r="793" spans="1:34" x14ac:dyDescent="0.3">
      <c r="A793" s="89" t="str">
        <f>CONCATENATE(D793,".",F793,"-",G793,".",H793,"")</f>
        <v>1.6-4.1</v>
      </c>
      <c r="B793" s="89" t="str">
        <f>IF(CONCATENATE(I793,Key!F$2)=CONCATENATE(INDEX(Dashboard!J:J,MATCH(I793,Dashboard!J:J,0),1),INDEX(Dashboard!J:K,MATCH(I793,Dashboard!J:J,0),2)),"ON",IF(Dashboard!K$32="ALL","ON","-"))</f>
        <v>-</v>
      </c>
      <c r="C793" s="88" t="s">
        <v>110</v>
      </c>
      <c r="D793" s="89">
        <f>IF(C793="ID",1,(IF(C793="PR",2,(IF(C793="DE",3,(IF(C793="RS",4,(IF(C793="RC",5,0)))))))))</f>
        <v>1</v>
      </c>
      <c r="E793" s="89" t="s">
        <v>147</v>
      </c>
      <c r="F793" s="89">
        <f>IF(E793="AM",1,(IF(E793="BE",2,(IF(E793="GV",3,(IF(E793="RA",4,(IF(E793="RM",5,(IF(E793="AC",1,(IF(E793="AT",2,(IF(E793="DS",3,(IF(E793="IP",4,(IF(E793="MA",5,(IF(E793="PT",6,(IF(E793="AE",1,(IF(E793="CM",2,(IF(E793="DP",3,(IF(E793="AN",1,(IF(E793="CO",2,(IF(E793="IM",3,(IF(E793="MI",4,(IF(E793="RP",5,(IF(E793="SC",6,0)))))))))))))))))))))))))))))))))))))))</f>
        <v>6</v>
      </c>
      <c r="G793" s="52">
        <v>4</v>
      </c>
      <c r="H793" s="90" t="s">
        <v>115</v>
      </c>
      <c r="I793" s="93" t="s">
        <v>60</v>
      </c>
      <c r="J793" s="87" t="s">
        <v>3141</v>
      </c>
      <c r="K793" s="51" t="s">
        <v>5254</v>
      </c>
      <c r="L793" s="117">
        <f>IF(O793="","",N793*O793*M793)</f>
        <v>0</v>
      </c>
      <c r="M793" s="108">
        <v>1</v>
      </c>
      <c r="N793" s="95">
        <v>1</v>
      </c>
      <c r="O793" s="109">
        <f>IF(Key!D$1="ON",P793,IF(SUM(Q793:DL793)&lt;1,"",SUM(Q793:DL793)/COUNTIF(Q793:DL793,"&gt;0")))</f>
        <v>0</v>
      </c>
      <c r="P793" s="109">
        <f>SUMIFS(Q793:DK793,Q$1:DK$1,Dashboard!$K$31)</f>
        <v>0</v>
      </c>
      <c r="U793" s="95">
        <v>33</v>
      </c>
      <c r="AA793" s="95">
        <v>25</v>
      </c>
      <c r="AH793" s="95">
        <v>75</v>
      </c>
    </row>
    <row r="794" spans="1:34" ht="15.6" x14ac:dyDescent="0.3">
      <c r="A794" s="89" t="str">
        <f>CONCATENATE(D794,".",F794,"-",G794,".",H794,"")</f>
        <v>1.6-4.1</v>
      </c>
      <c r="B794" s="89" t="str">
        <f>IF(CONCATENATE(I794,Key!F$2)=CONCATENATE(INDEX(Dashboard!J:J,MATCH(I794,Dashboard!J:J,0),1),INDEX(Dashboard!J:K,MATCH(I794,Dashboard!J:J,0),2)),"ON",IF(Dashboard!K$32="ALL","ON","-"))</f>
        <v>-</v>
      </c>
      <c r="C794" s="88" t="s">
        <v>110</v>
      </c>
      <c r="D794" s="89">
        <f>IF(C794="ID",1,(IF(C794="PR",2,(IF(C794="DE",3,(IF(C794="RS",4,(IF(C794="RC",5,0)))))))))</f>
        <v>1</v>
      </c>
      <c r="E794" s="89" t="s">
        <v>147</v>
      </c>
      <c r="F794" s="89">
        <f>IF(E794="AM",1,(IF(E794="BE",2,(IF(E794="GV",3,(IF(E794="RA",4,(IF(E794="RM",5,(IF(E794="AC",1,(IF(E794="AT",2,(IF(E794="DS",3,(IF(E794="IP",4,(IF(E794="MA",5,(IF(E794="PT",6,(IF(E794="AE",1,(IF(E794="CM",2,(IF(E794="DP",3,(IF(E794="AN",1,(IF(E794="CO",2,(IF(E794="IM",3,(IF(E794="MI",4,(IF(E794="RP",5,(IF(E794="SC",6,0)))))))))))))))))))))))))))))))))))))))</f>
        <v>6</v>
      </c>
      <c r="G794" s="52">
        <v>4</v>
      </c>
      <c r="H794" s="90" t="s">
        <v>115</v>
      </c>
      <c r="I794" s="93" t="s">
        <v>64</v>
      </c>
      <c r="J794" s="87" t="s">
        <v>1113</v>
      </c>
      <c r="K794" s="102" t="s">
        <v>2149</v>
      </c>
      <c r="L794" s="117">
        <f>IF(O794="","",N794*O794*M794)</f>
        <v>0</v>
      </c>
      <c r="M794" s="108">
        <v>1</v>
      </c>
      <c r="N794" s="95">
        <v>1</v>
      </c>
      <c r="O794" s="109">
        <f>IF(Key!D$1="ON",P794,IF(SUM(Q794:DL794)&lt;1,"",SUM(Q794:DL794)/COUNTIF(Q794:DL794,"&gt;0")))</f>
        <v>0</v>
      </c>
      <c r="P794" s="109">
        <f>SUMIFS(Q794:DK794,Q$1:DK$1,Dashboard!$K$31)</f>
        <v>0</v>
      </c>
      <c r="U794" s="95">
        <v>33</v>
      </c>
      <c r="AA794" s="95">
        <v>25</v>
      </c>
      <c r="AH794" s="95">
        <v>75</v>
      </c>
    </row>
    <row r="795" spans="1:34" ht="15.6" x14ac:dyDescent="0.3">
      <c r="A795" s="89" t="str">
        <f>CONCATENATE(D795,".",F795,"-",G795,".",H795,"")</f>
        <v>1.6-4.1</v>
      </c>
      <c r="B795" s="89" t="str">
        <f>IF(CONCATENATE(I795,Key!F$2)=CONCATENATE(INDEX(Dashboard!J:J,MATCH(I795,Dashboard!J:J,0),1),INDEX(Dashboard!J:K,MATCH(I795,Dashboard!J:J,0),2)),"ON",IF(Dashboard!K$32="ALL","ON","-"))</f>
        <v>-</v>
      </c>
      <c r="C795" s="88" t="s">
        <v>110</v>
      </c>
      <c r="D795" s="89">
        <f>IF(C795="ID",1,(IF(C795="PR",2,(IF(C795="DE",3,(IF(C795="RS",4,(IF(C795="RC",5,0)))))))))</f>
        <v>1</v>
      </c>
      <c r="E795" s="89" t="s">
        <v>147</v>
      </c>
      <c r="F795" s="89">
        <f>IF(E795="AM",1,(IF(E795="BE",2,(IF(E795="GV",3,(IF(E795="RA",4,(IF(E795="RM",5,(IF(E795="AC",1,(IF(E795="AT",2,(IF(E795="DS",3,(IF(E795="IP",4,(IF(E795="MA",5,(IF(E795="PT",6,(IF(E795="AE",1,(IF(E795="CM",2,(IF(E795="DP",3,(IF(E795="AN",1,(IF(E795="CO",2,(IF(E795="IM",3,(IF(E795="MI",4,(IF(E795="RP",5,(IF(E795="SC",6,0)))))))))))))))))))))))))))))))))))))))</f>
        <v>6</v>
      </c>
      <c r="G795" s="52">
        <v>4</v>
      </c>
      <c r="H795" s="90" t="s">
        <v>115</v>
      </c>
      <c r="I795" s="93" t="s">
        <v>64</v>
      </c>
      <c r="J795" s="87" t="s">
        <v>1116</v>
      </c>
      <c r="K795" s="102" t="s">
        <v>2152</v>
      </c>
      <c r="L795" s="117">
        <f>IF(O795="","",N795*O795*M795)</f>
        <v>0</v>
      </c>
      <c r="M795" s="108">
        <v>1</v>
      </c>
      <c r="N795" s="95">
        <v>1</v>
      </c>
      <c r="O795" s="109">
        <f>IF(Key!D$1="ON",P795,IF(SUM(Q795:DL795)&lt;1,"",SUM(Q795:DL795)/COUNTIF(Q795:DL795,"&gt;0")))</f>
        <v>0</v>
      </c>
      <c r="P795" s="109">
        <f>SUMIFS(Q795:DK795,Q$1:DK$1,Dashboard!$K$31)</f>
        <v>0</v>
      </c>
      <c r="U795" s="95">
        <v>33</v>
      </c>
      <c r="AA795" s="95">
        <v>25</v>
      </c>
      <c r="AH795" s="95">
        <v>75</v>
      </c>
    </row>
    <row r="796" spans="1:34" ht="15.6" x14ac:dyDescent="0.3">
      <c r="A796" s="89" t="str">
        <f>CONCATENATE(D796,".",F796,"-",G796,".",H796,"")</f>
        <v>1.6-4.1</v>
      </c>
      <c r="B796" s="89" t="str">
        <f>IF(CONCATENATE(I796,Key!F$2)=CONCATENATE(INDEX(Dashboard!J:J,MATCH(I796,Dashboard!J:J,0),1),INDEX(Dashboard!J:K,MATCH(I796,Dashboard!J:J,0),2)),"ON",IF(Dashboard!K$32="ALL","ON","-"))</f>
        <v>-</v>
      </c>
      <c r="C796" s="88" t="s">
        <v>110</v>
      </c>
      <c r="D796" s="89">
        <f>IF(C796="ID",1,(IF(C796="PR",2,(IF(C796="DE",3,(IF(C796="RS",4,(IF(C796="RC",5,0)))))))))</f>
        <v>1</v>
      </c>
      <c r="E796" s="89" t="s">
        <v>147</v>
      </c>
      <c r="F796" s="89">
        <f>IF(E796="AM",1,(IF(E796="BE",2,(IF(E796="GV",3,(IF(E796="RA",4,(IF(E796="RM",5,(IF(E796="AC",1,(IF(E796="AT",2,(IF(E796="DS",3,(IF(E796="IP",4,(IF(E796="MA",5,(IF(E796="PT",6,(IF(E796="AE",1,(IF(E796="CM",2,(IF(E796="DP",3,(IF(E796="AN",1,(IF(E796="CO",2,(IF(E796="IM",3,(IF(E796="MI",4,(IF(E796="RP",5,(IF(E796="SC",6,0)))))))))))))))))))))))))))))))))))))))</f>
        <v>6</v>
      </c>
      <c r="G796" s="52">
        <v>4</v>
      </c>
      <c r="H796" s="90" t="s">
        <v>115</v>
      </c>
      <c r="I796" s="93" t="s">
        <v>77</v>
      </c>
      <c r="J796" s="87" t="s">
        <v>1112</v>
      </c>
      <c r="K796" s="102" t="s">
        <v>2148</v>
      </c>
      <c r="L796" s="117">
        <f>IF(O796="","",N796*O796*M796)</f>
        <v>0</v>
      </c>
      <c r="M796" s="108">
        <v>1</v>
      </c>
      <c r="N796" s="95">
        <v>1</v>
      </c>
      <c r="O796" s="109">
        <f>IF(Key!D$1="ON",P796,IF(SUM(Q796:DL796)&lt;1,"",SUM(Q796:DL796)/COUNTIF(Q796:DL796,"&gt;0")))</f>
        <v>0</v>
      </c>
      <c r="P796" s="109">
        <f>SUMIFS(Q796:DK796,Q$1:DK$1,Dashboard!$K$31)</f>
        <v>0</v>
      </c>
      <c r="U796" s="95">
        <v>33</v>
      </c>
      <c r="AA796" s="95">
        <v>25</v>
      </c>
      <c r="AH796" s="95">
        <v>75</v>
      </c>
    </row>
    <row r="797" spans="1:34" ht="15.6" x14ac:dyDescent="0.3">
      <c r="A797" s="89" t="str">
        <f>CONCATENATE(D797,".",F797,"-",G797,".",H797,"")</f>
        <v>1.6-4.1</v>
      </c>
      <c r="B797" s="89" t="str">
        <f>IF(CONCATENATE(I797,Key!F$2)=CONCATENATE(INDEX(Dashboard!J:J,MATCH(I797,Dashboard!J:J,0),1),INDEX(Dashboard!J:K,MATCH(I797,Dashboard!J:J,0),2)),"ON",IF(Dashboard!K$32="ALL","ON","-"))</f>
        <v>-</v>
      </c>
      <c r="C797" s="88" t="s">
        <v>110</v>
      </c>
      <c r="D797" s="89">
        <f>IF(C797="ID",1,(IF(C797="PR",2,(IF(C797="DE",3,(IF(C797="RS",4,(IF(C797="RC",5,0)))))))))</f>
        <v>1</v>
      </c>
      <c r="E797" s="89" t="s">
        <v>147</v>
      </c>
      <c r="F797" s="89">
        <f>IF(E797="AM",1,(IF(E797="BE",2,(IF(E797="GV",3,(IF(E797="RA",4,(IF(E797="RM",5,(IF(E797="AC",1,(IF(E797="AT",2,(IF(E797="DS",3,(IF(E797="IP",4,(IF(E797="MA",5,(IF(E797="PT",6,(IF(E797="AE",1,(IF(E797="CM",2,(IF(E797="DP",3,(IF(E797="AN",1,(IF(E797="CO",2,(IF(E797="IM",3,(IF(E797="MI",4,(IF(E797="RP",5,(IF(E797="SC",6,0)))))))))))))))))))))))))))))))))))))))</f>
        <v>6</v>
      </c>
      <c r="G797" s="52">
        <v>4</v>
      </c>
      <c r="H797" s="90" t="s">
        <v>115</v>
      </c>
      <c r="I797" s="93" t="s">
        <v>77</v>
      </c>
      <c r="J797" s="87" t="s">
        <v>1113</v>
      </c>
      <c r="K797" s="102" t="s">
        <v>2149</v>
      </c>
      <c r="L797" s="117">
        <f>IF(O797="","",N797*O797*M797)</f>
        <v>0</v>
      </c>
      <c r="M797" s="108">
        <v>1</v>
      </c>
      <c r="N797" s="95">
        <v>1</v>
      </c>
      <c r="O797" s="109">
        <f>IF(Key!D$1="ON",P797,IF(SUM(Q797:DL797)&lt;1,"",SUM(Q797:DL797)/COUNTIF(Q797:DL797,"&gt;0")))</f>
        <v>0</v>
      </c>
      <c r="P797" s="109">
        <f>SUMIFS(Q797:DK797,Q$1:DK$1,Dashboard!$K$31)</f>
        <v>0</v>
      </c>
      <c r="U797" s="95">
        <v>33</v>
      </c>
      <c r="AA797" s="95">
        <v>25</v>
      </c>
      <c r="AH797" s="95">
        <v>75</v>
      </c>
    </row>
    <row r="798" spans="1:34" ht="15.6" x14ac:dyDescent="0.3">
      <c r="A798" s="89" t="str">
        <f>CONCATENATE(D798,".",F798,"-",G798,".",H798,"")</f>
        <v>1.6-4.1</v>
      </c>
      <c r="B798" s="89" t="str">
        <f>IF(CONCATENATE(I798,Key!F$2)=CONCATENATE(INDEX(Dashboard!J:J,MATCH(I798,Dashboard!J:J,0),1),INDEX(Dashboard!J:K,MATCH(I798,Dashboard!J:J,0),2)),"ON",IF(Dashboard!K$32="ALL","ON","-"))</f>
        <v>-</v>
      </c>
      <c r="C798" s="88" t="s">
        <v>110</v>
      </c>
      <c r="D798" s="89">
        <f>IF(C798="ID",1,(IF(C798="PR",2,(IF(C798="DE",3,(IF(C798="RS",4,(IF(C798="RC",5,0)))))))))</f>
        <v>1</v>
      </c>
      <c r="E798" s="89" t="s">
        <v>147</v>
      </c>
      <c r="F798" s="89">
        <f>IF(E798="AM",1,(IF(E798="BE",2,(IF(E798="GV",3,(IF(E798="RA",4,(IF(E798="RM",5,(IF(E798="AC",1,(IF(E798="AT",2,(IF(E798="DS",3,(IF(E798="IP",4,(IF(E798="MA",5,(IF(E798="PT",6,(IF(E798="AE",1,(IF(E798="CM",2,(IF(E798="DP",3,(IF(E798="AN",1,(IF(E798="CO",2,(IF(E798="IM",3,(IF(E798="MI",4,(IF(E798="RP",5,(IF(E798="SC",6,0)))))))))))))))))))))))))))))))))))))))</f>
        <v>6</v>
      </c>
      <c r="G798" s="52">
        <v>4</v>
      </c>
      <c r="H798" s="90" t="s">
        <v>115</v>
      </c>
      <c r="I798" s="93" t="s">
        <v>77</v>
      </c>
      <c r="J798" s="87" t="s">
        <v>1116</v>
      </c>
      <c r="K798" s="102" t="s">
        <v>2152</v>
      </c>
      <c r="L798" s="117">
        <f>IF(O798="","",N798*O798*M798)</f>
        <v>0</v>
      </c>
      <c r="M798" s="108">
        <v>1</v>
      </c>
      <c r="N798" s="95">
        <v>1</v>
      </c>
      <c r="O798" s="109">
        <f>IF(Key!D$1="ON",P798,IF(SUM(Q798:DL798)&lt;1,"",SUM(Q798:DL798)/COUNTIF(Q798:DL798,"&gt;0")))</f>
        <v>0</v>
      </c>
      <c r="P798" s="109">
        <f>SUMIFS(Q798:DK798,Q$1:DK$1,Dashboard!$K$31)</f>
        <v>0</v>
      </c>
      <c r="U798" s="95">
        <v>33</v>
      </c>
      <c r="AA798" s="95">
        <v>25</v>
      </c>
      <c r="AH798" s="95">
        <v>75</v>
      </c>
    </row>
    <row r="799" spans="1:34" ht="15.6" x14ac:dyDescent="0.3">
      <c r="A799" s="89" t="str">
        <f>CONCATENATE(D799,".",F799,"-",G799,".",H799,"")</f>
        <v>1.6-4.1</v>
      </c>
      <c r="B799" s="89" t="str">
        <f>IF(CONCATENATE(I799,Key!F$2)=CONCATENATE(INDEX(Dashboard!J:J,MATCH(I799,Dashboard!J:J,0),1),INDEX(Dashboard!J:K,MATCH(I799,Dashboard!J:J,0),2)),"ON",IF(Dashboard!K$32="ALL","ON","-"))</f>
        <v>-</v>
      </c>
      <c r="C799" s="88" t="s">
        <v>110</v>
      </c>
      <c r="D799" s="89">
        <f>IF(C799="ID",1,(IF(C799="PR",2,(IF(C799="DE",3,(IF(C799="RS",4,(IF(C799="RC",5,0)))))))))</f>
        <v>1</v>
      </c>
      <c r="E799" s="89" t="s">
        <v>147</v>
      </c>
      <c r="F799" s="89">
        <f>IF(E799="AM",1,(IF(E799="BE",2,(IF(E799="GV",3,(IF(E799="RA",4,(IF(E799="RM",5,(IF(E799="AC",1,(IF(E799="AT",2,(IF(E799="DS",3,(IF(E799="IP",4,(IF(E799="MA",5,(IF(E799="PT",6,(IF(E799="AE",1,(IF(E799="CM",2,(IF(E799="DP",3,(IF(E799="AN",1,(IF(E799="CO",2,(IF(E799="IM",3,(IF(E799="MI",4,(IF(E799="RP",5,(IF(E799="SC",6,0)))))))))))))))))))))))))))))))))))))))</f>
        <v>6</v>
      </c>
      <c r="G799" s="98">
        <v>4</v>
      </c>
      <c r="H799" s="90" t="s">
        <v>115</v>
      </c>
      <c r="I799" s="93" t="s">
        <v>81</v>
      </c>
      <c r="J799" s="129" t="s">
        <v>2006</v>
      </c>
      <c r="K799" s="103" t="s">
        <v>2007</v>
      </c>
      <c r="L799" s="117">
        <f>IF(O799="","",N799*O799*M799)</f>
        <v>0</v>
      </c>
      <c r="M799" s="108">
        <v>1</v>
      </c>
      <c r="N799" s="95">
        <v>1</v>
      </c>
      <c r="O799" s="109">
        <f>IF(Key!D$1="ON",P799,IF(SUM(Q799:DL799)&lt;1,"",SUM(Q799:DL799)/COUNTIF(Q799:DL799,"&gt;0")))</f>
        <v>0</v>
      </c>
      <c r="P799" s="109">
        <f>SUMIFS(Q799:DK799,Q$1:DK$1,Dashboard!$K$31)</f>
        <v>0</v>
      </c>
      <c r="U799" s="95">
        <v>33</v>
      </c>
      <c r="AA799" s="95">
        <v>25</v>
      </c>
      <c r="AH799" s="95">
        <v>75</v>
      </c>
    </row>
    <row r="800" spans="1:34" ht="15.6" x14ac:dyDescent="0.3">
      <c r="A800" s="89" t="str">
        <f>CONCATENATE(D800,".",F800,"-",G800,".",H800,"")</f>
        <v>1.6-4.1</v>
      </c>
      <c r="B800" s="89" t="str">
        <f>IF(CONCATENATE(I800,Key!F$2)=CONCATENATE(INDEX(Dashboard!J:J,MATCH(I800,Dashboard!J:J,0),1),INDEX(Dashboard!J:K,MATCH(I800,Dashboard!J:J,0),2)),"ON",IF(Dashboard!K$32="ALL","ON","-"))</f>
        <v>-</v>
      </c>
      <c r="C800" s="88" t="s">
        <v>110</v>
      </c>
      <c r="D800" s="89">
        <f>IF(C800="ID",1,(IF(C800="PR",2,(IF(C800="DE",3,(IF(C800="RS",4,(IF(C800="RC",5,0)))))))))</f>
        <v>1</v>
      </c>
      <c r="E800" s="89" t="s">
        <v>147</v>
      </c>
      <c r="F800" s="89">
        <f>IF(E800="AM",1,(IF(E800="BE",2,(IF(E800="GV",3,(IF(E800="RA",4,(IF(E800="RM",5,(IF(E800="AC",1,(IF(E800="AT",2,(IF(E800="DS",3,(IF(E800="IP",4,(IF(E800="MA",5,(IF(E800="PT",6,(IF(E800="AE",1,(IF(E800="CM",2,(IF(E800="DP",3,(IF(E800="AN",1,(IF(E800="CO",2,(IF(E800="IM",3,(IF(E800="MI",4,(IF(E800="RP",5,(IF(E800="SC",6,0)))))))))))))))))))))))))))))))))))))))</f>
        <v>6</v>
      </c>
      <c r="G800" s="52">
        <v>4</v>
      </c>
      <c r="H800" s="90" t="s">
        <v>115</v>
      </c>
      <c r="I800" s="93" t="s">
        <v>85</v>
      </c>
      <c r="J800" s="87" t="s">
        <v>1112</v>
      </c>
      <c r="K800" s="119" t="s">
        <v>4587</v>
      </c>
      <c r="L800" s="117">
        <f>IF(O800="","",N800*O800*M800)</f>
        <v>0</v>
      </c>
      <c r="M800" s="108">
        <v>1</v>
      </c>
      <c r="N800" s="95">
        <v>1</v>
      </c>
      <c r="O800" s="109">
        <f>IF(Key!D$1="ON",P800,IF(SUM(Q800:DL800)&lt;1,"",SUM(Q800:DL800)/COUNTIF(Q800:DL800,"&gt;0")))</f>
        <v>0</v>
      </c>
      <c r="P800" s="109">
        <f>SUMIFS(Q800:DK800,Q$1:DK$1,Dashboard!$K$31)</f>
        <v>0</v>
      </c>
      <c r="U800" s="95">
        <v>33</v>
      </c>
      <c r="AA800" s="95">
        <v>25</v>
      </c>
      <c r="AH800" s="95">
        <v>75</v>
      </c>
    </row>
    <row r="801" spans="1:34" x14ac:dyDescent="0.3">
      <c r="A801" s="89" t="str">
        <f>CONCATENATE(D801,".",F801,"-",G801,".",H801,"")</f>
        <v>1.6-4.1</v>
      </c>
      <c r="B801" s="89" t="str">
        <f>IF(CONCATENATE(I801,Key!F$2)=CONCATENATE(INDEX(Dashboard!J:J,MATCH(I801,Dashboard!J:J,0),1),INDEX(Dashboard!J:K,MATCH(I801,Dashboard!J:J,0),2)),"ON",IF(Dashboard!K$32="ALL","ON","-"))</f>
        <v>-</v>
      </c>
      <c r="C801" s="88" t="s">
        <v>110</v>
      </c>
      <c r="D801" s="89">
        <f>IF(C801="ID",1,(IF(C801="PR",2,(IF(C801="DE",3,(IF(C801="RS",4,(IF(C801="RC",5,0)))))))))</f>
        <v>1</v>
      </c>
      <c r="E801" s="89" t="s">
        <v>147</v>
      </c>
      <c r="F801" s="89">
        <f>IF(E801="AM",1,(IF(E801="BE",2,(IF(E801="GV",3,(IF(E801="RA",4,(IF(E801="RM",5,(IF(E801="AC",1,(IF(E801="AT",2,(IF(E801="DS",3,(IF(E801="IP",4,(IF(E801="MA",5,(IF(E801="PT",6,(IF(E801="AE",1,(IF(E801="CM",2,(IF(E801="DP",3,(IF(E801="AN",1,(IF(E801="CO",2,(IF(E801="IM",3,(IF(E801="MI",4,(IF(E801="RP",5,(IF(E801="SC",6,0)))))))))))))))))))))))))))))))))))))))</f>
        <v>6</v>
      </c>
      <c r="G801" s="52">
        <v>4</v>
      </c>
      <c r="H801" s="90" t="s">
        <v>115</v>
      </c>
      <c r="I801" s="93" t="s">
        <v>85</v>
      </c>
      <c r="J801" s="86" t="s">
        <v>911</v>
      </c>
      <c r="K801" s="119" t="s">
        <v>912</v>
      </c>
      <c r="L801" s="117">
        <f>IF(O801="","",N801*O801*M801)</f>
        <v>0</v>
      </c>
      <c r="M801" s="108">
        <v>1</v>
      </c>
      <c r="N801" s="95">
        <v>1</v>
      </c>
      <c r="O801" s="109">
        <f>IF(Key!D$1="ON",P801,IF(SUM(Q801:DL801)&lt;1,"",SUM(Q801:DL801)/COUNTIF(Q801:DL801,"&gt;0")))</f>
        <v>0</v>
      </c>
      <c r="P801" s="109">
        <f>SUMIFS(Q801:DK801,Q$1:DK$1,Dashboard!$K$31)</f>
        <v>0</v>
      </c>
      <c r="U801" s="95">
        <v>33</v>
      </c>
      <c r="AA801" s="95">
        <v>25</v>
      </c>
      <c r="AH801" s="95">
        <v>75</v>
      </c>
    </row>
    <row r="802" spans="1:34" x14ac:dyDescent="0.3">
      <c r="A802" s="89" t="str">
        <f>CONCATENATE(D802,".",F802,"-",G802,".",H802,"")</f>
        <v>1.6-4.1</v>
      </c>
      <c r="B802" s="89" t="str">
        <f>IF(CONCATENATE(I802,Key!F$2)=CONCATENATE(INDEX(Dashboard!J:J,MATCH(I802,Dashboard!J:J,0),1),INDEX(Dashboard!J:K,MATCH(I802,Dashboard!J:J,0),2)),"ON",IF(Dashboard!K$32="ALL","ON","-"))</f>
        <v>-</v>
      </c>
      <c r="C802" s="88" t="s">
        <v>110</v>
      </c>
      <c r="D802" s="89">
        <f>IF(C802="ID",1,(IF(C802="PR",2,(IF(C802="DE",3,(IF(C802="RS",4,(IF(C802="RC",5,0)))))))))</f>
        <v>1</v>
      </c>
      <c r="E802" s="89" t="s">
        <v>147</v>
      </c>
      <c r="F802" s="89">
        <f>IF(E802="AM",1,(IF(E802="BE",2,(IF(E802="GV",3,(IF(E802="RA",4,(IF(E802="RM",5,(IF(E802="AC",1,(IF(E802="AT",2,(IF(E802="DS",3,(IF(E802="IP",4,(IF(E802="MA",5,(IF(E802="PT",6,(IF(E802="AE",1,(IF(E802="CM",2,(IF(E802="DP",3,(IF(E802="AN",1,(IF(E802="CO",2,(IF(E802="IM",3,(IF(E802="MI",4,(IF(E802="RP",5,(IF(E802="SC",6,0)))))))))))))))))))))))))))))))))))))))</f>
        <v>6</v>
      </c>
      <c r="G802" s="52">
        <v>4</v>
      </c>
      <c r="H802" s="90" t="s">
        <v>115</v>
      </c>
      <c r="I802" s="93" t="s">
        <v>85</v>
      </c>
      <c r="J802" s="87" t="s">
        <v>910</v>
      </c>
      <c r="K802" s="119" t="s">
        <v>5173</v>
      </c>
      <c r="L802" s="117">
        <f>IF(O802="","",N802*O802*M802)</f>
        <v>0</v>
      </c>
      <c r="M802" s="108">
        <v>1</v>
      </c>
      <c r="N802" s="95">
        <v>1</v>
      </c>
      <c r="O802" s="109">
        <f>IF(Key!D$1="ON",P802,IF(SUM(Q802:DL802)&lt;1,"",SUM(Q802:DL802)/COUNTIF(Q802:DL802,"&gt;0")))</f>
        <v>0</v>
      </c>
      <c r="P802" s="109">
        <f>SUMIFS(Q802:DK802,Q$1:DK$1,Dashboard!$K$31)</f>
        <v>0</v>
      </c>
      <c r="U802" s="95">
        <v>33</v>
      </c>
      <c r="AA802" s="95">
        <v>25</v>
      </c>
      <c r="AH802" s="95">
        <v>75</v>
      </c>
    </row>
    <row r="803" spans="1:34" x14ac:dyDescent="0.3">
      <c r="A803" s="89" t="str">
        <f>CONCATENATE(D803,".",F803,"-",G803,".",H803,"")</f>
        <v>1.6-4.1</v>
      </c>
      <c r="B803" s="89" t="str">
        <f>IF(CONCATENATE(I803,Key!F$2)=CONCATENATE(INDEX(Dashboard!J:J,MATCH(I803,Dashboard!J:J,0),1),INDEX(Dashboard!J:K,MATCH(I803,Dashboard!J:J,0),2)),"ON",IF(Dashboard!K$32="ALL","ON","-"))</f>
        <v>-</v>
      </c>
      <c r="C803" s="88" t="s">
        <v>110</v>
      </c>
      <c r="D803" s="89">
        <f>IF(C803="ID",1,(IF(C803="PR",2,(IF(C803="DE",3,(IF(C803="RS",4,(IF(C803="RC",5,0)))))))))</f>
        <v>1</v>
      </c>
      <c r="E803" s="89" t="s">
        <v>147</v>
      </c>
      <c r="F803" s="89">
        <f>IF(E803="AM",1,(IF(E803="BE",2,(IF(E803="GV",3,(IF(E803="RA",4,(IF(E803="RM",5,(IF(E803="AC",1,(IF(E803="AT",2,(IF(E803="DS",3,(IF(E803="IP",4,(IF(E803="MA",5,(IF(E803="PT",6,(IF(E803="AE",1,(IF(E803="CM",2,(IF(E803="DP",3,(IF(E803="AN",1,(IF(E803="CO",2,(IF(E803="IM",3,(IF(E803="MI",4,(IF(E803="RP",5,(IF(E803="SC",6,0)))))))))))))))))))))))))))))))))))))))</f>
        <v>6</v>
      </c>
      <c r="G803" s="52">
        <v>4</v>
      </c>
      <c r="H803" s="90" t="s">
        <v>115</v>
      </c>
      <c r="I803" s="93" t="s">
        <v>85</v>
      </c>
      <c r="J803" s="87" t="s">
        <v>910</v>
      </c>
      <c r="K803" s="119" t="s">
        <v>5173</v>
      </c>
      <c r="L803" s="117">
        <f>IF(O803="","",N803*O803*M803)</f>
        <v>0</v>
      </c>
      <c r="M803" s="108">
        <v>1</v>
      </c>
      <c r="N803" s="95">
        <v>1</v>
      </c>
      <c r="O803" s="109">
        <f>IF(Key!D$1="ON",P803,IF(SUM(Q803:DL803)&lt;1,"",SUM(Q803:DL803)/COUNTIF(Q803:DL803,"&gt;0")))</f>
        <v>0</v>
      </c>
      <c r="P803" s="109">
        <f>SUMIFS(Q803:DK803,Q$1:DK$1,Dashboard!$K$31)</f>
        <v>0</v>
      </c>
      <c r="U803" s="95">
        <v>33</v>
      </c>
      <c r="AA803" s="95">
        <v>25</v>
      </c>
      <c r="AH803" s="95">
        <v>75</v>
      </c>
    </row>
    <row r="804" spans="1:34" x14ac:dyDescent="0.3">
      <c r="A804" s="89" t="str">
        <f>CONCATENATE(D804,".",F804,"-",G804,".",H804,"")</f>
        <v>1.6-4.1</v>
      </c>
      <c r="B804" s="89" t="str">
        <f>IF(CONCATENATE(I804,Key!F$2)=CONCATENATE(INDEX(Dashboard!J:J,MATCH(I804,Dashboard!J:J,0),1),INDEX(Dashboard!J:K,MATCH(I804,Dashboard!J:J,0),2)),"ON",IF(Dashboard!K$32="ALL","ON","-"))</f>
        <v>-</v>
      </c>
      <c r="C804" s="88" t="s">
        <v>110</v>
      </c>
      <c r="D804" s="89">
        <f>IF(C804="ID",1,(IF(C804="PR",2,(IF(C804="DE",3,(IF(C804="RS",4,(IF(C804="RC",5,0)))))))))</f>
        <v>1</v>
      </c>
      <c r="E804" s="89" t="s">
        <v>147</v>
      </c>
      <c r="F804" s="89">
        <f>IF(E804="AM",1,(IF(E804="BE",2,(IF(E804="GV",3,(IF(E804="RA",4,(IF(E804="RM",5,(IF(E804="AC",1,(IF(E804="AT",2,(IF(E804="DS",3,(IF(E804="IP",4,(IF(E804="MA",5,(IF(E804="PT",6,(IF(E804="AE",1,(IF(E804="CM",2,(IF(E804="DP",3,(IF(E804="AN",1,(IF(E804="CO",2,(IF(E804="IM",3,(IF(E804="MI",4,(IF(E804="RP",5,(IF(E804="SC",6,0)))))))))))))))))))))))))))))))))))))))</f>
        <v>6</v>
      </c>
      <c r="G804" s="98">
        <v>4</v>
      </c>
      <c r="H804" s="90" t="s">
        <v>115</v>
      </c>
      <c r="I804" s="93" t="s">
        <v>85</v>
      </c>
      <c r="J804" s="87" t="s">
        <v>903</v>
      </c>
      <c r="K804" s="119" t="s">
        <v>5169</v>
      </c>
      <c r="L804" s="117">
        <f>IF(O804="","",N804*O804*M804)</f>
        <v>0</v>
      </c>
      <c r="M804" s="108">
        <v>1</v>
      </c>
      <c r="N804" s="95">
        <v>1</v>
      </c>
      <c r="O804" s="109">
        <f>IF(Key!D$1="ON",P804,IF(SUM(Q804:DL804)&lt;1,"",SUM(Q804:DL804)/COUNTIF(Q804:DL804,"&gt;0")))</f>
        <v>0</v>
      </c>
      <c r="P804" s="109">
        <f>SUMIFS(Q804:DK804,Q$1:DK$1,Dashboard!$K$31)</f>
        <v>0</v>
      </c>
      <c r="U804" s="95">
        <v>33</v>
      </c>
      <c r="AA804" s="95">
        <v>25</v>
      </c>
      <c r="AH804" s="95">
        <v>75</v>
      </c>
    </row>
    <row r="805" spans="1:34" x14ac:dyDescent="0.3">
      <c r="A805" s="89" t="str">
        <f>CONCATENATE(D805,".",F805,"-",G805,".",H805,"")</f>
        <v>1.6-4.1</v>
      </c>
      <c r="B805" s="89" t="str">
        <f>IF(CONCATENATE(I805,Key!F$2)=CONCATENATE(INDEX(Dashboard!J:J,MATCH(I805,Dashboard!J:J,0),1),INDEX(Dashboard!J:K,MATCH(I805,Dashboard!J:J,0),2)),"ON",IF(Dashboard!K$32="ALL","ON","-"))</f>
        <v>-</v>
      </c>
      <c r="C805" s="96" t="s">
        <v>110</v>
      </c>
      <c r="D805" s="89">
        <f>IF(C805="ID",1,(IF(C805="PR",2,(IF(C805="DE",3,(IF(C805="RS",4,(IF(C805="RC",5,0)))))))))</f>
        <v>1</v>
      </c>
      <c r="E805" s="89" t="s">
        <v>147</v>
      </c>
      <c r="F805" s="89">
        <f>IF(E805="AM",1,(IF(E805="BE",2,(IF(E805="GV",3,(IF(E805="RA",4,(IF(E805="RM",5,(IF(E805="AC",1,(IF(E805="AT",2,(IF(E805="DS",3,(IF(E805="IP",4,(IF(E805="MA",5,(IF(E805="PT",6,(IF(E805="AE",1,(IF(E805="CM",2,(IF(E805="DP",3,(IF(E805="AN",1,(IF(E805="CO",2,(IF(E805="IM",3,(IF(E805="MI",4,(IF(E805="RP",5,(IF(E805="SC",6,0)))))))))))))))))))))))))))))))))))))))</f>
        <v>6</v>
      </c>
      <c r="G805" s="52">
        <v>4</v>
      </c>
      <c r="H805" s="90" t="s">
        <v>115</v>
      </c>
      <c r="I805" s="93" t="s">
        <v>89</v>
      </c>
      <c r="J805" s="88" t="s">
        <v>481</v>
      </c>
      <c r="K805" s="102" t="s">
        <v>482</v>
      </c>
      <c r="L805" s="117">
        <f>IF(O805="","",N805*O805*M805)</f>
        <v>0</v>
      </c>
      <c r="M805" s="108">
        <v>1</v>
      </c>
      <c r="N805" s="95">
        <v>1</v>
      </c>
      <c r="O805" s="109">
        <f>IF(Key!D$1="ON",P805,IF(SUM(Q805:DL805)&lt;1,"",SUM(Q805:DL805)/COUNTIF(Q805:DL805,"&gt;0")))</f>
        <v>0</v>
      </c>
      <c r="P805" s="109">
        <f>SUMIFS(Q805:DK805,Q$1:DK$1,Dashboard!$K$31)</f>
        <v>0</v>
      </c>
      <c r="U805" s="95">
        <v>33</v>
      </c>
      <c r="AA805" s="95">
        <v>25</v>
      </c>
      <c r="AH805" s="95">
        <v>75</v>
      </c>
    </row>
    <row r="806" spans="1:34" x14ac:dyDescent="0.3">
      <c r="A806" s="89" t="str">
        <f>CONCATENATE(D806,".",F806,"-",G806,".",H806,"")</f>
        <v>1.6-5.0</v>
      </c>
      <c r="B806" s="89" t="str">
        <f>IF(CONCATENATE(I806,Key!F$2)=CONCATENATE(INDEX(Dashboard!J:J,MATCH(I806,Dashboard!J:J,0),1),INDEX(Dashboard!J:K,MATCH(I806,Dashboard!J:J,0),2)),"ON",IF(Dashboard!K$32="ALL","ON","-"))</f>
        <v>-</v>
      </c>
      <c r="C806" s="96" t="s">
        <v>110</v>
      </c>
      <c r="D806" s="89">
        <f>IF(C806="ID",1,(IF(C806="PR",2,(IF(C806="DE",3,(IF(C806="RS",4,(IF(C806="RC",5,0)))))))))</f>
        <v>1</v>
      </c>
      <c r="E806" s="89" t="s">
        <v>147</v>
      </c>
      <c r="F806" s="89">
        <f>IF(E806="AM",1,(IF(E806="BE",2,(IF(E806="GV",3,(IF(E806="RA",4,(IF(E806="RM",5,(IF(E806="AC",1,(IF(E806="AT",2,(IF(E806="DS",3,(IF(E806="IP",4,(IF(E806="MA",5,(IF(E806="PT",6,(IF(E806="AE",1,(IF(E806="CM",2,(IF(E806="DP",3,(IF(E806="AN",1,(IF(E806="CO",2,(IF(E806="IM",3,(IF(E806="MI",4,(IF(E806="RP",5,(IF(E806="SC",6,0)))))))))))))))))))))))))))))))))))))))</f>
        <v>6</v>
      </c>
      <c r="G806" s="52">
        <v>5</v>
      </c>
      <c r="H806" s="90" t="s">
        <v>347</v>
      </c>
      <c r="I806" s="93" t="s">
        <v>2835</v>
      </c>
      <c r="J806" s="54" t="s">
        <v>2910</v>
      </c>
      <c r="K806" s="152" t="s">
        <v>2911</v>
      </c>
      <c r="L806" s="117">
        <f>IF(O806="","",N806*O806*M806)</f>
        <v>0</v>
      </c>
      <c r="M806" s="108">
        <v>1</v>
      </c>
      <c r="N806" s="95">
        <v>1</v>
      </c>
      <c r="O806" s="109">
        <f>IF(Key!D$1="ON",P806,IF(SUM(Q806:DL806)&lt;1,"",SUM(Q806:DL806)/COUNTIF(Q806:DL806,"&gt;0")))</f>
        <v>0</v>
      </c>
      <c r="P806" s="109">
        <f>SUMIFS(Q806:DK806,Q$1:DK$1,Dashboard!$K$31)</f>
        <v>0</v>
      </c>
      <c r="U806" s="95">
        <v>33</v>
      </c>
    </row>
    <row r="807" spans="1:34" ht="15.6" x14ac:dyDescent="0.3">
      <c r="A807" s="89" t="str">
        <f>CONCATENATE(D807,".",F807,"-",G807,".",H807,"")</f>
        <v>1.6-5.1</v>
      </c>
      <c r="B807" s="89" t="str">
        <f>IF(CONCATENATE(I807,Key!F$2)=CONCATENATE(INDEX(Dashboard!J:J,MATCH(I807,Dashboard!J:J,0),1),INDEX(Dashboard!J:K,MATCH(I807,Dashboard!J:J,0),2)),"ON",IF(Dashboard!K$32="ALL","ON","-"))</f>
        <v>-</v>
      </c>
      <c r="C807" s="88" t="s">
        <v>110</v>
      </c>
      <c r="D807" s="89">
        <f>IF(C807="ID",1,(IF(C807="PR",2,(IF(C807="DE",3,(IF(C807="RS",4,(IF(C807="RC",5,0)))))))))</f>
        <v>1</v>
      </c>
      <c r="E807" s="89" t="s">
        <v>147</v>
      </c>
      <c r="F807" s="89">
        <f>IF(E807="AM",1,(IF(E807="BE",2,(IF(E807="GV",3,(IF(E807="RA",4,(IF(E807="RM",5,(IF(E807="AC",1,(IF(E807="AT",2,(IF(E807="DS",3,(IF(E807="IP",4,(IF(E807="MA",5,(IF(E807="PT",6,(IF(E807="AE",1,(IF(E807="CM",2,(IF(E807="DP",3,(IF(E807="AN",1,(IF(E807="CO",2,(IF(E807="IM",3,(IF(E807="MI",4,(IF(E807="RP",5,(IF(E807="SC",6,0)))))))))))))))))))))))))))))))))))))))</f>
        <v>6</v>
      </c>
      <c r="G807" s="52">
        <v>5</v>
      </c>
      <c r="H807" s="99">
        <v>1</v>
      </c>
      <c r="I807" s="93" t="s">
        <v>37</v>
      </c>
      <c r="J807" s="86">
        <v>19.5</v>
      </c>
      <c r="K807" s="102" t="s">
        <v>3693</v>
      </c>
      <c r="L807" s="117">
        <f>IF(O807="","",N807*O807*M807)</f>
        <v>0</v>
      </c>
      <c r="M807" s="108">
        <v>1</v>
      </c>
      <c r="N807" s="95">
        <v>1</v>
      </c>
      <c r="O807" s="109">
        <f>IF(Key!D$1="ON",P807,IF(SUM(Q807:DL807)&lt;1,"",SUM(Q807:DL807)/COUNTIF(Q807:DL807,"&gt;0")))</f>
        <v>0</v>
      </c>
      <c r="P807" s="109">
        <f>SUMIFS(Q807:DK807,Q$1:DK$1,Dashboard!$K$31)</f>
        <v>0</v>
      </c>
      <c r="U807" s="95">
        <v>33</v>
      </c>
      <c r="AA807" s="95">
        <v>25</v>
      </c>
      <c r="AH807" s="95">
        <v>75</v>
      </c>
    </row>
    <row r="808" spans="1:34" x14ac:dyDescent="0.3">
      <c r="A808" s="89" t="str">
        <f>CONCATENATE(D808,".",F808,"-",G808,".",H808,"")</f>
        <v>1.6-5.1</v>
      </c>
      <c r="B808" s="89" t="str">
        <f>IF(CONCATENATE(I808,Key!F$2)=CONCATENATE(INDEX(Dashboard!J:J,MATCH(I808,Dashboard!J:J,0),1),INDEX(Dashboard!J:K,MATCH(I808,Dashboard!J:J,0),2)),"ON",IF(Dashboard!K$32="ALL","ON","-"))</f>
        <v>-</v>
      </c>
      <c r="C808" s="88" t="s">
        <v>110</v>
      </c>
      <c r="D808" s="89">
        <f>IF(C808="ID",1,(IF(C808="PR",2,(IF(C808="DE",3,(IF(C808="RS",4,(IF(C808="RC",5,0)))))))))</f>
        <v>1</v>
      </c>
      <c r="E808" s="89" t="s">
        <v>147</v>
      </c>
      <c r="F808" s="89">
        <f>IF(E808="AM",1,(IF(E808="BE",2,(IF(E808="GV",3,(IF(E808="RA",4,(IF(E808="RM",5,(IF(E808="AC",1,(IF(E808="AT",2,(IF(E808="DS",3,(IF(E808="IP",4,(IF(E808="MA",5,(IF(E808="PT",6,(IF(E808="AE",1,(IF(E808="CM",2,(IF(E808="DP",3,(IF(E808="AN",1,(IF(E808="CO",2,(IF(E808="IM",3,(IF(E808="MI",4,(IF(E808="RP",5,(IF(E808="SC",6,0)))))))))))))))))))))))))))))))))))))))</f>
        <v>6</v>
      </c>
      <c r="G808" s="52">
        <v>5</v>
      </c>
      <c r="H808" s="99">
        <v>1</v>
      </c>
      <c r="I808" s="93" t="s">
        <v>41</v>
      </c>
      <c r="J808" s="86" t="s">
        <v>3652</v>
      </c>
      <c r="K808" s="103" t="s">
        <v>3653</v>
      </c>
      <c r="L808" s="117">
        <f>IF(O808="","",N808*O808*M808)</f>
        <v>0</v>
      </c>
      <c r="M808" s="108">
        <v>1</v>
      </c>
      <c r="N808" s="95">
        <v>1</v>
      </c>
      <c r="O808" s="109">
        <f>IF(Key!D$1="ON",P808,IF(SUM(Q808:DL808)&lt;1,"",SUM(Q808:DL808)/COUNTIF(Q808:DL808,"&gt;0")))</f>
        <v>0</v>
      </c>
      <c r="P808" s="109">
        <f>SUMIFS(Q808:DK808,Q$1:DK$1,Dashboard!$K$31)</f>
        <v>0</v>
      </c>
      <c r="U808" s="95">
        <v>33</v>
      </c>
    </row>
    <row r="809" spans="1:34" x14ac:dyDescent="0.3">
      <c r="A809" s="89" t="str">
        <f>CONCATENATE(D809,".",F809,"-",G809,".",H809,"")</f>
        <v>1.6-5.1</v>
      </c>
      <c r="B809" s="89" t="str">
        <f>IF(CONCATENATE(I809,Key!F$2)=CONCATENATE(INDEX(Dashboard!J:J,MATCH(I809,Dashboard!J:J,0),1),INDEX(Dashboard!J:K,MATCH(I809,Dashboard!J:J,0),2)),"ON",IF(Dashboard!K$32="ALL","ON","-"))</f>
        <v>-</v>
      </c>
      <c r="C809" s="88" t="s">
        <v>110</v>
      </c>
      <c r="D809" s="89">
        <f>IF(C809="ID",1,(IF(C809="PR",2,(IF(C809="DE",3,(IF(C809="RS",4,(IF(C809="RC",5,0)))))))))</f>
        <v>1</v>
      </c>
      <c r="E809" s="89" t="s">
        <v>147</v>
      </c>
      <c r="F809" s="89">
        <f>IF(E809="AM",1,(IF(E809="BE",2,(IF(E809="GV",3,(IF(E809="RA",4,(IF(E809="RM",5,(IF(E809="AC",1,(IF(E809="AT",2,(IF(E809="DS",3,(IF(E809="IP",4,(IF(E809="MA",5,(IF(E809="PT",6,(IF(E809="AE",1,(IF(E809="CM",2,(IF(E809="DP",3,(IF(E809="AN",1,(IF(E809="CO",2,(IF(E809="IM",3,(IF(E809="MI",4,(IF(E809="RP",5,(IF(E809="SC",6,0)))))))))))))))))))))))))))))))))))))))</f>
        <v>6</v>
      </c>
      <c r="G809" s="52">
        <v>5</v>
      </c>
      <c r="H809" s="89">
        <v>1</v>
      </c>
      <c r="I809" s="93" t="s">
        <v>60</v>
      </c>
      <c r="J809" s="87" t="s">
        <v>3139</v>
      </c>
      <c r="K809" s="51" t="s">
        <v>5252</v>
      </c>
      <c r="L809" s="117">
        <f>IF(O809="","",N809*O809*M809)</f>
        <v>0</v>
      </c>
      <c r="M809" s="108">
        <v>1</v>
      </c>
      <c r="N809" s="95">
        <v>1</v>
      </c>
      <c r="O809" s="109">
        <f>IF(Key!D$1="ON",P809,IF(SUM(Q809:DL809)&lt;1,"",SUM(Q809:DL809)/COUNTIF(Q809:DL809,"&gt;0")))</f>
        <v>0</v>
      </c>
      <c r="P809" s="109">
        <f>SUMIFS(Q809:DK809,Q$1:DK$1,Dashboard!$K$31)</f>
        <v>0</v>
      </c>
      <c r="U809" s="95">
        <v>33</v>
      </c>
      <c r="AA809" s="95">
        <v>25</v>
      </c>
      <c r="AH809" s="95">
        <v>75</v>
      </c>
    </row>
    <row r="810" spans="1:34" x14ac:dyDescent="0.3">
      <c r="A810" s="89" t="str">
        <f>CONCATENATE(D810,".",F810,"-",G810,".",H810,"")</f>
        <v>1.6-5.1</v>
      </c>
      <c r="B810" s="89" t="str">
        <f>IF(CONCATENATE(I810,Key!F$2)=CONCATENATE(INDEX(Dashboard!J:J,MATCH(I810,Dashboard!J:J,0),1),INDEX(Dashboard!J:K,MATCH(I810,Dashboard!J:J,0),2)),"ON",IF(Dashboard!K$32="ALL","ON","-"))</f>
        <v>-</v>
      </c>
      <c r="C810" s="88" t="s">
        <v>110</v>
      </c>
      <c r="D810" s="89">
        <f>IF(C810="ID",1,(IF(C810="PR",2,(IF(C810="DE",3,(IF(C810="RS",4,(IF(C810="RC",5,0)))))))))</f>
        <v>1</v>
      </c>
      <c r="E810" s="89" t="s">
        <v>147</v>
      </c>
      <c r="F810" s="89">
        <f>IF(E810="AM",1,(IF(E810="BE",2,(IF(E810="GV",3,(IF(E810="RA",4,(IF(E810="RM",5,(IF(E810="AC",1,(IF(E810="AT",2,(IF(E810="DS",3,(IF(E810="IP",4,(IF(E810="MA",5,(IF(E810="PT",6,(IF(E810="AE",1,(IF(E810="CM",2,(IF(E810="DP",3,(IF(E810="AN",1,(IF(E810="CO",2,(IF(E810="IM",3,(IF(E810="MI",4,(IF(E810="RP",5,(IF(E810="SC",6,0)))))))))))))))))))))))))))))))))))))))</f>
        <v>6</v>
      </c>
      <c r="G810" s="52">
        <v>5</v>
      </c>
      <c r="H810" s="90" t="s">
        <v>115</v>
      </c>
      <c r="I810" s="93" t="s">
        <v>60</v>
      </c>
      <c r="J810" s="87" t="s">
        <v>3121</v>
      </c>
      <c r="K810" s="51" t="s">
        <v>5234</v>
      </c>
      <c r="L810" s="117">
        <f>IF(O810="","",N810*O810*M810)</f>
        <v>0</v>
      </c>
      <c r="M810" s="108">
        <v>1</v>
      </c>
      <c r="N810" s="95">
        <v>1</v>
      </c>
      <c r="O810" s="109">
        <f>IF(Key!D$1="ON",P810,IF(SUM(Q810:DL810)&lt;1,"",SUM(Q810:DL810)/COUNTIF(Q810:DL810,"&gt;0")))</f>
        <v>0</v>
      </c>
      <c r="P810" s="109">
        <f>SUMIFS(Q810:DK810,Q$1:DK$1,Dashboard!$K$31)</f>
        <v>0</v>
      </c>
      <c r="U810" s="95">
        <v>33</v>
      </c>
      <c r="AA810" s="95">
        <v>25</v>
      </c>
      <c r="AH810" s="95">
        <v>75</v>
      </c>
    </row>
    <row r="811" spans="1:34" x14ac:dyDescent="0.3">
      <c r="A811" s="89" t="str">
        <f>CONCATENATE(D811,".",F811,"-",G811,".",H811,"")</f>
        <v>1.6-5.1</v>
      </c>
      <c r="B811" s="89" t="str">
        <f>IF(CONCATENATE(I811,Key!F$2)=CONCATENATE(INDEX(Dashboard!J:J,MATCH(I811,Dashboard!J:J,0),1),INDEX(Dashboard!J:K,MATCH(I811,Dashboard!J:J,0),2)),"ON",IF(Dashboard!K$32="ALL","ON","-"))</f>
        <v>-</v>
      </c>
      <c r="C811" s="88" t="s">
        <v>110</v>
      </c>
      <c r="D811" s="89">
        <f>IF(C811="ID",1,(IF(C811="PR",2,(IF(C811="DE",3,(IF(C811="RS",4,(IF(C811="RC",5,0)))))))))</f>
        <v>1</v>
      </c>
      <c r="E811" s="89" t="s">
        <v>147</v>
      </c>
      <c r="F811" s="89">
        <f>IF(E811="AM",1,(IF(E811="BE",2,(IF(E811="GV",3,(IF(E811="RA",4,(IF(E811="RM",5,(IF(E811="AC",1,(IF(E811="AT",2,(IF(E811="DS",3,(IF(E811="IP",4,(IF(E811="MA",5,(IF(E811="PT",6,(IF(E811="AE",1,(IF(E811="CM",2,(IF(E811="DP",3,(IF(E811="AN",1,(IF(E811="CO",2,(IF(E811="IM",3,(IF(E811="MI",4,(IF(E811="RP",5,(IF(E811="SC",6,0)))))))))))))))))))))))))))))))))))))))</f>
        <v>6</v>
      </c>
      <c r="G811" s="52">
        <v>5</v>
      </c>
      <c r="H811" s="90" t="s">
        <v>115</v>
      </c>
      <c r="I811" s="93" t="s">
        <v>60</v>
      </c>
      <c r="J811" s="87" t="s">
        <v>3165</v>
      </c>
      <c r="K811" s="51" t="s">
        <v>5278</v>
      </c>
      <c r="L811" s="117">
        <f>IF(O811="","",N811*O811*M811)</f>
        <v>0</v>
      </c>
      <c r="M811" s="108">
        <v>1</v>
      </c>
      <c r="N811" s="95">
        <v>1</v>
      </c>
      <c r="O811" s="109">
        <f>IF(Key!D$1="ON",P811,IF(SUM(Q811:DL811)&lt;1,"",SUM(Q811:DL811)/COUNTIF(Q811:DL811,"&gt;0")))</f>
        <v>0</v>
      </c>
      <c r="P811" s="109">
        <f>SUMIFS(Q811:DK811,Q$1:DK$1,Dashboard!$K$31)</f>
        <v>0</v>
      </c>
      <c r="U811" s="95">
        <v>33</v>
      </c>
      <c r="AA811" s="95">
        <v>25</v>
      </c>
      <c r="AH811" s="95">
        <v>75</v>
      </c>
    </row>
    <row r="812" spans="1:34" x14ac:dyDescent="0.3">
      <c r="A812" s="89" t="str">
        <f>CONCATENATE(D812,".",F812,"-",G812,".",H812,"")</f>
        <v>1.6-5.1</v>
      </c>
      <c r="B812" s="89" t="str">
        <f>IF(CONCATENATE(I812,Key!F$2)=CONCATENATE(INDEX(Dashboard!J:J,MATCH(I812,Dashboard!J:J,0),1),INDEX(Dashboard!J:K,MATCH(I812,Dashboard!J:J,0),2)),"ON",IF(Dashboard!K$32="ALL","ON","-"))</f>
        <v>-</v>
      </c>
      <c r="C812" s="88" t="s">
        <v>110</v>
      </c>
      <c r="D812" s="89">
        <f>IF(C812="ID",1,(IF(C812="PR",2,(IF(C812="DE",3,(IF(C812="RS",4,(IF(C812="RC",5,0)))))))))</f>
        <v>1</v>
      </c>
      <c r="E812" s="89" t="s">
        <v>147</v>
      </c>
      <c r="F812" s="89">
        <f>IF(E812="AM",1,(IF(E812="BE",2,(IF(E812="GV",3,(IF(E812="RA",4,(IF(E812="RM",5,(IF(E812="AC",1,(IF(E812="AT",2,(IF(E812="DS",3,(IF(E812="IP",4,(IF(E812="MA",5,(IF(E812="PT",6,(IF(E812="AE",1,(IF(E812="CM",2,(IF(E812="DP",3,(IF(E812="AN",1,(IF(E812="CO",2,(IF(E812="IM",3,(IF(E812="MI",4,(IF(E812="RP",5,(IF(E812="SC",6,0)))))))))))))))))))))))))))))))))))))))</f>
        <v>6</v>
      </c>
      <c r="G812" s="52">
        <v>5</v>
      </c>
      <c r="H812" s="90" t="s">
        <v>115</v>
      </c>
      <c r="I812" s="93" t="s">
        <v>85</v>
      </c>
      <c r="J812" s="86" t="s">
        <v>909</v>
      </c>
      <c r="K812" s="119" t="s">
        <v>3932</v>
      </c>
      <c r="L812" s="117">
        <f>IF(O812="","",N812*O812*M812)</f>
        <v>0</v>
      </c>
      <c r="M812" s="108">
        <v>1</v>
      </c>
      <c r="N812" s="95">
        <v>1</v>
      </c>
      <c r="O812" s="109">
        <f>IF(Key!D$1="ON",P812,IF(SUM(Q812:DL812)&lt;1,"",SUM(Q812:DL812)/COUNTIF(Q812:DL812,"&gt;0")))</f>
        <v>0</v>
      </c>
      <c r="P812" s="109">
        <f>SUMIFS(Q812:DK812,Q$1:DK$1,Dashboard!$K$31)</f>
        <v>0</v>
      </c>
      <c r="U812" s="95">
        <v>33</v>
      </c>
      <c r="AA812" s="95">
        <v>25</v>
      </c>
      <c r="AH812" s="95">
        <v>75</v>
      </c>
    </row>
    <row r="813" spans="1:34" x14ac:dyDescent="0.3">
      <c r="A813" s="89" t="str">
        <f>CONCATENATE(D813,".",F813,"-",G813,".",H813,"")</f>
        <v>1.6-5.1</v>
      </c>
      <c r="B813" s="89" t="str">
        <f>IF(CONCATENATE(I813,Key!F$2)=CONCATENATE(INDEX(Dashboard!J:J,MATCH(I813,Dashboard!J:J,0),1),INDEX(Dashboard!J:K,MATCH(I813,Dashboard!J:J,0),2)),"ON",IF(Dashboard!K$32="ALL","ON","-"))</f>
        <v>-</v>
      </c>
      <c r="C813" s="96" t="s">
        <v>110</v>
      </c>
      <c r="D813" s="89">
        <f>IF(C813="ID",1,(IF(C813="PR",2,(IF(C813="DE",3,(IF(C813="RS",4,(IF(C813="RC",5,0)))))))))</f>
        <v>1</v>
      </c>
      <c r="E813" s="89" t="s">
        <v>147</v>
      </c>
      <c r="F813" s="89">
        <f>IF(E813="AM",1,(IF(E813="BE",2,(IF(E813="GV",3,(IF(E813="RA",4,(IF(E813="RM",5,(IF(E813="AC",1,(IF(E813="AT",2,(IF(E813="DS",3,(IF(E813="IP",4,(IF(E813="MA",5,(IF(E813="PT",6,(IF(E813="AE",1,(IF(E813="CM",2,(IF(E813="DP",3,(IF(E813="AN",1,(IF(E813="CO",2,(IF(E813="IM",3,(IF(E813="MI",4,(IF(E813="RP",5,(IF(E813="SC",6,0)))))))))))))))))))))))))))))))))))))))</f>
        <v>6</v>
      </c>
      <c r="G813" s="52">
        <v>5</v>
      </c>
      <c r="H813" s="90" t="s">
        <v>115</v>
      </c>
      <c r="I813" s="93" t="s">
        <v>89</v>
      </c>
      <c r="J813" s="88" t="s">
        <v>483</v>
      </c>
      <c r="K813" s="102" t="s">
        <v>484</v>
      </c>
      <c r="L813" s="117">
        <f>IF(O813="","",N813*O813*M813)</f>
        <v>0</v>
      </c>
      <c r="M813" s="108">
        <v>1</v>
      </c>
      <c r="N813" s="95">
        <v>1</v>
      </c>
      <c r="O813" s="109">
        <f>IF(Key!D$1="ON",P813,IF(SUM(Q813:DL813)&lt;1,"",SUM(Q813:DL813)/COUNTIF(Q813:DL813,"&gt;0")))</f>
        <v>0</v>
      </c>
      <c r="P813" s="109">
        <f>SUMIFS(Q813:DK813,Q$1:DK$1,Dashboard!$K$31)</f>
        <v>0</v>
      </c>
      <c r="U813" s="95">
        <v>33</v>
      </c>
      <c r="AA813" s="95">
        <v>25</v>
      </c>
      <c r="AH813" s="95">
        <v>75</v>
      </c>
    </row>
    <row r="814" spans="1:34" x14ac:dyDescent="0.3">
      <c r="A814" s="89" t="str">
        <f>CONCATENATE(D814,".",F814,"-",G814,".",H814,"")</f>
        <v>2.0-0.1</v>
      </c>
      <c r="B814" s="89" t="str">
        <f>IF(CONCATENATE(I814,Key!F$2)=CONCATENATE(INDEX(Dashboard!J:J,MATCH(I814,Dashboard!J:J,0),1),INDEX(Dashboard!J:K,MATCH(I814,Dashboard!J:J,0),2)),"ON",IF(Dashboard!K$32="ALL","ON","-"))</f>
        <v>-</v>
      </c>
      <c r="C814" s="88" t="s">
        <v>152</v>
      </c>
      <c r="D814" s="89">
        <f>IF(C814="ID",1,(IF(C814="PR",2,(IF(C814="DE",3,(IF(C814="RS",4,(IF(C814="RC",5,0)))))))))</f>
        <v>2</v>
      </c>
      <c r="E814" s="89">
        <v>0</v>
      </c>
      <c r="F814" s="89">
        <f>IF(E814="AM",1,(IF(E814="BE",2,(IF(E814="GV",3,(IF(E814="RA",4,(IF(E814="RM",5,(IF(E814="AC",1,(IF(E814="AT",2,(IF(E814="DS",3,(IF(E814="IP",4,(IF(E814="MA",5,(IF(E814="PT",6,(IF(E814="AE",1,(IF(E814="CM",2,(IF(E814="DP",3,(IF(E814="AN",1,(IF(E814="CO",2,(IF(E814="IM",3,(IF(E814="MI",4,(IF(E814="RP",5,(IF(E814="SC",6,0)))))))))))))))))))))))))))))))))))))))</f>
        <v>0</v>
      </c>
      <c r="G814" s="52">
        <v>0</v>
      </c>
      <c r="H814" s="89">
        <v>1</v>
      </c>
      <c r="I814" s="93" t="s">
        <v>85</v>
      </c>
      <c r="J814" s="86" t="s">
        <v>842</v>
      </c>
      <c r="K814" s="119" t="s">
        <v>5086</v>
      </c>
      <c r="L814" s="117">
        <f>IF(O814="","",N814*O814*M814)</f>
        <v>0</v>
      </c>
      <c r="M814" s="108">
        <v>1</v>
      </c>
      <c r="N814" s="95">
        <v>1</v>
      </c>
      <c r="O814" s="109">
        <f>IF(Key!D$1="ON",P814,IF(SUM(Q814:DL814)&lt;1,"",SUM(Q814:DL814)/COUNTIF(Q814:DL814,"&gt;0")))</f>
        <v>0</v>
      </c>
      <c r="P814" s="109">
        <f>SUMIFS(Q814:DK814,Q$1:DK$1,Dashboard!$K$31)</f>
        <v>0</v>
      </c>
      <c r="U814" s="95">
        <v>33</v>
      </c>
      <c r="AA814" s="95">
        <v>25</v>
      </c>
      <c r="AH814" s="95">
        <v>75</v>
      </c>
    </row>
    <row r="815" spans="1:34" x14ac:dyDescent="0.3">
      <c r="A815" s="89" t="str">
        <f>CONCATENATE(D815,".",F815,"-",G815,".",H815,"")</f>
        <v>2.1-0.0</v>
      </c>
      <c r="B815" s="89" t="str">
        <f>IF(CONCATENATE(I815,Key!F$2)=CONCATENATE(INDEX(Dashboard!J:J,MATCH(I815,Dashboard!J:J,0),1),INDEX(Dashboard!J:K,MATCH(I815,Dashboard!J:J,0),2)),"ON",IF(Dashboard!K$32="ALL","ON","-"))</f>
        <v>-</v>
      </c>
      <c r="C815" s="88" t="s">
        <v>152</v>
      </c>
      <c r="D815" s="89">
        <f>IF(C815="ID",1,(IF(C815="PR",2,(IF(C815="DE",3,(IF(C815="RS",4,(IF(C815="RC",5,0)))))))))</f>
        <v>2</v>
      </c>
      <c r="E815" s="89" t="s">
        <v>153</v>
      </c>
      <c r="F815" s="89">
        <f>IF(E815="AM",1,(IF(E815="BE",2,(IF(E815="GV",3,(IF(E815="RA",4,(IF(E815="RM",5,(IF(E815="AC",1,(IF(E815="AT",2,(IF(E815="DS",3,(IF(E815="IP",4,(IF(E815="MA",5,(IF(E815="PT",6,(IF(E815="AE",1,(IF(E815="CM",2,(IF(E815="DP",3,(IF(E815="AN",1,(IF(E815="CO",2,(IF(E815="IM",3,(IF(E815="MI",4,(IF(E815="RP",5,(IF(E815="SC",6,0)))))))))))))))))))))))))))))))))))))))</f>
        <v>1</v>
      </c>
      <c r="G815" s="52">
        <v>0</v>
      </c>
      <c r="H815" s="90" t="s">
        <v>347</v>
      </c>
      <c r="I815" s="93" t="s">
        <v>2835</v>
      </c>
      <c r="J815" s="151" t="s">
        <v>2912</v>
      </c>
      <c r="K815" s="150" t="s">
        <v>2913</v>
      </c>
      <c r="L815" s="117">
        <f>IF(O815="","",N815*O815*M815)</f>
        <v>0</v>
      </c>
      <c r="M815" s="108">
        <v>1</v>
      </c>
      <c r="N815" s="95">
        <v>1</v>
      </c>
      <c r="O815" s="109">
        <f>IF(Key!D$1="ON",P815,IF(SUM(Q815:DL815)&lt;1,"",SUM(Q815:DL815)/COUNTIF(Q815:DL815,"&gt;0")))</f>
        <v>0</v>
      </c>
      <c r="P815" s="109">
        <f>SUMIFS(Q815:DK815,Q$1:DK$1,Dashboard!$K$31)</f>
        <v>0</v>
      </c>
      <c r="Q815" s="110">
        <v>83</v>
      </c>
      <c r="U815" s="95">
        <v>33</v>
      </c>
    </row>
    <row r="816" spans="1:34" x14ac:dyDescent="0.3">
      <c r="A816" s="89" t="str">
        <f>CONCATENATE(D816,".",F816,"-",G816,".",H816,"")</f>
        <v>2.1-0.1</v>
      </c>
      <c r="B816" s="89" t="str">
        <f>IF(CONCATENATE(I816,Key!F$2)=CONCATENATE(INDEX(Dashboard!J:J,MATCH(I816,Dashboard!J:J,0),1),INDEX(Dashboard!J:K,MATCH(I816,Dashboard!J:J,0),2)),"ON",IF(Dashboard!K$32="ALL","ON","-"))</f>
        <v>-</v>
      </c>
      <c r="C816" s="88" t="s">
        <v>152</v>
      </c>
      <c r="D816" s="89">
        <f>IF(C816="ID",1,(IF(C816="PR",2,(IF(C816="DE",3,(IF(C816="RS",4,(IF(C816="RC",5,0)))))))))</f>
        <v>2</v>
      </c>
      <c r="E816" s="89" t="s">
        <v>153</v>
      </c>
      <c r="F816" s="89">
        <f>IF(E816="AM",1,(IF(E816="BE",2,(IF(E816="GV",3,(IF(E816="RA",4,(IF(E816="RM",5,(IF(E816="AC",1,(IF(E816="AT",2,(IF(E816="DS",3,(IF(E816="IP",4,(IF(E816="MA",5,(IF(E816="PT",6,(IF(E816="AE",1,(IF(E816="CM",2,(IF(E816="DP",3,(IF(E816="AN",1,(IF(E816="CO",2,(IF(E816="IM",3,(IF(E816="MI",4,(IF(E816="RP",5,(IF(E816="SC",6,0)))))))))))))))))))))))))))))))))))))))</f>
        <v>1</v>
      </c>
      <c r="G816" s="52">
        <v>0</v>
      </c>
      <c r="H816" s="90" t="s">
        <v>115</v>
      </c>
      <c r="I816" s="93" t="s">
        <v>2835</v>
      </c>
      <c r="J816" s="151" t="s">
        <v>2912</v>
      </c>
      <c r="K816" s="150" t="s">
        <v>2914</v>
      </c>
      <c r="L816" s="117">
        <f>IF(O816="","",N816*O816*M816)</f>
        <v>0</v>
      </c>
      <c r="M816" s="108">
        <v>1</v>
      </c>
      <c r="N816" s="95">
        <v>1</v>
      </c>
      <c r="O816" s="109">
        <f>IF(Key!D$1="ON",P816,IF(SUM(Q816:DL816)&lt;1,"",SUM(Q816:DL816)/COUNTIF(Q816:DL816,"&gt;0")))</f>
        <v>0</v>
      </c>
      <c r="P816" s="109">
        <f>SUMIFS(Q816:DK816,Q$1:DK$1,Dashboard!$K$31)</f>
        <v>0</v>
      </c>
      <c r="Q816" s="110">
        <v>83</v>
      </c>
      <c r="U816" s="95">
        <v>33</v>
      </c>
      <c r="AA816" s="95">
        <v>50</v>
      </c>
    </row>
    <row r="817" spans="1:34" x14ac:dyDescent="0.3">
      <c r="A817" s="89" t="str">
        <f>CONCATENATE(D817,".",F817,"-",G817,".",H817,"")</f>
        <v>2.1-1.0</v>
      </c>
      <c r="B817" s="89" t="str">
        <f>IF(CONCATENATE(I817,Key!F$2)=CONCATENATE(INDEX(Dashboard!J:J,MATCH(I817,Dashboard!J:J,0),1),INDEX(Dashboard!J:K,MATCH(I817,Dashboard!J:J,0),2)),"ON",IF(Dashboard!K$32="ALL","ON","-"))</f>
        <v>-</v>
      </c>
      <c r="C817" s="88" t="s">
        <v>152</v>
      </c>
      <c r="D817" s="89">
        <f>IF(C817="ID",1,(IF(C817="PR",2,(IF(C817="DE",3,(IF(C817="RS",4,(IF(C817="RC",5,0)))))))))</f>
        <v>2</v>
      </c>
      <c r="E817" s="89" t="s">
        <v>153</v>
      </c>
      <c r="F817" s="89">
        <f>IF(E817="AM",1,(IF(E817="BE",2,(IF(E817="GV",3,(IF(E817="RA",4,(IF(E817="RM",5,(IF(E817="AC",1,(IF(E817="AT",2,(IF(E817="DS",3,(IF(E817="IP",4,(IF(E817="MA",5,(IF(E817="PT",6,(IF(E817="AE",1,(IF(E817="CM",2,(IF(E817="DP",3,(IF(E817="AN",1,(IF(E817="CO",2,(IF(E817="IM",3,(IF(E817="MI",4,(IF(E817="RP",5,(IF(E817="SC",6,0)))))))))))))))))))))))))))))))))))))))</f>
        <v>1</v>
      </c>
      <c r="G817" s="52">
        <v>1</v>
      </c>
      <c r="H817" s="90" t="s">
        <v>347</v>
      </c>
      <c r="I817" s="93" t="s">
        <v>2835</v>
      </c>
      <c r="J817" s="53" t="s">
        <v>2915</v>
      </c>
      <c r="K817" s="150" t="s">
        <v>2916</v>
      </c>
      <c r="L817" s="117">
        <f>IF(O817="","",N817*O817*M817)</f>
        <v>0</v>
      </c>
      <c r="M817" s="108">
        <v>1</v>
      </c>
      <c r="N817" s="95">
        <v>1</v>
      </c>
      <c r="O817" s="109">
        <f>IF(Key!D$1="ON",P817,IF(SUM(Q817:DL817)&lt;1,"",SUM(Q817:DL817)/COUNTIF(Q817:DL817,"&gt;0")))</f>
        <v>0</v>
      </c>
      <c r="P817" s="109">
        <f>SUMIFS(Q817:DK817,Q$1:DK$1,Dashboard!$K$31)</f>
        <v>0</v>
      </c>
      <c r="U817" s="95">
        <v>33</v>
      </c>
    </row>
    <row r="818" spans="1:34" x14ac:dyDescent="0.3">
      <c r="A818" s="89" t="str">
        <f>CONCATENATE(D818,".",F818,"-",G818,".",H818,"")</f>
        <v>2.1-1.1</v>
      </c>
      <c r="B818" s="89" t="str">
        <f>IF(CONCATENATE(I818,Key!F$2)=CONCATENATE(INDEX(Dashboard!J:J,MATCH(I818,Dashboard!J:J,0),1),INDEX(Dashboard!J:K,MATCH(I818,Dashboard!J:J,0),2)),"ON",IF(Dashboard!K$32="ALL","ON","-"))</f>
        <v>ON</v>
      </c>
      <c r="C818" s="130" t="s">
        <v>152</v>
      </c>
      <c r="D818" s="89">
        <f>IF(C818="ID",1,(IF(C818="PR",2,(IF(C818="DE",3,(IF(C818="RS",4,(IF(C818="RC",5,0)))))))))</f>
        <v>2</v>
      </c>
      <c r="E818" s="95" t="s">
        <v>153</v>
      </c>
      <c r="F818" s="89">
        <f>IF(E818="AM",1,(IF(E818="BE",2,(IF(E818="GV",3,(IF(E818="RA",4,(IF(E818="RM",5,(IF(E818="AC",1,(IF(E818="AT",2,(IF(E818="DS",3,(IF(E818="IP",4,(IF(E818="MA",5,(IF(E818="PT",6,(IF(E818="AE",1,(IF(E818="CM",2,(IF(E818="DP",3,(IF(E818="AN",1,(IF(E818="CO",2,(IF(E818="IM",3,(IF(E818="MI",4,(IF(E818="RP",5,(IF(E818="SC",6,0)))))))))))))))))))))))))))))))))))))))</f>
        <v>1</v>
      </c>
      <c r="G818" s="52">
        <v>1</v>
      </c>
      <c r="H818" s="90" t="s">
        <v>115</v>
      </c>
      <c r="I818" s="93" t="s">
        <v>4107</v>
      </c>
      <c r="J818" s="86" t="s">
        <v>3936</v>
      </c>
      <c r="K818" s="101" t="s">
        <v>4423</v>
      </c>
      <c r="L818" s="117">
        <f>IF(O818="","",N818*O818*M818)</f>
        <v>0</v>
      </c>
      <c r="M818" s="108">
        <v>1</v>
      </c>
      <c r="N818" s="95">
        <v>1</v>
      </c>
      <c r="O818" s="109">
        <f>IF(Key!D$1="ON",P818,IF(SUM(Q818:DL818)&lt;1,"",SUM(Q818:DL818)/COUNTIF(Q818:DL818,"&gt;0")))</f>
        <v>0</v>
      </c>
      <c r="P818" s="109">
        <f>SUMIFS(Q818:DK818,Q$1:DK$1,Dashboard!$K$31)</f>
        <v>0</v>
      </c>
      <c r="U818" s="95">
        <v>33</v>
      </c>
      <c r="AA818" s="95">
        <v>25</v>
      </c>
      <c r="AH818" s="95">
        <v>75</v>
      </c>
    </row>
    <row r="819" spans="1:34" x14ac:dyDescent="0.3">
      <c r="A819" s="89" t="str">
        <f>CONCATENATE(D819,".",F819,"-",G819,".",H819,"")</f>
        <v>2.1-1.1</v>
      </c>
      <c r="B819" s="89" t="str">
        <f>IF(CONCATENATE(I819,Key!F$2)=CONCATENATE(INDEX(Dashboard!J:J,MATCH(I819,Dashboard!J:J,0),1),INDEX(Dashboard!J:K,MATCH(I819,Dashboard!J:J,0),2)),"ON",IF(Dashboard!K$32="ALL","ON","-"))</f>
        <v>ON</v>
      </c>
      <c r="C819" s="130" t="s">
        <v>152</v>
      </c>
      <c r="D819" s="89">
        <f>IF(C819="ID",1,(IF(C819="PR",2,(IF(C819="DE",3,(IF(C819="RS",4,(IF(C819="RC",5,0)))))))))</f>
        <v>2</v>
      </c>
      <c r="E819" s="95" t="s">
        <v>153</v>
      </c>
      <c r="F819" s="89">
        <f>IF(E819="AM",1,(IF(E819="BE",2,(IF(E819="GV",3,(IF(E819="RA",4,(IF(E819="RM",5,(IF(E819="AC",1,(IF(E819="AT",2,(IF(E819="DS",3,(IF(E819="IP",4,(IF(E819="MA",5,(IF(E819="PT",6,(IF(E819="AE",1,(IF(E819="CM",2,(IF(E819="DP",3,(IF(E819="AN",1,(IF(E819="CO",2,(IF(E819="IM",3,(IF(E819="MI",4,(IF(E819="RP",5,(IF(E819="SC",6,0)))))))))))))))))))))))))))))))))))))))</f>
        <v>1</v>
      </c>
      <c r="G819" s="52">
        <v>1</v>
      </c>
      <c r="H819" s="90" t="s">
        <v>115</v>
      </c>
      <c r="I819" s="93" t="s">
        <v>4107</v>
      </c>
      <c r="J819" s="86" t="s">
        <v>3937</v>
      </c>
      <c r="K819" s="101" t="s">
        <v>4113</v>
      </c>
      <c r="L819" s="117">
        <f>IF(O819="","",N819*O819*M819)</f>
        <v>0</v>
      </c>
      <c r="M819" s="108">
        <v>1</v>
      </c>
      <c r="N819" s="95">
        <v>1</v>
      </c>
      <c r="O819" s="109">
        <f>IF(Key!D$1="ON",P819,IF(SUM(Q819:DL819)&lt;1,"",SUM(Q819:DL819)/COUNTIF(Q819:DL819,"&gt;0")))</f>
        <v>0</v>
      </c>
      <c r="P819" s="109">
        <f>SUMIFS(Q819:DK819,Q$1:DK$1,Dashboard!$K$31)</f>
        <v>0</v>
      </c>
      <c r="U819" s="95">
        <v>33</v>
      </c>
      <c r="AA819" s="95">
        <v>25</v>
      </c>
      <c r="AH819" s="95">
        <v>75</v>
      </c>
    </row>
    <row r="820" spans="1:34" x14ac:dyDescent="0.3">
      <c r="A820" s="89" t="str">
        <f>CONCATENATE(D820,".",F820,"-",G820,".",H820,"")</f>
        <v>2.1-1.1</v>
      </c>
      <c r="B820" s="89" t="str">
        <f>IF(CONCATENATE(I820,Key!F$2)=CONCATENATE(INDEX(Dashboard!J:J,MATCH(I820,Dashboard!J:J,0),1),INDEX(Dashboard!J:K,MATCH(I820,Dashboard!J:J,0),2)),"ON",IF(Dashboard!K$32="ALL","ON","-"))</f>
        <v>ON</v>
      </c>
      <c r="C820" s="130" t="s">
        <v>152</v>
      </c>
      <c r="D820" s="89">
        <f>IF(C820="ID",1,(IF(C820="PR",2,(IF(C820="DE",3,(IF(C820="RS",4,(IF(C820="RC",5,0)))))))))</f>
        <v>2</v>
      </c>
      <c r="E820" s="95" t="s">
        <v>153</v>
      </c>
      <c r="F820" s="89">
        <f>IF(E820="AM",1,(IF(E820="BE",2,(IF(E820="GV",3,(IF(E820="RA",4,(IF(E820="RM",5,(IF(E820="AC",1,(IF(E820="AT",2,(IF(E820="DS",3,(IF(E820="IP",4,(IF(E820="MA",5,(IF(E820="PT",6,(IF(E820="AE",1,(IF(E820="CM",2,(IF(E820="DP",3,(IF(E820="AN",1,(IF(E820="CO",2,(IF(E820="IM",3,(IF(E820="MI",4,(IF(E820="RP",5,(IF(E820="SC",6,0)))))))))))))))))))))))))))))))))))))))</f>
        <v>1</v>
      </c>
      <c r="G820" s="52">
        <v>1</v>
      </c>
      <c r="H820" s="90" t="s">
        <v>115</v>
      </c>
      <c r="I820" s="93" t="s">
        <v>4107</v>
      </c>
      <c r="J820" s="86" t="s">
        <v>3994</v>
      </c>
      <c r="K820" s="101" t="s">
        <v>4444</v>
      </c>
      <c r="L820" s="117">
        <f>IF(O820="","",N820*O820*M820)</f>
        <v>0</v>
      </c>
      <c r="M820" s="108">
        <v>1</v>
      </c>
      <c r="N820" s="95">
        <v>1</v>
      </c>
      <c r="O820" s="109">
        <f>IF(Key!D$1="ON",P820,IF(SUM(Q820:DL820)&lt;1,"",SUM(Q820:DL820)/COUNTIF(Q820:DL820,"&gt;0")))</f>
        <v>0</v>
      </c>
      <c r="P820" s="109">
        <f>SUMIFS(Q820:DK820,Q$1:DK$1,Dashboard!$K$31)</f>
        <v>0</v>
      </c>
      <c r="U820" s="95">
        <v>33</v>
      </c>
      <c r="AA820" s="95">
        <v>25</v>
      </c>
      <c r="AH820" s="95">
        <v>75</v>
      </c>
    </row>
    <row r="821" spans="1:34" x14ac:dyDescent="0.3">
      <c r="A821" s="89" t="str">
        <f>CONCATENATE(D821,".",F821,"-",G821,".",H821,"")</f>
        <v>2.1-1.1</v>
      </c>
      <c r="B821" s="89" t="str">
        <f>IF(CONCATENATE(I821,Key!F$2)=CONCATENATE(INDEX(Dashboard!J:J,MATCH(I821,Dashboard!J:J,0),1),INDEX(Dashboard!J:K,MATCH(I821,Dashboard!J:J,0),2)),"ON",IF(Dashboard!K$32="ALL","ON","-"))</f>
        <v>ON</v>
      </c>
      <c r="C821" s="130" t="s">
        <v>152</v>
      </c>
      <c r="D821" s="89">
        <f>IF(C821="ID",1,(IF(C821="PR",2,(IF(C821="DE",3,(IF(C821="RS",4,(IF(C821="RC",5,0)))))))))</f>
        <v>2</v>
      </c>
      <c r="E821" s="95" t="s">
        <v>153</v>
      </c>
      <c r="F821" s="89">
        <f>IF(E821="AM",1,(IF(E821="BE",2,(IF(E821="GV",3,(IF(E821="RA",4,(IF(E821="RM",5,(IF(E821="AC",1,(IF(E821="AT",2,(IF(E821="DS",3,(IF(E821="IP",4,(IF(E821="MA",5,(IF(E821="PT",6,(IF(E821="AE",1,(IF(E821="CM",2,(IF(E821="DP",3,(IF(E821="AN",1,(IF(E821="CO",2,(IF(E821="IM",3,(IF(E821="MI",4,(IF(E821="RP",5,(IF(E821="SC",6,0)))))))))))))))))))))))))))))))))))))))</f>
        <v>1</v>
      </c>
      <c r="G821" s="52">
        <v>1</v>
      </c>
      <c r="H821" s="90" t="s">
        <v>115</v>
      </c>
      <c r="I821" s="93" t="s">
        <v>4107</v>
      </c>
      <c r="J821" s="86" t="s">
        <v>3995</v>
      </c>
      <c r="K821" s="101" t="s">
        <v>4445</v>
      </c>
      <c r="L821" s="117">
        <f>IF(O821="","",N821*O821*M821)</f>
        <v>0</v>
      </c>
      <c r="M821" s="108">
        <v>1</v>
      </c>
      <c r="N821" s="95">
        <v>1</v>
      </c>
      <c r="O821" s="109">
        <f>IF(Key!D$1="ON",P821,IF(SUM(Q821:DL821)&lt;1,"",SUM(Q821:DL821)/COUNTIF(Q821:DL821,"&gt;0")))</f>
        <v>0</v>
      </c>
      <c r="P821" s="109">
        <f>SUMIFS(Q821:DK821,Q$1:DK$1,Dashboard!$K$31)</f>
        <v>0</v>
      </c>
      <c r="U821" s="95">
        <v>33</v>
      </c>
      <c r="AA821" s="95">
        <v>25</v>
      </c>
      <c r="AH821" s="95">
        <v>75</v>
      </c>
    </row>
    <row r="822" spans="1:34" x14ac:dyDescent="0.3">
      <c r="A822" s="89" t="str">
        <f>CONCATENATE(D822,".",F822,"-",G822,".",H822,"")</f>
        <v>2.1-1.1</v>
      </c>
      <c r="B822" s="89" t="str">
        <f>IF(CONCATENATE(I822,Key!F$2)=CONCATENATE(INDEX(Dashboard!J:J,MATCH(I822,Dashboard!J:J,0),1),INDEX(Dashboard!J:K,MATCH(I822,Dashboard!J:J,0),2)),"ON",IF(Dashboard!K$32="ALL","ON","-"))</f>
        <v>ON</v>
      </c>
      <c r="C822" s="130" t="s">
        <v>152</v>
      </c>
      <c r="D822" s="89">
        <f>IF(C822="ID",1,(IF(C822="PR",2,(IF(C822="DE",3,(IF(C822="RS",4,(IF(C822="RC",5,0)))))))))</f>
        <v>2</v>
      </c>
      <c r="E822" s="95" t="s">
        <v>153</v>
      </c>
      <c r="F822" s="89">
        <f>IF(E822="AM",1,(IF(E822="BE",2,(IF(E822="GV",3,(IF(E822="RA",4,(IF(E822="RM",5,(IF(E822="AC",1,(IF(E822="AT",2,(IF(E822="DS",3,(IF(E822="IP",4,(IF(E822="MA",5,(IF(E822="PT",6,(IF(E822="AE",1,(IF(E822="CM",2,(IF(E822="DP",3,(IF(E822="AN",1,(IF(E822="CO",2,(IF(E822="IM",3,(IF(E822="MI",4,(IF(E822="RP",5,(IF(E822="SC",6,0)))))))))))))))))))))))))))))))))))))))</f>
        <v>1</v>
      </c>
      <c r="G822" s="52">
        <v>1</v>
      </c>
      <c r="H822" s="90" t="s">
        <v>115</v>
      </c>
      <c r="I822" s="93" t="s">
        <v>4107</v>
      </c>
      <c r="J822" s="86" t="s">
        <v>3996</v>
      </c>
      <c r="K822" s="101" t="s">
        <v>4169</v>
      </c>
      <c r="L822" s="117">
        <f>IF(O822="","",N822*O822*M822)</f>
        <v>0</v>
      </c>
      <c r="M822" s="108">
        <v>1</v>
      </c>
      <c r="N822" s="95">
        <v>1</v>
      </c>
      <c r="O822" s="109">
        <f>IF(Key!D$1="ON",P822,IF(SUM(Q822:DL822)&lt;1,"",SUM(Q822:DL822)/COUNTIF(Q822:DL822,"&gt;0")))</f>
        <v>0</v>
      </c>
      <c r="P822" s="109">
        <f>SUMIFS(Q822:DK822,Q$1:DK$1,Dashboard!$K$31)</f>
        <v>0</v>
      </c>
      <c r="U822" s="95">
        <v>33</v>
      </c>
      <c r="AA822" s="95">
        <v>25</v>
      </c>
      <c r="AH822" s="95">
        <v>75</v>
      </c>
    </row>
    <row r="823" spans="1:34" x14ac:dyDescent="0.3">
      <c r="A823" s="89" t="str">
        <f>CONCATENATE(D823,".",F823,"-",G823,".",H823,"")</f>
        <v>2.1-1.1</v>
      </c>
      <c r="B823" s="89" t="str">
        <f>IF(CONCATENATE(I823,Key!F$2)=CONCATENATE(INDEX(Dashboard!J:J,MATCH(I823,Dashboard!J:J,0),1),INDEX(Dashboard!J:K,MATCH(I823,Dashboard!J:J,0),2)),"ON",IF(Dashboard!K$32="ALL","ON","-"))</f>
        <v>ON</v>
      </c>
      <c r="C823" s="130" t="s">
        <v>152</v>
      </c>
      <c r="D823" s="89">
        <f>IF(C823="ID",1,(IF(C823="PR",2,(IF(C823="DE",3,(IF(C823="RS",4,(IF(C823="RC",5,0)))))))))</f>
        <v>2</v>
      </c>
      <c r="E823" s="95" t="s">
        <v>153</v>
      </c>
      <c r="F823" s="89">
        <f>IF(E823="AM",1,(IF(E823="BE",2,(IF(E823="GV",3,(IF(E823="RA",4,(IF(E823="RM",5,(IF(E823="AC",1,(IF(E823="AT",2,(IF(E823="DS",3,(IF(E823="IP",4,(IF(E823="MA",5,(IF(E823="PT",6,(IF(E823="AE",1,(IF(E823="CM",2,(IF(E823="DP",3,(IF(E823="AN",1,(IF(E823="CO",2,(IF(E823="IM",3,(IF(E823="MI",4,(IF(E823="RP",5,(IF(E823="SC",6,0)))))))))))))))))))))))))))))))))))))))</f>
        <v>1</v>
      </c>
      <c r="G823" s="52">
        <v>1</v>
      </c>
      <c r="H823" s="90" t="s">
        <v>115</v>
      </c>
      <c r="I823" s="93" t="s">
        <v>4107</v>
      </c>
      <c r="J823" s="86" t="s">
        <v>3997</v>
      </c>
      <c r="K823" s="101" t="s">
        <v>4171</v>
      </c>
      <c r="L823" s="117">
        <f>IF(O823="","",N823*O823*M823)</f>
        <v>0</v>
      </c>
      <c r="M823" s="108">
        <v>1</v>
      </c>
      <c r="N823" s="95">
        <v>1</v>
      </c>
      <c r="O823" s="109">
        <f>IF(Key!D$1="ON",P823,IF(SUM(Q823:DL823)&lt;1,"",SUM(Q823:DL823)/COUNTIF(Q823:DL823,"&gt;0")))</f>
        <v>0</v>
      </c>
      <c r="P823" s="109">
        <f>SUMIFS(Q823:DK823,Q$1:DK$1,Dashboard!$K$31)</f>
        <v>0</v>
      </c>
      <c r="U823" s="95">
        <v>33</v>
      </c>
      <c r="AA823" s="95">
        <v>25</v>
      </c>
      <c r="AH823" s="95">
        <v>75</v>
      </c>
    </row>
    <row r="824" spans="1:34" x14ac:dyDescent="0.3">
      <c r="A824" s="89" t="str">
        <f>CONCATENATE(D824,".",F824,"-",G824,".",H824,"")</f>
        <v>2.1-1.1</v>
      </c>
      <c r="B824" s="89" t="str">
        <f>IF(CONCATENATE(I824,Key!F$2)=CONCATENATE(INDEX(Dashboard!J:J,MATCH(I824,Dashboard!J:J,0),1),INDEX(Dashboard!J:K,MATCH(I824,Dashboard!J:J,0),2)),"ON",IF(Dashboard!K$32="ALL","ON","-"))</f>
        <v>ON</v>
      </c>
      <c r="C824" s="130" t="s">
        <v>152</v>
      </c>
      <c r="D824" s="89">
        <f>IF(C824="ID",1,(IF(C824="PR",2,(IF(C824="DE",3,(IF(C824="RS",4,(IF(C824="RC",5,0)))))))))</f>
        <v>2</v>
      </c>
      <c r="E824" s="95" t="s">
        <v>153</v>
      </c>
      <c r="F824" s="89">
        <f>IF(E824="AM",1,(IF(E824="BE",2,(IF(E824="GV",3,(IF(E824="RA",4,(IF(E824="RM",5,(IF(E824="AC",1,(IF(E824="AT",2,(IF(E824="DS",3,(IF(E824="IP",4,(IF(E824="MA",5,(IF(E824="PT",6,(IF(E824="AE",1,(IF(E824="CM",2,(IF(E824="DP",3,(IF(E824="AN",1,(IF(E824="CO",2,(IF(E824="IM",3,(IF(E824="MI",4,(IF(E824="RP",5,(IF(E824="SC",6,0)))))))))))))))))))))))))))))))))))))))</f>
        <v>1</v>
      </c>
      <c r="G824" s="52">
        <v>1</v>
      </c>
      <c r="H824" s="90" t="s">
        <v>115</v>
      </c>
      <c r="I824" s="93" t="s">
        <v>4107</v>
      </c>
      <c r="J824" s="86" t="s">
        <v>3998</v>
      </c>
      <c r="K824" s="101" t="s">
        <v>4173</v>
      </c>
      <c r="L824" s="117">
        <f>IF(O824="","",N824*O824*M824)</f>
        <v>0</v>
      </c>
      <c r="M824" s="108">
        <v>1</v>
      </c>
      <c r="N824" s="95">
        <v>1</v>
      </c>
      <c r="O824" s="109">
        <f>IF(Key!D$1="ON",P824,IF(SUM(Q824:DL824)&lt;1,"",SUM(Q824:DL824)/COUNTIF(Q824:DL824,"&gt;0")))</f>
        <v>0</v>
      </c>
      <c r="P824" s="109">
        <f>SUMIFS(Q824:DK824,Q$1:DK$1,Dashboard!$K$31)</f>
        <v>0</v>
      </c>
      <c r="U824" s="95">
        <v>33</v>
      </c>
      <c r="AA824" s="95">
        <v>25</v>
      </c>
      <c r="AH824" s="95">
        <v>75</v>
      </c>
    </row>
    <row r="825" spans="1:34" x14ac:dyDescent="0.3">
      <c r="A825" s="89" t="str">
        <f>CONCATENATE(D825,".",F825,"-",G825,".",H825,"")</f>
        <v>2.1-1.1</v>
      </c>
      <c r="B825" s="89" t="str">
        <f>IF(CONCATENATE(I825,Key!F$2)=CONCATENATE(INDEX(Dashboard!J:J,MATCH(I825,Dashboard!J:J,0),1),INDEX(Dashboard!J:K,MATCH(I825,Dashboard!J:J,0),2)),"ON",IF(Dashboard!K$32="ALL","ON","-"))</f>
        <v>ON</v>
      </c>
      <c r="C825" s="130" t="s">
        <v>152</v>
      </c>
      <c r="D825" s="89">
        <f>IF(C825="ID",1,(IF(C825="PR",2,(IF(C825="DE",3,(IF(C825="RS",4,(IF(C825="RC",5,0)))))))))</f>
        <v>2</v>
      </c>
      <c r="E825" s="95" t="s">
        <v>153</v>
      </c>
      <c r="F825" s="89">
        <f>IF(E825="AM",1,(IF(E825="BE",2,(IF(E825="GV",3,(IF(E825="RA",4,(IF(E825="RM",5,(IF(E825="AC",1,(IF(E825="AT",2,(IF(E825="DS",3,(IF(E825="IP",4,(IF(E825="MA",5,(IF(E825="PT",6,(IF(E825="AE",1,(IF(E825="CM",2,(IF(E825="DP",3,(IF(E825="AN",1,(IF(E825="CO",2,(IF(E825="IM",3,(IF(E825="MI",4,(IF(E825="RP",5,(IF(E825="SC",6,0)))))))))))))))))))))))))))))))))))))))</f>
        <v>1</v>
      </c>
      <c r="G825" s="52">
        <v>1</v>
      </c>
      <c r="H825" s="90" t="s">
        <v>115</v>
      </c>
      <c r="I825" s="93" t="s">
        <v>4107</v>
      </c>
      <c r="J825" s="86" t="s">
        <v>3999</v>
      </c>
      <c r="K825" s="101" t="s">
        <v>4446</v>
      </c>
      <c r="L825" s="117">
        <f>IF(O825="","",N825*O825*M825)</f>
        <v>0</v>
      </c>
      <c r="M825" s="108">
        <v>1</v>
      </c>
      <c r="N825" s="95">
        <v>1</v>
      </c>
      <c r="O825" s="109">
        <f>IF(Key!D$1="ON",P825,IF(SUM(Q825:DL825)&lt;1,"",SUM(Q825:DL825)/COUNTIF(Q825:DL825,"&gt;0")))</f>
        <v>0</v>
      </c>
      <c r="P825" s="109">
        <f>SUMIFS(Q825:DK825,Q$1:DK$1,Dashboard!$K$31)</f>
        <v>0</v>
      </c>
      <c r="U825" s="95">
        <v>33</v>
      </c>
      <c r="AA825" s="95">
        <v>25</v>
      </c>
      <c r="AH825" s="95">
        <v>75</v>
      </c>
    </row>
    <row r="826" spans="1:34" x14ac:dyDescent="0.3">
      <c r="A826" s="89" t="str">
        <f>CONCATENATE(D826,".",F826,"-",G826,".",H826,"")</f>
        <v>2.1-1.1</v>
      </c>
      <c r="B826" s="89" t="str">
        <f>IF(CONCATENATE(I826,Key!F$2)=CONCATENATE(INDEX(Dashboard!J:J,MATCH(I826,Dashboard!J:J,0),1),INDEX(Dashboard!J:K,MATCH(I826,Dashboard!J:J,0),2)),"ON",IF(Dashboard!K$32="ALL","ON","-"))</f>
        <v>ON</v>
      </c>
      <c r="C826" s="130" t="s">
        <v>152</v>
      </c>
      <c r="D826" s="89">
        <f>IF(C826="ID",1,(IF(C826="PR",2,(IF(C826="DE",3,(IF(C826="RS",4,(IF(C826="RC",5,0)))))))))</f>
        <v>2</v>
      </c>
      <c r="E826" s="95" t="s">
        <v>153</v>
      </c>
      <c r="F826" s="89">
        <f>IF(E826="AM",1,(IF(E826="BE",2,(IF(E826="GV",3,(IF(E826="RA",4,(IF(E826="RM",5,(IF(E826="AC",1,(IF(E826="AT",2,(IF(E826="DS",3,(IF(E826="IP",4,(IF(E826="MA",5,(IF(E826="PT",6,(IF(E826="AE",1,(IF(E826="CM",2,(IF(E826="DP",3,(IF(E826="AN",1,(IF(E826="CO",2,(IF(E826="IM",3,(IF(E826="MI",4,(IF(E826="RP",5,(IF(E826="SC",6,0)))))))))))))))))))))))))))))))))))))))</f>
        <v>1</v>
      </c>
      <c r="G826" s="52">
        <v>1</v>
      </c>
      <c r="H826" s="90" t="s">
        <v>115</v>
      </c>
      <c r="I826" s="93" t="s">
        <v>4107</v>
      </c>
      <c r="J826" s="86" t="s">
        <v>4000</v>
      </c>
      <c r="K826" s="101" t="s">
        <v>4176</v>
      </c>
      <c r="L826" s="117">
        <f>IF(O826="","",N826*O826*M826)</f>
        <v>0</v>
      </c>
      <c r="M826" s="108">
        <v>1</v>
      </c>
      <c r="N826" s="95">
        <v>1</v>
      </c>
      <c r="O826" s="109">
        <f>IF(Key!D$1="ON",P826,IF(SUM(Q826:DL826)&lt;1,"",SUM(Q826:DL826)/COUNTIF(Q826:DL826,"&gt;0")))</f>
        <v>0</v>
      </c>
      <c r="P826" s="109">
        <f>SUMIFS(Q826:DK826,Q$1:DK$1,Dashboard!$K$31)</f>
        <v>0</v>
      </c>
      <c r="U826" s="95">
        <v>33</v>
      </c>
      <c r="AA826" s="95">
        <v>25</v>
      </c>
      <c r="AH826" s="95">
        <v>75</v>
      </c>
    </row>
    <row r="827" spans="1:34" x14ac:dyDescent="0.3">
      <c r="A827" s="89" t="str">
        <f>CONCATENATE(D827,".",F827,"-",G827,".",H827,"")</f>
        <v>2.1-1.1</v>
      </c>
      <c r="B827" s="89" t="str">
        <f>IF(CONCATENATE(I827,Key!F$2)=CONCATENATE(INDEX(Dashboard!J:J,MATCH(I827,Dashboard!J:J,0),1),INDEX(Dashboard!J:K,MATCH(I827,Dashboard!J:J,0),2)),"ON",IF(Dashboard!K$32="ALL","ON","-"))</f>
        <v>ON</v>
      </c>
      <c r="C827" s="130" t="s">
        <v>152</v>
      </c>
      <c r="D827" s="89">
        <f>IF(C827="ID",1,(IF(C827="PR",2,(IF(C827="DE",3,(IF(C827="RS",4,(IF(C827="RC",5,0)))))))))</f>
        <v>2</v>
      </c>
      <c r="E827" s="95" t="s">
        <v>153</v>
      </c>
      <c r="F827" s="89">
        <f>IF(E827="AM",1,(IF(E827="BE",2,(IF(E827="GV",3,(IF(E827="RA",4,(IF(E827="RM",5,(IF(E827="AC",1,(IF(E827="AT",2,(IF(E827="DS",3,(IF(E827="IP",4,(IF(E827="MA",5,(IF(E827="PT",6,(IF(E827="AE",1,(IF(E827="CM",2,(IF(E827="DP",3,(IF(E827="AN",1,(IF(E827="CO",2,(IF(E827="IM",3,(IF(E827="MI",4,(IF(E827="RP",5,(IF(E827="SC",6,0)))))))))))))))))))))))))))))))))))))))</f>
        <v>1</v>
      </c>
      <c r="G827" s="52">
        <v>1</v>
      </c>
      <c r="H827" s="90" t="s">
        <v>115</v>
      </c>
      <c r="I827" s="93" t="s">
        <v>4107</v>
      </c>
      <c r="J827" s="86" t="s">
        <v>4001</v>
      </c>
      <c r="K827" s="101" t="s">
        <v>4376</v>
      </c>
      <c r="L827" s="117">
        <f>IF(O827="","",N827*O827*M827)</f>
        <v>0</v>
      </c>
      <c r="M827" s="108">
        <v>1</v>
      </c>
      <c r="N827" s="95">
        <v>1</v>
      </c>
      <c r="O827" s="109">
        <f>IF(Key!D$1="ON",P827,IF(SUM(Q827:DL827)&lt;1,"",SUM(Q827:DL827)/COUNTIF(Q827:DL827,"&gt;0")))</f>
        <v>0</v>
      </c>
      <c r="P827" s="109">
        <f>SUMIFS(Q827:DK827,Q$1:DK$1,Dashboard!$K$31)</f>
        <v>0</v>
      </c>
      <c r="U827" s="95">
        <v>33</v>
      </c>
      <c r="AA827" s="95">
        <v>25</v>
      </c>
      <c r="AH827" s="95">
        <v>75</v>
      </c>
    </row>
    <row r="828" spans="1:34" ht="15.6" x14ac:dyDescent="0.3">
      <c r="A828" s="89" t="str">
        <f>CONCATENATE(D828,".",F828,"-",G828,".",H828,"")</f>
        <v>2.1-1.1</v>
      </c>
      <c r="B828" s="89" t="str">
        <f>IF(CONCATENATE(I828,Key!F$2)=CONCATENATE(INDEX(Dashboard!J:J,MATCH(I828,Dashboard!J:J,0),1),INDEX(Dashboard!J:K,MATCH(I828,Dashboard!J:J,0),2)),"ON",IF(Dashboard!K$32="ALL","ON","-"))</f>
        <v>ON</v>
      </c>
      <c r="C828" s="130" t="s">
        <v>152</v>
      </c>
      <c r="D828" s="89">
        <f>IF(C828="ID",1,(IF(C828="PR",2,(IF(C828="DE",3,(IF(C828="RS",4,(IF(C828="RC",5,0)))))))))</f>
        <v>2</v>
      </c>
      <c r="E828" s="95" t="s">
        <v>153</v>
      </c>
      <c r="F828" s="89">
        <f>IF(E828="AM",1,(IF(E828="BE",2,(IF(E828="GV",3,(IF(E828="RA",4,(IF(E828="RM",5,(IF(E828="AC",1,(IF(E828="AT",2,(IF(E828="DS",3,(IF(E828="IP",4,(IF(E828="MA",5,(IF(E828="PT",6,(IF(E828="AE",1,(IF(E828="CM",2,(IF(E828="DP",3,(IF(E828="AN",1,(IF(E828="CO",2,(IF(E828="IM",3,(IF(E828="MI",4,(IF(E828="RP",5,(IF(E828="SC",6,0)))))))))))))))))))))))))))))))))))))))</f>
        <v>1</v>
      </c>
      <c r="G828" s="52">
        <v>1</v>
      </c>
      <c r="H828" s="90" t="s">
        <v>115</v>
      </c>
      <c r="I828" s="93" t="s">
        <v>4107</v>
      </c>
      <c r="J828" s="86" t="s">
        <v>4002</v>
      </c>
      <c r="K828" s="101" t="s">
        <v>4447</v>
      </c>
      <c r="L828" s="117">
        <f>IF(O828="","",N828*O828*M828)</f>
        <v>0</v>
      </c>
      <c r="M828" s="108">
        <v>1</v>
      </c>
      <c r="N828" s="95">
        <v>1</v>
      </c>
      <c r="O828" s="109">
        <f>IF(Key!D$1="ON",P828,IF(SUM(Q828:DL828)&lt;1,"",SUM(Q828:DL828)/COUNTIF(Q828:DL828,"&gt;0")))</f>
        <v>0</v>
      </c>
      <c r="P828" s="109">
        <f>SUMIFS(Q828:DK828,Q$1:DK$1,Dashboard!$K$31)</f>
        <v>0</v>
      </c>
      <c r="U828" s="95">
        <v>33</v>
      </c>
      <c r="AA828" s="95">
        <v>25</v>
      </c>
      <c r="AH828" s="95">
        <v>75</v>
      </c>
    </row>
    <row r="829" spans="1:34" ht="15.6" x14ac:dyDescent="0.3">
      <c r="A829" s="89" t="str">
        <f>CONCATENATE(D829,".",F829,"-",G829,".",H829,"")</f>
        <v>2.1-1.1</v>
      </c>
      <c r="B829" s="89" t="str">
        <f>IF(CONCATENATE(I829,Key!F$2)=CONCATENATE(INDEX(Dashboard!J:J,MATCH(I829,Dashboard!J:J,0),1),INDEX(Dashboard!J:K,MATCH(I829,Dashboard!J:J,0),2)),"ON",IF(Dashboard!K$32="ALL","ON","-"))</f>
        <v>ON</v>
      </c>
      <c r="C829" s="130" t="s">
        <v>152</v>
      </c>
      <c r="D829" s="89">
        <f>IF(C829="ID",1,(IF(C829="PR",2,(IF(C829="DE",3,(IF(C829="RS",4,(IF(C829="RC",5,0)))))))))</f>
        <v>2</v>
      </c>
      <c r="E829" s="95" t="s">
        <v>153</v>
      </c>
      <c r="F829" s="89">
        <f>IF(E829="AM",1,(IF(E829="BE",2,(IF(E829="GV",3,(IF(E829="RA",4,(IF(E829="RM",5,(IF(E829="AC",1,(IF(E829="AT",2,(IF(E829="DS",3,(IF(E829="IP",4,(IF(E829="MA",5,(IF(E829="PT",6,(IF(E829="AE",1,(IF(E829="CM",2,(IF(E829="DP",3,(IF(E829="AN",1,(IF(E829="CO",2,(IF(E829="IM",3,(IF(E829="MI",4,(IF(E829="RP",5,(IF(E829="SC",6,0)))))))))))))))))))))))))))))))))))))))</f>
        <v>1</v>
      </c>
      <c r="G829" s="52">
        <v>1</v>
      </c>
      <c r="H829" s="90" t="s">
        <v>115</v>
      </c>
      <c r="I829" s="93" t="s">
        <v>4107</v>
      </c>
      <c r="J829" s="86" t="s">
        <v>4003</v>
      </c>
      <c r="K829" s="101" t="s">
        <v>4377</v>
      </c>
      <c r="L829" s="117">
        <f>IF(O829="","",N829*O829*M829)</f>
        <v>0</v>
      </c>
      <c r="M829" s="108">
        <v>1</v>
      </c>
      <c r="N829" s="95">
        <v>1</v>
      </c>
      <c r="O829" s="109">
        <f>IF(Key!D$1="ON",P829,IF(SUM(Q829:DL829)&lt;1,"",SUM(Q829:DL829)/COUNTIF(Q829:DL829,"&gt;0")))</f>
        <v>0</v>
      </c>
      <c r="P829" s="109">
        <f>SUMIFS(Q829:DK829,Q$1:DK$1,Dashboard!$K$31)</f>
        <v>0</v>
      </c>
      <c r="U829" s="95">
        <v>33</v>
      </c>
      <c r="AA829" s="95">
        <v>25</v>
      </c>
      <c r="AH829" s="95">
        <v>75</v>
      </c>
    </row>
    <row r="830" spans="1:34" x14ac:dyDescent="0.3">
      <c r="A830" s="89" t="str">
        <f>CONCATENATE(D830,".",F830,"-",G830,".",H830,"")</f>
        <v>2.1-1.1</v>
      </c>
      <c r="B830" s="89" t="str">
        <f>IF(CONCATENATE(I830,Key!F$2)=CONCATENATE(INDEX(Dashboard!J:J,MATCH(I830,Dashboard!J:J,0),1),INDEX(Dashboard!J:K,MATCH(I830,Dashboard!J:J,0),2)),"ON",IF(Dashboard!K$32="ALL","ON","-"))</f>
        <v>ON</v>
      </c>
      <c r="C830" s="130" t="s">
        <v>152</v>
      </c>
      <c r="D830" s="89">
        <f>IF(C830="ID",1,(IF(C830="PR",2,(IF(C830="DE",3,(IF(C830="RS",4,(IF(C830="RC",5,0)))))))))</f>
        <v>2</v>
      </c>
      <c r="E830" s="95" t="s">
        <v>153</v>
      </c>
      <c r="F830" s="89">
        <f>IF(E830="AM",1,(IF(E830="BE",2,(IF(E830="GV",3,(IF(E830="RA",4,(IF(E830="RM",5,(IF(E830="AC",1,(IF(E830="AT",2,(IF(E830="DS",3,(IF(E830="IP",4,(IF(E830="MA",5,(IF(E830="PT",6,(IF(E830="AE",1,(IF(E830="CM",2,(IF(E830="DP",3,(IF(E830="AN",1,(IF(E830="CO",2,(IF(E830="IM",3,(IF(E830="MI",4,(IF(E830="RP",5,(IF(E830="SC",6,0)))))))))))))))))))))))))))))))))))))))</f>
        <v>1</v>
      </c>
      <c r="G830" s="52">
        <v>1</v>
      </c>
      <c r="H830" s="90" t="s">
        <v>115</v>
      </c>
      <c r="I830" s="93" t="s">
        <v>4107</v>
      </c>
      <c r="J830" s="86" t="s">
        <v>4004</v>
      </c>
      <c r="K830" s="101" t="s">
        <v>4167</v>
      </c>
      <c r="L830" s="117">
        <f>IF(O830="","",N830*O830*M830)</f>
        <v>0</v>
      </c>
      <c r="M830" s="108">
        <v>1</v>
      </c>
      <c r="N830" s="95">
        <v>1</v>
      </c>
      <c r="O830" s="109">
        <f>IF(Key!D$1="ON",P830,IF(SUM(Q830:DL830)&lt;1,"",SUM(Q830:DL830)/COUNTIF(Q830:DL830,"&gt;0")))</f>
        <v>0</v>
      </c>
      <c r="P830" s="109">
        <f>SUMIFS(Q830:DK830,Q$1:DK$1,Dashboard!$K$31)</f>
        <v>0</v>
      </c>
      <c r="U830" s="95">
        <v>33</v>
      </c>
      <c r="AA830" s="95">
        <v>25</v>
      </c>
      <c r="AH830" s="95">
        <v>75</v>
      </c>
    </row>
    <row r="831" spans="1:34" x14ac:dyDescent="0.3">
      <c r="A831" s="89" t="str">
        <f>CONCATENATE(D831,".",F831,"-",G831,".",H831,"")</f>
        <v>2.1-1.1</v>
      </c>
      <c r="B831" s="89" t="str">
        <f>IF(CONCATENATE(I831,Key!F$2)=CONCATENATE(INDEX(Dashboard!J:J,MATCH(I831,Dashboard!J:J,0),1),INDEX(Dashboard!J:K,MATCH(I831,Dashboard!J:J,0),2)),"ON",IF(Dashboard!K$32="ALL","ON","-"))</f>
        <v>ON</v>
      </c>
      <c r="C831" s="130" t="s">
        <v>152</v>
      </c>
      <c r="D831" s="89">
        <f>IF(C831="ID",1,(IF(C831="PR",2,(IF(C831="DE",3,(IF(C831="RS",4,(IF(C831="RC",5,0)))))))))</f>
        <v>2</v>
      </c>
      <c r="E831" s="95" t="s">
        <v>153</v>
      </c>
      <c r="F831" s="89">
        <f>IF(E831="AM",1,(IF(E831="BE",2,(IF(E831="GV",3,(IF(E831="RA",4,(IF(E831="RM",5,(IF(E831="AC",1,(IF(E831="AT",2,(IF(E831="DS",3,(IF(E831="IP",4,(IF(E831="MA",5,(IF(E831="PT",6,(IF(E831="AE",1,(IF(E831="CM",2,(IF(E831="DP",3,(IF(E831="AN",1,(IF(E831="CO",2,(IF(E831="IM",3,(IF(E831="MI",4,(IF(E831="RP",5,(IF(E831="SC",6,0)))))))))))))))))))))))))))))))))))))))</f>
        <v>1</v>
      </c>
      <c r="G831" s="52">
        <v>1</v>
      </c>
      <c r="H831" s="90" t="s">
        <v>115</v>
      </c>
      <c r="I831" s="93" t="s">
        <v>4107</v>
      </c>
      <c r="J831" s="86" t="s">
        <v>4033</v>
      </c>
      <c r="K831" s="101" t="s">
        <v>4391</v>
      </c>
      <c r="L831" s="117">
        <f>IF(O831="","",N831*O831*M831)</f>
        <v>0</v>
      </c>
      <c r="M831" s="108">
        <v>1</v>
      </c>
      <c r="N831" s="95">
        <v>1</v>
      </c>
      <c r="O831" s="109">
        <f>IF(Key!D$1="ON",P831,IF(SUM(Q831:DL831)&lt;1,"",SUM(Q831:DL831)/COUNTIF(Q831:DL831,"&gt;0")))</f>
        <v>0</v>
      </c>
      <c r="P831" s="109">
        <f>SUMIFS(Q831:DK831,Q$1:DK$1,Dashboard!$K$31)</f>
        <v>0</v>
      </c>
      <c r="U831" s="95">
        <v>33</v>
      </c>
      <c r="AA831" s="95">
        <v>25</v>
      </c>
      <c r="AH831" s="95">
        <v>75</v>
      </c>
    </row>
    <row r="832" spans="1:34" ht="15.6" x14ac:dyDescent="0.3">
      <c r="A832" s="89" t="str">
        <f>CONCATENATE(D832,".",F832,"-",G832,".",H832,"")</f>
        <v>2.1-1.1</v>
      </c>
      <c r="B832" s="89" t="str">
        <f>IF(CONCATENATE(I832,Key!F$2)=CONCATENATE(INDEX(Dashboard!J:J,MATCH(I832,Dashboard!J:J,0),1),INDEX(Dashboard!J:K,MATCH(I832,Dashboard!J:J,0),2)),"ON",IF(Dashboard!K$32="ALL","ON","-"))</f>
        <v>-</v>
      </c>
      <c r="C832" s="96" t="s">
        <v>152</v>
      </c>
      <c r="D832" s="89">
        <f>IF(C832="ID",1,(IF(C832="PR",2,(IF(C832="DE",3,(IF(C832="RS",4,(IF(C832="RC",5,0)))))))))</f>
        <v>2</v>
      </c>
      <c r="E832" s="131" t="s">
        <v>153</v>
      </c>
      <c r="F832" s="89">
        <f>IF(E832="AM",1,(IF(E832="BE",2,(IF(E832="GV",3,(IF(E832="RA",4,(IF(E832="RM",5,(IF(E832="AC",1,(IF(E832="AT",2,(IF(E832="DS",3,(IF(E832="IP",4,(IF(E832="MA",5,(IF(E832="PT",6,(IF(E832="AE",1,(IF(E832="CM",2,(IF(E832="DP",3,(IF(E832="AN",1,(IF(E832="CO",2,(IF(E832="IM",3,(IF(E832="MI",4,(IF(E832="RP",5,(IF(E832="SC",6,0)))))))))))))))))))))))))))))))))))))))</f>
        <v>1</v>
      </c>
      <c r="G832" s="98">
        <v>1</v>
      </c>
      <c r="H832" s="99">
        <v>1</v>
      </c>
      <c r="I832" s="93" t="s">
        <v>37</v>
      </c>
      <c r="J832" s="86">
        <v>14</v>
      </c>
      <c r="K832" s="102" t="s">
        <v>3696</v>
      </c>
      <c r="L832" s="117">
        <f>IF(O832="","",N832*O832*M832)</f>
        <v>0</v>
      </c>
      <c r="M832" s="108">
        <v>1</v>
      </c>
      <c r="N832" s="95">
        <v>1</v>
      </c>
      <c r="O832" s="109">
        <f>IF(Key!D$1="ON",P832,IF(SUM(Q832:DL832)&lt;1,"",SUM(Q832:DL832)/COUNTIF(Q832:DL832,"&gt;0")))</f>
        <v>0</v>
      </c>
      <c r="P832" s="109">
        <f>SUMIFS(Q832:DK832,Q$1:DK$1,Dashboard!$K$31)</f>
        <v>0</v>
      </c>
      <c r="U832" s="95">
        <v>33</v>
      </c>
      <c r="AA832" s="95">
        <v>25</v>
      </c>
      <c r="AH832" s="95">
        <v>75</v>
      </c>
    </row>
    <row r="833" spans="1:34" ht="15.6" x14ac:dyDescent="0.3">
      <c r="A833" s="89" t="str">
        <f>CONCATENATE(D833,".",F833,"-",G833,".",H833,"")</f>
        <v>2.1-1.1</v>
      </c>
      <c r="B833" s="89" t="str">
        <f>IF(CONCATENATE(I833,Key!F$2)=CONCATENATE(INDEX(Dashboard!J:J,MATCH(I833,Dashboard!J:J,0),1),INDEX(Dashboard!J:K,MATCH(I833,Dashboard!J:J,0),2)),"ON",IF(Dashboard!K$32="ALL","ON","-"))</f>
        <v>-</v>
      </c>
      <c r="C833" s="96" t="s">
        <v>152</v>
      </c>
      <c r="D833" s="89">
        <f>IF(C833="ID",1,(IF(C833="PR",2,(IF(C833="DE",3,(IF(C833="RS",4,(IF(C833="RC",5,0)))))))))</f>
        <v>2</v>
      </c>
      <c r="E833" s="131" t="s">
        <v>153</v>
      </c>
      <c r="F833" s="89">
        <f>IF(E833="AM",1,(IF(E833="BE",2,(IF(E833="GV",3,(IF(E833="RA",4,(IF(E833="RM",5,(IF(E833="AC",1,(IF(E833="AT",2,(IF(E833="DS",3,(IF(E833="IP",4,(IF(E833="MA",5,(IF(E833="PT",6,(IF(E833="AE",1,(IF(E833="CM",2,(IF(E833="DP",3,(IF(E833="AN",1,(IF(E833="CO",2,(IF(E833="IM",3,(IF(E833="MI",4,(IF(E833="RP",5,(IF(E833="SC",6,0)))))))))))))))))))))))))))))))))))))))</f>
        <v>1</v>
      </c>
      <c r="G833" s="98">
        <v>1</v>
      </c>
      <c r="H833" s="99">
        <v>1</v>
      </c>
      <c r="I833" s="93" t="s">
        <v>37</v>
      </c>
      <c r="J833" s="86">
        <v>16</v>
      </c>
      <c r="K833" s="102" t="s">
        <v>3697</v>
      </c>
      <c r="L833" s="117">
        <f>IF(O833="","",N833*O833*M833)</f>
        <v>0</v>
      </c>
      <c r="M833" s="108">
        <v>1</v>
      </c>
      <c r="N833" s="95">
        <v>1</v>
      </c>
      <c r="O833" s="109">
        <f>IF(Key!D$1="ON",P833,IF(SUM(Q833:DL833)&lt;1,"",SUM(Q833:DL833)/COUNTIF(Q833:DL833,"&gt;0")))</f>
        <v>0</v>
      </c>
      <c r="P833" s="109">
        <f>SUMIFS(Q833:DK833,Q$1:DK$1,Dashboard!$K$31)</f>
        <v>0</v>
      </c>
      <c r="U833" s="95">
        <v>33</v>
      </c>
      <c r="AA833" s="95">
        <v>25</v>
      </c>
      <c r="AH833" s="95">
        <v>75</v>
      </c>
    </row>
    <row r="834" spans="1:34" x14ac:dyDescent="0.3">
      <c r="A834" s="89" t="str">
        <f>CONCATENATE(D834,".",F834,"-",G834,".",H834,"")</f>
        <v>2.1-1.1</v>
      </c>
      <c r="B834" s="89" t="str">
        <f>IF(CONCATENATE(I834,Key!F$2)=CONCATENATE(INDEX(Dashboard!J:J,MATCH(I834,Dashboard!J:J,0),1),INDEX(Dashboard!J:K,MATCH(I834,Dashboard!J:J,0),2)),"ON",IF(Dashboard!K$32="ALL","ON","-"))</f>
        <v>-</v>
      </c>
      <c r="C834" s="88" t="s">
        <v>152</v>
      </c>
      <c r="D834" s="89">
        <f>IF(C834="ID",1,(IF(C834="PR",2,(IF(C834="DE",3,(IF(C834="RS",4,(IF(C834="RC",5,0)))))))))</f>
        <v>2</v>
      </c>
      <c r="E834" s="89" t="s">
        <v>153</v>
      </c>
      <c r="F834" s="89">
        <f>IF(E834="AM",1,(IF(E834="BE",2,(IF(E834="GV",3,(IF(E834="RA",4,(IF(E834="RM",5,(IF(E834="AC",1,(IF(E834="AT",2,(IF(E834="DS",3,(IF(E834="IP",4,(IF(E834="MA",5,(IF(E834="PT",6,(IF(E834="AE",1,(IF(E834="CM",2,(IF(E834="DP",3,(IF(E834="AN",1,(IF(E834="CO",2,(IF(E834="IM",3,(IF(E834="MI",4,(IF(E834="RP",5,(IF(E834="SC",6,0)))))))))))))))))))))))))))))))))))))))</f>
        <v>1</v>
      </c>
      <c r="G834" s="52">
        <v>1</v>
      </c>
      <c r="H834" s="99">
        <v>1</v>
      </c>
      <c r="I834" s="93" t="s">
        <v>37</v>
      </c>
      <c r="J834" s="86">
        <v>16.3</v>
      </c>
      <c r="K834" s="102" t="s">
        <v>3701</v>
      </c>
      <c r="L834" s="117">
        <f>IF(O834="","",N834*O834*M834)</f>
        <v>0</v>
      </c>
      <c r="M834" s="108">
        <v>1</v>
      </c>
      <c r="N834" s="95">
        <v>1</v>
      </c>
      <c r="O834" s="109">
        <f>IF(Key!D$1="ON",P834,IF(SUM(Q834:DL834)&lt;1,"",SUM(Q834:DL834)/COUNTIF(Q834:DL834,"&gt;0")))</f>
        <v>0</v>
      </c>
      <c r="P834" s="109">
        <f>SUMIFS(Q834:DK834,Q$1:DK$1,Dashboard!$K$31)</f>
        <v>0</v>
      </c>
      <c r="U834" s="95">
        <v>33</v>
      </c>
      <c r="AA834" s="95">
        <v>25</v>
      </c>
      <c r="AH834" s="95">
        <v>75</v>
      </c>
    </row>
    <row r="835" spans="1:34" x14ac:dyDescent="0.3">
      <c r="A835" s="89" t="str">
        <f>CONCATENATE(D835,".",F835,"-",G835,".",H835,"")</f>
        <v>2.1-1.1</v>
      </c>
      <c r="B835" s="89" t="str">
        <f>IF(CONCATENATE(I835,Key!F$2)=CONCATENATE(INDEX(Dashboard!J:J,MATCH(I835,Dashboard!J:J,0),1),INDEX(Dashboard!J:K,MATCH(I835,Dashboard!J:J,0),2)),"ON",IF(Dashboard!K$32="ALL","ON","-"))</f>
        <v>-</v>
      </c>
      <c r="C835" s="88" t="s">
        <v>152</v>
      </c>
      <c r="D835" s="89">
        <f>IF(C835="ID",1,(IF(C835="PR",2,(IF(C835="DE",3,(IF(C835="RS",4,(IF(C835="RC",5,0)))))))))</f>
        <v>2</v>
      </c>
      <c r="E835" s="89" t="s">
        <v>153</v>
      </c>
      <c r="F835" s="89">
        <f>IF(E835="AM",1,(IF(E835="BE",2,(IF(E835="GV",3,(IF(E835="RA",4,(IF(E835="RM",5,(IF(E835="AC",1,(IF(E835="AT",2,(IF(E835="DS",3,(IF(E835="IP",4,(IF(E835="MA",5,(IF(E835="PT",6,(IF(E835="AE",1,(IF(E835="CM",2,(IF(E835="DP",3,(IF(E835="AN",1,(IF(E835="CO",2,(IF(E835="IM",3,(IF(E835="MI",4,(IF(E835="RP",5,(IF(E835="SC",6,0)))))))))))))))))))))))))))))))))))))))</f>
        <v>1</v>
      </c>
      <c r="G835" s="52">
        <v>1</v>
      </c>
      <c r="H835" s="99">
        <v>1</v>
      </c>
      <c r="I835" s="93" t="s">
        <v>37</v>
      </c>
      <c r="J835" s="86">
        <v>5.2</v>
      </c>
      <c r="K835" s="102" t="s">
        <v>3694</v>
      </c>
      <c r="L835" s="117">
        <f>IF(O835="","",N835*O835*M835)</f>
        <v>0</v>
      </c>
      <c r="M835" s="108">
        <v>1</v>
      </c>
      <c r="N835" s="95">
        <v>1</v>
      </c>
      <c r="O835" s="109">
        <f>IF(Key!D$1="ON",P835,IF(SUM(Q835:DL835)&lt;1,"",SUM(Q835:DL835)/COUNTIF(Q835:DL835,"&gt;0")))</f>
        <v>0</v>
      </c>
      <c r="P835" s="109">
        <f>SUMIFS(Q835:DK835,Q$1:DK$1,Dashboard!$K$31)</f>
        <v>0</v>
      </c>
      <c r="U835" s="95">
        <v>33</v>
      </c>
      <c r="AA835" s="95">
        <v>25</v>
      </c>
      <c r="AH835" s="95">
        <v>75</v>
      </c>
    </row>
    <row r="836" spans="1:34" x14ac:dyDescent="0.3">
      <c r="A836" s="89" t="str">
        <f>CONCATENATE(D836,".",F836,"-",G836,".",H836,"")</f>
        <v>2.1-1.1</v>
      </c>
      <c r="B836" s="89" t="str">
        <f>IF(CONCATENATE(I836,Key!F$2)=CONCATENATE(INDEX(Dashboard!J:J,MATCH(I836,Dashboard!J:J,0),1),INDEX(Dashboard!J:K,MATCH(I836,Dashboard!J:J,0),2)),"ON",IF(Dashboard!K$32="ALL","ON","-"))</f>
        <v>-</v>
      </c>
      <c r="C836" s="88" t="s">
        <v>152</v>
      </c>
      <c r="D836" s="89">
        <f>IF(C836="ID",1,(IF(C836="PR",2,(IF(C836="DE",3,(IF(C836="RS",4,(IF(C836="RC",5,0)))))))))</f>
        <v>2</v>
      </c>
      <c r="E836" s="89" t="s">
        <v>153</v>
      </c>
      <c r="F836" s="89">
        <f>IF(E836="AM",1,(IF(E836="BE",2,(IF(E836="GV",3,(IF(E836="RA",4,(IF(E836="RM",5,(IF(E836="AC",1,(IF(E836="AT",2,(IF(E836="DS",3,(IF(E836="IP",4,(IF(E836="MA",5,(IF(E836="PT",6,(IF(E836="AE",1,(IF(E836="CM",2,(IF(E836="DP",3,(IF(E836="AN",1,(IF(E836="CO",2,(IF(E836="IM",3,(IF(E836="MI",4,(IF(E836="RP",5,(IF(E836="SC",6,0)))))))))))))))))))))))))))))))))))))))</f>
        <v>1</v>
      </c>
      <c r="G836" s="52">
        <v>1</v>
      </c>
      <c r="H836" s="99">
        <v>1</v>
      </c>
      <c r="I836" s="93" t="s">
        <v>37</v>
      </c>
      <c r="J836" s="86">
        <v>5.8</v>
      </c>
      <c r="K836" s="102" t="s">
        <v>3695</v>
      </c>
      <c r="L836" s="117">
        <f>IF(O836="","",N836*O836*M836)</f>
        <v>0</v>
      </c>
      <c r="M836" s="108">
        <v>1</v>
      </c>
      <c r="N836" s="95">
        <v>1</v>
      </c>
      <c r="O836" s="109">
        <f>IF(Key!D$1="ON",P836,IF(SUM(Q836:DL836)&lt;1,"",SUM(Q836:DL836)/COUNTIF(Q836:DL836,"&gt;0")))</f>
        <v>0</v>
      </c>
      <c r="P836" s="109">
        <f>SUMIFS(Q836:DK836,Q$1:DK$1,Dashboard!$K$31)</f>
        <v>0</v>
      </c>
      <c r="U836" s="95">
        <v>33</v>
      </c>
      <c r="AA836" s="95">
        <v>25</v>
      </c>
      <c r="AH836" s="95">
        <v>75</v>
      </c>
    </row>
    <row r="837" spans="1:34" x14ac:dyDescent="0.3">
      <c r="A837" s="89" t="str">
        <f>CONCATENATE(D837,".",F837,"-",G837,".",H837,"")</f>
        <v>2.1-1.1</v>
      </c>
      <c r="B837" s="89" t="str">
        <f>IF(CONCATENATE(I837,Key!F$2)=CONCATENATE(INDEX(Dashboard!J:J,MATCH(I837,Dashboard!J:J,0),1),INDEX(Dashboard!J:K,MATCH(I837,Dashboard!J:J,0),2)),"ON",IF(Dashboard!K$32="ALL","ON","-"))</f>
        <v>-</v>
      </c>
      <c r="C837" s="88" t="s">
        <v>152</v>
      </c>
      <c r="D837" s="89">
        <f>IF(C837="ID",1,(IF(C837="PR",2,(IF(C837="DE",3,(IF(C837="RS",4,(IF(C837="RC",5,0)))))))))</f>
        <v>2</v>
      </c>
      <c r="E837" s="89" t="s">
        <v>153</v>
      </c>
      <c r="F837" s="89">
        <f>IF(E837="AM",1,(IF(E837="BE",2,(IF(E837="GV",3,(IF(E837="RA",4,(IF(E837="RM",5,(IF(E837="AC",1,(IF(E837="AT",2,(IF(E837="DS",3,(IF(E837="IP",4,(IF(E837="MA",5,(IF(E837="PT",6,(IF(E837="AE",1,(IF(E837="CM",2,(IF(E837="DP",3,(IF(E837="AN",1,(IF(E837="CO",2,(IF(E837="IM",3,(IF(E837="MI",4,(IF(E837="RP",5,(IF(E837="SC",6,0)))))))))))))))))))))))))))))))))))))))</f>
        <v>1</v>
      </c>
      <c r="G837" s="52">
        <v>1</v>
      </c>
      <c r="H837" s="99">
        <v>1</v>
      </c>
      <c r="I837" s="93" t="s">
        <v>37</v>
      </c>
      <c r="J837" s="86">
        <v>16.100000000000001</v>
      </c>
      <c r="K837" s="102" t="s">
        <v>3698</v>
      </c>
      <c r="L837" s="117">
        <f>IF(O837="","",N837*O837*M837)</f>
        <v>0</v>
      </c>
      <c r="M837" s="108">
        <v>1</v>
      </c>
      <c r="N837" s="95">
        <v>1</v>
      </c>
      <c r="O837" s="109">
        <f>IF(Key!D$1="ON",P837,IF(SUM(Q837:DL837)&lt;1,"",SUM(Q837:DL837)/COUNTIF(Q837:DL837,"&gt;0")))</f>
        <v>0</v>
      </c>
      <c r="P837" s="109">
        <f>SUMIFS(Q837:DK837,Q$1:DK$1,Dashboard!$K$31)</f>
        <v>0</v>
      </c>
      <c r="U837" s="95">
        <v>33</v>
      </c>
      <c r="AA837" s="95">
        <v>25</v>
      </c>
      <c r="AH837" s="95">
        <v>75</v>
      </c>
    </row>
    <row r="838" spans="1:34" x14ac:dyDescent="0.3">
      <c r="A838" s="89" t="str">
        <f>CONCATENATE(D838,".",F838,"-",G838,".",H838,"")</f>
        <v>2.1-1.1</v>
      </c>
      <c r="B838" s="89" t="str">
        <f>IF(CONCATENATE(I838,Key!F$2)=CONCATENATE(INDEX(Dashboard!J:J,MATCH(I838,Dashboard!J:J,0),1),INDEX(Dashboard!J:K,MATCH(I838,Dashboard!J:J,0),2)),"ON",IF(Dashboard!K$32="ALL","ON","-"))</f>
        <v>-</v>
      </c>
      <c r="C838" s="88" t="s">
        <v>152</v>
      </c>
      <c r="D838" s="89">
        <f>IF(C838="ID",1,(IF(C838="PR",2,(IF(C838="DE",3,(IF(C838="RS",4,(IF(C838="RC",5,0)))))))))</f>
        <v>2</v>
      </c>
      <c r="E838" s="89" t="s">
        <v>153</v>
      </c>
      <c r="F838" s="89">
        <f>IF(E838="AM",1,(IF(E838="BE",2,(IF(E838="GV",3,(IF(E838="RA",4,(IF(E838="RM",5,(IF(E838="AC",1,(IF(E838="AT",2,(IF(E838="DS",3,(IF(E838="IP",4,(IF(E838="MA",5,(IF(E838="PT",6,(IF(E838="AE",1,(IF(E838="CM",2,(IF(E838="DP",3,(IF(E838="AN",1,(IF(E838="CO",2,(IF(E838="IM",3,(IF(E838="MI",4,(IF(E838="RP",5,(IF(E838="SC",6,0)))))))))))))))))))))))))))))))))))))))</f>
        <v>1</v>
      </c>
      <c r="G838" s="52">
        <v>1</v>
      </c>
      <c r="H838" s="99">
        <v>1</v>
      </c>
      <c r="I838" s="93" t="s">
        <v>37</v>
      </c>
      <c r="J838" s="86">
        <v>16.14</v>
      </c>
      <c r="K838" s="102" t="s">
        <v>3699</v>
      </c>
      <c r="L838" s="117">
        <f>IF(O838="","",N838*O838*M838)</f>
        <v>0</v>
      </c>
      <c r="M838" s="108">
        <v>1</v>
      </c>
      <c r="N838" s="95">
        <v>1</v>
      </c>
      <c r="O838" s="109">
        <f>IF(Key!D$1="ON",P838,IF(SUM(Q838:DL838)&lt;1,"",SUM(Q838:DL838)/COUNTIF(Q838:DL838,"&gt;0")))</f>
        <v>0</v>
      </c>
      <c r="P838" s="109">
        <f>SUMIFS(Q838:DK838,Q$1:DK$1,Dashboard!$K$31)</f>
        <v>0</v>
      </c>
      <c r="U838" s="95">
        <v>33</v>
      </c>
      <c r="AA838" s="95">
        <v>25</v>
      </c>
      <c r="AH838" s="95">
        <v>75</v>
      </c>
    </row>
    <row r="839" spans="1:34" x14ac:dyDescent="0.3">
      <c r="A839" s="89" t="str">
        <f>CONCATENATE(D839,".",F839,"-",G839,".",H839,"")</f>
        <v>2.1-1.1</v>
      </c>
      <c r="B839" s="89" t="str">
        <f>IF(CONCATENATE(I839,Key!F$2)=CONCATENATE(INDEX(Dashboard!J:J,MATCH(I839,Dashboard!J:J,0),1),INDEX(Dashboard!J:K,MATCH(I839,Dashboard!J:J,0),2)),"ON",IF(Dashboard!K$32="ALL","ON","-"))</f>
        <v>-</v>
      </c>
      <c r="C839" s="88" t="s">
        <v>152</v>
      </c>
      <c r="D839" s="89">
        <f>IF(C839="ID",1,(IF(C839="PR",2,(IF(C839="DE",3,(IF(C839="RS",4,(IF(C839="RC",5,0)))))))))</f>
        <v>2</v>
      </c>
      <c r="E839" s="89" t="s">
        <v>153</v>
      </c>
      <c r="F839" s="89">
        <f>IF(E839="AM",1,(IF(E839="BE",2,(IF(E839="GV",3,(IF(E839="RA",4,(IF(E839="RM",5,(IF(E839="AC",1,(IF(E839="AT",2,(IF(E839="DS",3,(IF(E839="IP",4,(IF(E839="MA",5,(IF(E839="PT",6,(IF(E839="AE",1,(IF(E839="CM",2,(IF(E839="DP",3,(IF(E839="AN",1,(IF(E839="CO",2,(IF(E839="IM",3,(IF(E839="MI",4,(IF(E839="RP",5,(IF(E839="SC",6,0)))))))))))))))))))))))))))))))))))))))</f>
        <v>1</v>
      </c>
      <c r="G839" s="52">
        <v>1</v>
      </c>
      <c r="H839" s="99">
        <v>1</v>
      </c>
      <c r="I839" s="93" t="s">
        <v>37</v>
      </c>
      <c r="J839" s="86">
        <v>16.2</v>
      </c>
      <c r="K839" s="102" t="s">
        <v>3700</v>
      </c>
      <c r="L839" s="117">
        <f>IF(O839="","",N839*O839*M839)</f>
        <v>0</v>
      </c>
      <c r="M839" s="108">
        <v>1</v>
      </c>
      <c r="N839" s="95">
        <v>1</v>
      </c>
      <c r="O839" s="109">
        <f>IF(Key!D$1="ON",P839,IF(SUM(Q839:DL839)&lt;1,"",SUM(Q839:DL839)/COUNTIF(Q839:DL839,"&gt;0")))</f>
        <v>0</v>
      </c>
      <c r="P839" s="109">
        <f>SUMIFS(Q839:DK839,Q$1:DK$1,Dashboard!$K$31)</f>
        <v>0</v>
      </c>
      <c r="U839" s="95">
        <v>33</v>
      </c>
      <c r="AA839" s="95">
        <v>25</v>
      </c>
      <c r="AH839" s="95">
        <v>75</v>
      </c>
    </row>
    <row r="840" spans="1:34" x14ac:dyDescent="0.3">
      <c r="A840" s="89" t="str">
        <f>CONCATENATE(D840,".",F840,"-",G840,".",H840,"")</f>
        <v>2.1-1.1</v>
      </c>
      <c r="B840" s="89" t="str">
        <f>IF(CONCATENATE(I840,Key!F$2)=CONCATENATE(INDEX(Dashboard!J:J,MATCH(I840,Dashboard!J:J,0),1),INDEX(Dashboard!J:K,MATCH(I840,Dashboard!J:J,0),2)),"ON",IF(Dashboard!K$32="ALL","ON","-"))</f>
        <v>-</v>
      </c>
      <c r="C840" s="88" t="s">
        <v>152</v>
      </c>
      <c r="D840" s="89">
        <f>IF(C840="ID",1,(IF(C840="PR",2,(IF(C840="DE",3,(IF(C840="RS",4,(IF(C840="RC",5,0)))))))))</f>
        <v>2</v>
      </c>
      <c r="E840" s="89" t="s">
        <v>153</v>
      </c>
      <c r="F840" s="89">
        <f>IF(E840="AM",1,(IF(E840="BE",2,(IF(E840="GV",3,(IF(E840="RA",4,(IF(E840="RM",5,(IF(E840="AC",1,(IF(E840="AT",2,(IF(E840="DS",3,(IF(E840="IP",4,(IF(E840="MA",5,(IF(E840="PT",6,(IF(E840="AE",1,(IF(E840="CM",2,(IF(E840="DP",3,(IF(E840="AN",1,(IF(E840="CO",2,(IF(E840="IM",3,(IF(E840="MI",4,(IF(E840="RP",5,(IF(E840="SC",6,0)))))))))))))))))))))))))))))))))))))))</f>
        <v>1</v>
      </c>
      <c r="G840" s="52">
        <v>1</v>
      </c>
      <c r="H840" s="99">
        <v>1</v>
      </c>
      <c r="I840" s="93" t="s">
        <v>37</v>
      </c>
      <c r="J840" s="86">
        <v>16.399999999999999</v>
      </c>
      <c r="K840" s="102" t="s">
        <v>3702</v>
      </c>
      <c r="L840" s="117">
        <f>IF(O840="","",N840*O840*M840)</f>
        <v>0</v>
      </c>
      <c r="M840" s="108">
        <v>1</v>
      </c>
      <c r="N840" s="95">
        <v>1</v>
      </c>
      <c r="O840" s="109">
        <f>IF(Key!D$1="ON",P840,IF(SUM(Q840:DL840)&lt;1,"",SUM(Q840:DL840)/COUNTIF(Q840:DL840,"&gt;0")))</f>
        <v>0</v>
      </c>
      <c r="P840" s="109">
        <f>SUMIFS(Q840:DK840,Q$1:DK$1,Dashboard!$K$31)</f>
        <v>0</v>
      </c>
      <c r="U840" s="95">
        <v>33</v>
      </c>
      <c r="AA840" s="95">
        <v>25</v>
      </c>
      <c r="AH840" s="95">
        <v>75</v>
      </c>
    </row>
    <row r="841" spans="1:34" x14ac:dyDescent="0.3">
      <c r="A841" s="89" t="str">
        <f>CONCATENATE(D841,".",F841,"-",G841,".",H841,"")</f>
        <v>2.1-1.1</v>
      </c>
      <c r="B841" s="89" t="str">
        <f>IF(CONCATENATE(I841,Key!F$2)=CONCATENATE(INDEX(Dashboard!J:J,MATCH(I841,Dashboard!J:J,0),1),INDEX(Dashboard!J:K,MATCH(I841,Dashboard!J:J,0),2)),"ON",IF(Dashboard!K$32="ALL","ON","-"))</f>
        <v>-</v>
      </c>
      <c r="C841" s="88" t="s">
        <v>152</v>
      </c>
      <c r="D841" s="89">
        <f>IF(C841="ID",1,(IF(C841="PR",2,(IF(C841="DE",3,(IF(C841="RS",4,(IF(C841="RC",5,0)))))))))</f>
        <v>2</v>
      </c>
      <c r="E841" s="89" t="s">
        <v>153</v>
      </c>
      <c r="F841" s="89">
        <f>IF(E841="AM",1,(IF(E841="BE",2,(IF(E841="GV",3,(IF(E841="RA",4,(IF(E841="RM",5,(IF(E841="AC",1,(IF(E841="AT",2,(IF(E841="DS",3,(IF(E841="IP",4,(IF(E841="MA",5,(IF(E841="PT",6,(IF(E841="AE",1,(IF(E841="CM",2,(IF(E841="DP",3,(IF(E841="AN",1,(IF(E841="CO",2,(IF(E841="IM",3,(IF(E841="MI",4,(IF(E841="RP",5,(IF(E841="SC",6,0)))))))))))))))))))))))))))))))))))))))</f>
        <v>1</v>
      </c>
      <c r="G841" s="52">
        <v>1</v>
      </c>
      <c r="H841" s="99">
        <v>1</v>
      </c>
      <c r="I841" s="93" t="s">
        <v>37</v>
      </c>
      <c r="J841" s="86">
        <v>16.7</v>
      </c>
      <c r="K841" s="102" t="s">
        <v>3703</v>
      </c>
      <c r="L841" s="117">
        <f>IF(O841="","",N841*O841*M841)</f>
        <v>0</v>
      </c>
      <c r="M841" s="108">
        <v>1</v>
      </c>
      <c r="N841" s="95">
        <v>1</v>
      </c>
      <c r="O841" s="109">
        <f>IF(Key!D$1="ON",P841,IF(SUM(Q841:DL841)&lt;1,"",SUM(Q841:DL841)/COUNTIF(Q841:DL841,"&gt;0")))</f>
        <v>0</v>
      </c>
      <c r="P841" s="109">
        <f>SUMIFS(Q841:DK841,Q$1:DK$1,Dashboard!$K$31)</f>
        <v>0</v>
      </c>
      <c r="U841" s="95">
        <v>33</v>
      </c>
      <c r="AA841" s="95">
        <v>25</v>
      </c>
      <c r="AH841" s="95">
        <v>75</v>
      </c>
    </row>
    <row r="842" spans="1:34" x14ac:dyDescent="0.3">
      <c r="A842" s="89" t="str">
        <f>CONCATENATE(D842,".",F842,"-",G842,".",H842,"")</f>
        <v>2.1-1.1</v>
      </c>
      <c r="B842" s="89" t="str">
        <f>IF(CONCATENATE(I842,Key!F$2)=CONCATENATE(INDEX(Dashboard!J:J,MATCH(I842,Dashboard!J:J,0),1),INDEX(Dashboard!J:K,MATCH(I842,Dashboard!J:J,0),2)),"ON",IF(Dashboard!K$32="ALL","ON","-"))</f>
        <v>-</v>
      </c>
      <c r="C842" s="96" t="s">
        <v>152</v>
      </c>
      <c r="D842" s="89">
        <f>IF(C842="ID",1,(IF(C842="PR",2,(IF(C842="DE",3,(IF(C842="RS",4,(IF(C842="RC",5,0)))))))))</f>
        <v>2</v>
      </c>
      <c r="E842" s="131" t="s">
        <v>153</v>
      </c>
      <c r="F842" s="89">
        <f>IF(E842="AM",1,(IF(E842="BE",2,(IF(E842="GV",3,(IF(E842="RA",4,(IF(E842="RM",5,(IF(E842="AC",1,(IF(E842="AT",2,(IF(E842="DS",3,(IF(E842="IP",4,(IF(E842="MA",5,(IF(E842="PT",6,(IF(E842="AE",1,(IF(E842="CM",2,(IF(E842="DP",3,(IF(E842="AN",1,(IF(E842="CO",2,(IF(E842="IM",3,(IF(E842="MI",4,(IF(E842="RP",5,(IF(E842="SC",6,0)))))))))))))))))))))))))))))))))))))))</f>
        <v>1</v>
      </c>
      <c r="G842" s="98">
        <v>1</v>
      </c>
      <c r="H842" s="99">
        <v>1</v>
      </c>
      <c r="I842" s="93" t="s">
        <v>41</v>
      </c>
      <c r="J842" s="86">
        <v>14</v>
      </c>
      <c r="K842" s="103" t="s">
        <v>3562</v>
      </c>
      <c r="L842" s="117">
        <f>IF(O842="","",N842*O842*M842)</f>
        <v>0</v>
      </c>
      <c r="M842" s="108">
        <v>1</v>
      </c>
      <c r="N842" s="95">
        <v>1</v>
      </c>
      <c r="O842" s="109">
        <f>IF(Key!D$1="ON",P842,IF(SUM(Q842:DL842)&lt;1,"",SUM(Q842:DL842)/COUNTIF(Q842:DL842,"&gt;0")))</f>
        <v>0</v>
      </c>
      <c r="P842" s="109">
        <f>SUMIFS(Q842:DK842,Q$1:DK$1,Dashboard!$K$31)</f>
        <v>0</v>
      </c>
      <c r="U842" s="95">
        <v>33</v>
      </c>
    </row>
    <row r="843" spans="1:34" ht="15.6" x14ac:dyDescent="0.3">
      <c r="A843" s="89" t="str">
        <f>CONCATENATE(D843,".",F843,"-",G843,".",H843,"")</f>
        <v>2.1-1.1</v>
      </c>
      <c r="B843" s="89" t="str">
        <f>IF(CONCATENATE(I843,Key!F$2)=CONCATENATE(INDEX(Dashboard!J:J,MATCH(I843,Dashboard!J:J,0),1),INDEX(Dashboard!J:K,MATCH(I843,Dashboard!J:J,0),2)),"ON",IF(Dashboard!K$32="ALL","ON","-"))</f>
        <v>-</v>
      </c>
      <c r="C843" s="96" t="s">
        <v>152</v>
      </c>
      <c r="D843" s="89">
        <f>IF(C843="ID",1,(IF(C843="PR",2,(IF(C843="DE",3,(IF(C843="RS",4,(IF(C843="RC",5,0)))))))))</f>
        <v>2</v>
      </c>
      <c r="E843" s="131" t="s">
        <v>153</v>
      </c>
      <c r="F843" s="89">
        <f>IF(E843="AM",1,(IF(E843="BE",2,(IF(E843="GV",3,(IF(E843="RA",4,(IF(E843="RM",5,(IF(E843="AC",1,(IF(E843="AT",2,(IF(E843="DS",3,(IF(E843="IP",4,(IF(E843="MA",5,(IF(E843="PT",6,(IF(E843="AE",1,(IF(E843="CM",2,(IF(E843="DP",3,(IF(E843="AN",1,(IF(E843="CO",2,(IF(E843="IM",3,(IF(E843="MI",4,(IF(E843="RP",5,(IF(E843="SC",6,0)))))))))))))))))))))))))))))))))))))))</f>
        <v>1</v>
      </c>
      <c r="G843" s="98">
        <v>1</v>
      </c>
      <c r="H843" s="99">
        <v>1</v>
      </c>
      <c r="I843" s="93" t="s">
        <v>41</v>
      </c>
      <c r="J843" s="86">
        <v>16</v>
      </c>
      <c r="K843" s="103" t="s">
        <v>3582</v>
      </c>
      <c r="L843" s="117">
        <f>IF(O843="","",N843*O843*M843)</f>
        <v>0</v>
      </c>
      <c r="M843" s="108">
        <v>1</v>
      </c>
      <c r="N843" s="95">
        <v>1</v>
      </c>
      <c r="O843" s="109">
        <f>IF(Key!D$1="ON",P843,IF(SUM(Q843:DL843)&lt;1,"",SUM(Q843:DL843)/COUNTIF(Q843:DL843,"&gt;0")))</f>
        <v>0</v>
      </c>
      <c r="P843" s="109">
        <f>SUMIFS(Q843:DK843,Q$1:DK$1,Dashboard!$K$31)</f>
        <v>0</v>
      </c>
      <c r="U843" s="95">
        <v>33</v>
      </c>
    </row>
    <row r="844" spans="1:34" x14ac:dyDescent="0.3">
      <c r="A844" s="89" t="str">
        <f>CONCATENATE(D844,".",F844,"-",G844,".",H844,"")</f>
        <v>2.1-1.1</v>
      </c>
      <c r="B844" s="89" t="str">
        <f>IF(CONCATENATE(I844,Key!F$2)=CONCATENATE(INDEX(Dashboard!J:J,MATCH(I844,Dashboard!J:J,0),1),INDEX(Dashboard!J:K,MATCH(I844,Dashboard!J:J,0),2)),"ON",IF(Dashboard!K$32="ALL","ON","-"))</f>
        <v>-</v>
      </c>
      <c r="C844" s="88" t="s">
        <v>152</v>
      </c>
      <c r="D844" s="89">
        <f>IF(C844="ID",1,(IF(C844="PR",2,(IF(C844="DE",3,(IF(C844="RS",4,(IF(C844="RC",5,0)))))))))</f>
        <v>2</v>
      </c>
      <c r="E844" s="89" t="s">
        <v>153</v>
      </c>
      <c r="F844" s="89">
        <f>IF(E844="AM",1,(IF(E844="BE",2,(IF(E844="GV",3,(IF(E844="RA",4,(IF(E844="RM",5,(IF(E844="AC",1,(IF(E844="AT",2,(IF(E844="DS",3,(IF(E844="IP",4,(IF(E844="MA",5,(IF(E844="PT",6,(IF(E844="AE",1,(IF(E844="CM",2,(IF(E844="DP",3,(IF(E844="AN",1,(IF(E844="CO",2,(IF(E844="IM",3,(IF(E844="MI",4,(IF(E844="RP",5,(IF(E844="SC",6,0)))))))))))))))))))))))))))))))))))))))</f>
        <v>1</v>
      </c>
      <c r="G844" s="52">
        <v>1</v>
      </c>
      <c r="H844" s="99">
        <v>1</v>
      </c>
      <c r="I844" s="93" t="s">
        <v>41</v>
      </c>
      <c r="J844" s="86">
        <v>16.7</v>
      </c>
      <c r="K844" s="103" t="s">
        <v>3592</v>
      </c>
      <c r="L844" s="117">
        <f>IF(O844="","",N844*O844*M844)</f>
        <v>0</v>
      </c>
      <c r="M844" s="108">
        <v>1</v>
      </c>
      <c r="N844" s="95">
        <v>1</v>
      </c>
      <c r="O844" s="109">
        <f>IF(Key!D$1="ON",P844,IF(SUM(Q844:DL844)&lt;1,"",SUM(Q844:DL844)/COUNTIF(Q844:DL844,"&gt;0")))</f>
        <v>0</v>
      </c>
      <c r="P844" s="109">
        <f>SUMIFS(Q844:DK844,Q$1:DK$1,Dashboard!$K$31)</f>
        <v>0</v>
      </c>
      <c r="U844" s="95">
        <v>33</v>
      </c>
    </row>
    <row r="845" spans="1:34" x14ac:dyDescent="0.3">
      <c r="A845" s="89" t="str">
        <f>CONCATENATE(D845,".",F845,"-",G845,".",H845,"")</f>
        <v>2.1-1.1</v>
      </c>
      <c r="B845" s="89" t="str">
        <f>IF(CONCATENATE(I845,Key!F$2)=CONCATENATE(INDEX(Dashboard!J:J,MATCH(I845,Dashboard!J:J,0),1),INDEX(Dashboard!J:K,MATCH(I845,Dashboard!J:J,0),2)),"ON",IF(Dashboard!K$32="ALL","ON","-"))</f>
        <v>-</v>
      </c>
      <c r="C845" s="96" t="s">
        <v>152</v>
      </c>
      <c r="D845" s="89">
        <f>IF(C845="ID",1,(IF(C845="PR",2,(IF(C845="DE",3,(IF(C845="RS",4,(IF(C845="RC",5,0)))))))))</f>
        <v>2</v>
      </c>
      <c r="E845" s="89" t="s">
        <v>153</v>
      </c>
      <c r="F845" s="89">
        <f>IF(E845="AM",1,(IF(E845="BE",2,(IF(E845="GV",3,(IF(E845="RA",4,(IF(E845="RM",5,(IF(E845="AC",1,(IF(E845="AT",2,(IF(E845="DS",3,(IF(E845="IP",4,(IF(E845="MA",5,(IF(E845="PT",6,(IF(E845="AE",1,(IF(E845="CM",2,(IF(E845="DP",3,(IF(E845="AN",1,(IF(E845="CO",2,(IF(E845="IM",3,(IF(E845="MI",4,(IF(E845="RP",5,(IF(E845="SC",6,0)))))))))))))))))))))))))))))))))))))))</f>
        <v>1</v>
      </c>
      <c r="G845" s="98">
        <v>1</v>
      </c>
      <c r="H845" s="90" t="s">
        <v>115</v>
      </c>
      <c r="I845" s="93" t="s">
        <v>52</v>
      </c>
      <c r="J845" s="88" t="s">
        <v>3359</v>
      </c>
      <c r="K845" s="103" t="s">
        <v>3360</v>
      </c>
      <c r="L845" s="117">
        <f>IF(O845="","",N845*O845*M845)</f>
        <v>0</v>
      </c>
      <c r="M845" s="108">
        <v>1</v>
      </c>
      <c r="N845" s="95">
        <v>1</v>
      </c>
      <c r="O845" s="109">
        <f>IF(Key!D$1="ON",P845,IF(SUM(Q845:DL845)&lt;1,"",SUM(Q845:DL845)/COUNTIF(Q845:DL845,"&gt;0")))</f>
        <v>0</v>
      </c>
      <c r="P845" s="109">
        <f>SUMIFS(Q845:DK845,Q$1:DK$1,Dashboard!$K$31)</f>
        <v>0</v>
      </c>
      <c r="U845" s="95">
        <v>33</v>
      </c>
      <c r="AA845" s="95">
        <v>25</v>
      </c>
      <c r="AH845" s="95">
        <v>75</v>
      </c>
    </row>
    <row r="846" spans="1:34" ht="15.6" x14ac:dyDescent="0.3">
      <c r="A846" s="89" t="str">
        <f>CONCATENATE(D846,".",F846,"-",G846,".",H846,"")</f>
        <v>2.1-1.1</v>
      </c>
      <c r="B846" s="89" t="str">
        <f>IF(CONCATENATE(I846,Key!F$2)=CONCATENATE(INDEX(Dashboard!J:J,MATCH(I846,Dashboard!J:J,0),1),INDEX(Dashboard!J:K,MATCH(I846,Dashboard!J:J,0),2)),"ON",IF(Dashboard!K$32="ALL","ON","-"))</f>
        <v>-</v>
      </c>
      <c r="C846" s="96" t="s">
        <v>152</v>
      </c>
      <c r="D846" s="89">
        <f>IF(C846="ID",1,(IF(C846="PR",2,(IF(C846="DE",3,(IF(C846="RS",4,(IF(C846="RC",5,0)))))))))</f>
        <v>2</v>
      </c>
      <c r="E846" s="89" t="s">
        <v>153</v>
      </c>
      <c r="F846" s="89">
        <f>IF(E846="AM",1,(IF(E846="BE",2,(IF(E846="GV",3,(IF(E846="RA",4,(IF(E846="RM",5,(IF(E846="AC",1,(IF(E846="AT",2,(IF(E846="DS",3,(IF(E846="IP",4,(IF(E846="MA",5,(IF(E846="PT",6,(IF(E846="AE",1,(IF(E846="CM",2,(IF(E846="DP",3,(IF(E846="AN",1,(IF(E846="CO",2,(IF(E846="IM",3,(IF(E846="MI",4,(IF(E846="RP",5,(IF(E846="SC",6,0)))))))))))))))))))))))))))))))))))))))</f>
        <v>1</v>
      </c>
      <c r="G846" s="98">
        <v>1</v>
      </c>
      <c r="H846" s="90" t="s">
        <v>115</v>
      </c>
      <c r="I846" s="93" t="s">
        <v>52</v>
      </c>
      <c r="J846" s="88" t="s">
        <v>3361</v>
      </c>
      <c r="K846" s="103" t="s">
        <v>3362</v>
      </c>
      <c r="L846" s="117">
        <f>IF(O846="","",N846*O846*M846)</f>
        <v>0</v>
      </c>
      <c r="M846" s="108">
        <v>1</v>
      </c>
      <c r="N846" s="95">
        <v>1</v>
      </c>
      <c r="O846" s="109">
        <f>IF(Key!D$1="ON",P846,IF(SUM(Q846:DL846)&lt;1,"",SUM(Q846:DL846)/COUNTIF(Q846:DL846,"&gt;0")))</f>
        <v>0</v>
      </c>
      <c r="P846" s="109">
        <f>SUMIFS(Q846:DK846,Q$1:DK$1,Dashboard!$K$31)</f>
        <v>0</v>
      </c>
      <c r="U846" s="95">
        <v>33</v>
      </c>
      <c r="AA846" s="95">
        <v>25</v>
      </c>
      <c r="AH846" s="95">
        <v>75</v>
      </c>
    </row>
    <row r="847" spans="1:34" x14ac:dyDescent="0.3">
      <c r="A847" s="89" t="str">
        <f>CONCATENATE(D847,".",F847,"-",G847,".",H847,"")</f>
        <v>2.1-1.1</v>
      </c>
      <c r="B847" s="89" t="str">
        <f>IF(CONCATENATE(I847,Key!F$2)=CONCATENATE(INDEX(Dashboard!J:J,MATCH(I847,Dashboard!J:J,0),1),INDEX(Dashboard!J:K,MATCH(I847,Dashboard!J:J,0),2)),"ON",IF(Dashboard!K$32="ALL","ON","-"))</f>
        <v>-</v>
      </c>
      <c r="C847" s="96" t="s">
        <v>152</v>
      </c>
      <c r="D847" s="89">
        <f>IF(C847="ID",1,(IF(C847="PR",2,(IF(C847="DE",3,(IF(C847="RS",4,(IF(C847="RC",5,0)))))))))</f>
        <v>2</v>
      </c>
      <c r="E847" s="89" t="s">
        <v>153</v>
      </c>
      <c r="F847" s="89">
        <f>IF(E847="AM",1,(IF(E847="BE",2,(IF(E847="GV",3,(IF(E847="RA",4,(IF(E847="RM",5,(IF(E847="AC",1,(IF(E847="AT",2,(IF(E847="DS",3,(IF(E847="IP",4,(IF(E847="MA",5,(IF(E847="PT",6,(IF(E847="AE",1,(IF(E847="CM",2,(IF(E847="DP",3,(IF(E847="AN",1,(IF(E847="CO",2,(IF(E847="IM",3,(IF(E847="MI",4,(IF(E847="RP",5,(IF(E847="SC",6,0)))))))))))))))))))))))))))))))))))))))</f>
        <v>1</v>
      </c>
      <c r="G847" s="98">
        <v>1</v>
      </c>
      <c r="H847" s="90" t="s">
        <v>115</v>
      </c>
      <c r="I847" s="93" t="s">
        <v>52</v>
      </c>
      <c r="J847" s="88" t="s">
        <v>3311</v>
      </c>
      <c r="K847" s="103" t="s">
        <v>3312</v>
      </c>
      <c r="L847" s="117">
        <f>IF(O847="","",N847*O847*M847)</f>
        <v>0</v>
      </c>
      <c r="M847" s="108">
        <v>1</v>
      </c>
      <c r="N847" s="95">
        <v>1</v>
      </c>
      <c r="O847" s="109">
        <f>IF(Key!D$1="ON",P847,IF(SUM(Q847:DL847)&lt;1,"",SUM(Q847:DL847)/COUNTIF(Q847:DL847,"&gt;0")))</f>
        <v>0</v>
      </c>
      <c r="P847" s="109">
        <f>SUMIFS(Q847:DK847,Q$1:DK$1,Dashboard!$K$31)</f>
        <v>0</v>
      </c>
      <c r="U847" s="95">
        <v>33</v>
      </c>
      <c r="AA847" s="95">
        <v>25</v>
      </c>
      <c r="AH847" s="95">
        <v>75</v>
      </c>
    </row>
    <row r="848" spans="1:34" x14ac:dyDescent="0.3">
      <c r="A848" s="89" t="str">
        <f>CONCATENATE(D848,".",F848,"-",G848,".",H848,"")</f>
        <v>2.1-1.1</v>
      </c>
      <c r="B848" s="89" t="str">
        <f>IF(CONCATENATE(I848,Key!F$2)=CONCATENATE(INDEX(Dashboard!J:J,MATCH(I848,Dashboard!J:J,0),1),INDEX(Dashboard!J:K,MATCH(I848,Dashboard!J:J,0),2)),"ON",IF(Dashboard!K$32="ALL","ON","-"))</f>
        <v>-</v>
      </c>
      <c r="C848" s="96" t="s">
        <v>152</v>
      </c>
      <c r="D848" s="89">
        <f>IF(C848="ID",1,(IF(C848="PR",2,(IF(C848="DE",3,(IF(C848="RS",4,(IF(C848="RC",5,0)))))))))</f>
        <v>2</v>
      </c>
      <c r="E848" s="89" t="s">
        <v>153</v>
      </c>
      <c r="F848" s="89">
        <f>IF(E848="AM",1,(IF(E848="BE",2,(IF(E848="GV",3,(IF(E848="RA",4,(IF(E848="RM",5,(IF(E848="AC",1,(IF(E848="AT",2,(IF(E848="DS",3,(IF(E848="IP",4,(IF(E848="MA",5,(IF(E848="PT",6,(IF(E848="AE",1,(IF(E848="CM",2,(IF(E848="DP",3,(IF(E848="AN",1,(IF(E848="CO",2,(IF(E848="IM",3,(IF(E848="MI",4,(IF(E848="RP",5,(IF(E848="SC",6,0)))))))))))))))))))))))))))))))))))))))</f>
        <v>1</v>
      </c>
      <c r="G848" s="98">
        <v>1</v>
      </c>
      <c r="H848" s="90" t="s">
        <v>115</v>
      </c>
      <c r="I848" s="93" t="s">
        <v>52</v>
      </c>
      <c r="J848" s="88" t="s">
        <v>3363</v>
      </c>
      <c r="K848" s="103" t="s">
        <v>3364</v>
      </c>
      <c r="L848" s="117">
        <f>IF(O848="","",N848*O848*M848)</f>
        <v>0</v>
      </c>
      <c r="M848" s="108">
        <v>1</v>
      </c>
      <c r="N848" s="95">
        <v>1</v>
      </c>
      <c r="O848" s="109">
        <f>IF(Key!D$1="ON",P848,IF(SUM(Q848:DL848)&lt;1,"",SUM(Q848:DL848)/COUNTIF(Q848:DL848,"&gt;0")))</f>
        <v>0</v>
      </c>
      <c r="P848" s="109">
        <f>SUMIFS(Q848:DK848,Q$1:DK$1,Dashboard!$K$31)</f>
        <v>0</v>
      </c>
      <c r="U848" s="95">
        <v>33</v>
      </c>
      <c r="AA848" s="95">
        <v>25</v>
      </c>
      <c r="AH848" s="95">
        <v>75</v>
      </c>
    </row>
    <row r="849" spans="1:34" x14ac:dyDescent="0.3">
      <c r="A849" s="89" t="str">
        <f>CONCATENATE(D849,".",F849,"-",G849,".",H849,"")</f>
        <v>2.1-1.1</v>
      </c>
      <c r="B849" s="89" t="str">
        <f>IF(CONCATENATE(I849,Key!F$2)=CONCATENATE(INDEX(Dashboard!J:J,MATCH(I849,Dashboard!J:J,0),1),INDEX(Dashboard!J:K,MATCH(I849,Dashboard!J:J,0),2)),"ON",IF(Dashboard!K$32="ALL","ON","-"))</f>
        <v>-</v>
      </c>
      <c r="C849" s="88" t="s">
        <v>152</v>
      </c>
      <c r="D849" s="89">
        <f>IF(C849="ID",1,(IF(C849="PR",2,(IF(C849="DE",3,(IF(C849="RS",4,(IF(C849="RC",5,0)))))))))</f>
        <v>2</v>
      </c>
      <c r="E849" s="89" t="s">
        <v>153</v>
      </c>
      <c r="F849" s="89">
        <f>IF(E849="AM",1,(IF(E849="BE",2,(IF(E849="GV",3,(IF(E849="RA",4,(IF(E849="RM",5,(IF(E849="AC",1,(IF(E849="AT",2,(IF(E849="DS",3,(IF(E849="IP",4,(IF(E849="MA",5,(IF(E849="PT",6,(IF(E849="AE",1,(IF(E849="CM",2,(IF(E849="DP",3,(IF(E849="AN",1,(IF(E849="CO",2,(IF(E849="IM",3,(IF(E849="MI",4,(IF(E849="RP",5,(IF(E849="SC",6,0)))))))))))))))))))))))))))))))))))))))</f>
        <v>1</v>
      </c>
      <c r="G849" s="52">
        <v>1</v>
      </c>
      <c r="H849" s="89">
        <v>1</v>
      </c>
      <c r="I849" s="93" t="s">
        <v>60</v>
      </c>
      <c r="J849" s="88" t="s">
        <v>3166</v>
      </c>
      <c r="K849" s="51" t="s">
        <v>5279</v>
      </c>
      <c r="L849" s="117">
        <f>IF(O849="","",N849*O849*M849)</f>
        <v>0</v>
      </c>
      <c r="M849" s="108">
        <v>1</v>
      </c>
      <c r="N849" s="95">
        <v>1</v>
      </c>
      <c r="O849" s="109">
        <f>IF(Key!D$1="ON",P849,IF(SUM(Q849:DL849)&lt;1,"",SUM(Q849:DL849)/COUNTIF(Q849:DL849,"&gt;0")))</f>
        <v>0</v>
      </c>
      <c r="P849" s="109">
        <f>SUMIFS(Q849:DK849,Q$1:DK$1,Dashboard!$K$31)</f>
        <v>0</v>
      </c>
      <c r="U849" s="95">
        <v>33</v>
      </c>
      <c r="AA849" s="95">
        <v>25</v>
      </c>
      <c r="AH849" s="95">
        <v>75</v>
      </c>
    </row>
    <row r="850" spans="1:34" x14ac:dyDescent="0.3">
      <c r="A850" s="89" t="str">
        <f>CONCATENATE(D850,".",F850,"-",G850,".",H850,"")</f>
        <v>2.1-1.1</v>
      </c>
      <c r="B850" s="89" t="str">
        <f>IF(CONCATENATE(I850,Key!F$2)=CONCATENATE(INDEX(Dashboard!J:J,MATCH(I850,Dashboard!J:J,0),1),INDEX(Dashboard!J:K,MATCH(I850,Dashboard!J:J,0),2)),"ON",IF(Dashboard!K$32="ALL","ON","-"))</f>
        <v>-</v>
      </c>
      <c r="C850" s="88" t="s">
        <v>152</v>
      </c>
      <c r="D850" s="89">
        <f>IF(C850="ID",1,(IF(C850="PR",2,(IF(C850="DE",3,(IF(C850="RS",4,(IF(C850="RC",5,0)))))))))</f>
        <v>2</v>
      </c>
      <c r="E850" s="89" t="s">
        <v>153</v>
      </c>
      <c r="F850" s="89">
        <f>IF(E850="AM",1,(IF(E850="BE",2,(IF(E850="GV",3,(IF(E850="RA",4,(IF(E850="RM",5,(IF(E850="AC",1,(IF(E850="AT",2,(IF(E850="DS",3,(IF(E850="IP",4,(IF(E850="MA",5,(IF(E850="PT",6,(IF(E850="AE",1,(IF(E850="CM",2,(IF(E850="DP",3,(IF(E850="AN",1,(IF(E850="CO",2,(IF(E850="IM",3,(IF(E850="MI",4,(IF(E850="RP",5,(IF(E850="SC",6,0)))))))))))))))))))))))))))))))))))))))</f>
        <v>1</v>
      </c>
      <c r="G850" s="52">
        <v>1</v>
      </c>
      <c r="H850" s="90" t="s">
        <v>115</v>
      </c>
      <c r="I850" s="93" t="s">
        <v>60</v>
      </c>
      <c r="J850" s="87" t="s">
        <v>3167</v>
      </c>
      <c r="K850" s="51" t="s">
        <v>5280</v>
      </c>
      <c r="L850" s="117">
        <f>IF(O850="","",N850*O850*M850)</f>
        <v>0</v>
      </c>
      <c r="M850" s="108">
        <v>1</v>
      </c>
      <c r="N850" s="95">
        <v>1</v>
      </c>
      <c r="O850" s="109">
        <f>IF(Key!D$1="ON",P850,IF(SUM(Q850:DL850)&lt;1,"",SUM(Q850:DL850)/COUNTIF(Q850:DL850,"&gt;0")))</f>
        <v>0</v>
      </c>
      <c r="P850" s="109">
        <f>SUMIFS(Q850:DK850,Q$1:DK$1,Dashboard!$K$31)</f>
        <v>0</v>
      </c>
      <c r="U850" s="95">
        <v>33</v>
      </c>
      <c r="AA850" s="95">
        <v>25</v>
      </c>
      <c r="AH850" s="95">
        <v>75</v>
      </c>
    </row>
    <row r="851" spans="1:34" x14ac:dyDescent="0.3">
      <c r="A851" s="89" t="str">
        <f>CONCATENATE(D851,".",F851,"-",G851,".",H851,"")</f>
        <v>2.1-1.1</v>
      </c>
      <c r="B851" s="89" t="str">
        <f>IF(CONCATENATE(I851,Key!F$2)=CONCATENATE(INDEX(Dashboard!J:J,MATCH(I851,Dashboard!J:J,0),1),INDEX(Dashboard!J:K,MATCH(I851,Dashboard!J:J,0),2)),"ON",IF(Dashboard!K$32="ALL","ON","-"))</f>
        <v>-</v>
      </c>
      <c r="C851" s="88" t="s">
        <v>152</v>
      </c>
      <c r="D851" s="89">
        <f>IF(C851="ID",1,(IF(C851="PR",2,(IF(C851="DE",3,(IF(C851="RS",4,(IF(C851="RC",5,0)))))))))</f>
        <v>2</v>
      </c>
      <c r="E851" s="89" t="s">
        <v>153</v>
      </c>
      <c r="F851" s="89">
        <f>IF(E851="AM",1,(IF(E851="BE",2,(IF(E851="GV",3,(IF(E851="RA",4,(IF(E851="RM",5,(IF(E851="AC",1,(IF(E851="AT",2,(IF(E851="DS",3,(IF(E851="IP",4,(IF(E851="MA",5,(IF(E851="PT",6,(IF(E851="AE",1,(IF(E851="CM",2,(IF(E851="DP",3,(IF(E851="AN",1,(IF(E851="CO",2,(IF(E851="IM",3,(IF(E851="MI",4,(IF(E851="RP",5,(IF(E851="SC",6,0)))))))))))))))))))))))))))))))))))))))</f>
        <v>1</v>
      </c>
      <c r="G851" s="52">
        <v>1</v>
      </c>
      <c r="H851" s="90" t="s">
        <v>115</v>
      </c>
      <c r="I851" s="93" t="s">
        <v>60</v>
      </c>
      <c r="J851" s="87" t="s">
        <v>3168</v>
      </c>
      <c r="K851" s="51" t="s">
        <v>5281</v>
      </c>
      <c r="L851" s="117">
        <f>IF(O851="","",N851*O851*M851)</f>
        <v>0</v>
      </c>
      <c r="M851" s="108">
        <v>1</v>
      </c>
      <c r="N851" s="95">
        <v>1</v>
      </c>
      <c r="O851" s="109">
        <f>IF(Key!D$1="ON",P851,IF(SUM(Q851:DL851)&lt;1,"",SUM(Q851:DL851)/COUNTIF(Q851:DL851,"&gt;0")))</f>
        <v>0</v>
      </c>
      <c r="P851" s="109">
        <f>SUMIFS(Q851:DK851,Q$1:DK$1,Dashboard!$K$31)</f>
        <v>0</v>
      </c>
      <c r="U851" s="95">
        <v>33</v>
      </c>
      <c r="AA851" s="95">
        <v>25</v>
      </c>
      <c r="AH851" s="95">
        <v>75</v>
      </c>
    </row>
    <row r="852" spans="1:34" x14ac:dyDescent="0.3">
      <c r="A852" s="89" t="str">
        <f>CONCATENATE(D852,".",F852,"-",G852,".",H852,"")</f>
        <v>2.1-1.1</v>
      </c>
      <c r="B852" s="89" t="str">
        <f>IF(CONCATENATE(I852,Key!F$2)=CONCATENATE(INDEX(Dashboard!J:J,MATCH(I852,Dashboard!J:J,0),1),INDEX(Dashboard!J:K,MATCH(I852,Dashboard!J:J,0),2)),"ON",IF(Dashboard!K$32="ALL","ON","-"))</f>
        <v>-</v>
      </c>
      <c r="C852" s="88" t="s">
        <v>152</v>
      </c>
      <c r="D852" s="89">
        <f>IF(C852="ID",1,(IF(C852="PR",2,(IF(C852="DE",3,(IF(C852="RS",4,(IF(C852="RC",5,0)))))))))</f>
        <v>2</v>
      </c>
      <c r="E852" s="89" t="s">
        <v>153</v>
      </c>
      <c r="F852" s="89">
        <f>IF(E852="AM",1,(IF(E852="BE",2,(IF(E852="GV",3,(IF(E852="RA",4,(IF(E852="RM",5,(IF(E852="AC",1,(IF(E852="AT",2,(IF(E852="DS",3,(IF(E852="IP",4,(IF(E852="MA",5,(IF(E852="PT",6,(IF(E852="AE",1,(IF(E852="CM",2,(IF(E852="DP",3,(IF(E852="AN",1,(IF(E852="CO",2,(IF(E852="IM",3,(IF(E852="MI",4,(IF(E852="RP",5,(IF(E852="SC",6,0)))))))))))))))))))))))))))))))))))))))</f>
        <v>1</v>
      </c>
      <c r="G852" s="52">
        <v>1</v>
      </c>
      <c r="H852" s="90" t="s">
        <v>115</v>
      </c>
      <c r="I852" s="93" t="s">
        <v>64</v>
      </c>
      <c r="J852" s="87" t="s">
        <v>1118</v>
      </c>
      <c r="K852" s="102" t="s">
        <v>2154</v>
      </c>
      <c r="L852" s="117">
        <f>IF(O852="","",N852*O852*M852)</f>
        <v>0</v>
      </c>
      <c r="M852" s="108">
        <v>1</v>
      </c>
      <c r="N852" s="95">
        <v>1</v>
      </c>
      <c r="O852" s="109">
        <f>IF(Key!D$1="ON",P852,IF(SUM(Q852:DL852)&lt;1,"",SUM(Q852:DL852)/COUNTIF(Q852:DL852,"&gt;0")))</f>
        <v>0</v>
      </c>
      <c r="P852" s="109">
        <f>SUMIFS(Q852:DK852,Q$1:DK$1,Dashboard!$K$31)</f>
        <v>0</v>
      </c>
      <c r="U852" s="95">
        <v>33</v>
      </c>
      <c r="AA852" s="95">
        <v>25</v>
      </c>
      <c r="AH852" s="95">
        <v>75</v>
      </c>
    </row>
    <row r="853" spans="1:34" x14ac:dyDescent="0.3">
      <c r="A853" s="89" t="str">
        <f>CONCATENATE(D853,".",F853,"-",G853,".",H853,"")</f>
        <v>2.1-1.1</v>
      </c>
      <c r="B853" s="89" t="str">
        <f>IF(CONCATENATE(I853,Key!F$2)=CONCATENATE(INDEX(Dashboard!J:J,MATCH(I853,Dashboard!J:J,0),1),INDEX(Dashboard!J:K,MATCH(I853,Dashboard!J:J,0),2)),"ON",IF(Dashboard!K$32="ALL","ON","-"))</f>
        <v>-</v>
      </c>
      <c r="C853" s="88" t="s">
        <v>152</v>
      </c>
      <c r="D853" s="89">
        <f>IF(C853="ID",1,(IF(C853="PR",2,(IF(C853="DE",3,(IF(C853="RS",4,(IF(C853="RC",5,0)))))))))</f>
        <v>2</v>
      </c>
      <c r="E853" s="89" t="s">
        <v>153</v>
      </c>
      <c r="F853" s="89">
        <f>IF(E853="AM",1,(IF(E853="BE",2,(IF(E853="GV",3,(IF(E853="RA",4,(IF(E853="RM",5,(IF(E853="AC",1,(IF(E853="AT",2,(IF(E853="DS",3,(IF(E853="IP",4,(IF(E853="MA",5,(IF(E853="PT",6,(IF(E853="AE",1,(IF(E853="CM",2,(IF(E853="DP",3,(IF(E853="AN",1,(IF(E853="CO",2,(IF(E853="IM",3,(IF(E853="MI",4,(IF(E853="RP",5,(IF(E853="SC",6,0)))))))))))))))))))))))))))))))))))))))</f>
        <v>1</v>
      </c>
      <c r="G853" s="52">
        <v>1</v>
      </c>
      <c r="H853" s="90" t="s">
        <v>115</v>
      </c>
      <c r="I853" s="93" t="s">
        <v>64</v>
      </c>
      <c r="J853" s="86" t="s">
        <v>1119</v>
      </c>
      <c r="K853" s="103" t="s">
        <v>2155</v>
      </c>
      <c r="L853" s="117">
        <f>IF(O853="","",N853*O853*M853)</f>
        <v>0</v>
      </c>
      <c r="M853" s="108">
        <v>1</v>
      </c>
      <c r="N853" s="95">
        <v>1</v>
      </c>
      <c r="O853" s="109">
        <f>IF(Key!D$1="ON",P853,IF(SUM(Q853:DL853)&lt;1,"",SUM(Q853:DL853)/COUNTIF(Q853:DL853,"&gt;0")))</f>
        <v>0</v>
      </c>
      <c r="P853" s="109">
        <f>SUMIFS(Q853:DK853,Q$1:DK$1,Dashboard!$K$31)</f>
        <v>0</v>
      </c>
      <c r="U853" s="95">
        <v>33</v>
      </c>
      <c r="AA853" s="95">
        <v>25</v>
      </c>
      <c r="AH853" s="95">
        <v>75</v>
      </c>
    </row>
    <row r="854" spans="1:34" x14ac:dyDescent="0.3">
      <c r="A854" s="89" t="str">
        <f>CONCATENATE(D854,".",F854,"-",G854,".",H854,"")</f>
        <v>2.1-1.1</v>
      </c>
      <c r="B854" s="89" t="str">
        <f>IF(CONCATENATE(I854,Key!F$2)=CONCATENATE(INDEX(Dashboard!J:J,MATCH(I854,Dashboard!J:J,0),1),INDEX(Dashboard!J:K,MATCH(I854,Dashboard!J:J,0),2)),"ON",IF(Dashboard!K$32="ALL","ON","-"))</f>
        <v>-</v>
      </c>
      <c r="C854" s="88" t="s">
        <v>152</v>
      </c>
      <c r="D854" s="89">
        <f>IF(C854="ID",1,(IF(C854="PR",2,(IF(C854="DE",3,(IF(C854="RS",4,(IF(C854="RC",5,0)))))))))</f>
        <v>2</v>
      </c>
      <c r="E854" s="89" t="s">
        <v>153</v>
      </c>
      <c r="F854" s="89">
        <f>IF(E854="AM",1,(IF(E854="BE",2,(IF(E854="GV",3,(IF(E854="RA",4,(IF(E854="RM",5,(IF(E854="AC",1,(IF(E854="AT",2,(IF(E854="DS",3,(IF(E854="IP",4,(IF(E854="MA",5,(IF(E854="PT",6,(IF(E854="AE",1,(IF(E854="CM",2,(IF(E854="DP",3,(IF(E854="AN",1,(IF(E854="CO",2,(IF(E854="IM",3,(IF(E854="MI",4,(IF(E854="RP",5,(IF(E854="SC",6,0)))))))))))))))))))))))))))))))))))))))</f>
        <v>1</v>
      </c>
      <c r="G854" s="52">
        <v>1</v>
      </c>
      <c r="H854" s="90" t="s">
        <v>115</v>
      </c>
      <c r="I854" s="93" t="s">
        <v>64</v>
      </c>
      <c r="J854" s="87" t="s">
        <v>1191</v>
      </c>
      <c r="K854" s="102" t="s">
        <v>2219</v>
      </c>
      <c r="L854" s="117">
        <f>IF(O854="","",N854*O854*M854)</f>
        <v>0</v>
      </c>
      <c r="M854" s="108">
        <v>1</v>
      </c>
      <c r="N854" s="95">
        <v>1</v>
      </c>
      <c r="O854" s="109">
        <f>IF(Key!D$1="ON",P854,IF(SUM(Q854:DL854)&lt;1,"",SUM(Q854:DL854)/COUNTIF(Q854:DL854,"&gt;0")))</f>
        <v>0</v>
      </c>
      <c r="P854" s="109">
        <f>SUMIFS(Q854:DK854,Q$1:DK$1,Dashboard!$K$31)</f>
        <v>0</v>
      </c>
      <c r="U854" s="95">
        <v>33</v>
      </c>
      <c r="AA854" s="95">
        <v>25</v>
      </c>
      <c r="AH854" s="95">
        <v>75</v>
      </c>
    </row>
    <row r="855" spans="1:34" x14ac:dyDescent="0.3">
      <c r="A855" s="89" t="str">
        <f>CONCATENATE(D855,".",F855,"-",G855,".",H855,"")</f>
        <v>2.1-1.1</v>
      </c>
      <c r="B855" s="89" t="str">
        <f>IF(CONCATENATE(I855,Key!F$2)=CONCATENATE(INDEX(Dashboard!J:J,MATCH(I855,Dashboard!J:J,0),1),INDEX(Dashboard!J:K,MATCH(I855,Dashboard!J:J,0),2)),"ON",IF(Dashboard!K$32="ALL","ON","-"))</f>
        <v>-</v>
      </c>
      <c r="C855" s="88" t="s">
        <v>152</v>
      </c>
      <c r="D855" s="89">
        <f>IF(C855="ID",1,(IF(C855="PR",2,(IF(C855="DE",3,(IF(C855="RS",4,(IF(C855="RC",5,0)))))))))</f>
        <v>2</v>
      </c>
      <c r="E855" s="89" t="s">
        <v>153</v>
      </c>
      <c r="F855" s="89">
        <f>IF(E855="AM",1,(IF(E855="BE",2,(IF(E855="GV",3,(IF(E855="RA",4,(IF(E855="RM",5,(IF(E855="AC",1,(IF(E855="AT",2,(IF(E855="DS",3,(IF(E855="IP",4,(IF(E855="MA",5,(IF(E855="PT",6,(IF(E855="AE",1,(IF(E855="CM",2,(IF(E855="DP",3,(IF(E855="AN",1,(IF(E855="CO",2,(IF(E855="IM",3,(IF(E855="MI",4,(IF(E855="RP",5,(IF(E855="SC",6,0)))))))))))))))))))))))))))))))))))))))</f>
        <v>1</v>
      </c>
      <c r="G855" s="52">
        <v>1</v>
      </c>
      <c r="H855" s="90" t="s">
        <v>115</v>
      </c>
      <c r="I855" s="93" t="s">
        <v>64</v>
      </c>
      <c r="J855" s="87" t="s">
        <v>1191</v>
      </c>
      <c r="K855" s="102" t="s">
        <v>2219</v>
      </c>
      <c r="L855" s="117">
        <f>IF(O855="","",N855*O855*M855)</f>
        <v>0</v>
      </c>
      <c r="M855" s="108">
        <v>1</v>
      </c>
      <c r="N855" s="95">
        <v>1</v>
      </c>
      <c r="O855" s="109">
        <f>IF(Key!D$1="ON",P855,IF(SUM(Q855:DL855)&lt;1,"",SUM(Q855:DL855)/COUNTIF(Q855:DL855,"&gt;0")))</f>
        <v>0</v>
      </c>
      <c r="P855" s="109">
        <f>SUMIFS(Q855:DK855,Q$1:DK$1,Dashboard!$K$31)</f>
        <v>0</v>
      </c>
      <c r="U855" s="95">
        <v>33</v>
      </c>
      <c r="AA855" s="95">
        <v>25</v>
      </c>
      <c r="AH855" s="95">
        <v>75</v>
      </c>
    </row>
    <row r="856" spans="1:34" x14ac:dyDescent="0.3">
      <c r="A856" s="89" t="str">
        <f>CONCATENATE(D856,".",F856,"-",G856,".",H856,"")</f>
        <v>2.1-1.1</v>
      </c>
      <c r="B856" s="89" t="str">
        <f>IF(CONCATENATE(I856,Key!F$2)=CONCATENATE(INDEX(Dashboard!J:J,MATCH(I856,Dashboard!J:J,0),1),INDEX(Dashboard!J:K,MATCH(I856,Dashboard!J:J,0),2)),"ON",IF(Dashboard!K$32="ALL","ON","-"))</f>
        <v>-</v>
      </c>
      <c r="C856" s="88" t="s">
        <v>152</v>
      </c>
      <c r="D856" s="89">
        <f>IF(C856="ID",1,(IF(C856="PR",2,(IF(C856="DE",3,(IF(C856="RS",4,(IF(C856="RC",5,0)))))))))</f>
        <v>2</v>
      </c>
      <c r="E856" s="89" t="s">
        <v>153</v>
      </c>
      <c r="F856" s="89">
        <f>IF(E856="AM",1,(IF(E856="BE",2,(IF(E856="GV",3,(IF(E856="RA",4,(IF(E856="RM",5,(IF(E856="AC",1,(IF(E856="AT",2,(IF(E856="DS",3,(IF(E856="IP",4,(IF(E856="MA",5,(IF(E856="PT",6,(IF(E856="AE",1,(IF(E856="CM",2,(IF(E856="DP",3,(IF(E856="AN",1,(IF(E856="CO",2,(IF(E856="IM",3,(IF(E856="MI",4,(IF(E856="RP",5,(IF(E856="SC",6,0)))))))))))))))))))))))))))))))))))))))</f>
        <v>1</v>
      </c>
      <c r="G856" s="52">
        <v>1</v>
      </c>
      <c r="H856" s="90" t="s">
        <v>115</v>
      </c>
      <c r="I856" s="93" t="s">
        <v>64</v>
      </c>
      <c r="J856" s="87" t="s">
        <v>1121</v>
      </c>
      <c r="K856" s="102" t="s">
        <v>2156</v>
      </c>
      <c r="L856" s="117">
        <f>IF(O856="","",N856*O856*M856)</f>
        <v>0</v>
      </c>
      <c r="M856" s="108">
        <v>1</v>
      </c>
      <c r="N856" s="95">
        <v>1</v>
      </c>
      <c r="O856" s="109">
        <f>IF(Key!D$1="ON",P856,IF(SUM(Q856:DL856)&lt;1,"",SUM(Q856:DL856)/COUNTIF(Q856:DL856,"&gt;0")))</f>
        <v>0</v>
      </c>
      <c r="P856" s="109">
        <f>SUMIFS(Q856:DK856,Q$1:DK$1,Dashboard!$K$31)</f>
        <v>0</v>
      </c>
      <c r="U856" s="95">
        <v>33</v>
      </c>
      <c r="AA856" s="95">
        <v>25</v>
      </c>
      <c r="AH856" s="95">
        <v>75</v>
      </c>
    </row>
    <row r="857" spans="1:34" ht="15.6" x14ac:dyDescent="0.3">
      <c r="A857" s="89" t="str">
        <f>CONCATENATE(D857,".",F857,"-",G857,".",H857,"")</f>
        <v>2.1-1.1</v>
      </c>
      <c r="B857" s="89" t="str">
        <f>IF(CONCATENATE(I857,Key!F$2)=CONCATENATE(INDEX(Dashboard!J:J,MATCH(I857,Dashboard!J:J,0),1),INDEX(Dashboard!J:K,MATCH(I857,Dashboard!J:J,0),2)),"ON",IF(Dashboard!K$32="ALL","ON","-"))</f>
        <v>-</v>
      </c>
      <c r="C857" s="88" t="s">
        <v>152</v>
      </c>
      <c r="D857" s="89">
        <f>IF(C857="ID",1,(IF(C857="PR",2,(IF(C857="DE",3,(IF(C857="RS",4,(IF(C857="RC",5,0)))))))))</f>
        <v>2</v>
      </c>
      <c r="E857" s="89" t="s">
        <v>153</v>
      </c>
      <c r="F857" s="89">
        <f>IF(E857="AM",1,(IF(E857="BE",2,(IF(E857="GV",3,(IF(E857="RA",4,(IF(E857="RM",5,(IF(E857="AC",1,(IF(E857="AT",2,(IF(E857="DS",3,(IF(E857="IP",4,(IF(E857="MA",5,(IF(E857="PT",6,(IF(E857="AE",1,(IF(E857="CM",2,(IF(E857="DP",3,(IF(E857="AN",1,(IF(E857="CO",2,(IF(E857="IM",3,(IF(E857="MI",4,(IF(E857="RP",5,(IF(E857="SC",6,0)))))))))))))))))))))))))))))))))))))))</f>
        <v>1</v>
      </c>
      <c r="G857" s="52">
        <v>1</v>
      </c>
      <c r="H857" s="90" t="s">
        <v>115</v>
      </c>
      <c r="I857" s="93" t="s">
        <v>64</v>
      </c>
      <c r="J857" s="87" t="s">
        <v>1122</v>
      </c>
      <c r="K857" s="102" t="s">
        <v>2157</v>
      </c>
      <c r="L857" s="117">
        <f>IF(O857="","",N857*O857*M857)</f>
        <v>0</v>
      </c>
      <c r="M857" s="108">
        <v>1</v>
      </c>
      <c r="N857" s="95">
        <v>1</v>
      </c>
      <c r="O857" s="109">
        <f>IF(Key!D$1="ON",P857,IF(SUM(Q857:DL857)&lt;1,"",SUM(Q857:DL857)/COUNTIF(Q857:DL857,"&gt;0")))</f>
        <v>0</v>
      </c>
      <c r="P857" s="109">
        <f>SUMIFS(Q857:DK857,Q$1:DK$1,Dashboard!$K$31)</f>
        <v>0</v>
      </c>
      <c r="U857" s="95">
        <v>33</v>
      </c>
      <c r="AA857" s="95">
        <v>25</v>
      </c>
      <c r="AH857" s="95">
        <v>75</v>
      </c>
    </row>
    <row r="858" spans="1:34" ht="15.6" x14ac:dyDescent="0.3">
      <c r="A858" s="89" t="str">
        <f>CONCATENATE(D858,".",F858,"-",G858,".",H858,"")</f>
        <v>2.1-1.1</v>
      </c>
      <c r="B858" s="89" t="str">
        <f>IF(CONCATENATE(I858,Key!F$2)=CONCATENATE(INDEX(Dashboard!J:J,MATCH(I858,Dashboard!J:J,0),1),INDEX(Dashboard!J:K,MATCH(I858,Dashboard!J:J,0),2)),"ON",IF(Dashboard!K$32="ALL","ON","-"))</f>
        <v>-</v>
      </c>
      <c r="C858" s="88" t="s">
        <v>152</v>
      </c>
      <c r="D858" s="89">
        <f>IF(C858="ID",1,(IF(C858="PR",2,(IF(C858="DE",3,(IF(C858="RS",4,(IF(C858="RC",5,0)))))))))</f>
        <v>2</v>
      </c>
      <c r="E858" s="89" t="s">
        <v>153</v>
      </c>
      <c r="F858" s="89">
        <f>IF(E858="AM",1,(IF(E858="BE",2,(IF(E858="GV",3,(IF(E858="RA",4,(IF(E858="RM",5,(IF(E858="AC",1,(IF(E858="AT",2,(IF(E858="DS",3,(IF(E858="IP",4,(IF(E858="MA",5,(IF(E858="PT",6,(IF(E858="AE",1,(IF(E858="CM",2,(IF(E858="DP",3,(IF(E858="AN",1,(IF(E858="CO",2,(IF(E858="IM",3,(IF(E858="MI",4,(IF(E858="RP",5,(IF(E858="SC",6,0)))))))))))))))))))))))))))))))))))))))</f>
        <v>1</v>
      </c>
      <c r="G858" s="52">
        <v>1</v>
      </c>
      <c r="H858" s="90" t="s">
        <v>115</v>
      </c>
      <c r="I858" s="93" t="s">
        <v>64</v>
      </c>
      <c r="J858" s="87" t="s">
        <v>1123</v>
      </c>
      <c r="K858" s="102" t="s">
        <v>2158</v>
      </c>
      <c r="L858" s="117">
        <f>IF(O858="","",N858*O858*M858)</f>
        <v>0</v>
      </c>
      <c r="M858" s="108">
        <v>1</v>
      </c>
      <c r="N858" s="95">
        <v>1</v>
      </c>
      <c r="O858" s="109">
        <f>IF(Key!D$1="ON",P858,IF(SUM(Q858:DL858)&lt;1,"",SUM(Q858:DL858)/COUNTIF(Q858:DL858,"&gt;0")))</f>
        <v>0</v>
      </c>
      <c r="P858" s="109">
        <f>SUMIFS(Q858:DK858,Q$1:DK$1,Dashboard!$K$31)</f>
        <v>0</v>
      </c>
      <c r="U858" s="95">
        <v>33</v>
      </c>
      <c r="AA858" s="95">
        <v>25</v>
      </c>
      <c r="AH858" s="95">
        <v>75</v>
      </c>
    </row>
    <row r="859" spans="1:34" ht="15.6" x14ac:dyDescent="0.3">
      <c r="A859" s="89" t="str">
        <f>CONCATENATE(D859,".",F859,"-",G859,".",H859,"")</f>
        <v>2.1-1.1</v>
      </c>
      <c r="B859" s="89" t="str">
        <f>IF(CONCATENATE(I859,Key!F$2)=CONCATENATE(INDEX(Dashboard!J:J,MATCH(I859,Dashboard!J:J,0),1),INDEX(Dashboard!J:K,MATCH(I859,Dashboard!J:J,0),2)),"ON",IF(Dashboard!K$32="ALL","ON","-"))</f>
        <v>-</v>
      </c>
      <c r="C859" s="88" t="s">
        <v>152</v>
      </c>
      <c r="D859" s="89">
        <f>IF(C859="ID",1,(IF(C859="PR",2,(IF(C859="DE",3,(IF(C859="RS",4,(IF(C859="RC",5,0)))))))))</f>
        <v>2</v>
      </c>
      <c r="E859" s="89" t="s">
        <v>153</v>
      </c>
      <c r="F859" s="89">
        <f>IF(E859="AM",1,(IF(E859="BE",2,(IF(E859="GV",3,(IF(E859="RA",4,(IF(E859="RM",5,(IF(E859="AC",1,(IF(E859="AT",2,(IF(E859="DS",3,(IF(E859="IP",4,(IF(E859="MA",5,(IF(E859="PT",6,(IF(E859="AE",1,(IF(E859="CM",2,(IF(E859="DP",3,(IF(E859="AN",1,(IF(E859="CO",2,(IF(E859="IM",3,(IF(E859="MI",4,(IF(E859="RP",5,(IF(E859="SC",6,0)))))))))))))))))))))))))))))))))))))))</f>
        <v>1</v>
      </c>
      <c r="G859" s="52">
        <v>1</v>
      </c>
      <c r="H859" s="90" t="s">
        <v>115</v>
      </c>
      <c r="I859" s="93" t="s">
        <v>64</v>
      </c>
      <c r="J859" s="87" t="s">
        <v>1129</v>
      </c>
      <c r="K859" s="102" t="s">
        <v>2162</v>
      </c>
      <c r="L859" s="117">
        <f>IF(O859="","",N859*O859*M859)</f>
        <v>0</v>
      </c>
      <c r="M859" s="108">
        <v>1</v>
      </c>
      <c r="N859" s="95">
        <v>1</v>
      </c>
      <c r="O859" s="109">
        <f>IF(Key!D$1="ON",P859,IF(SUM(Q859:DL859)&lt;1,"",SUM(Q859:DL859)/COUNTIF(Q859:DL859,"&gt;0")))</f>
        <v>0</v>
      </c>
      <c r="P859" s="109">
        <f>SUMIFS(Q859:DK859,Q$1:DK$1,Dashboard!$K$31)</f>
        <v>0</v>
      </c>
      <c r="U859" s="95">
        <v>33</v>
      </c>
      <c r="AA859" s="95">
        <v>25</v>
      </c>
      <c r="AH859" s="95">
        <v>75</v>
      </c>
    </row>
    <row r="860" spans="1:34" ht="15.6" x14ac:dyDescent="0.3">
      <c r="A860" s="89" t="str">
        <f>CONCATENATE(D860,".",F860,"-",G860,".",H860,"")</f>
        <v>2.1-1.1</v>
      </c>
      <c r="B860" s="89" t="str">
        <f>IF(CONCATENATE(I860,Key!F$2)=CONCATENATE(INDEX(Dashboard!J:J,MATCH(I860,Dashboard!J:J,0),1),INDEX(Dashboard!J:K,MATCH(I860,Dashboard!J:J,0),2)),"ON",IF(Dashboard!K$32="ALL","ON","-"))</f>
        <v>-</v>
      </c>
      <c r="C860" s="88" t="s">
        <v>152</v>
      </c>
      <c r="D860" s="89">
        <f>IF(C860="ID",1,(IF(C860="PR",2,(IF(C860="DE",3,(IF(C860="RS",4,(IF(C860="RC",5,0)))))))))</f>
        <v>2</v>
      </c>
      <c r="E860" s="89" t="s">
        <v>153</v>
      </c>
      <c r="F860" s="89">
        <f>IF(E860="AM",1,(IF(E860="BE",2,(IF(E860="GV",3,(IF(E860="RA",4,(IF(E860="RM",5,(IF(E860="AC",1,(IF(E860="AT",2,(IF(E860="DS",3,(IF(E860="IP",4,(IF(E860="MA",5,(IF(E860="PT",6,(IF(E860="AE",1,(IF(E860="CM",2,(IF(E860="DP",3,(IF(E860="AN",1,(IF(E860="CO",2,(IF(E860="IM",3,(IF(E860="MI",4,(IF(E860="RP",5,(IF(E860="SC",6,0)))))))))))))))))))))))))))))))))))))))</f>
        <v>1</v>
      </c>
      <c r="G860" s="52">
        <v>1</v>
      </c>
      <c r="H860" s="90" t="s">
        <v>115</v>
      </c>
      <c r="I860" s="93" t="s">
        <v>64</v>
      </c>
      <c r="J860" s="87" t="s">
        <v>1130</v>
      </c>
      <c r="K860" s="102" t="s">
        <v>2163</v>
      </c>
      <c r="L860" s="117">
        <f>IF(O860="","",N860*O860*M860)</f>
        <v>0</v>
      </c>
      <c r="M860" s="108">
        <v>1</v>
      </c>
      <c r="N860" s="95">
        <v>1</v>
      </c>
      <c r="O860" s="109">
        <f>IF(Key!D$1="ON",P860,IF(SUM(Q860:DL860)&lt;1,"",SUM(Q860:DL860)/COUNTIF(Q860:DL860,"&gt;0")))</f>
        <v>0</v>
      </c>
      <c r="P860" s="109">
        <f>SUMIFS(Q860:DK860,Q$1:DK$1,Dashboard!$K$31)</f>
        <v>0</v>
      </c>
      <c r="U860" s="95">
        <v>33</v>
      </c>
      <c r="AA860" s="95">
        <v>25</v>
      </c>
      <c r="AH860" s="95">
        <v>75</v>
      </c>
    </row>
    <row r="861" spans="1:34" x14ac:dyDescent="0.3">
      <c r="A861" s="89" t="str">
        <f>CONCATENATE(D861,".",F861,"-",G861,".",H861,"")</f>
        <v>2.1-1.1</v>
      </c>
      <c r="B861" s="89" t="str">
        <f>IF(CONCATENATE(I861,Key!F$2)=CONCATENATE(INDEX(Dashboard!J:J,MATCH(I861,Dashboard!J:J,0),1),INDEX(Dashboard!J:K,MATCH(I861,Dashboard!J:J,0),2)),"ON",IF(Dashboard!K$32="ALL","ON","-"))</f>
        <v>-</v>
      </c>
      <c r="C861" s="88" t="s">
        <v>152</v>
      </c>
      <c r="D861" s="89">
        <f>IF(C861="ID",1,(IF(C861="PR",2,(IF(C861="DE",3,(IF(C861="RS",4,(IF(C861="RC",5,0)))))))))</f>
        <v>2</v>
      </c>
      <c r="E861" s="89" t="s">
        <v>153</v>
      </c>
      <c r="F861" s="89">
        <f>IF(E861="AM",1,(IF(E861="BE",2,(IF(E861="GV",3,(IF(E861="RA",4,(IF(E861="RM",5,(IF(E861="AC",1,(IF(E861="AT",2,(IF(E861="DS",3,(IF(E861="IP",4,(IF(E861="MA",5,(IF(E861="PT",6,(IF(E861="AE",1,(IF(E861="CM",2,(IF(E861="DP",3,(IF(E861="AN",1,(IF(E861="CO",2,(IF(E861="IM",3,(IF(E861="MI",4,(IF(E861="RP",5,(IF(E861="SC",6,0)))))))))))))))))))))))))))))))))))))))</f>
        <v>1</v>
      </c>
      <c r="G861" s="52">
        <v>1</v>
      </c>
      <c r="H861" s="90" t="s">
        <v>115</v>
      </c>
      <c r="I861" s="93" t="s">
        <v>64</v>
      </c>
      <c r="J861" s="87" t="s">
        <v>1131</v>
      </c>
      <c r="K861" s="102" t="s">
        <v>2164</v>
      </c>
      <c r="L861" s="117">
        <f>IF(O861="","",N861*O861*M861)</f>
        <v>0</v>
      </c>
      <c r="M861" s="108">
        <v>1</v>
      </c>
      <c r="N861" s="95">
        <v>1</v>
      </c>
      <c r="O861" s="109">
        <f>IF(Key!D$1="ON",P861,IF(SUM(Q861:DL861)&lt;1,"",SUM(Q861:DL861)/COUNTIF(Q861:DL861,"&gt;0")))</f>
        <v>0</v>
      </c>
      <c r="P861" s="109">
        <f>SUMIFS(Q861:DK861,Q$1:DK$1,Dashboard!$K$31)</f>
        <v>0</v>
      </c>
      <c r="U861" s="95">
        <v>33</v>
      </c>
      <c r="AA861" s="95">
        <v>25</v>
      </c>
      <c r="AH861" s="95">
        <v>75</v>
      </c>
    </row>
    <row r="862" spans="1:34" ht="15.6" x14ac:dyDescent="0.3">
      <c r="A862" s="89" t="str">
        <f>CONCATENATE(D862,".",F862,"-",G862,".",H862,"")</f>
        <v>2.1-1.1</v>
      </c>
      <c r="B862" s="89" t="str">
        <f>IF(CONCATENATE(I862,Key!F$2)=CONCATENATE(INDEX(Dashboard!J:J,MATCH(I862,Dashboard!J:J,0),1),INDEX(Dashboard!J:K,MATCH(I862,Dashboard!J:J,0),2)),"ON",IF(Dashboard!K$32="ALL","ON","-"))</f>
        <v>-</v>
      </c>
      <c r="C862" s="88" t="s">
        <v>152</v>
      </c>
      <c r="D862" s="89">
        <f>IF(C862="ID",1,(IF(C862="PR",2,(IF(C862="DE",3,(IF(C862="RS",4,(IF(C862="RC",5,0)))))))))</f>
        <v>2</v>
      </c>
      <c r="E862" s="89" t="s">
        <v>153</v>
      </c>
      <c r="F862" s="89">
        <f>IF(E862="AM",1,(IF(E862="BE",2,(IF(E862="GV",3,(IF(E862="RA",4,(IF(E862="RM",5,(IF(E862="AC",1,(IF(E862="AT",2,(IF(E862="DS",3,(IF(E862="IP",4,(IF(E862="MA",5,(IF(E862="PT",6,(IF(E862="AE",1,(IF(E862="CM",2,(IF(E862="DP",3,(IF(E862="AN",1,(IF(E862="CO",2,(IF(E862="IM",3,(IF(E862="MI",4,(IF(E862="RP",5,(IF(E862="SC",6,0)))))))))))))))))))))))))))))))))))))))</f>
        <v>1</v>
      </c>
      <c r="G862" s="52">
        <v>1</v>
      </c>
      <c r="H862" s="90" t="s">
        <v>115</v>
      </c>
      <c r="I862" s="93" t="s">
        <v>64</v>
      </c>
      <c r="J862" s="87" t="s">
        <v>1132</v>
      </c>
      <c r="K862" s="102" t="s">
        <v>2165</v>
      </c>
      <c r="L862" s="117">
        <f>IF(O862="","",N862*O862*M862)</f>
        <v>0</v>
      </c>
      <c r="M862" s="108">
        <v>1</v>
      </c>
      <c r="N862" s="95">
        <v>1</v>
      </c>
      <c r="O862" s="109">
        <f>IF(Key!D$1="ON",P862,IF(SUM(Q862:DL862)&lt;1,"",SUM(Q862:DL862)/COUNTIF(Q862:DL862,"&gt;0")))</f>
        <v>0</v>
      </c>
      <c r="P862" s="109">
        <f>SUMIFS(Q862:DK862,Q$1:DK$1,Dashboard!$K$31)</f>
        <v>0</v>
      </c>
      <c r="U862" s="95">
        <v>33</v>
      </c>
      <c r="AA862" s="95">
        <v>25</v>
      </c>
      <c r="AH862" s="95">
        <v>75</v>
      </c>
    </row>
    <row r="863" spans="1:34" ht="15.6" x14ac:dyDescent="0.3">
      <c r="A863" s="89" t="str">
        <f>CONCATENATE(D863,".",F863,"-",G863,".",H863,"")</f>
        <v>2.1-1.1</v>
      </c>
      <c r="B863" s="89" t="str">
        <f>IF(CONCATENATE(I863,Key!F$2)=CONCATENATE(INDEX(Dashboard!J:J,MATCH(I863,Dashboard!J:J,0),1),INDEX(Dashboard!J:K,MATCH(I863,Dashboard!J:J,0),2)),"ON",IF(Dashboard!K$32="ALL","ON","-"))</f>
        <v>-</v>
      </c>
      <c r="C863" s="88" t="s">
        <v>152</v>
      </c>
      <c r="D863" s="89">
        <f>IF(C863="ID",1,(IF(C863="PR",2,(IF(C863="DE",3,(IF(C863="RS",4,(IF(C863="RC",5,0)))))))))</f>
        <v>2</v>
      </c>
      <c r="E863" s="89" t="s">
        <v>153</v>
      </c>
      <c r="F863" s="89">
        <f>IF(E863="AM",1,(IF(E863="BE",2,(IF(E863="GV",3,(IF(E863="RA",4,(IF(E863="RM",5,(IF(E863="AC",1,(IF(E863="AT",2,(IF(E863="DS",3,(IF(E863="IP",4,(IF(E863="MA",5,(IF(E863="PT",6,(IF(E863="AE",1,(IF(E863="CM",2,(IF(E863="DP",3,(IF(E863="AN",1,(IF(E863="CO",2,(IF(E863="IM",3,(IF(E863="MI",4,(IF(E863="RP",5,(IF(E863="SC",6,0)))))))))))))))))))))))))))))))))))))))</f>
        <v>1</v>
      </c>
      <c r="G863" s="52">
        <v>1</v>
      </c>
      <c r="H863" s="90" t="s">
        <v>115</v>
      </c>
      <c r="I863" s="93" t="s">
        <v>64</v>
      </c>
      <c r="J863" s="87" t="s">
        <v>1133</v>
      </c>
      <c r="K863" s="102" t="s">
        <v>2166</v>
      </c>
      <c r="L863" s="117">
        <f>IF(O863="","",N863*O863*M863)</f>
        <v>0</v>
      </c>
      <c r="M863" s="108">
        <v>1</v>
      </c>
      <c r="N863" s="95">
        <v>1</v>
      </c>
      <c r="O863" s="109">
        <f>IF(Key!D$1="ON",P863,IF(SUM(Q863:DL863)&lt;1,"",SUM(Q863:DL863)/COUNTIF(Q863:DL863,"&gt;0")))</f>
        <v>0</v>
      </c>
      <c r="P863" s="109">
        <f>SUMIFS(Q863:DK863,Q$1:DK$1,Dashboard!$K$31)</f>
        <v>0</v>
      </c>
      <c r="U863" s="95">
        <v>33</v>
      </c>
      <c r="AA863" s="95">
        <v>25</v>
      </c>
      <c r="AH863" s="95">
        <v>75</v>
      </c>
    </row>
    <row r="864" spans="1:34" ht="15.6" x14ac:dyDescent="0.3">
      <c r="A864" s="89" t="str">
        <f>CONCATENATE(D864,".",F864,"-",G864,".",H864,"")</f>
        <v>2.1-1.1</v>
      </c>
      <c r="B864" s="89" t="str">
        <f>IF(CONCATENATE(I864,Key!F$2)=CONCATENATE(INDEX(Dashboard!J:J,MATCH(I864,Dashboard!J:J,0),1),INDEX(Dashboard!J:K,MATCH(I864,Dashboard!J:J,0),2)),"ON",IF(Dashboard!K$32="ALL","ON","-"))</f>
        <v>-</v>
      </c>
      <c r="C864" s="88" t="s">
        <v>152</v>
      </c>
      <c r="D864" s="89">
        <f>IF(C864="ID",1,(IF(C864="PR",2,(IF(C864="DE",3,(IF(C864="RS",4,(IF(C864="RC",5,0)))))))))</f>
        <v>2</v>
      </c>
      <c r="E864" s="89" t="s">
        <v>153</v>
      </c>
      <c r="F864" s="89">
        <f>IF(E864="AM",1,(IF(E864="BE",2,(IF(E864="GV",3,(IF(E864="RA",4,(IF(E864="RM",5,(IF(E864="AC",1,(IF(E864="AT",2,(IF(E864="DS",3,(IF(E864="IP",4,(IF(E864="MA",5,(IF(E864="PT",6,(IF(E864="AE",1,(IF(E864="CM",2,(IF(E864="DP",3,(IF(E864="AN",1,(IF(E864="CO",2,(IF(E864="IM",3,(IF(E864="MI",4,(IF(E864="RP",5,(IF(E864="SC",6,0)))))))))))))))))))))))))))))))))))))))</f>
        <v>1</v>
      </c>
      <c r="G864" s="52">
        <v>1</v>
      </c>
      <c r="H864" s="90" t="s">
        <v>115</v>
      </c>
      <c r="I864" s="93" t="s">
        <v>64</v>
      </c>
      <c r="J864" s="87" t="s">
        <v>1134</v>
      </c>
      <c r="K864" s="102" t="s">
        <v>2167</v>
      </c>
      <c r="L864" s="117">
        <f>IF(O864="","",N864*O864*M864)</f>
        <v>0</v>
      </c>
      <c r="M864" s="108">
        <v>1</v>
      </c>
      <c r="N864" s="95">
        <v>1</v>
      </c>
      <c r="O864" s="109">
        <f>IF(Key!D$1="ON",P864,IF(SUM(Q864:DL864)&lt;1,"",SUM(Q864:DL864)/COUNTIF(Q864:DL864,"&gt;0")))</f>
        <v>0</v>
      </c>
      <c r="P864" s="109">
        <f>SUMIFS(Q864:DK864,Q$1:DK$1,Dashboard!$K$31)</f>
        <v>0</v>
      </c>
      <c r="U864" s="95">
        <v>33</v>
      </c>
      <c r="AA864" s="95">
        <v>25</v>
      </c>
      <c r="AH864" s="95">
        <v>75</v>
      </c>
    </row>
    <row r="865" spans="1:34" ht="15.6" x14ac:dyDescent="0.3">
      <c r="A865" s="89" t="str">
        <f>CONCATENATE(D865,".",F865,"-",G865,".",H865,"")</f>
        <v>2.1-1.1</v>
      </c>
      <c r="B865" s="89" t="str">
        <f>IF(CONCATENATE(I865,Key!F$2)=CONCATENATE(INDEX(Dashboard!J:J,MATCH(I865,Dashboard!J:J,0),1),INDEX(Dashboard!J:K,MATCH(I865,Dashboard!J:J,0),2)),"ON",IF(Dashboard!K$32="ALL","ON","-"))</f>
        <v>-</v>
      </c>
      <c r="C865" s="88" t="s">
        <v>152</v>
      </c>
      <c r="D865" s="89">
        <f>IF(C865="ID",1,(IF(C865="PR",2,(IF(C865="DE",3,(IF(C865="RS",4,(IF(C865="RC",5,0)))))))))</f>
        <v>2</v>
      </c>
      <c r="E865" s="89" t="s">
        <v>153</v>
      </c>
      <c r="F865" s="89">
        <f>IF(E865="AM",1,(IF(E865="BE",2,(IF(E865="GV",3,(IF(E865="RA",4,(IF(E865="RM",5,(IF(E865="AC",1,(IF(E865="AT",2,(IF(E865="DS",3,(IF(E865="IP",4,(IF(E865="MA",5,(IF(E865="PT",6,(IF(E865="AE",1,(IF(E865="CM",2,(IF(E865="DP",3,(IF(E865="AN",1,(IF(E865="CO",2,(IF(E865="IM",3,(IF(E865="MI",4,(IF(E865="RP",5,(IF(E865="SC",6,0)))))))))))))))))))))))))))))))))))))))</f>
        <v>1</v>
      </c>
      <c r="G865" s="52">
        <v>1</v>
      </c>
      <c r="H865" s="90" t="s">
        <v>115</v>
      </c>
      <c r="I865" s="93" t="s">
        <v>64</v>
      </c>
      <c r="J865" s="87" t="s">
        <v>1135</v>
      </c>
      <c r="K865" s="102" t="s">
        <v>2168</v>
      </c>
      <c r="L865" s="117">
        <f>IF(O865="","",N865*O865*M865)</f>
        <v>0</v>
      </c>
      <c r="M865" s="108">
        <v>1</v>
      </c>
      <c r="N865" s="95">
        <v>1</v>
      </c>
      <c r="O865" s="109">
        <f>IF(Key!D$1="ON",P865,IF(SUM(Q865:DL865)&lt;1,"",SUM(Q865:DL865)/COUNTIF(Q865:DL865,"&gt;0")))</f>
        <v>0</v>
      </c>
      <c r="P865" s="109">
        <f>SUMIFS(Q865:DK865,Q$1:DK$1,Dashboard!$K$31)</f>
        <v>0</v>
      </c>
      <c r="U865" s="95">
        <v>33</v>
      </c>
      <c r="AA865" s="95">
        <v>25</v>
      </c>
      <c r="AH865" s="95">
        <v>75</v>
      </c>
    </row>
    <row r="866" spans="1:34" x14ac:dyDescent="0.3">
      <c r="A866" s="89" t="str">
        <f>CONCATENATE(D866,".",F866,"-",G866,".",H866,"")</f>
        <v>2.1-1.1</v>
      </c>
      <c r="B866" s="89" t="str">
        <f>IF(CONCATENATE(I866,Key!F$2)=CONCATENATE(INDEX(Dashboard!J:J,MATCH(I866,Dashboard!J:J,0),1),INDEX(Dashboard!J:K,MATCH(I866,Dashboard!J:J,0),2)),"ON",IF(Dashboard!K$32="ALL","ON","-"))</f>
        <v>-</v>
      </c>
      <c r="C866" s="88" t="s">
        <v>152</v>
      </c>
      <c r="D866" s="89">
        <f>IF(C866="ID",1,(IF(C866="PR",2,(IF(C866="DE",3,(IF(C866="RS",4,(IF(C866="RC",5,0)))))))))</f>
        <v>2</v>
      </c>
      <c r="E866" s="89" t="s">
        <v>153</v>
      </c>
      <c r="F866" s="89">
        <f>IF(E866="AM",1,(IF(E866="BE",2,(IF(E866="GV",3,(IF(E866="RA",4,(IF(E866="RM",5,(IF(E866="AC",1,(IF(E866="AT",2,(IF(E866="DS",3,(IF(E866="IP",4,(IF(E866="MA",5,(IF(E866="PT",6,(IF(E866="AE",1,(IF(E866="CM",2,(IF(E866="DP",3,(IF(E866="AN",1,(IF(E866="CO",2,(IF(E866="IM",3,(IF(E866="MI",4,(IF(E866="RP",5,(IF(E866="SC",6,0)))))))))))))))))))))))))))))))))))))))</f>
        <v>1</v>
      </c>
      <c r="G866" s="52">
        <v>1</v>
      </c>
      <c r="H866" s="90" t="s">
        <v>115</v>
      </c>
      <c r="I866" s="93" t="s">
        <v>64</v>
      </c>
      <c r="J866" s="87" t="s">
        <v>1136</v>
      </c>
      <c r="K866" s="102" t="s">
        <v>2169</v>
      </c>
      <c r="L866" s="117">
        <f>IF(O866="","",N866*O866*M866)</f>
        <v>0</v>
      </c>
      <c r="M866" s="108">
        <v>1</v>
      </c>
      <c r="N866" s="95">
        <v>1</v>
      </c>
      <c r="O866" s="109">
        <f>IF(Key!D$1="ON",P866,IF(SUM(Q866:DL866)&lt;1,"",SUM(Q866:DL866)/COUNTIF(Q866:DL866,"&gt;0")))</f>
        <v>0</v>
      </c>
      <c r="P866" s="109">
        <f>SUMIFS(Q866:DK866,Q$1:DK$1,Dashboard!$K$31)</f>
        <v>0</v>
      </c>
      <c r="U866" s="95">
        <v>33</v>
      </c>
      <c r="AA866" s="95">
        <v>25</v>
      </c>
      <c r="AH866" s="95">
        <v>75</v>
      </c>
    </row>
    <row r="867" spans="1:34" ht="15.6" x14ac:dyDescent="0.3">
      <c r="A867" s="89" t="str">
        <f>CONCATENATE(D867,".",F867,"-",G867,".",H867,"")</f>
        <v>2.1-1.1</v>
      </c>
      <c r="B867" s="89" t="str">
        <f>IF(CONCATENATE(I867,Key!F$2)=CONCATENATE(INDEX(Dashboard!J:J,MATCH(I867,Dashboard!J:J,0),1),INDEX(Dashboard!J:K,MATCH(I867,Dashboard!J:J,0),2)),"ON",IF(Dashboard!K$32="ALL","ON","-"))</f>
        <v>-</v>
      </c>
      <c r="C867" s="88" t="s">
        <v>152</v>
      </c>
      <c r="D867" s="89">
        <f>IF(C867="ID",1,(IF(C867="PR",2,(IF(C867="DE",3,(IF(C867="RS",4,(IF(C867="RC",5,0)))))))))</f>
        <v>2</v>
      </c>
      <c r="E867" s="89" t="s">
        <v>153</v>
      </c>
      <c r="F867" s="89">
        <f>IF(E867="AM",1,(IF(E867="BE",2,(IF(E867="GV",3,(IF(E867="RA",4,(IF(E867="RM",5,(IF(E867="AC",1,(IF(E867="AT",2,(IF(E867="DS",3,(IF(E867="IP",4,(IF(E867="MA",5,(IF(E867="PT",6,(IF(E867="AE",1,(IF(E867="CM",2,(IF(E867="DP",3,(IF(E867="AN",1,(IF(E867="CO",2,(IF(E867="IM",3,(IF(E867="MI",4,(IF(E867="RP",5,(IF(E867="SC",6,0)))))))))))))))))))))))))))))))))))))))</f>
        <v>1</v>
      </c>
      <c r="G867" s="52">
        <v>1</v>
      </c>
      <c r="H867" s="90" t="s">
        <v>115</v>
      </c>
      <c r="I867" s="93" t="s">
        <v>64</v>
      </c>
      <c r="J867" s="87" t="s">
        <v>1137</v>
      </c>
      <c r="K867" s="102" t="s">
        <v>2170</v>
      </c>
      <c r="L867" s="117">
        <f>IF(O867="","",N867*O867*M867)</f>
        <v>0</v>
      </c>
      <c r="M867" s="108">
        <v>1</v>
      </c>
      <c r="N867" s="95">
        <v>1</v>
      </c>
      <c r="O867" s="109">
        <f>IF(Key!D$1="ON",P867,IF(SUM(Q867:DL867)&lt;1,"",SUM(Q867:DL867)/COUNTIF(Q867:DL867,"&gt;0")))</f>
        <v>0</v>
      </c>
      <c r="P867" s="109">
        <f>SUMIFS(Q867:DK867,Q$1:DK$1,Dashboard!$K$31)</f>
        <v>0</v>
      </c>
      <c r="U867" s="95">
        <v>33</v>
      </c>
      <c r="AA867" s="95">
        <v>25</v>
      </c>
      <c r="AH867" s="95">
        <v>75</v>
      </c>
    </row>
    <row r="868" spans="1:34" x14ac:dyDescent="0.3">
      <c r="A868" s="89" t="str">
        <f>CONCATENATE(D868,".",F868,"-",G868,".",H868,"")</f>
        <v>2.1-1.1</v>
      </c>
      <c r="B868" s="89" t="str">
        <f>IF(CONCATENATE(I868,Key!F$2)=CONCATENATE(INDEX(Dashboard!J:J,MATCH(I868,Dashboard!J:J,0),1),INDEX(Dashboard!J:K,MATCH(I868,Dashboard!J:J,0),2)),"ON",IF(Dashboard!K$32="ALL","ON","-"))</f>
        <v>-</v>
      </c>
      <c r="C868" s="88" t="s">
        <v>152</v>
      </c>
      <c r="D868" s="89">
        <f>IF(C868="ID",1,(IF(C868="PR",2,(IF(C868="DE",3,(IF(C868="RS",4,(IF(C868="RC",5,0)))))))))</f>
        <v>2</v>
      </c>
      <c r="E868" s="89" t="s">
        <v>153</v>
      </c>
      <c r="F868" s="89">
        <f>IF(E868="AM",1,(IF(E868="BE",2,(IF(E868="GV",3,(IF(E868="RA",4,(IF(E868="RM",5,(IF(E868="AC",1,(IF(E868="AT",2,(IF(E868="DS",3,(IF(E868="IP",4,(IF(E868="MA",5,(IF(E868="PT",6,(IF(E868="AE",1,(IF(E868="CM",2,(IF(E868="DP",3,(IF(E868="AN",1,(IF(E868="CO",2,(IF(E868="IM",3,(IF(E868="MI",4,(IF(E868="RP",5,(IF(E868="SC",6,0)))))))))))))))))))))))))))))))))))))))</f>
        <v>1</v>
      </c>
      <c r="G868" s="52">
        <v>1</v>
      </c>
      <c r="H868" s="90" t="s">
        <v>115</v>
      </c>
      <c r="I868" s="93" t="s">
        <v>64</v>
      </c>
      <c r="J868" s="87" t="s">
        <v>1138</v>
      </c>
      <c r="K868" s="102" t="s">
        <v>2171</v>
      </c>
      <c r="L868" s="117">
        <f>IF(O868="","",N868*O868*M868)</f>
        <v>0</v>
      </c>
      <c r="M868" s="108">
        <v>1</v>
      </c>
      <c r="N868" s="95">
        <v>1</v>
      </c>
      <c r="O868" s="109">
        <f>IF(Key!D$1="ON",P868,IF(SUM(Q868:DL868)&lt;1,"",SUM(Q868:DL868)/COUNTIF(Q868:DL868,"&gt;0")))</f>
        <v>0</v>
      </c>
      <c r="P868" s="109">
        <f>SUMIFS(Q868:DK868,Q$1:DK$1,Dashboard!$K$31)</f>
        <v>0</v>
      </c>
      <c r="U868" s="95">
        <v>33</v>
      </c>
      <c r="AA868" s="95">
        <v>25</v>
      </c>
      <c r="AH868" s="95">
        <v>75</v>
      </c>
    </row>
    <row r="869" spans="1:34" x14ac:dyDescent="0.3">
      <c r="A869" s="89" t="str">
        <f>CONCATENATE(D869,".",F869,"-",G869,".",H869,"")</f>
        <v>2.1-1.1</v>
      </c>
      <c r="B869" s="89" t="str">
        <f>IF(CONCATENATE(I869,Key!F$2)=CONCATENATE(INDEX(Dashboard!J:J,MATCH(I869,Dashboard!J:J,0),1),INDEX(Dashboard!J:K,MATCH(I869,Dashboard!J:J,0),2)),"ON",IF(Dashboard!K$32="ALL","ON","-"))</f>
        <v>-</v>
      </c>
      <c r="C869" s="88" t="s">
        <v>152</v>
      </c>
      <c r="D869" s="89">
        <f>IF(C869="ID",1,(IF(C869="PR",2,(IF(C869="DE",3,(IF(C869="RS",4,(IF(C869="RC",5,0)))))))))</f>
        <v>2</v>
      </c>
      <c r="E869" s="89" t="s">
        <v>153</v>
      </c>
      <c r="F869" s="89">
        <f>IF(E869="AM",1,(IF(E869="BE",2,(IF(E869="GV",3,(IF(E869="RA",4,(IF(E869="RM",5,(IF(E869="AC",1,(IF(E869="AT",2,(IF(E869="DS",3,(IF(E869="IP",4,(IF(E869="MA",5,(IF(E869="PT",6,(IF(E869="AE",1,(IF(E869="CM",2,(IF(E869="DP",3,(IF(E869="AN",1,(IF(E869="CO",2,(IF(E869="IM",3,(IF(E869="MI",4,(IF(E869="RP",5,(IF(E869="SC",6,0)))))))))))))))))))))))))))))))))))))))</f>
        <v>1</v>
      </c>
      <c r="G869" s="52">
        <v>1</v>
      </c>
      <c r="H869" s="90" t="s">
        <v>115</v>
      </c>
      <c r="I869" s="93" t="s">
        <v>64</v>
      </c>
      <c r="J869" s="87" t="s">
        <v>1139</v>
      </c>
      <c r="K869" s="102" t="s">
        <v>2172</v>
      </c>
      <c r="L869" s="117">
        <f>IF(O869="","",N869*O869*M869)</f>
        <v>0</v>
      </c>
      <c r="M869" s="108">
        <v>1</v>
      </c>
      <c r="N869" s="95">
        <v>1</v>
      </c>
      <c r="O869" s="109">
        <f>IF(Key!D$1="ON",P869,IF(SUM(Q869:DL869)&lt;1,"",SUM(Q869:DL869)/COUNTIF(Q869:DL869,"&gt;0")))</f>
        <v>0</v>
      </c>
      <c r="P869" s="109">
        <f>SUMIFS(Q869:DK869,Q$1:DK$1,Dashboard!$K$31)</f>
        <v>0</v>
      </c>
      <c r="U869" s="95">
        <v>33</v>
      </c>
      <c r="AA869" s="95">
        <v>25</v>
      </c>
      <c r="AH869" s="95">
        <v>75</v>
      </c>
    </row>
    <row r="870" spans="1:34" x14ac:dyDescent="0.3">
      <c r="A870" s="89" t="str">
        <f>CONCATENATE(D870,".",F870,"-",G870,".",H870,"")</f>
        <v>2.1-1.1</v>
      </c>
      <c r="B870" s="89" t="str">
        <f>IF(CONCATENATE(I870,Key!F$2)=CONCATENATE(INDEX(Dashboard!J:J,MATCH(I870,Dashboard!J:J,0),1),INDEX(Dashboard!J:K,MATCH(I870,Dashboard!J:J,0),2)),"ON",IF(Dashboard!K$32="ALL","ON","-"))</f>
        <v>-</v>
      </c>
      <c r="C870" s="88" t="s">
        <v>152</v>
      </c>
      <c r="D870" s="89">
        <f>IF(C870="ID",1,(IF(C870="PR",2,(IF(C870="DE",3,(IF(C870="RS",4,(IF(C870="RC",5,0)))))))))</f>
        <v>2</v>
      </c>
      <c r="E870" s="89" t="s">
        <v>153</v>
      </c>
      <c r="F870" s="89">
        <f>IF(E870="AM",1,(IF(E870="BE",2,(IF(E870="GV",3,(IF(E870="RA",4,(IF(E870="RM",5,(IF(E870="AC",1,(IF(E870="AT",2,(IF(E870="DS",3,(IF(E870="IP",4,(IF(E870="MA",5,(IF(E870="PT",6,(IF(E870="AE",1,(IF(E870="CM",2,(IF(E870="DP",3,(IF(E870="AN",1,(IF(E870="CO",2,(IF(E870="IM",3,(IF(E870="MI",4,(IF(E870="RP",5,(IF(E870="SC",6,0)))))))))))))))))))))))))))))))))))))))</f>
        <v>1</v>
      </c>
      <c r="G870" s="52">
        <v>1</v>
      </c>
      <c r="H870" s="90" t="s">
        <v>115</v>
      </c>
      <c r="I870" s="93" t="s">
        <v>64</v>
      </c>
      <c r="J870" s="87" t="s">
        <v>1140</v>
      </c>
      <c r="K870" s="102" t="s">
        <v>2173</v>
      </c>
      <c r="L870" s="117">
        <f>IF(O870="","",N870*O870*M870)</f>
        <v>0</v>
      </c>
      <c r="M870" s="108">
        <v>1</v>
      </c>
      <c r="N870" s="95">
        <v>1</v>
      </c>
      <c r="O870" s="109">
        <f>IF(Key!D$1="ON",P870,IF(SUM(Q870:DL870)&lt;1,"",SUM(Q870:DL870)/COUNTIF(Q870:DL870,"&gt;0")))</f>
        <v>0</v>
      </c>
      <c r="P870" s="109">
        <f>SUMIFS(Q870:DK870,Q$1:DK$1,Dashboard!$K$31)</f>
        <v>0</v>
      </c>
      <c r="U870" s="95">
        <v>33</v>
      </c>
      <c r="AA870" s="95">
        <v>25</v>
      </c>
      <c r="AH870" s="95">
        <v>75</v>
      </c>
    </row>
    <row r="871" spans="1:34" x14ac:dyDescent="0.3">
      <c r="A871" s="89" t="str">
        <f>CONCATENATE(D871,".",F871,"-",G871,".",H871,"")</f>
        <v>2.1-1.1</v>
      </c>
      <c r="B871" s="89" t="str">
        <f>IF(CONCATENATE(I871,Key!F$2)=CONCATENATE(INDEX(Dashboard!J:J,MATCH(I871,Dashboard!J:J,0),1),INDEX(Dashboard!J:K,MATCH(I871,Dashboard!J:J,0),2)),"ON",IF(Dashboard!K$32="ALL","ON","-"))</f>
        <v>-</v>
      </c>
      <c r="C871" s="88" t="s">
        <v>152</v>
      </c>
      <c r="D871" s="89">
        <f>IF(C871="ID",1,(IF(C871="PR",2,(IF(C871="DE",3,(IF(C871="RS",4,(IF(C871="RC",5,0)))))))))</f>
        <v>2</v>
      </c>
      <c r="E871" s="89" t="s">
        <v>153</v>
      </c>
      <c r="F871" s="89">
        <f>IF(E871="AM",1,(IF(E871="BE",2,(IF(E871="GV",3,(IF(E871="RA",4,(IF(E871="RM",5,(IF(E871="AC",1,(IF(E871="AT",2,(IF(E871="DS",3,(IF(E871="IP",4,(IF(E871="MA",5,(IF(E871="PT",6,(IF(E871="AE",1,(IF(E871="CM",2,(IF(E871="DP",3,(IF(E871="AN",1,(IF(E871="CO",2,(IF(E871="IM",3,(IF(E871="MI",4,(IF(E871="RP",5,(IF(E871="SC",6,0)))))))))))))))))))))))))))))))))))))))</f>
        <v>1</v>
      </c>
      <c r="G871" s="52">
        <v>1</v>
      </c>
      <c r="H871" s="90" t="s">
        <v>115</v>
      </c>
      <c r="I871" s="93" t="s">
        <v>64</v>
      </c>
      <c r="J871" s="87" t="s">
        <v>1141</v>
      </c>
      <c r="K871" s="102" t="s">
        <v>2174</v>
      </c>
      <c r="L871" s="117">
        <f>IF(O871="","",N871*O871*M871)</f>
        <v>0</v>
      </c>
      <c r="M871" s="108">
        <v>1</v>
      </c>
      <c r="N871" s="95">
        <v>1</v>
      </c>
      <c r="O871" s="109">
        <f>IF(Key!D$1="ON",P871,IF(SUM(Q871:DL871)&lt;1,"",SUM(Q871:DL871)/COUNTIF(Q871:DL871,"&gt;0")))</f>
        <v>0</v>
      </c>
      <c r="P871" s="109">
        <f>SUMIFS(Q871:DK871,Q$1:DK$1,Dashboard!$K$31)</f>
        <v>0</v>
      </c>
      <c r="U871" s="95">
        <v>33</v>
      </c>
      <c r="AA871" s="95">
        <v>25</v>
      </c>
      <c r="AH871" s="95">
        <v>75</v>
      </c>
    </row>
    <row r="872" spans="1:34" x14ac:dyDescent="0.3">
      <c r="A872" s="89" t="str">
        <f>CONCATENATE(D872,".",F872,"-",G872,".",H872,"")</f>
        <v>2.1-1.1</v>
      </c>
      <c r="B872" s="89" t="str">
        <f>IF(CONCATENATE(I872,Key!F$2)=CONCATENATE(INDEX(Dashboard!J:J,MATCH(I872,Dashboard!J:J,0),1),INDEX(Dashboard!J:K,MATCH(I872,Dashboard!J:J,0),2)),"ON",IF(Dashboard!K$32="ALL","ON","-"))</f>
        <v>-</v>
      </c>
      <c r="C872" s="88" t="s">
        <v>152</v>
      </c>
      <c r="D872" s="89">
        <f>IF(C872="ID",1,(IF(C872="PR",2,(IF(C872="DE",3,(IF(C872="RS",4,(IF(C872="RC",5,0)))))))))</f>
        <v>2</v>
      </c>
      <c r="E872" s="89" t="s">
        <v>153</v>
      </c>
      <c r="F872" s="89">
        <f>IF(E872="AM",1,(IF(E872="BE",2,(IF(E872="GV",3,(IF(E872="RA",4,(IF(E872="RM",5,(IF(E872="AC",1,(IF(E872="AT",2,(IF(E872="DS",3,(IF(E872="IP",4,(IF(E872="MA",5,(IF(E872="PT",6,(IF(E872="AE",1,(IF(E872="CM",2,(IF(E872="DP",3,(IF(E872="AN",1,(IF(E872="CO",2,(IF(E872="IM",3,(IF(E872="MI",4,(IF(E872="RP",5,(IF(E872="SC",6,0)))))))))))))))))))))))))))))))))))))))</f>
        <v>1</v>
      </c>
      <c r="G872" s="52">
        <v>1</v>
      </c>
      <c r="H872" s="90" t="s">
        <v>115</v>
      </c>
      <c r="I872" s="93" t="s">
        <v>64</v>
      </c>
      <c r="J872" s="87" t="s">
        <v>1149</v>
      </c>
      <c r="K872" s="102" t="s">
        <v>2180</v>
      </c>
      <c r="L872" s="117">
        <f>IF(O872="","",N872*O872*M872)</f>
        <v>0</v>
      </c>
      <c r="M872" s="108">
        <v>1</v>
      </c>
      <c r="N872" s="95">
        <v>1</v>
      </c>
      <c r="O872" s="109">
        <f>IF(Key!D$1="ON",P872,IF(SUM(Q872:DL872)&lt;1,"",SUM(Q872:DL872)/COUNTIF(Q872:DL872,"&gt;0")))</f>
        <v>0</v>
      </c>
      <c r="P872" s="109">
        <f>SUMIFS(Q872:DK872,Q$1:DK$1,Dashboard!$K$31)</f>
        <v>0</v>
      </c>
      <c r="U872" s="95">
        <v>33</v>
      </c>
      <c r="AA872" s="95">
        <v>25</v>
      </c>
      <c r="AH872" s="95">
        <v>75</v>
      </c>
    </row>
    <row r="873" spans="1:34" x14ac:dyDescent="0.3">
      <c r="A873" s="89" t="str">
        <f>CONCATENATE(D873,".",F873,"-",G873,".",H873,"")</f>
        <v>2.1-1.1</v>
      </c>
      <c r="B873" s="89" t="str">
        <f>IF(CONCATENATE(I873,Key!F$2)=CONCATENATE(INDEX(Dashboard!J:J,MATCH(I873,Dashboard!J:J,0),1),INDEX(Dashboard!J:K,MATCH(I873,Dashboard!J:J,0),2)),"ON",IF(Dashboard!K$32="ALL","ON","-"))</f>
        <v>-</v>
      </c>
      <c r="C873" s="88" t="s">
        <v>152</v>
      </c>
      <c r="D873" s="89">
        <f>IF(C873="ID",1,(IF(C873="PR",2,(IF(C873="DE",3,(IF(C873="RS",4,(IF(C873="RC",5,0)))))))))</f>
        <v>2</v>
      </c>
      <c r="E873" s="89" t="s">
        <v>153</v>
      </c>
      <c r="F873" s="89">
        <f>IF(E873="AM",1,(IF(E873="BE",2,(IF(E873="GV",3,(IF(E873="RA",4,(IF(E873="RM",5,(IF(E873="AC",1,(IF(E873="AT",2,(IF(E873="DS",3,(IF(E873="IP",4,(IF(E873="MA",5,(IF(E873="PT",6,(IF(E873="AE",1,(IF(E873="CM",2,(IF(E873="DP",3,(IF(E873="AN",1,(IF(E873="CO",2,(IF(E873="IM",3,(IF(E873="MI",4,(IF(E873="RP",5,(IF(E873="SC",6,0)))))))))))))))))))))))))))))))))))))))</f>
        <v>1</v>
      </c>
      <c r="G873" s="52">
        <v>1</v>
      </c>
      <c r="H873" s="90" t="s">
        <v>115</v>
      </c>
      <c r="I873" s="93" t="s">
        <v>64</v>
      </c>
      <c r="J873" s="87" t="s">
        <v>1150</v>
      </c>
      <c r="K873" s="102" t="s">
        <v>2181</v>
      </c>
      <c r="L873" s="117">
        <f>IF(O873="","",N873*O873*M873)</f>
        <v>0</v>
      </c>
      <c r="M873" s="108">
        <v>1</v>
      </c>
      <c r="N873" s="95">
        <v>1</v>
      </c>
      <c r="O873" s="109">
        <f>IF(Key!D$1="ON",P873,IF(SUM(Q873:DL873)&lt;1,"",SUM(Q873:DL873)/COUNTIF(Q873:DL873,"&gt;0")))</f>
        <v>0</v>
      </c>
      <c r="P873" s="109">
        <f>SUMIFS(Q873:DK873,Q$1:DK$1,Dashboard!$K$31)</f>
        <v>0</v>
      </c>
      <c r="U873" s="95">
        <v>33</v>
      </c>
      <c r="AA873" s="95">
        <v>25</v>
      </c>
      <c r="AH873" s="95">
        <v>75</v>
      </c>
    </row>
    <row r="874" spans="1:34" x14ac:dyDescent="0.3">
      <c r="A874" s="89" t="str">
        <f>CONCATENATE(D874,".",F874,"-",G874,".",H874,"")</f>
        <v>2.1-1.1</v>
      </c>
      <c r="B874" s="89" t="str">
        <f>IF(CONCATENATE(I874,Key!F$2)=CONCATENATE(INDEX(Dashboard!J:J,MATCH(I874,Dashboard!J:J,0),1),INDEX(Dashboard!J:K,MATCH(I874,Dashboard!J:J,0),2)),"ON",IF(Dashboard!K$32="ALL","ON","-"))</f>
        <v>-</v>
      </c>
      <c r="C874" s="88" t="s">
        <v>152</v>
      </c>
      <c r="D874" s="89">
        <f>IF(C874="ID",1,(IF(C874="PR",2,(IF(C874="DE",3,(IF(C874="RS",4,(IF(C874="RC",5,0)))))))))</f>
        <v>2</v>
      </c>
      <c r="E874" s="89" t="s">
        <v>153</v>
      </c>
      <c r="F874" s="89">
        <f>IF(E874="AM",1,(IF(E874="BE",2,(IF(E874="GV",3,(IF(E874="RA",4,(IF(E874="RM",5,(IF(E874="AC",1,(IF(E874="AT",2,(IF(E874="DS",3,(IF(E874="IP",4,(IF(E874="MA",5,(IF(E874="PT",6,(IF(E874="AE",1,(IF(E874="CM",2,(IF(E874="DP",3,(IF(E874="AN",1,(IF(E874="CO",2,(IF(E874="IM",3,(IF(E874="MI",4,(IF(E874="RP",5,(IF(E874="SC",6,0)))))))))))))))))))))))))))))))))))))))</f>
        <v>1</v>
      </c>
      <c r="G874" s="52">
        <v>1</v>
      </c>
      <c r="H874" s="90" t="s">
        <v>115</v>
      </c>
      <c r="I874" s="93" t="s">
        <v>64</v>
      </c>
      <c r="J874" s="87" t="s">
        <v>1151</v>
      </c>
      <c r="K874" s="102" t="s">
        <v>2182</v>
      </c>
      <c r="L874" s="117">
        <f>IF(O874="","",N874*O874*M874)</f>
        <v>0</v>
      </c>
      <c r="M874" s="108">
        <v>1</v>
      </c>
      <c r="N874" s="95">
        <v>1</v>
      </c>
      <c r="O874" s="109">
        <f>IF(Key!D$1="ON",P874,IF(SUM(Q874:DL874)&lt;1,"",SUM(Q874:DL874)/COUNTIF(Q874:DL874,"&gt;0")))</f>
        <v>0</v>
      </c>
      <c r="P874" s="109">
        <f>SUMIFS(Q874:DK874,Q$1:DK$1,Dashboard!$K$31)</f>
        <v>0</v>
      </c>
      <c r="U874" s="95">
        <v>33</v>
      </c>
      <c r="AA874" s="95">
        <v>25</v>
      </c>
      <c r="AH874" s="95">
        <v>75</v>
      </c>
    </row>
    <row r="875" spans="1:34" ht="15.6" x14ac:dyDescent="0.3">
      <c r="A875" s="89" t="str">
        <f>CONCATENATE(D875,".",F875,"-",G875,".",H875,"")</f>
        <v>2.1-1.1</v>
      </c>
      <c r="B875" s="89" t="str">
        <f>IF(CONCATENATE(I875,Key!F$2)=CONCATENATE(INDEX(Dashboard!J:J,MATCH(I875,Dashboard!J:J,0),1),INDEX(Dashboard!J:K,MATCH(I875,Dashboard!J:J,0),2)),"ON",IF(Dashboard!K$32="ALL","ON","-"))</f>
        <v>-</v>
      </c>
      <c r="C875" s="88" t="s">
        <v>152</v>
      </c>
      <c r="D875" s="89">
        <f>IF(C875="ID",1,(IF(C875="PR",2,(IF(C875="DE",3,(IF(C875="RS",4,(IF(C875="RC",5,0)))))))))</f>
        <v>2</v>
      </c>
      <c r="E875" s="89" t="s">
        <v>153</v>
      </c>
      <c r="F875" s="89">
        <f>IF(E875="AM",1,(IF(E875="BE",2,(IF(E875="GV",3,(IF(E875="RA",4,(IF(E875="RM",5,(IF(E875="AC",1,(IF(E875="AT",2,(IF(E875="DS",3,(IF(E875="IP",4,(IF(E875="MA",5,(IF(E875="PT",6,(IF(E875="AE",1,(IF(E875="CM",2,(IF(E875="DP",3,(IF(E875="AN",1,(IF(E875="CO",2,(IF(E875="IM",3,(IF(E875="MI",4,(IF(E875="RP",5,(IF(E875="SC",6,0)))))))))))))))))))))))))))))))))))))))</f>
        <v>1</v>
      </c>
      <c r="G875" s="52">
        <v>1</v>
      </c>
      <c r="H875" s="90" t="s">
        <v>115</v>
      </c>
      <c r="I875" s="93" t="s">
        <v>64</v>
      </c>
      <c r="J875" s="87" t="s">
        <v>1152</v>
      </c>
      <c r="K875" s="102" t="s">
        <v>2183</v>
      </c>
      <c r="L875" s="117">
        <f>IF(O875="","",N875*O875*M875)</f>
        <v>0</v>
      </c>
      <c r="M875" s="108">
        <v>1</v>
      </c>
      <c r="N875" s="95">
        <v>1</v>
      </c>
      <c r="O875" s="109">
        <f>IF(Key!D$1="ON",P875,IF(SUM(Q875:DL875)&lt;1,"",SUM(Q875:DL875)/COUNTIF(Q875:DL875,"&gt;0")))</f>
        <v>0</v>
      </c>
      <c r="P875" s="109">
        <f>SUMIFS(Q875:DK875,Q$1:DK$1,Dashboard!$K$31)</f>
        <v>0</v>
      </c>
      <c r="U875" s="95">
        <v>33</v>
      </c>
      <c r="AA875" s="95">
        <v>25</v>
      </c>
      <c r="AH875" s="95">
        <v>75</v>
      </c>
    </row>
    <row r="876" spans="1:34" x14ac:dyDescent="0.3">
      <c r="A876" s="89" t="str">
        <f>CONCATENATE(D876,".",F876,"-",G876,".",H876,"")</f>
        <v>2.1-1.1</v>
      </c>
      <c r="B876" s="89" t="str">
        <f>IF(CONCATENATE(I876,Key!F$2)=CONCATENATE(INDEX(Dashboard!J:J,MATCH(I876,Dashboard!J:J,0),1),INDEX(Dashboard!J:K,MATCH(I876,Dashboard!J:J,0),2)),"ON",IF(Dashboard!K$32="ALL","ON","-"))</f>
        <v>-</v>
      </c>
      <c r="C876" s="88" t="s">
        <v>152</v>
      </c>
      <c r="D876" s="89">
        <f>IF(C876="ID",1,(IF(C876="PR",2,(IF(C876="DE",3,(IF(C876="RS",4,(IF(C876="RC",5,0)))))))))</f>
        <v>2</v>
      </c>
      <c r="E876" s="89" t="s">
        <v>153</v>
      </c>
      <c r="F876" s="89">
        <f>IF(E876="AM",1,(IF(E876="BE",2,(IF(E876="GV",3,(IF(E876="RA",4,(IF(E876="RM",5,(IF(E876="AC",1,(IF(E876="AT",2,(IF(E876="DS",3,(IF(E876="IP",4,(IF(E876="MA",5,(IF(E876="PT",6,(IF(E876="AE",1,(IF(E876="CM",2,(IF(E876="DP",3,(IF(E876="AN",1,(IF(E876="CO",2,(IF(E876="IM",3,(IF(E876="MI",4,(IF(E876="RP",5,(IF(E876="SC",6,0)))))))))))))))))))))))))))))))))))))))</f>
        <v>1</v>
      </c>
      <c r="G876" s="52">
        <v>1</v>
      </c>
      <c r="H876" s="90" t="s">
        <v>115</v>
      </c>
      <c r="I876" s="93" t="s">
        <v>64</v>
      </c>
      <c r="J876" s="87" t="s">
        <v>1153</v>
      </c>
      <c r="K876" s="102" t="s">
        <v>2184</v>
      </c>
      <c r="L876" s="117">
        <f>IF(O876="","",N876*O876*M876)</f>
        <v>0</v>
      </c>
      <c r="M876" s="108">
        <v>1</v>
      </c>
      <c r="N876" s="95">
        <v>1</v>
      </c>
      <c r="O876" s="109">
        <f>IF(Key!D$1="ON",P876,IF(SUM(Q876:DL876)&lt;1,"",SUM(Q876:DL876)/COUNTIF(Q876:DL876,"&gt;0")))</f>
        <v>0</v>
      </c>
      <c r="P876" s="109">
        <f>SUMIFS(Q876:DK876,Q$1:DK$1,Dashboard!$K$31)</f>
        <v>0</v>
      </c>
      <c r="U876" s="95">
        <v>33</v>
      </c>
      <c r="AA876" s="95">
        <v>25</v>
      </c>
      <c r="AH876" s="95">
        <v>75</v>
      </c>
    </row>
    <row r="877" spans="1:34" ht="15.6" x14ac:dyDescent="0.3">
      <c r="A877" s="89" t="str">
        <f>CONCATENATE(D877,".",F877,"-",G877,".",H877,"")</f>
        <v>2.1-1.1</v>
      </c>
      <c r="B877" s="89" t="str">
        <f>IF(CONCATENATE(I877,Key!F$2)=CONCATENATE(INDEX(Dashboard!J:J,MATCH(I877,Dashboard!J:J,0),1),INDEX(Dashboard!J:K,MATCH(I877,Dashboard!J:J,0),2)),"ON",IF(Dashboard!K$32="ALL","ON","-"))</f>
        <v>-</v>
      </c>
      <c r="C877" s="88" t="s">
        <v>152</v>
      </c>
      <c r="D877" s="89">
        <f>IF(C877="ID",1,(IF(C877="PR",2,(IF(C877="DE",3,(IF(C877="RS",4,(IF(C877="RC",5,0)))))))))</f>
        <v>2</v>
      </c>
      <c r="E877" s="89" t="s">
        <v>153</v>
      </c>
      <c r="F877" s="89">
        <f>IF(E877="AM",1,(IF(E877="BE",2,(IF(E877="GV",3,(IF(E877="RA",4,(IF(E877="RM",5,(IF(E877="AC",1,(IF(E877="AT",2,(IF(E877="DS",3,(IF(E877="IP",4,(IF(E877="MA",5,(IF(E877="PT",6,(IF(E877="AE",1,(IF(E877="CM",2,(IF(E877="DP",3,(IF(E877="AN",1,(IF(E877="CO",2,(IF(E877="IM",3,(IF(E877="MI",4,(IF(E877="RP",5,(IF(E877="SC",6,0)))))))))))))))))))))))))))))))))))))))</f>
        <v>1</v>
      </c>
      <c r="G877" s="52">
        <v>1</v>
      </c>
      <c r="H877" s="90" t="s">
        <v>115</v>
      </c>
      <c r="I877" s="93" t="s">
        <v>64</v>
      </c>
      <c r="J877" s="87" t="s">
        <v>1154</v>
      </c>
      <c r="K877" s="102" t="s">
        <v>2185</v>
      </c>
      <c r="L877" s="117">
        <f>IF(O877="","",N877*O877*M877)</f>
        <v>0</v>
      </c>
      <c r="M877" s="108">
        <v>1</v>
      </c>
      <c r="N877" s="95">
        <v>1</v>
      </c>
      <c r="O877" s="109">
        <f>IF(Key!D$1="ON",P877,IF(SUM(Q877:DL877)&lt;1,"",SUM(Q877:DL877)/COUNTIF(Q877:DL877,"&gt;0")))</f>
        <v>0</v>
      </c>
      <c r="P877" s="109">
        <f>SUMIFS(Q877:DK877,Q$1:DK$1,Dashboard!$K$31)</f>
        <v>0</v>
      </c>
      <c r="U877" s="95">
        <v>33</v>
      </c>
      <c r="AA877" s="95">
        <v>25</v>
      </c>
      <c r="AH877" s="95">
        <v>75</v>
      </c>
    </row>
    <row r="878" spans="1:34" x14ac:dyDescent="0.3">
      <c r="A878" s="89" t="str">
        <f>CONCATENATE(D878,".",F878,"-",G878,".",H878,"")</f>
        <v>2.1-1.1</v>
      </c>
      <c r="B878" s="89" t="str">
        <f>IF(CONCATENATE(I878,Key!F$2)=CONCATENATE(INDEX(Dashboard!J:J,MATCH(I878,Dashboard!J:J,0),1),INDEX(Dashboard!J:K,MATCH(I878,Dashboard!J:J,0),2)),"ON",IF(Dashboard!K$32="ALL","ON","-"))</f>
        <v>-</v>
      </c>
      <c r="C878" s="88" t="s">
        <v>152</v>
      </c>
      <c r="D878" s="89">
        <f>IF(C878="ID",1,(IF(C878="PR",2,(IF(C878="DE",3,(IF(C878="RS",4,(IF(C878="RC",5,0)))))))))</f>
        <v>2</v>
      </c>
      <c r="E878" s="89" t="s">
        <v>153</v>
      </c>
      <c r="F878" s="89">
        <f>IF(E878="AM",1,(IF(E878="BE",2,(IF(E878="GV",3,(IF(E878="RA",4,(IF(E878="RM",5,(IF(E878="AC",1,(IF(E878="AT",2,(IF(E878="DS",3,(IF(E878="IP",4,(IF(E878="MA",5,(IF(E878="PT",6,(IF(E878="AE",1,(IF(E878="CM",2,(IF(E878="DP",3,(IF(E878="AN",1,(IF(E878="CO",2,(IF(E878="IM",3,(IF(E878="MI",4,(IF(E878="RP",5,(IF(E878="SC",6,0)))))))))))))))))))))))))))))))))))))))</f>
        <v>1</v>
      </c>
      <c r="G878" s="52">
        <v>1</v>
      </c>
      <c r="H878" s="90" t="s">
        <v>115</v>
      </c>
      <c r="I878" s="93" t="s">
        <v>64</v>
      </c>
      <c r="J878" s="87" t="s">
        <v>1155</v>
      </c>
      <c r="K878" s="102" t="s">
        <v>2186</v>
      </c>
      <c r="L878" s="117">
        <f>IF(O878="","",N878*O878*M878)</f>
        <v>0</v>
      </c>
      <c r="M878" s="108">
        <v>1</v>
      </c>
      <c r="N878" s="95">
        <v>1</v>
      </c>
      <c r="O878" s="109">
        <f>IF(Key!D$1="ON",P878,IF(SUM(Q878:DL878)&lt;1,"",SUM(Q878:DL878)/COUNTIF(Q878:DL878,"&gt;0")))</f>
        <v>0</v>
      </c>
      <c r="P878" s="109">
        <f>SUMIFS(Q878:DK878,Q$1:DK$1,Dashboard!$K$31)</f>
        <v>0</v>
      </c>
      <c r="U878" s="95">
        <v>33</v>
      </c>
      <c r="AA878" s="95">
        <v>25</v>
      </c>
      <c r="AH878" s="95">
        <v>75</v>
      </c>
    </row>
    <row r="879" spans="1:34" x14ac:dyDescent="0.3">
      <c r="A879" s="89" t="str">
        <f>CONCATENATE(D879,".",F879,"-",G879,".",H879,"")</f>
        <v>2.1-1.1</v>
      </c>
      <c r="B879" s="89" t="str">
        <f>IF(CONCATENATE(I879,Key!F$2)=CONCATENATE(INDEX(Dashboard!J:J,MATCH(I879,Dashboard!J:J,0),1),INDEX(Dashboard!J:K,MATCH(I879,Dashboard!J:J,0),2)),"ON",IF(Dashboard!K$32="ALL","ON","-"))</f>
        <v>-</v>
      </c>
      <c r="C879" s="88" t="s">
        <v>152</v>
      </c>
      <c r="D879" s="89">
        <f>IF(C879="ID",1,(IF(C879="PR",2,(IF(C879="DE",3,(IF(C879="RS",4,(IF(C879="RC",5,0)))))))))</f>
        <v>2</v>
      </c>
      <c r="E879" s="89" t="s">
        <v>153</v>
      </c>
      <c r="F879" s="89">
        <f>IF(E879="AM",1,(IF(E879="BE",2,(IF(E879="GV",3,(IF(E879="RA",4,(IF(E879="RM",5,(IF(E879="AC",1,(IF(E879="AT",2,(IF(E879="DS",3,(IF(E879="IP",4,(IF(E879="MA",5,(IF(E879="PT",6,(IF(E879="AE",1,(IF(E879="CM",2,(IF(E879="DP",3,(IF(E879="AN",1,(IF(E879="CO",2,(IF(E879="IM",3,(IF(E879="MI",4,(IF(E879="RP",5,(IF(E879="SC",6,0)))))))))))))))))))))))))))))))))))))))</f>
        <v>1</v>
      </c>
      <c r="G879" s="52">
        <v>1</v>
      </c>
      <c r="H879" s="90" t="s">
        <v>115</v>
      </c>
      <c r="I879" s="93" t="s">
        <v>64</v>
      </c>
      <c r="J879" s="87" t="s">
        <v>1158</v>
      </c>
      <c r="K879" s="102" t="s">
        <v>2188</v>
      </c>
      <c r="L879" s="117">
        <f>IF(O879="","",N879*O879*M879)</f>
        <v>0</v>
      </c>
      <c r="M879" s="108">
        <v>1</v>
      </c>
      <c r="N879" s="95">
        <v>1</v>
      </c>
      <c r="O879" s="109">
        <f>IF(Key!D$1="ON",P879,IF(SUM(Q879:DL879)&lt;1,"",SUM(Q879:DL879)/COUNTIF(Q879:DL879,"&gt;0")))</f>
        <v>0</v>
      </c>
      <c r="P879" s="109">
        <f>SUMIFS(Q879:DK879,Q$1:DK$1,Dashboard!$K$31)</f>
        <v>0</v>
      </c>
      <c r="U879" s="95">
        <v>33</v>
      </c>
      <c r="AA879" s="95">
        <v>25</v>
      </c>
      <c r="AH879" s="95">
        <v>75</v>
      </c>
    </row>
    <row r="880" spans="1:34" x14ac:dyDescent="0.3">
      <c r="A880" s="89" t="str">
        <f>CONCATENATE(D880,".",F880,"-",G880,".",H880,"")</f>
        <v>2.1-1.1</v>
      </c>
      <c r="B880" s="89" t="str">
        <f>IF(CONCATENATE(I880,Key!F$2)=CONCATENATE(INDEX(Dashboard!J:J,MATCH(I880,Dashboard!J:J,0),1),INDEX(Dashboard!J:K,MATCH(I880,Dashboard!J:J,0),2)),"ON",IF(Dashboard!K$32="ALL","ON","-"))</f>
        <v>-</v>
      </c>
      <c r="C880" s="88" t="s">
        <v>152</v>
      </c>
      <c r="D880" s="89">
        <f>IF(C880="ID",1,(IF(C880="PR",2,(IF(C880="DE",3,(IF(C880="RS",4,(IF(C880="RC",5,0)))))))))</f>
        <v>2</v>
      </c>
      <c r="E880" s="89" t="s">
        <v>153</v>
      </c>
      <c r="F880" s="89">
        <f>IF(E880="AM",1,(IF(E880="BE",2,(IF(E880="GV",3,(IF(E880="RA",4,(IF(E880="RM",5,(IF(E880="AC",1,(IF(E880="AT",2,(IF(E880="DS",3,(IF(E880="IP",4,(IF(E880="MA",5,(IF(E880="PT",6,(IF(E880="AE",1,(IF(E880="CM",2,(IF(E880="DP",3,(IF(E880="AN",1,(IF(E880="CO",2,(IF(E880="IM",3,(IF(E880="MI",4,(IF(E880="RP",5,(IF(E880="SC",6,0)))))))))))))))))))))))))))))))))))))))</f>
        <v>1</v>
      </c>
      <c r="G880" s="52">
        <v>1</v>
      </c>
      <c r="H880" s="90" t="s">
        <v>115</v>
      </c>
      <c r="I880" s="93" t="s">
        <v>64</v>
      </c>
      <c r="J880" s="87" t="s">
        <v>1159</v>
      </c>
      <c r="K880" s="102" t="s">
        <v>2189</v>
      </c>
      <c r="L880" s="117">
        <f>IF(O880="","",N880*O880*M880)</f>
        <v>0</v>
      </c>
      <c r="M880" s="108">
        <v>1</v>
      </c>
      <c r="N880" s="95">
        <v>1</v>
      </c>
      <c r="O880" s="109">
        <f>IF(Key!D$1="ON",P880,IF(SUM(Q880:DL880)&lt;1,"",SUM(Q880:DL880)/COUNTIF(Q880:DL880,"&gt;0")))</f>
        <v>0</v>
      </c>
      <c r="P880" s="109">
        <f>SUMIFS(Q880:DK880,Q$1:DK$1,Dashboard!$K$31)</f>
        <v>0</v>
      </c>
      <c r="U880" s="95">
        <v>33</v>
      </c>
      <c r="AA880" s="95">
        <v>25</v>
      </c>
      <c r="AH880" s="95">
        <v>75</v>
      </c>
    </row>
    <row r="881" spans="1:34" x14ac:dyDescent="0.3">
      <c r="A881" s="89" t="str">
        <f>CONCATENATE(D881,".",F881,"-",G881,".",H881,"")</f>
        <v>2.1-1.1</v>
      </c>
      <c r="B881" s="89" t="str">
        <f>IF(CONCATENATE(I881,Key!F$2)=CONCATENATE(INDEX(Dashboard!J:J,MATCH(I881,Dashboard!J:J,0),1),INDEX(Dashboard!J:K,MATCH(I881,Dashboard!J:J,0),2)),"ON",IF(Dashboard!K$32="ALL","ON","-"))</f>
        <v>-</v>
      </c>
      <c r="C881" s="88" t="s">
        <v>152</v>
      </c>
      <c r="D881" s="89">
        <f>IF(C881="ID",1,(IF(C881="PR",2,(IF(C881="DE",3,(IF(C881="RS",4,(IF(C881="RC",5,0)))))))))</f>
        <v>2</v>
      </c>
      <c r="E881" s="89" t="s">
        <v>153</v>
      </c>
      <c r="F881" s="89">
        <f>IF(E881="AM",1,(IF(E881="BE",2,(IF(E881="GV",3,(IF(E881="RA",4,(IF(E881="RM",5,(IF(E881="AC",1,(IF(E881="AT",2,(IF(E881="DS",3,(IF(E881="IP",4,(IF(E881="MA",5,(IF(E881="PT",6,(IF(E881="AE",1,(IF(E881="CM",2,(IF(E881="DP",3,(IF(E881="AN",1,(IF(E881="CO",2,(IF(E881="IM",3,(IF(E881="MI",4,(IF(E881="RP",5,(IF(E881="SC",6,0)))))))))))))))))))))))))))))))))))))))</f>
        <v>1</v>
      </c>
      <c r="G881" s="52">
        <v>1</v>
      </c>
      <c r="H881" s="90" t="s">
        <v>115</v>
      </c>
      <c r="I881" s="93" t="s">
        <v>64</v>
      </c>
      <c r="J881" s="87" t="s">
        <v>1160</v>
      </c>
      <c r="K881" s="102" t="s">
        <v>2190</v>
      </c>
      <c r="L881" s="117">
        <f>IF(O881="","",N881*O881*M881)</f>
        <v>0</v>
      </c>
      <c r="M881" s="108">
        <v>1</v>
      </c>
      <c r="N881" s="95">
        <v>1</v>
      </c>
      <c r="O881" s="109">
        <f>IF(Key!D$1="ON",P881,IF(SUM(Q881:DL881)&lt;1,"",SUM(Q881:DL881)/COUNTIF(Q881:DL881,"&gt;0")))</f>
        <v>0</v>
      </c>
      <c r="P881" s="109">
        <f>SUMIFS(Q881:DK881,Q$1:DK$1,Dashboard!$K$31)</f>
        <v>0</v>
      </c>
      <c r="U881" s="95">
        <v>33</v>
      </c>
      <c r="AA881" s="95">
        <v>25</v>
      </c>
      <c r="AH881" s="95">
        <v>75</v>
      </c>
    </row>
    <row r="882" spans="1:34" ht="15.6" x14ac:dyDescent="0.3">
      <c r="A882" s="89" t="str">
        <f>CONCATENATE(D882,".",F882,"-",G882,".",H882,"")</f>
        <v>2.1-1.1</v>
      </c>
      <c r="B882" s="89" t="str">
        <f>IF(CONCATENATE(I882,Key!F$2)=CONCATENATE(INDEX(Dashboard!J:J,MATCH(I882,Dashboard!J:J,0),1),INDEX(Dashboard!J:K,MATCH(I882,Dashboard!J:J,0),2)),"ON",IF(Dashboard!K$32="ALL","ON","-"))</f>
        <v>-</v>
      </c>
      <c r="C882" s="88" t="s">
        <v>152</v>
      </c>
      <c r="D882" s="89">
        <f>IF(C882="ID",1,(IF(C882="PR",2,(IF(C882="DE",3,(IF(C882="RS",4,(IF(C882="RC",5,0)))))))))</f>
        <v>2</v>
      </c>
      <c r="E882" s="89" t="s">
        <v>153</v>
      </c>
      <c r="F882" s="89">
        <f>IF(E882="AM",1,(IF(E882="BE",2,(IF(E882="GV",3,(IF(E882="RA",4,(IF(E882="RM",5,(IF(E882="AC",1,(IF(E882="AT",2,(IF(E882="DS",3,(IF(E882="IP",4,(IF(E882="MA",5,(IF(E882="PT",6,(IF(E882="AE",1,(IF(E882="CM",2,(IF(E882="DP",3,(IF(E882="AN",1,(IF(E882="CO",2,(IF(E882="IM",3,(IF(E882="MI",4,(IF(E882="RP",5,(IF(E882="SC",6,0)))))))))))))))))))))))))))))))))))))))</f>
        <v>1</v>
      </c>
      <c r="G882" s="52">
        <v>1</v>
      </c>
      <c r="H882" s="90" t="s">
        <v>115</v>
      </c>
      <c r="I882" s="93" t="s">
        <v>64</v>
      </c>
      <c r="J882" s="87" t="s">
        <v>1161</v>
      </c>
      <c r="K882" s="102" t="s">
        <v>2191</v>
      </c>
      <c r="L882" s="117">
        <f>IF(O882="","",N882*O882*M882)</f>
        <v>0</v>
      </c>
      <c r="M882" s="108">
        <v>1</v>
      </c>
      <c r="N882" s="95">
        <v>1</v>
      </c>
      <c r="O882" s="109">
        <f>IF(Key!D$1="ON",P882,IF(SUM(Q882:DL882)&lt;1,"",SUM(Q882:DL882)/COUNTIF(Q882:DL882,"&gt;0")))</f>
        <v>0</v>
      </c>
      <c r="P882" s="109">
        <f>SUMIFS(Q882:DK882,Q$1:DK$1,Dashboard!$K$31)</f>
        <v>0</v>
      </c>
      <c r="U882" s="95">
        <v>33</v>
      </c>
      <c r="AA882" s="95">
        <v>25</v>
      </c>
      <c r="AH882" s="95">
        <v>75</v>
      </c>
    </row>
    <row r="883" spans="1:34" x14ac:dyDescent="0.3">
      <c r="A883" s="89" t="str">
        <f>CONCATENATE(D883,".",F883,"-",G883,".",H883,"")</f>
        <v>2.1-1.1</v>
      </c>
      <c r="B883" s="89" t="str">
        <f>IF(CONCATENATE(I883,Key!F$2)=CONCATENATE(INDEX(Dashboard!J:J,MATCH(I883,Dashboard!J:J,0),1),INDEX(Dashboard!J:K,MATCH(I883,Dashboard!J:J,0),2)),"ON",IF(Dashboard!K$32="ALL","ON","-"))</f>
        <v>-</v>
      </c>
      <c r="C883" s="88" t="s">
        <v>152</v>
      </c>
      <c r="D883" s="89">
        <f>IF(C883="ID",1,(IF(C883="PR",2,(IF(C883="DE",3,(IF(C883="RS",4,(IF(C883="RC",5,0)))))))))</f>
        <v>2</v>
      </c>
      <c r="E883" s="89" t="s">
        <v>153</v>
      </c>
      <c r="F883" s="89">
        <f>IF(E883="AM",1,(IF(E883="BE",2,(IF(E883="GV",3,(IF(E883="RA",4,(IF(E883="RM",5,(IF(E883="AC",1,(IF(E883="AT",2,(IF(E883="DS",3,(IF(E883="IP",4,(IF(E883="MA",5,(IF(E883="PT",6,(IF(E883="AE",1,(IF(E883="CM",2,(IF(E883="DP",3,(IF(E883="AN",1,(IF(E883="CO",2,(IF(E883="IM",3,(IF(E883="MI",4,(IF(E883="RP",5,(IF(E883="SC",6,0)))))))))))))))))))))))))))))))))))))))</f>
        <v>1</v>
      </c>
      <c r="G883" s="52">
        <v>1</v>
      </c>
      <c r="H883" s="90" t="s">
        <v>115</v>
      </c>
      <c r="I883" s="93" t="s">
        <v>64</v>
      </c>
      <c r="J883" s="87" t="s">
        <v>1162</v>
      </c>
      <c r="K883" s="102" t="s">
        <v>2192</v>
      </c>
      <c r="L883" s="117">
        <f>IF(O883="","",N883*O883*M883)</f>
        <v>0</v>
      </c>
      <c r="M883" s="108">
        <v>1</v>
      </c>
      <c r="N883" s="95">
        <v>1</v>
      </c>
      <c r="O883" s="109">
        <f>IF(Key!D$1="ON",P883,IF(SUM(Q883:DL883)&lt;1,"",SUM(Q883:DL883)/COUNTIF(Q883:DL883,"&gt;0")))</f>
        <v>0</v>
      </c>
      <c r="P883" s="109">
        <f>SUMIFS(Q883:DK883,Q$1:DK$1,Dashboard!$K$31)</f>
        <v>0</v>
      </c>
      <c r="U883" s="95">
        <v>33</v>
      </c>
      <c r="AA883" s="95">
        <v>25</v>
      </c>
      <c r="AH883" s="95">
        <v>75</v>
      </c>
    </row>
    <row r="884" spans="1:34" x14ac:dyDescent="0.3">
      <c r="A884" s="89" t="str">
        <f>CONCATENATE(D884,".",F884,"-",G884,".",H884,"")</f>
        <v>2.1-1.1</v>
      </c>
      <c r="B884" s="89" t="str">
        <f>IF(CONCATENATE(I884,Key!F$2)=CONCATENATE(INDEX(Dashboard!J:J,MATCH(I884,Dashboard!J:J,0),1),INDEX(Dashboard!J:K,MATCH(I884,Dashboard!J:J,0),2)),"ON",IF(Dashboard!K$32="ALL","ON","-"))</f>
        <v>-</v>
      </c>
      <c r="C884" s="88" t="s">
        <v>152</v>
      </c>
      <c r="D884" s="89">
        <f>IF(C884="ID",1,(IF(C884="PR",2,(IF(C884="DE",3,(IF(C884="RS",4,(IF(C884="RC",5,0)))))))))</f>
        <v>2</v>
      </c>
      <c r="E884" s="89" t="s">
        <v>153</v>
      </c>
      <c r="F884" s="89">
        <f>IF(E884="AM",1,(IF(E884="BE",2,(IF(E884="GV",3,(IF(E884="RA",4,(IF(E884="RM",5,(IF(E884="AC",1,(IF(E884="AT",2,(IF(E884="DS",3,(IF(E884="IP",4,(IF(E884="MA",5,(IF(E884="PT",6,(IF(E884="AE",1,(IF(E884="CM",2,(IF(E884="DP",3,(IF(E884="AN",1,(IF(E884="CO",2,(IF(E884="IM",3,(IF(E884="MI",4,(IF(E884="RP",5,(IF(E884="SC",6,0)))))))))))))))))))))))))))))))))))))))</f>
        <v>1</v>
      </c>
      <c r="G884" s="52">
        <v>1</v>
      </c>
      <c r="H884" s="90" t="s">
        <v>115</v>
      </c>
      <c r="I884" s="93" t="s">
        <v>64</v>
      </c>
      <c r="J884" s="87" t="s">
        <v>1163</v>
      </c>
      <c r="K884" s="102" t="s">
        <v>2193</v>
      </c>
      <c r="L884" s="117">
        <f>IF(O884="","",N884*O884*M884)</f>
        <v>0</v>
      </c>
      <c r="M884" s="108">
        <v>1</v>
      </c>
      <c r="N884" s="95">
        <v>1</v>
      </c>
      <c r="O884" s="109">
        <f>IF(Key!D$1="ON",P884,IF(SUM(Q884:DL884)&lt;1,"",SUM(Q884:DL884)/COUNTIF(Q884:DL884,"&gt;0")))</f>
        <v>0</v>
      </c>
      <c r="P884" s="109">
        <f>SUMIFS(Q884:DK884,Q$1:DK$1,Dashboard!$K$31)</f>
        <v>0</v>
      </c>
      <c r="U884" s="95">
        <v>33</v>
      </c>
      <c r="AA884" s="95">
        <v>25</v>
      </c>
      <c r="AH884" s="95">
        <v>75</v>
      </c>
    </row>
    <row r="885" spans="1:34" x14ac:dyDescent="0.3">
      <c r="A885" s="89" t="str">
        <f>CONCATENATE(D885,".",F885,"-",G885,".",H885,"")</f>
        <v>2.1-1.1</v>
      </c>
      <c r="B885" s="89" t="str">
        <f>IF(CONCATENATE(I885,Key!F$2)=CONCATENATE(INDEX(Dashboard!J:J,MATCH(I885,Dashboard!J:J,0),1),INDEX(Dashboard!J:K,MATCH(I885,Dashboard!J:J,0),2)),"ON",IF(Dashboard!K$32="ALL","ON","-"))</f>
        <v>-</v>
      </c>
      <c r="C885" s="88" t="s">
        <v>152</v>
      </c>
      <c r="D885" s="89">
        <f>IF(C885="ID",1,(IF(C885="PR",2,(IF(C885="DE",3,(IF(C885="RS",4,(IF(C885="RC",5,0)))))))))</f>
        <v>2</v>
      </c>
      <c r="E885" s="89" t="s">
        <v>153</v>
      </c>
      <c r="F885" s="89">
        <f>IF(E885="AM",1,(IF(E885="BE",2,(IF(E885="GV",3,(IF(E885="RA",4,(IF(E885="RM",5,(IF(E885="AC",1,(IF(E885="AT",2,(IF(E885="DS",3,(IF(E885="IP",4,(IF(E885="MA",5,(IF(E885="PT",6,(IF(E885="AE",1,(IF(E885="CM",2,(IF(E885="DP",3,(IF(E885="AN",1,(IF(E885="CO",2,(IF(E885="IM",3,(IF(E885="MI",4,(IF(E885="RP",5,(IF(E885="SC",6,0)))))))))))))))))))))))))))))))))))))))</f>
        <v>1</v>
      </c>
      <c r="G885" s="52">
        <v>1</v>
      </c>
      <c r="H885" s="90" t="s">
        <v>115</v>
      </c>
      <c r="I885" s="93" t="s">
        <v>64</v>
      </c>
      <c r="J885" s="87" t="s">
        <v>1164</v>
      </c>
      <c r="K885" s="102" t="s">
        <v>2194</v>
      </c>
      <c r="L885" s="117">
        <f>IF(O885="","",N885*O885*M885)</f>
        <v>0</v>
      </c>
      <c r="M885" s="108">
        <v>1</v>
      </c>
      <c r="N885" s="95">
        <v>1</v>
      </c>
      <c r="O885" s="109">
        <f>IF(Key!D$1="ON",P885,IF(SUM(Q885:DL885)&lt;1,"",SUM(Q885:DL885)/COUNTIF(Q885:DL885,"&gt;0")))</f>
        <v>0</v>
      </c>
      <c r="P885" s="109">
        <f>SUMIFS(Q885:DK885,Q$1:DK$1,Dashboard!$K$31)</f>
        <v>0</v>
      </c>
      <c r="U885" s="95">
        <v>33</v>
      </c>
      <c r="AA885" s="95">
        <v>25</v>
      </c>
      <c r="AH885" s="95">
        <v>75</v>
      </c>
    </row>
    <row r="886" spans="1:34" x14ac:dyDescent="0.3">
      <c r="A886" s="89" t="str">
        <f>CONCATENATE(D886,".",F886,"-",G886,".",H886,"")</f>
        <v>2.1-1.1</v>
      </c>
      <c r="B886" s="89" t="str">
        <f>IF(CONCATENATE(I886,Key!F$2)=CONCATENATE(INDEX(Dashboard!J:J,MATCH(I886,Dashboard!J:J,0),1),INDEX(Dashboard!J:K,MATCH(I886,Dashboard!J:J,0),2)),"ON",IF(Dashboard!K$32="ALL","ON","-"))</f>
        <v>-</v>
      </c>
      <c r="C886" s="88" t="s">
        <v>152</v>
      </c>
      <c r="D886" s="89">
        <f>IF(C886="ID",1,(IF(C886="PR",2,(IF(C886="DE",3,(IF(C886="RS",4,(IF(C886="RC",5,0)))))))))</f>
        <v>2</v>
      </c>
      <c r="E886" s="89" t="s">
        <v>153</v>
      </c>
      <c r="F886" s="89">
        <f>IF(E886="AM",1,(IF(E886="BE",2,(IF(E886="GV",3,(IF(E886="RA",4,(IF(E886="RM",5,(IF(E886="AC",1,(IF(E886="AT",2,(IF(E886="DS",3,(IF(E886="IP",4,(IF(E886="MA",5,(IF(E886="PT",6,(IF(E886="AE",1,(IF(E886="CM",2,(IF(E886="DP",3,(IF(E886="AN",1,(IF(E886="CO",2,(IF(E886="IM",3,(IF(E886="MI",4,(IF(E886="RP",5,(IF(E886="SC",6,0)))))))))))))))))))))))))))))))))))))))</f>
        <v>1</v>
      </c>
      <c r="G886" s="52">
        <v>1</v>
      </c>
      <c r="H886" s="90" t="s">
        <v>115</v>
      </c>
      <c r="I886" s="93" t="s">
        <v>64</v>
      </c>
      <c r="J886" s="87" t="s">
        <v>696</v>
      </c>
      <c r="K886" s="102" t="s">
        <v>2195</v>
      </c>
      <c r="L886" s="117">
        <f>IF(O886="","",N886*O886*M886)</f>
        <v>0</v>
      </c>
      <c r="M886" s="108">
        <v>1</v>
      </c>
      <c r="N886" s="95">
        <v>1</v>
      </c>
      <c r="O886" s="109">
        <f>IF(Key!D$1="ON",P886,IF(SUM(Q886:DL886)&lt;1,"",SUM(Q886:DL886)/COUNTIF(Q886:DL886,"&gt;0")))</f>
        <v>0</v>
      </c>
      <c r="P886" s="109">
        <f>SUMIFS(Q886:DK886,Q$1:DK$1,Dashboard!$K$31)</f>
        <v>0</v>
      </c>
      <c r="U886" s="95">
        <v>33</v>
      </c>
      <c r="AA886" s="95">
        <v>25</v>
      </c>
      <c r="AH886" s="95">
        <v>75</v>
      </c>
    </row>
    <row r="887" spans="1:34" x14ac:dyDescent="0.3">
      <c r="A887" s="89" t="str">
        <f>CONCATENATE(D887,".",F887,"-",G887,".",H887,"")</f>
        <v>2.1-1.1</v>
      </c>
      <c r="B887" s="89" t="str">
        <f>IF(CONCATENATE(I887,Key!F$2)=CONCATENATE(INDEX(Dashboard!J:J,MATCH(I887,Dashboard!J:J,0),1),INDEX(Dashboard!J:K,MATCH(I887,Dashboard!J:J,0),2)),"ON",IF(Dashboard!K$32="ALL","ON","-"))</f>
        <v>-</v>
      </c>
      <c r="C887" s="88" t="s">
        <v>152</v>
      </c>
      <c r="D887" s="89">
        <f>IF(C887="ID",1,(IF(C887="PR",2,(IF(C887="DE",3,(IF(C887="RS",4,(IF(C887="RC",5,0)))))))))</f>
        <v>2</v>
      </c>
      <c r="E887" s="89" t="s">
        <v>153</v>
      </c>
      <c r="F887" s="89">
        <f>IF(E887="AM",1,(IF(E887="BE",2,(IF(E887="GV",3,(IF(E887="RA",4,(IF(E887="RM",5,(IF(E887="AC",1,(IF(E887="AT",2,(IF(E887="DS",3,(IF(E887="IP",4,(IF(E887="MA",5,(IF(E887="PT",6,(IF(E887="AE",1,(IF(E887="CM",2,(IF(E887="DP",3,(IF(E887="AN",1,(IF(E887="CO",2,(IF(E887="IM",3,(IF(E887="MI",4,(IF(E887="RP",5,(IF(E887="SC",6,0)))))))))))))))))))))))))))))))))))))))</f>
        <v>1</v>
      </c>
      <c r="G887" s="52">
        <v>1</v>
      </c>
      <c r="H887" s="90" t="s">
        <v>115</v>
      </c>
      <c r="I887" s="93" t="s">
        <v>64</v>
      </c>
      <c r="J887" s="87" t="s">
        <v>1165</v>
      </c>
      <c r="K887" s="102" t="s">
        <v>2196</v>
      </c>
      <c r="L887" s="117">
        <f>IF(O887="","",N887*O887*M887)</f>
        <v>0</v>
      </c>
      <c r="M887" s="108">
        <v>1</v>
      </c>
      <c r="N887" s="95">
        <v>1</v>
      </c>
      <c r="O887" s="109">
        <f>IF(Key!D$1="ON",P887,IF(SUM(Q887:DL887)&lt;1,"",SUM(Q887:DL887)/COUNTIF(Q887:DL887,"&gt;0")))</f>
        <v>0</v>
      </c>
      <c r="P887" s="109">
        <f>SUMIFS(Q887:DK887,Q$1:DK$1,Dashboard!$K$31)</f>
        <v>0</v>
      </c>
      <c r="U887" s="95">
        <v>33</v>
      </c>
      <c r="AA887" s="95">
        <v>25</v>
      </c>
      <c r="AH887" s="95">
        <v>75</v>
      </c>
    </row>
    <row r="888" spans="1:34" x14ac:dyDescent="0.3">
      <c r="A888" s="89" t="str">
        <f>CONCATENATE(D888,".",F888,"-",G888,".",H888,"")</f>
        <v>2.1-1.1</v>
      </c>
      <c r="B888" s="89" t="str">
        <f>IF(CONCATENATE(I888,Key!F$2)=CONCATENATE(INDEX(Dashboard!J:J,MATCH(I888,Dashboard!J:J,0),1),INDEX(Dashboard!J:K,MATCH(I888,Dashboard!J:J,0),2)),"ON",IF(Dashboard!K$32="ALL","ON","-"))</f>
        <v>-</v>
      </c>
      <c r="C888" s="88" t="s">
        <v>152</v>
      </c>
      <c r="D888" s="89">
        <f>IF(C888="ID",1,(IF(C888="PR",2,(IF(C888="DE",3,(IF(C888="RS",4,(IF(C888="RC",5,0)))))))))</f>
        <v>2</v>
      </c>
      <c r="E888" s="89" t="s">
        <v>153</v>
      </c>
      <c r="F888" s="89">
        <f>IF(E888="AM",1,(IF(E888="BE",2,(IF(E888="GV",3,(IF(E888="RA",4,(IF(E888="RM",5,(IF(E888="AC",1,(IF(E888="AT",2,(IF(E888="DS",3,(IF(E888="IP",4,(IF(E888="MA",5,(IF(E888="PT",6,(IF(E888="AE",1,(IF(E888="CM",2,(IF(E888="DP",3,(IF(E888="AN",1,(IF(E888="CO",2,(IF(E888="IM",3,(IF(E888="MI",4,(IF(E888="RP",5,(IF(E888="SC",6,0)))))))))))))))))))))))))))))))))))))))</f>
        <v>1</v>
      </c>
      <c r="G888" s="52">
        <v>1</v>
      </c>
      <c r="H888" s="90" t="s">
        <v>115</v>
      </c>
      <c r="I888" s="93" t="s">
        <v>64</v>
      </c>
      <c r="J888" s="87" t="s">
        <v>1166</v>
      </c>
      <c r="K888" s="102" t="s">
        <v>2197</v>
      </c>
      <c r="L888" s="117">
        <f>IF(O888="","",N888*O888*M888)</f>
        <v>0</v>
      </c>
      <c r="M888" s="108">
        <v>1</v>
      </c>
      <c r="N888" s="95">
        <v>1</v>
      </c>
      <c r="O888" s="109">
        <f>IF(Key!D$1="ON",P888,IF(SUM(Q888:DL888)&lt;1,"",SUM(Q888:DL888)/COUNTIF(Q888:DL888,"&gt;0")))</f>
        <v>0</v>
      </c>
      <c r="P888" s="109">
        <f>SUMIFS(Q888:DK888,Q$1:DK$1,Dashboard!$K$31)</f>
        <v>0</v>
      </c>
      <c r="U888" s="95">
        <v>33</v>
      </c>
      <c r="AA888" s="95">
        <v>25</v>
      </c>
      <c r="AH888" s="95">
        <v>75</v>
      </c>
    </row>
    <row r="889" spans="1:34" x14ac:dyDescent="0.3">
      <c r="A889" s="89" t="str">
        <f>CONCATENATE(D889,".",F889,"-",G889,".",H889,"")</f>
        <v>2.1-1.1</v>
      </c>
      <c r="B889" s="89" t="str">
        <f>IF(CONCATENATE(I889,Key!F$2)=CONCATENATE(INDEX(Dashboard!J:J,MATCH(I889,Dashboard!J:J,0),1),INDEX(Dashboard!J:K,MATCH(I889,Dashboard!J:J,0),2)),"ON",IF(Dashboard!K$32="ALL","ON","-"))</f>
        <v>-</v>
      </c>
      <c r="C889" s="88" t="s">
        <v>152</v>
      </c>
      <c r="D889" s="89">
        <f>IF(C889="ID",1,(IF(C889="PR",2,(IF(C889="DE",3,(IF(C889="RS",4,(IF(C889="RC",5,0)))))))))</f>
        <v>2</v>
      </c>
      <c r="E889" s="89" t="s">
        <v>153</v>
      </c>
      <c r="F889" s="89">
        <f>IF(E889="AM",1,(IF(E889="BE",2,(IF(E889="GV",3,(IF(E889="RA",4,(IF(E889="RM",5,(IF(E889="AC",1,(IF(E889="AT",2,(IF(E889="DS",3,(IF(E889="IP",4,(IF(E889="MA",5,(IF(E889="PT",6,(IF(E889="AE",1,(IF(E889="CM",2,(IF(E889="DP",3,(IF(E889="AN",1,(IF(E889="CO",2,(IF(E889="IM",3,(IF(E889="MI",4,(IF(E889="RP",5,(IF(E889="SC",6,0)))))))))))))))))))))))))))))))))))))))</f>
        <v>1</v>
      </c>
      <c r="G889" s="52">
        <v>1</v>
      </c>
      <c r="H889" s="90" t="s">
        <v>115</v>
      </c>
      <c r="I889" s="93" t="s">
        <v>64</v>
      </c>
      <c r="J889" s="87" t="s">
        <v>1167</v>
      </c>
      <c r="K889" s="102" t="s">
        <v>2198</v>
      </c>
      <c r="L889" s="117">
        <f>IF(O889="","",N889*O889*M889)</f>
        <v>0</v>
      </c>
      <c r="M889" s="108">
        <v>1</v>
      </c>
      <c r="N889" s="95">
        <v>1</v>
      </c>
      <c r="O889" s="109">
        <f>IF(Key!D$1="ON",P889,IF(SUM(Q889:DL889)&lt;1,"",SUM(Q889:DL889)/COUNTIF(Q889:DL889,"&gt;0")))</f>
        <v>0</v>
      </c>
      <c r="P889" s="109">
        <f>SUMIFS(Q889:DK889,Q$1:DK$1,Dashboard!$K$31)</f>
        <v>0</v>
      </c>
      <c r="U889" s="95">
        <v>33</v>
      </c>
      <c r="AA889" s="95">
        <v>25</v>
      </c>
      <c r="AH889" s="95">
        <v>75</v>
      </c>
    </row>
    <row r="890" spans="1:34" x14ac:dyDescent="0.3">
      <c r="A890" s="89" t="str">
        <f>CONCATENATE(D890,".",F890,"-",G890,".",H890,"")</f>
        <v>2.1-1.1</v>
      </c>
      <c r="B890" s="89" t="str">
        <f>IF(CONCATENATE(I890,Key!F$2)=CONCATENATE(INDEX(Dashboard!J:J,MATCH(I890,Dashboard!J:J,0),1),INDEX(Dashboard!J:K,MATCH(I890,Dashboard!J:J,0),2)),"ON",IF(Dashboard!K$32="ALL","ON","-"))</f>
        <v>-</v>
      </c>
      <c r="C890" s="88" t="s">
        <v>152</v>
      </c>
      <c r="D890" s="89">
        <f>IF(C890="ID",1,(IF(C890="PR",2,(IF(C890="DE",3,(IF(C890="RS",4,(IF(C890="RC",5,0)))))))))</f>
        <v>2</v>
      </c>
      <c r="E890" s="89" t="s">
        <v>153</v>
      </c>
      <c r="F890" s="89">
        <f>IF(E890="AM",1,(IF(E890="BE",2,(IF(E890="GV",3,(IF(E890="RA",4,(IF(E890="RM",5,(IF(E890="AC",1,(IF(E890="AT",2,(IF(E890="DS",3,(IF(E890="IP",4,(IF(E890="MA",5,(IF(E890="PT",6,(IF(E890="AE",1,(IF(E890="CM",2,(IF(E890="DP",3,(IF(E890="AN",1,(IF(E890="CO",2,(IF(E890="IM",3,(IF(E890="MI",4,(IF(E890="RP",5,(IF(E890="SC",6,0)))))))))))))))))))))))))))))))))))))))</f>
        <v>1</v>
      </c>
      <c r="G890" s="52">
        <v>1</v>
      </c>
      <c r="H890" s="90" t="s">
        <v>115</v>
      </c>
      <c r="I890" s="93" t="s">
        <v>64</v>
      </c>
      <c r="J890" s="87" t="s">
        <v>1168</v>
      </c>
      <c r="K890" s="102" t="s">
        <v>2199</v>
      </c>
      <c r="L890" s="117">
        <f>IF(O890="","",N890*O890*M890)</f>
        <v>0</v>
      </c>
      <c r="M890" s="108">
        <v>1</v>
      </c>
      <c r="N890" s="95">
        <v>1</v>
      </c>
      <c r="O890" s="109">
        <f>IF(Key!D$1="ON",P890,IF(SUM(Q890:DL890)&lt;1,"",SUM(Q890:DL890)/COUNTIF(Q890:DL890,"&gt;0")))</f>
        <v>0</v>
      </c>
      <c r="P890" s="109">
        <f>SUMIFS(Q890:DK890,Q$1:DK$1,Dashboard!$K$31)</f>
        <v>0</v>
      </c>
      <c r="U890" s="95">
        <v>33</v>
      </c>
      <c r="AA890" s="95">
        <v>25</v>
      </c>
      <c r="AH890" s="95">
        <v>75</v>
      </c>
    </row>
    <row r="891" spans="1:34" ht="15.6" x14ac:dyDescent="0.3">
      <c r="A891" s="89" t="str">
        <f>CONCATENATE(D891,".",F891,"-",G891,".",H891,"")</f>
        <v>2.1-1.1</v>
      </c>
      <c r="B891" s="89" t="str">
        <f>IF(CONCATENATE(I891,Key!F$2)=CONCATENATE(INDEX(Dashboard!J:J,MATCH(I891,Dashboard!J:J,0),1),INDEX(Dashboard!J:K,MATCH(I891,Dashboard!J:J,0),2)),"ON",IF(Dashboard!K$32="ALL","ON","-"))</f>
        <v>-</v>
      </c>
      <c r="C891" s="88" t="s">
        <v>152</v>
      </c>
      <c r="D891" s="89">
        <f>IF(C891="ID",1,(IF(C891="PR",2,(IF(C891="DE",3,(IF(C891="RS",4,(IF(C891="RC",5,0)))))))))</f>
        <v>2</v>
      </c>
      <c r="E891" s="89" t="s">
        <v>153</v>
      </c>
      <c r="F891" s="89">
        <f>IF(E891="AM",1,(IF(E891="BE",2,(IF(E891="GV",3,(IF(E891="RA",4,(IF(E891="RM",5,(IF(E891="AC",1,(IF(E891="AT",2,(IF(E891="DS",3,(IF(E891="IP",4,(IF(E891="MA",5,(IF(E891="PT",6,(IF(E891="AE",1,(IF(E891="CM",2,(IF(E891="DP",3,(IF(E891="AN",1,(IF(E891="CO",2,(IF(E891="IM",3,(IF(E891="MI",4,(IF(E891="RP",5,(IF(E891="SC",6,0)))))))))))))))))))))))))))))))))))))))</f>
        <v>1</v>
      </c>
      <c r="G891" s="52">
        <v>1</v>
      </c>
      <c r="H891" s="90" t="s">
        <v>115</v>
      </c>
      <c r="I891" s="93" t="s">
        <v>64</v>
      </c>
      <c r="J891" s="87" t="s">
        <v>1169</v>
      </c>
      <c r="K891" s="102" t="s">
        <v>2200</v>
      </c>
      <c r="L891" s="117">
        <f>IF(O891="","",N891*O891*M891)</f>
        <v>0</v>
      </c>
      <c r="M891" s="108">
        <v>1</v>
      </c>
      <c r="N891" s="95">
        <v>1</v>
      </c>
      <c r="O891" s="109">
        <f>IF(Key!D$1="ON",P891,IF(SUM(Q891:DL891)&lt;1,"",SUM(Q891:DL891)/COUNTIF(Q891:DL891,"&gt;0")))</f>
        <v>0</v>
      </c>
      <c r="P891" s="109">
        <f>SUMIFS(Q891:DK891,Q$1:DK$1,Dashboard!$K$31)</f>
        <v>0</v>
      </c>
      <c r="U891" s="95">
        <v>33</v>
      </c>
      <c r="AA891" s="95">
        <v>25</v>
      </c>
      <c r="AH891" s="95">
        <v>75</v>
      </c>
    </row>
    <row r="892" spans="1:34" ht="15.6" x14ac:dyDescent="0.3">
      <c r="A892" s="89" t="str">
        <f>CONCATENATE(D892,".",F892,"-",G892,".",H892,"")</f>
        <v>2.1-1.1</v>
      </c>
      <c r="B892" s="89" t="str">
        <f>IF(CONCATENATE(I892,Key!F$2)=CONCATENATE(INDEX(Dashboard!J:J,MATCH(I892,Dashboard!J:J,0),1),INDEX(Dashboard!J:K,MATCH(I892,Dashboard!J:J,0),2)),"ON",IF(Dashboard!K$32="ALL","ON","-"))</f>
        <v>-</v>
      </c>
      <c r="C892" s="88" t="s">
        <v>152</v>
      </c>
      <c r="D892" s="89">
        <f>IF(C892="ID",1,(IF(C892="PR",2,(IF(C892="DE",3,(IF(C892="RS",4,(IF(C892="RC",5,0)))))))))</f>
        <v>2</v>
      </c>
      <c r="E892" s="89" t="s">
        <v>153</v>
      </c>
      <c r="F892" s="89">
        <f>IF(E892="AM",1,(IF(E892="BE",2,(IF(E892="GV",3,(IF(E892="RA",4,(IF(E892="RM",5,(IF(E892="AC",1,(IF(E892="AT",2,(IF(E892="DS",3,(IF(E892="IP",4,(IF(E892="MA",5,(IF(E892="PT",6,(IF(E892="AE",1,(IF(E892="CM",2,(IF(E892="DP",3,(IF(E892="AN",1,(IF(E892="CO",2,(IF(E892="IM",3,(IF(E892="MI",4,(IF(E892="RP",5,(IF(E892="SC",6,0)))))))))))))))))))))))))))))))))))))))</f>
        <v>1</v>
      </c>
      <c r="G892" s="52">
        <v>1</v>
      </c>
      <c r="H892" s="90" t="s">
        <v>115</v>
      </c>
      <c r="I892" s="93" t="s">
        <v>64</v>
      </c>
      <c r="J892" s="87" t="s">
        <v>1170</v>
      </c>
      <c r="K892" s="102" t="s">
        <v>2201</v>
      </c>
      <c r="L892" s="117">
        <f>IF(O892="","",N892*O892*M892)</f>
        <v>0</v>
      </c>
      <c r="M892" s="108">
        <v>1</v>
      </c>
      <c r="N892" s="95">
        <v>1</v>
      </c>
      <c r="O892" s="109">
        <f>IF(Key!D$1="ON",P892,IF(SUM(Q892:DL892)&lt;1,"",SUM(Q892:DL892)/COUNTIF(Q892:DL892,"&gt;0")))</f>
        <v>0</v>
      </c>
      <c r="P892" s="109">
        <f>SUMIFS(Q892:DK892,Q$1:DK$1,Dashboard!$K$31)</f>
        <v>0</v>
      </c>
      <c r="U892" s="95">
        <v>33</v>
      </c>
      <c r="AA892" s="95">
        <v>25</v>
      </c>
      <c r="AH892" s="95">
        <v>75</v>
      </c>
    </row>
    <row r="893" spans="1:34" ht="15.6" x14ac:dyDescent="0.3">
      <c r="A893" s="89" t="str">
        <f>CONCATENATE(D893,".",F893,"-",G893,".",H893,"")</f>
        <v>2.1-1.1</v>
      </c>
      <c r="B893" s="89" t="str">
        <f>IF(CONCATENATE(I893,Key!F$2)=CONCATENATE(INDEX(Dashboard!J:J,MATCH(I893,Dashboard!J:J,0),1),INDEX(Dashboard!J:K,MATCH(I893,Dashboard!J:J,0),2)),"ON",IF(Dashboard!K$32="ALL","ON","-"))</f>
        <v>-</v>
      </c>
      <c r="C893" s="88" t="s">
        <v>152</v>
      </c>
      <c r="D893" s="89">
        <f>IF(C893="ID",1,(IF(C893="PR",2,(IF(C893="DE",3,(IF(C893="RS",4,(IF(C893="RC",5,0)))))))))</f>
        <v>2</v>
      </c>
      <c r="E893" s="89" t="s">
        <v>153</v>
      </c>
      <c r="F893" s="89">
        <f>IF(E893="AM",1,(IF(E893="BE",2,(IF(E893="GV",3,(IF(E893="RA",4,(IF(E893="RM",5,(IF(E893="AC",1,(IF(E893="AT",2,(IF(E893="DS",3,(IF(E893="IP",4,(IF(E893="MA",5,(IF(E893="PT",6,(IF(E893="AE",1,(IF(E893="CM",2,(IF(E893="DP",3,(IF(E893="AN",1,(IF(E893="CO",2,(IF(E893="IM",3,(IF(E893="MI",4,(IF(E893="RP",5,(IF(E893="SC",6,0)))))))))))))))))))))))))))))))))))))))</f>
        <v>1</v>
      </c>
      <c r="G893" s="52">
        <v>1</v>
      </c>
      <c r="H893" s="90" t="s">
        <v>115</v>
      </c>
      <c r="I893" s="93" t="s">
        <v>64</v>
      </c>
      <c r="J893" s="87" t="s">
        <v>1171</v>
      </c>
      <c r="K893" s="102" t="s">
        <v>2202</v>
      </c>
      <c r="L893" s="117">
        <f>IF(O893="","",N893*O893*M893)</f>
        <v>0</v>
      </c>
      <c r="M893" s="108">
        <v>1</v>
      </c>
      <c r="N893" s="95">
        <v>1</v>
      </c>
      <c r="O893" s="109">
        <f>IF(Key!D$1="ON",P893,IF(SUM(Q893:DL893)&lt;1,"",SUM(Q893:DL893)/COUNTIF(Q893:DL893,"&gt;0")))</f>
        <v>0</v>
      </c>
      <c r="P893" s="109">
        <f>SUMIFS(Q893:DK893,Q$1:DK$1,Dashboard!$K$31)</f>
        <v>0</v>
      </c>
      <c r="U893" s="95">
        <v>33</v>
      </c>
      <c r="AA893" s="95">
        <v>25</v>
      </c>
      <c r="AH893" s="95">
        <v>75</v>
      </c>
    </row>
    <row r="894" spans="1:34" ht="15.6" x14ac:dyDescent="0.3">
      <c r="A894" s="89" t="str">
        <f>CONCATENATE(D894,".",F894,"-",G894,".",H894,"")</f>
        <v>2.1-1.1</v>
      </c>
      <c r="B894" s="89" t="str">
        <f>IF(CONCATENATE(I894,Key!F$2)=CONCATENATE(INDEX(Dashboard!J:J,MATCH(I894,Dashboard!J:J,0),1),INDEX(Dashboard!J:K,MATCH(I894,Dashboard!J:J,0),2)),"ON",IF(Dashboard!K$32="ALL","ON","-"))</f>
        <v>-</v>
      </c>
      <c r="C894" s="88" t="s">
        <v>152</v>
      </c>
      <c r="D894" s="89">
        <f>IF(C894="ID",1,(IF(C894="PR",2,(IF(C894="DE",3,(IF(C894="RS",4,(IF(C894="RC",5,0)))))))))</f>
        <v>2</v>
      </c>
      <c r="E894" s="89" t="s">
        <v>153</v>
      </c>
      <c r="F894" s="89">
        <f>IF(E894="AM",1,(IF(E894="BE",2,(IF(E894="GV",3,(IF(E894="RA",4,(IF(E894="RM",5,(IF(E894="AC",1,(IF(E894="AT",2,(IF(E894="DS",3,(IF(E894="IP",4,(IF(E894="MA",5,(IF(E894="PT",6,(IF(E894="AE",1,(IF(E894="CM",2,(IF(E894="DP",3,(IF(E894="AN",1,(IF(E894="CO",2,(IF(E894="IM",3,(IF(E894="MI",4,(IF(E894="RP",5,(IF(E894="SC",6,0)))))))))))))))))))))))))))))))))))))))</f>
        <v>1</v>
      </c>
      <c r="G894" s="52">
        <v>1</v>
      </c>
      <c r="H894" s="90" t="s">
        <v>115</v>
      </c>
      <c r="I894" s="93" t="s">
        <v>64</v>
      </c>
      <c r="J894" s="87" t="s">
        <v>1176</v>
      </c>
      <c r="K894" s="102" t="s">
        <v>2206</v>
      </c>
      <c r="L894" s="117">
        <f>IF(O894="","",N894*O894*M894)</f>
        <v>0</v>
      </c>
      <c r="M894" s="108">
        <v>1</v>
      </c>
      <c r="N894" s="95">
        <v>1</v>
      </c>
      <c r="O894" s="109">
        <f>IF(Key!D$1="ON",P894,IF(SUM(Q894:DL894)&lt;1,"",SUM(Q894:DL894)/COUNTIF(Q894:DL894,"&gt;0")))</f>
        <v>0</v>
      </c>
      <c r="P894" s="109">
        <f>SUMIFS(Q894:DK894,Q$1:DK$1,Dashboard!$K$31)</f>
        <v>0</v>
      </c>
      <c r="U894" s="95">
        <v>33</v>
      </c>
      <c r="AA894" s="95">
        <v>25</v>
      </c>
      <c r="AH894" s="95">
        <v>75</v>
      </c>
    </row>
    <row r="895" spans="1:34" ht="15.6" x14ac:dyDescent="0.3">
      <c r="A895" s="89" t="str">
        <f>CONCATENATE(D895,".",F895,"-",G895,".",H895,"")</f>
        <v>2.1-1.1</v>
      </c>
      <c r="B895" s="89" t="str">
        <f>IF(CONCATENATE(I895,Key!F$2)=CONCATENATE(INDEX(Dashboard!J:J,MATCH(I895,Dashboard!J:J,0),1),INDEX(Dashboard!J:K,MATCH(I895,Dashboard!J:J,0),2)),"ON",IF(Dashboard!K$32="ALL","ON","-"))</f>
        <v>-</v>
      </c>
      <c r="C895" s="88" t="s">
        <v>152</v>
      </c>
      <c r="D895" s="89">
        <f>IF(C895="ID",1,(IF(C895="PR",2,(IF(C895="DE",3,(IF(C895="RS",4,(IF(C895="RC",5,0)))))))))</f>
        <v>2</v>
      </c>
      <c r="E895" s="89" t="s">
        <v>153</v>
      </c>
      <c r="F895" s="89">
        <f>IF(E895="AM",1,(IF(E895="BE",2,(IF(E895="GV",3,(IF(E895="RA",4,(IF(E895="RM",5,(IF(E895="AC",1,(IF(E895="AT",2,(IF(E895="DS",3,(IF(E895="IP",4,(IF(E895="MA",5,(IF(E895="PT",6,(IF(E895="AE",1,(IF(E895="CM",2,(IF(E895="DP",3,(IF(E895="AN",1,(IF(E895="CO",2,(IF(E895="IM",3,(IF(E895="MI",4,(IF(E895="RP",5,(IF(E895="SC",6,0)))))))))))))))))))))))))))))))))))))))</f>
        <v>1</v>
      </c>
      <c r="G895" s="52">
        <v>1</v>
      </c>
      <c r="H895" s="90" t="s">
        <v>115</v>
      </c>
      <c r="I895" s="93" t="s">
        <v>64</v>
      </c>
      <c r="J895" s="87" t="s">
        <v>1177</v>
      </c>
      <c r="K895" s="102" t="s">
        <v>2207</v>
      </c>
      <c r="L895" s="117">
        <f>IF(O895="","",N895*O895*M895)</f>
        <v>0</v>
      </c>
      <c r="M895" s="108">
        <v>1</v>
      </c>
      <c r="N895" s="95">
        <v>1</v>
      </c>
      <c r="O895" s="109">
        <f>IF(Key!D$1="ON",P895,IF(SUM(Q895:DL895)&lt;1,"",SUM(Q895:DL895)/COUNTIF(Q895:DL895,"&gt;0")))</f>
        <v>0</v>
      </c>
      <c r="P895" s="109">
        <f>SUMIFS(Q895:DK895,Q$1:DK$1,Dashboard!$K$31)</f>
        <v>0</v>
      </c>
      <c r="U895" s="95">
        <v>33</v>
      </c>
      <c r="AA895" s="95">
        <v>25</v>
      </c>
      <c r="AH895" s="95">
        <v>75</v>
      </c>
    </row>
    <row r="896" spans="1:34" x14ac:dyDescent="0.3">
      <c r="A896" s="89" t="str">
        <f>CONCATENATE(D896,".",F896,"-",G896,".",H896,"")</f>
        <v>2.1-1.1</v>
      </c>
      <c r="B896" s="89" t="str">
        <f>IF(CONCATENATE(I896,Key!F$2)=CONCATENATE(INDEX(Dashboard!J:J,MATCH(I896,Dashboard!J:J,0),1),INDEX(Dashboard!J:K,MATCH(I896,Dashboard!J:J,0),2)),"ON",IF(Dashboard!K$32="ALL","ON","-"))</f>
        <v>-</v>
      </c>
      <c r="C896" s="88" t="s">
        <v>152</v>
      </c>
      <c r="D896" s="89">
        <f>IF(C896="ID",1,(IF(C896="PR",2,(IF(C896="DE",3,(IF(C896="RS",4,(IF(C896="RC",5,0)))))))))</f>
        <v>2</v>
      </c>
      <c r="E896" s="89" t="s">
        <v>153</v>
      </c>
      <c r="F896" s="89">
        <f>IF(E896="AM",1,(IF(E896="BE",2,(IF(E896="GV",3,(IF(E896="RA",4,(IF(E896="RM",5,(IF(E896="AC",1,(IF(E896="AT",2,(IF(E896="DS",3,(IF(E896="IP",4,(IF(E896="MA",5,(IF(E896="PT",6,(IF(E896="AE",1,(IF(E896="CM",2,(IF(E896="DP",3,(IF(E896="AN",1,(IF(E896="CO",2,(IF(E896="IM",3,(IF(E896="MI",4,(IF(E896="RP",5,(IF(E896="SC",6,0)))))))))))))))))))))))))))))))))))))))</f>
        <v>1</v>
      </c>
      <c r="G896" s="52">
        <v>1</v>
      </c>
      <c r="H896" s="90" t="s">
        <v>115</v>
      </c>
      <c r="I896" s="93" t="s">
        <v>64</v>
      </c>
      <c r="J896" s="87" t="s">
        <v>1178</v>
      </c>
      <c r="K896" s="102" t="s">
        <v>2208</v>
      </c>
      <c r="L896" s="117">
        <f>IF(O896="","",N896*O896*M896)</f>
        <v>0</v>
      </c>
      <c r="M896" s="108">
        <v>1</v>
      </c>
      <c r="N896" s="95">
        <v>1</v>
      </c>
      <c r="O896" s="109">
        <f>IF(Key!D$1="ON",P896,IF(SUM(Q896:DL896)&lt;1,"",SUM(Q896:DL896)/COUNTIF(Q896:DL896,"&gt;0")))</f>
        <v>0</v>
      </c>
      <c r="P896" s="109">
        <f>SUMIFS(Q896:DK896,Q$1:DK$1,Dashboard!$K$31)</f>
        <v>0</v>
      </c>
      <c r="U896" s="95">
        <v>33</v>
      </c>
      <c r="AA896" s="95">
        <v>25</v>
      </c>
      <c r="AH896" s="95">
        <v>75</v>
      </c>
    </row>
    <row r="897" spans="1:34" x14ac:dyDescent="0.3">
      <c r="A897" s="89" t="str">
        <f>CONCATENATE(D897,".",F897,"-",G897,".",H897,"")</f>
        <v>2.1-1.1</v>
      </c>
      <c r="B897" s="89" t="str">
        <f>IF(CONCATENATE(I897,Key!F$2)=CONCATENATE(INDEX(Dashboard!J:J,MATCH(I897,Dashboard!J:J,0),1),INDEX(Dashboard!J:K,MATCH(I897,Dashboard!J:J,0),2)),"ON",IF(Dashboard!K$32="ALL","ON","-"))</f>
        <v>-</v>
      </c>
      <c r="C897" s="88" t="s">
        <v>152</v>
      </c>
      <c r="D897" s="89">
        <f>IF(C897="ID",1,(IF(C897="PR",2,(IF(C897="DE",3,(IF(C897="RS",4,(IF(C897="RC",5,0)))))))))</f>
        <v>2</v>
      </c>
      <c r="E897" s="89" t="s">
        <v>153</v>
      </c>
      <c r="F897" s="89">
        <f>IF(E897="AM",1,(IF(E897="BE",2,(IF(E897="GV",3,(IF(E897="RA",4,(IF(E897="RM",5,(IF(E897="AC",1,(IF(E897="AT",2,(IF(E897="DS",3,(IF(E897="IP",4,(IF(E897="MA",5,(IF(E897="PT",6,(IF(E897="AE",1,(IF(E897="CM",2,(IF(E897="DP",3,(IF(E897="AN",1,(IF(E897="CO",2,(IF(E897="IM",3,(IF(E897="MI",4,(IF(E897="RP",5,(IF(E897="SC",6,0)))))))))))))))))))))))))))))))))))))))</f>
        <v>1</v>
      </c>
      <c r="G897" s="52">
        <v>1</v>
      </c>
      <c r="H897" s="90" t="s">
        <v>115</v>
      </c>
      <c r="I897" s="93" t="s">
        <v>64</v>
      </c>
      <c r="J897" s="87" t="s">
        <v>1179</v>
      </c>
      <c r="K897" s="102" t="s">
        <v>2209</v>
      </c>
      <c r="L897" s="117">
        <f>IF(O897="","",N897*O897*M897)</f>
        <v>0</v>
      </c>
      <c r="M897" s="108">
        <v>1</v>
      </c>
      <c r="N897" s="95">
        <v>1</v>
      </c>
      <c r="O897" s="109">
        <f>IF(Key!D$1="ON",P897,IF(SUM(Q897:DL897)&lt;1,"",SUM(Q897:DL897)/COUNTIF(Q897:DL897,"&gt;0")))</f>
        <v>0</v>
      </c>
      <c r="P897" s="109">
        <f>SUMIFS(Q897:DK897,Q$1:DK$1,Dashboard!$K$31)</f>
        <v>0</v>
      </c>
      <c r="U897" s="95">
        <v>33</v>
      </c>
      <c r="AA897" s="95">
        <v>25</v>
      </c>
      <c r="AH897" s="95">
        <v>75</v>
      </c>
    </row>
    <row r="898" spans="1:34" x14ac:dyDescent="0.3">
      <c r="A898" s="89" t="str">
        <f>CONCATENATE(D898,".",F898,"-",G898,".",H898,"")</f>
        <v>2.1-1.1</v>
      </c>
      <c r="B898" s="89" t="str">
        <f>IF(CONCATENATE(I898,Key!F$2)=CONCATENATE(INDEX(Dashboard!J:J,MATCH(I898,Dashboard!J:J,0),1),INDEX(Dashboard!J:K,MATCH(I898,Dashboard!J:J,0),2)),"ON",IF(Dashboard!K$32="ALL","ON","-"))</f>
        <v>-</v>
      </c>
      <c r="C898" s="88" t="s">
        <v>152</v>
      </c>
      <c r="D898" s="89">
        <f>IF(C898="ID",1,(IF(C898="PR",2,(IF(C898="DE",3,(IF(C898="RS",4,(IF(C898="RC",5,0)))))))))</f>
        <v>2</v>
      </c>
      <c r="E898" s="89" t="s">
        <v>153</v>
      </c>
      <c r="F898" s="89">
        <f>IF(E898="AM",1,(IF(E898="BE",2,(IF(E898="GV",3,(IF(E898="RA",4,(IF(E898="RM",5,(IF(E898="AC",1,(IF(E898="AT",2,(IF(E898="DS",3,(IF(E898="IP",4,(IF(E898="MA",5,(IF(E898="PT",6,(IF(E898="AE",1,(IF(E898="CM",2,(IF(E898="DP",3,(IF(E898="AN",1,(IF(E898="CO",2,(IF(E898="IM",3,(IF(E898="MI",4,(IF(E898="RP",5,(IF(E898="SC",6,0)))))))))))))))))))))))))))))))))))))))</f>
        <v>1</v>
      </c>
      <c r="G898" s="52">
        <v>1</v>
      </c>
      <c r="H898" s="90" t="s">
        <v>115</v>
      </c>
      <c r="I898" s="93" t="s">
        <v>64</v>
      </c>
      <c r="J898" s="87" t="s">
        <v>1180</v>
      </c>
      <c r="K898" s="102" t="s">
        <v>2210</v>
      </c>
      <c r="L898" s="117">
        <f>IF(O898="","",N898*O898*M898)</f>
        <v>0</v>
      </c>
      <c r="M898" s="108">
        <v>1</v>
      </c>
      <c r="N898" s="95">
        <v>1</v>
      </c>
      <c r="O898" s="109">
        <f>IF(Key!D$1="ON",P898,IF(SUM(Q898:DL898)&lt;1,"",SUM(Q898:DL898)/COUNTIF(Q898:DL898,"&gt;0")))</f>
        <v>0</v>
      </c>
      <c r="P898" s="109">
        <f>SUMIFS(Q898:DK898,Q$1:DK$1,Dashboard!$K$31)</f>
        <v>0</v>
      </c>
      <c r="U898" s="95">
        <v>33</v>
      </c>
      <c r="AA898" s="95">
        <v>25</v>
      </c>
      <c r="AH898" s="95">
        <v>75</v>
      </c>
    </row>
    <row r="899" spans="1:34" x14ac:dyDescent="0.3">
      <c r="A899" s="89" t="str">
        <f>CONCATENATE(D899,".",F899,"-",G899,".",H899,"")</f>
        <v>2.1-1.1</v>
      </c>
      <c r="B899" s="89" t="str">
        <f>IF(CONCATENATE(I899,Key!F$2)=CONCATENATE(INDEX(Dashboard!J:J,MATCH(I899,Dashboard!J:J,0),1),INDEX(Dashboard!J:K,MATCH(I899,Dashboard!J:J,0),2)),"ON",IF(Dashboard!K$32="ALL","ON","-"))</f>
        <v>-</v>
      </c>
      <c r="C899" s="88" t="s">
        <v>152</v>
      </c>
      <c r="D899" s="89">
        <f>IF(C899="ID",1,(IF(C899="PR",2,(IF(C899="DE",3,(IF(C899="RS",4,(IF(C899="RC",5,0)))))))))</f>
        <v>2</v>
      </c>
      <c r="E899" s="89" t="s">
        <v>153</v>
      </c>
      <c r="F899" s="89">
        <f>IF(E899="AM",1,(IF(E899="BE",2,(IF(E899="GV",3,(IF(E899="RA",4,(IF(E899="RM",5,(IF(E899="AC",1,(IF(E899="AT",2,(IF(E899="DS",3,(IF(E899="IP",4,(IF(E899="MA",5,(IF(E899="PT",6,(IF(E899="AE",1,(IF(E899="CM",2,(IF(E899="DP",3,(IF(E899="AN",1,(IF(E899="CO",2,(IF(E899="IM",3,(IF(E899="MI",4,(IF(E899="RP",5,(IF(E899="SC",6,0)))))))))))))))))))))))))))))))))))))))</f>
        <v>1</v>
      </c>
      <c r="G899" s="98">
        <v>1</v>
      </c>
      <c r="H899" s="99">
        <v>1</v>
      </c>
      <c r="I899" s="93" t="s">
        <v>73</v>
      </c>
      <c r="J899" s="86" t="s">
        <v>292</v>
      </c>
      <c r="K899" s="107" t="s">
        <v>4291</v>
      </c>
      <c r="L899" s="117">
        <f>IF(O899="","",N899*O899*M899)</f>
        <v>0</v>
      </c>
      <c r="M899" s="108">
        <v>1</v>
      </c>
      <c r="N899" s="95">
        <v>1</v>
      </c>
      <c r="O899" s="109">
        <f>IF(Key!D$1="ON",P899,IF(SUM(Q899:DL899)&lt;1,"",SUM(Q899:DL899)/COUNTIF(Q899:DL899,"&gt;0")))</f>
        <v>0</v>
      </c>
      <c r="P899" s="109">
        <f>SUMIFS(Q899:DK899,Q$1:DK$1,Dashboard!$K$31)</f>
        <v>0</v>
      </c>
      <c r="U899" s="95">
        <v>33</v>
      </c>
      <c r="AA899" s="95">
        <v>25</v>
      </c>
      <c r="AH899" s="95">
        <v>75</v>
      </c>
    </row>
    <row r="900" spans="1:34" x14ac:dyDescent="0.3">
      <c r="A900" s="89" t="str">
        <f>CONCATENATE(D900,".",F900,"-",G900,".",H900,"")</f>
        <v>2.1-1.1</v>
      </c>
      <c r="B900" s="89" t="str">
        <f>IF(CONCATENATE(I900,Key!F$2)=CONCATENATE(INDEX(Dashboard!J:J,MATCH(I900,Dashboard!J:J,0),1),INDEX(Dashboard!J:K,MATCH(I900,Dashboard!J:J,0),2)),"ON",IF(Dashboard!K$32="ALL","ON","-"))</f>
        <v>-</v>
      </c>
      <c r="C900" s="88" t="s">
        <v>152</v>
      </c>
      <c r="D900" s="89">
        <f>IF(C900="ID",1,(IF(C900="PR",2,(IF(C900="DE",3,(IF(C900="RS",4,(IF(C900="RC",5,0)))))))))</f>
        <v>2</v>
      </c>
      <c r="E900" s="89" t="s">
        <v>153</v>
      </c>
      <c r="F900" s="89">
        <f>IF(E900="AM",1,(IF(E900="BE",2,(IF(E900="GV",3,(IF(E900="RA",4,(IF(E900="RM",5,(IF(E900="AC",1,(IF(E900="AT",2,(IF(E900="DS",3,(IF(E900="IP",4,(IF(E900="MA",5,(IF(E900="PT",6,(IF(E900="AE",1,(IF(E900="CM",2,(IF(E900="DP",3,(IF(E900="AN",1,(IF(E900="CO",2,(IF(E900="IM",3,(IF(E900="MI",4,(IF(E900="RP",5,(IF(E900="SC",6,0)))))))))))))))))))))))))))))))))))))))</f>
        <v>1</v>
      </c>
      <c r="G900" s="98">
        <v>1</v>
      </c>
      <c r="H900" s="99">
        <v>1</v>
      </c>
      <c r="I900" s="93" t="s">
        <v>73</v>
      </c>
      <c r="J900" s="86" t="s">
        <v>4174</v>
      </c>
      <c r="K900" s="107" t="s">
        <v>4300</v>
      </c>
      <c r="L900" s="117">
        <f>IF(O900="","",N900*O900*M900)</f>
        <v>0</v>
      </c>
      <c r="M900" s="108">
        <v>1</v>
      </c>
      <c r="N900" s="95">
        <v>1</v>
      </c>
      <c r="O900" s="109">
        <f>IF(Key!D$1="ON",P900,IF(SUM(Q900:DL900)&lt;1,"",SUM(Q900:DL900)/COUNTIF(Q900:DL900,"&gt;0")))</f>
        <v>0</v>
      </c>
      <c r="P900" s="109">
        <f>SUMIFS(Q900:DK900,Q$1:DK$1,Dashboard!$K$31)</f>
        <v>0</v>
      </c>
      <c r="U900" s="95">
        <v>33</v>
      </c>
      <c r="AA900" s="95">
        <v>25</v>
      </c>
      <c r="AH900" s="95">
        <v>75</v>
      </c>
    </row>
    <row r="901" spans="1:34" ht="15.6" x14ac:dyDescent="0.3">
      <c r="A901" s="89" t="str">
        <f>CONCATENATE(D901,".",F901,"-",G901,".",H901,"")</f>
        <v>2.1-1.1</v>
      </c>
      <c r="B901" s="89" t="str">
        <f>IF(CONCATENATE(I901,Key!F$2)=CONCATENATE(INDEX(Dashboard!J:J,MATCH(I901,Dashboard!J:J,0),1),INDEX(Dashboard!J:K,MATCH(I901,Dashboard!J:J,0),2)),"ON",IF(Dashboard!K$32="ALL","ON","-"))</f>
        <v>-</v>
      </c>
      <c r="C901" s="88" t="s">
        <v>152</v>
      </c>
      <c r="D901" s="89">
        <f>IF(C901="ID",1,(IF(C901="PR",2,(IF(C901="DE",3,(IF(C901="RS",4,(IF(C901="RC",5,0)))))))))</f>
        <v>2</v>
      </c>
      <c r="E901" s="89" t="s">
        <v>153</v>
      </c>
      <c r="F901" s="89">
        <f>IF(E901="AM",1,(IF(E901="BE",2,(IF(E901="GV",3,(IF(E901="RA",4,(IF(E901="RM",5,(IF(E901="AC",1,(IF(E901="AT",2,(IF(E901="DS",3,(IF(E901="IP",4,(IF(E901="MA",5,(IF(E901="PT",6,(IF(E901="AE",1,(IF(E901="CM",2,(IF(E901="DP",3,(IF(E901="AN",1,(IF(E901="CO",2,(IF(E901="IM",3,(IF(E901="MI",4,(IF(E901="RP",5,(IF(E901="SC",6,0)))))))))))))))))))))))))))))))))))))))</f>
        <v>1</v>
      </c>
      <c r="G901" s="98">
        <v>1</v>
      </c>
      <c r="H901" s="99">
        <v>1</v>
      </c>
      <c r="I901" s="93" t="s">
        <v>73</v>
      </c>
      <c r="J901" s="86" t="s">
        <v>4175</v>
      </c>
      <c r="K901" s="107" t="s">
        <v>4301</v>
      </c>
      <c r="L901" s="117">
        <f>IF(O901="","",N901*O901*M901)</f>
        <v>0</v>
      </c>
      <c r="M901" s="108">
        <v>1</v>
      </c>
      <c r="N901" s="95">
        <v>1</v>
      </c>
      <c r="O901" s="109">
        <f>IF(Key!D$1="ON",P901,IF(SUM(Q901:DL901)&lt;1,"",SUM(Q901:DL901)/COUNTIF(Q901:DL901,"&gt;0")))</f>
        <v>0</v>
      </c>
      <c r="P901" s="109">
        <f>SUMIFS(Q901:DK901,Q$1:DK$1,Dashboard!$K$31)</f>
        <v>0</v>
      </c>
      <c r="U901" s="95">
        <v>33</v>
      </c>
      <c r="AA901" s="95">
        <v>25</v>
      </c>
      <c r="AH901" s="95">
        <v>75</v>
      </c>
    </row>
    <row r="902" spans="1:34" x14ac:dyDescent="0.3">
      <c r="A902" s="89" t="str">
        <f>CONCATENATE(D902,".",F902,"-",G902,".",H902,"")</f>
        <v>2.1-1.1</v>
      </c>
      <c r="B902" s="89" t="str">
        <f>IF(CONCATENATE(I902,Key!F$2)=CONCATENATE(INDEX(Dashboard!J:J,MATCH(I902,Dashboard!J:J,0),1),INDEX(Dashboard!J:K,MATCH(I902,Dashboard!J:J,0),2)),"ON",IF(Dashboard!K$32="ALL","ON","-"))</f>
        <v>-</v>
      </c>
      <c r="C902" s="88" t="s">
        <v>152</v>
      </c>
      <c r="D902" s="89">
        <f>IF(C902="ID",1,(IF(C902="PR",2,(IF(C902="DE",3,(IF(C902="RS",4,(IF(C902="RC",5,0)))))))))</f>
        <v>2</v>
      </c>
      <c r="E902" s="89" t="s">
        <v>153</v>
      </c>
      <c r="F902" s="89">
        <f>IF(E902="AM",1,(IF(E902="BE",2,(IF(E902="GV",3,(IF(E902="RA",4,(IF(E902="RM",5,(IF(E902="AC",1,(IF(E902="AT",2,(IF(E902="DS",3,(IF(E902="IP",4,(IF(E902="MA",5,(IF(E902="PT",6,(IF(E902="AE",1,(IF(E902="CM",2,(IF(E902="DP",3,(IF(E902="AN",1,(IF(E902="CO",2,(IF(E902="IM",3,(IF(E902="MI",4,(IF(E902="RP",5,(IF(E902="SC",6,0)))))))))))))))))))))))))))))))))))))))</f>
        <v>1</v>
      </c>
      <c r="G902" s="98">
        <v>1</v>
      </c>
      <c r="H902" s="99">
        <v>1</v>
      </c>
      <c r="I902" s="93" t="s">
        <v>73</v>
      </c>
      <c r="J902" s="86" t="s">
        <v>293</v>
      </c>
      <c r="K902" s="107" t="s">
        <v>4292</v>
      </c>
      <c r="L902" s="117">
        <f>IF(O902="","",N902*O902*M902)</f>
        <v>0</v>
      </c>
      <c r="M902" s="108">
        <v>1</v>
      </c>
      <c r="N902" s="95">
        <v>1</v>
      </c>
      <c r="O902" s="109">
        <f>IF(Key!D$1="ON",P902,IF(SUM(Q902:DL902)&lt;1,"",SUM(Q902:DL902)/COUNTIF(Q902:DL902,"&gt;0")))</f>
        <v>0</v>
      </c>
      <c r="P902" s="109">
        <f>SUMIFS(Q902:DK902,Q$1:DK$1,Dashboard!$K$31)</f>
        <v>0</v>
      </c>
      <c r="U902" s="95">
        <v>33</v>
      </c>
      <c r="AA902" s="95">
        <v>25</v>
      </c>
      <c r="AH902" s="95">
        <v>75</v>
      </c>
    </row>
    <row r="903" spans="1:34" x14ac:dyDescent="0.3">
      <c r="A903" s="89" t="str">
        <f>CONCATENATE(D903,".",F903,"-",G903,".",H903,"")</f>
        <v>2.1-1.1</v>
      </c>
      <c r="B903" s="89" t="str">
        <f>IF(CONCATENATE(I903,Key!F$2)=CONCATENATE(INDEX(Dashboard!J:J,MATCH(I903,Dashboard!J:J,0),1),INDEX(Dashboard!J:K,MATCH(I903,Dashboard!J:J,0),2)),"ON",IF(Dashboard!K$32="ALL","ON","-"))</f>
        <v>-</v>
      </c>
      <c r="C903" s="88" t="s">
        <v>152</v>
      </c>
      <c r="D903" s="89">
        <f>IF(C903="ID",1,(IF(C903="PR",2,(IF(C903="DE",3,(IF(C903="RS",4,(IF(C903="RC",5,0)))))))))</f>
        <v>2</v>
      </c>
      <c r="E903" s="89" t="s">
        <v>153</v>
      </c>
      <c r="F903" s="89">
        <f>IF(E903="AM",1,(IF(E903="BE",2,(IF(E903="GV",3,(IF(E903="RA",4,(IF(E903="RM",5,(IF(E903="AC",1,(IF(E903="AT",2,(IF(E903="DS",3,(IF(E903="IP",4,(IF(E903="MA",5,(IF(E903="PT",6,(IF(E903="AE",1,(IF(E903="CM",2,(IF(E903="DP",3,(IF(E903="AN",1,(IF(E903="CO",2,(IF(E903="IM",3,(IF(E903="MI",4,(IF(E903="RP",5,(IF(E903="SC",6,0)))))))))))))))))))))))))))))))))))))))</f>
        <v>1</v>
      </c>
      <c r="G903" s="98">
        <v>1</v>
      </c>
      <c r="H903" s="99">
        <v>1</v>
      </c>
      <c r="I903" s="93" t="s">
        <v>73</v>
      </c>
      <c r="J903" s="86" t="s">
        <v>4165</v>
      </c>
      <c r="K903" s="107" t="s">
        <v>4295</v>
      </c>
      <c r="L903" s="117">
        <f>IF(O903="","",N903*O903*M903)</f>
        <v>0</v>
      </c>
      <c r="M903" s="108">
        <v>1</v>
      </c>
      <c r="N903" s="95">
        <v>1</v>
      </c>
      <c r="O903" s="109">
        <f>IF(Key!D$1="ON",P903,IF(SUM(Q903:DL903)&lt;1,"",SUM(Q903:DL903)/COUNTIF(Q903:DL903,"&gt;0")))</f>
        <v>0</v>
      </c>
      <c r="P903" s="109">
        <f>SUMIFS(Q903:DK903,Q$1:DK$1,Dashboard!$K$31)</f>
        <v>0</v>
      </c>
      <c r="U903" s="95">
        <v>33</v>
      </c>
      <c r="AA903" s="95">
        <v>25</v>
      </c>
      <c r="AH903" s="95">
        <v>75</v>
      </c>
    </row>
    <row r="904" spans="1:34" ht="15.6" x14ac:dyDescent="0.3">
      <c r="A904" s="89" t="str">
        <f>CONCATENATE(D904,".",F904,"-",G904,".",H904,"")</f>
        <v>2.1-1.1</v>
      </c>
      <c r="B904" s="89" t="str">
        <f>IF(CONCATENATE(I904,Key!F$2)=CONCATENATE(INDEX(Dashboard!J:J,MATCH(I904,Dashboard!J:J,0),1),INDEX(Dashboard!J:K,MATCH(I904,Dashboard!J:J,0),2)),"ON",IF(Dashboard!K$32="ALL","ON","-"))</f>
        <v>-</v>
      </c>
      <c r="C904" s="88" t="s">
        <v>152</v>
      </c>
      <c r="D904" s="89">
        <f>IF(C904="ID",1,(IF(C904="PR",2,(IF(C904="DE",3,(IF(C904="RS",4,(IF(C904="RC",5,0)))))))))</f>
        <v>2</v>
      </c>
      <c r="E904" s="89" t="s">
        <v>153</v>
      </c>
      <c r="F904" s="89">
        <f>IF(E904="AM",1,(IF(E904="BE",2,(IF(E904="GV",3,(IF(E904="RA",4,(IF(E904="RM",5,(IF(E904="AC",1,(IF(E904="AT",2,(IF(E904="DS",3,(IF(E904="IP",4,(IF(E904="MA",5,(IF(E904="PT",6,(IF(E904="AE",1,(IF(E904="CM",2,(IF(E904="DP",3,(IF(E904="AN",1,(IF(E904="CO",2,(IF(E904="IM",3,(IF(E904="MI",4,(IF(E904="RP",5,(IF(E904="SC",6,0)))))))))))))))))))))))))))))))))))))))</f>
        <v>1</v>
      </c>
      <c r="G904" s="98">
        <v>1</v>
      </c>
      <c r="H904" s="99">
        <v>1</v>
      </c>
      <c r="I904" s="93" t="s">
        <v>73</v>
      </c>
      <c r="J904" s="86" t="s">
        <v>4166</v>
      </c>
      <c r="K904" s="107" t="s">
        <v>4296</v>
      </c>
      <c r="L904" s="117">
        <f>IF(O904="","",N904*O904*M904)</f>
        <v>0</v>
      </c>
      <c r="M904" s="108">
        <v>1</v>
      </c>
      <c r="N904" s="95">
        <v>1</v>
      </c>
      <c r="O904" s="109">
        <f>IF(Key!D$1="ON",P904,IF(SUM(Q904:DL904)&lt;1,"",SUM(Q904:DL904)/COUNTIF(Q904:DL904,"&gt;0")))</f>
        <v>0</v>
      </c>
      <c r="P904" s="109">
        <f>SUMIFS(Q904:DK904,Q$1:DK$1,Dashboard!$K$31)</f>
        <v>0</v>
      </c>
      <c r="U904" s="95">
        <v>33</v>
      </c>
      <c r="AA904" s="95">
        <v>25</v>
      </c>
      <c r="AH904" s="95">
        <v>75</v>
      </c>
    </row>
    <row r="905" spans="1:34" ht="15.6" x14ac:dyDescent="0.3">
      <c r="A905" s="89" t="str">
        <f>CONCATENATE(D905,".",F905,"-",G905,".",H905,"")</f>
        <v>2.1-1.1</v>
      </c>
      <c r="B905" s="89" t="str">
        <f>IF(CONCATENATE(I905,Key!F$2)=CONCATENATE(INDEX(Dashboard!J:J,MATCH(I905,Dashboard!J:J,0),1),INDEX(Dashboard!J:K,MATCH(I905,Dashboard!J:J,0),2)),"ON",IF(Dashboard!K$32="ALL","ON","-"))</f>
        <v>-</v>
      </c>
      <c r="C905" s="88" t="s">
        <v>152</v>
      </c>
      <c r="D905" s="89">
        <f>IF(C905="ID",1,(IF(C905="PR",2,(IF(C905="DE",3,(IF(C905="RS",4,(IF(C905="RC",5,0)))))))))</f>
        <v>2</v>
      </c>
      <c r="E905" s="89" t="s">
        <v>153</v>
      </c>
      <c r="F905" s="89">
        <f>IF(E905="AM",1,(IF(E905="BE",2,(IF(E905="GV",3,(IF(E905="RA",4,(IF(E905="RM",5,(IF(E905="AC",1,(IF(E905="AT",2,(IF(E905="DS",3,(IF(E905="IP",4,(IF(E905="MA",5,(IF(E905="PT",6,(IF(E905="AE",1,(IF(E905="CM",2,(IF(E905="DP",3,(IF(E905="AN",1,(IF(E905="CO",2,(IF(E905="IM",3,(IF(E905="MI",4,(IF(E905="RP",5,(IF(E905="SC",6,0)))))))))))))))))))))))))))))))))))))))</f>
        <v>1</v>
      </c>
      <c r="G905" s="98">
        <v>1</v>
      </c>
      <c r="H905" s="99">
        <v>1</v>
      </c>
      <c r="I905" s="93" t="s">
        <v>73</v>
      </c>
      <c r="J905" s="86" t="s">
        <v>4168</v>
      </c>
      <c r="K905" s="107" t="s">
        <v>4297</v>
      </c>
      <c r="L905" s="117">
        <f>IF(O905="","",N905*O905*M905)</f>
        <v>0</v>
      </c>
      <c r="M905" s="108">
        <v>1</v>
      </c>
      <c r="N905" s="95">
        <v>1</v>
      </c>
      <c r="O905" s="109">
        <f>IF(Key!D$1="ON",P905,IF(SUM(Q905:DL905)&lt;1,"",SUM(Q905:DL905)/COUNTIF(Q905:DL905,"&gt;0")))</f>
        <v>0</v>
      </c>
      <c r="P905" s="109">
        <f>SUMIFS(Q905:DK905,Q$1:DK$1,Dashboard!$K$31)</f>
        <v>0</v>
      </c>
      <c r="U905" s="95">
        <v>33</v>
      </c>
      <c r="AA905" s="95">
        <v>25</v>
      </c>
      <c r="AH905" s="95">
        <v>75</v>
      </c>
    </row>
    <row r="906" spans="1:34" x14ac:dyDescent="0.3">
      <c r="A906" s="89" t="str">
        <f>CONCATENATE(D906,".",F906,"-",G906,".",H906,"")</f>
        <v>2.1-1.1</v>
      </c>
      <c r="B906" s="89" t="str">
        <f>IF(CONCATENATE(I906,Key!F$2)=CONCATENATE(INDEX(Dashboard!J:J,MATCH(I906,Dashboard!J:J,0),1),INDEX(Dashboard!J:K,MATCH(I906,Dashboard!J:J,0),2)),"ON",IF(Dashboard!K$32="ALL","ON","-"))</f>
        <v>-</v>
      </c>
      <c r="C906" s="88" t="s">
        <v>152</v>
      </c>
      <c r="D906" s="89">
        <f>IF(C906="ID",1,(IF(C906="PR",2,(IF(C906="DE",3,(IF(C906="RS",4,(IF(C906="RC",5,0)))))))))</f>
        <v>2</v>
      </c>
      <c r="E906" s="89" t="s">
        <v>153</v>
      </c>
      <c r="F906" s="89">
        <f>IF(E906="AM",1,(IF(E906="BE",2,(IF(E906="GV",3,(IF(E906="RA",4,(IF(E906="RM",5,(IF(E906="AC",1,(IF(E906="AT",2,(IF(E906="DS",3,(IF(E906="IP",4,(IF(E906="MA",5,(IF(E906="PT",6,(IF(E906="AE",1,(IF(E906="CM",2,(IF(E906="DP",3,(IF(E906="AN",1,(IF(E906="CO",2,(IF(E906="IM",3,(IF(E906="MI",4,(IF(E906="RP",5,(IF(E906="SC",6,0)))))))))))))))))))))))))))))))))))))))</f>
        <v>1</v>
      </c>
      <c r="G906" s="98">
        <v>1</v>
      </c>
      <c r="H906" s="99">
        <v>1</v>
      </c>
      <c r="I906" s="93" t="s">
        <v>73</v>
      </c>
      <c r="J906" s="86" t="s">
        <v>4170</v>
      </c>
      <c r="K906" s="107" t="s">
        <v>4298</v>
      </c>
      <c r="L906" s="117">
        <f>IF(O906="","",N906*O906*M906)</f>
        <v>0</v>
      </c>
      <c r="M906" s="108">
        <v>1</v>
      </c>
      <c r="N906" s="95">
        <v>1</v>
      </c>
      <c r="O906" s="109">
        <f>IF(Key!D$1="ON",P906,IF(SUM(Q906:DL906)&lt;1,"",SUM(Q906:DL906)/COUNTIF(Q906:DL906,"&gt;0")))</f>
        <v>0</v>
      </c>
      <c r="P906" s="109">
        <f>SUMIFS(Q906:DK906,Q$1:DK$1,Dashboard!$K$31)</f>
        <v>0</v>
      </c>
      <c r="U906" s="95">
        <v>33</v>
      </c>
      <c r="AA906" s="95">
        <v>25</v>
      </c>
      <c r="AH906" s="95">
        <v>75</v>
      </c>
    </row>
    <row r="907" spans="1:34" x14ac:dyDescent="0.3">
      <c r="A907" s="89" t="str">
        <f>CONCATENATE(D907,".",F907,"-",G907,".",H907,"")</f>
        <v>2.1-1.1</v>
      </c>
      <c r="B907" s="89" t="str">
        <f>IF(CONCATENATE(I907,Key!F$2)=CONCATENATE(INDEX(Dashboard!J:J,MATCH(I907,Dashboard!J:J,0),1),INDEX(Dashboard!J:K,MATCH(I907,Dashboard!J:J,0),2)),"ON",IF(Dashboard!K$32="ALL","ON","-"))</f>
        <v>-</v>
      </c>
      <c r="C907" s="88" t="s">
        <v>152</v>
      </c>
      <c r="D907" s="89">
        <f>IF(C907="ID",1,(IF(C907="PR",2,(IF(C907="DE",3,(IF(C907="RS",4,(IF(C907="RC",5,0)))))))))</f>
        <v>2</v>
      </c>
      <c r="E907" s="89" t="s">
        <v>153</v>
      </c>
      <c r="F907" s="89">
        <f>IF(E907="AM",1,(IF(E907="BE",2,(IF(E907="GV",3,(IF(E907="RA",4,(IF(E907="RM",5,(IF(E907="AC",1,(IF(E907="AT",2,(IF(E907="DS",3,(IF(E907="IP",4,(IF(E907="MA",5,(IF(E907="PT",6,(IF(E907="AE",1,(IF(E907="CM",2,(IF(E907="DP",3,(IF(E907="AN",1,(IF(E907="CO",2,(IF(E907="IM",3,(IF(E907="MI",4,(IF(E907="RP",5,(IF(E907="SC",6,0)))))))))))))))))))))))))))))))))))))))</f>
        <v>1</v>
      </c>
      <c r="G907" s="98">
        <v>1</v>
      </c>
      <c r="H907" s="99">
        <v>1</v>
      </c>
      <c r="I907" s="93" t="s">
        <v>73</v>
      </c>
      <c r="J907" s="86" t="s">
        <v>4172</v>
      </c>
      <c r="K907" s="107" t="s">
        <v>4299</v>
      </c>
      <c r="L907" s="117">
        <f>IF(O907="","",N907*O907*M907)</f>
        <v>0</v>
      </c>
      <c r="M907" s="108">
        <v>1</v>
      </c>
      <c r="N907" s="95">
        <v>1</v>
      </c>
      <c r="O907" s="109">
        <f>IF(Key!D$1="ON",P907,IF(SUM(Q907:DL907)&lt;1,"",SUM(Q907:DL907)/COUNTIF(Q907:DL907,"&gt;0")))</f>
        <v>0</v>
      </c>
      <c r="P907" s="109">
        <f>SUMIFS(Q907:DK907,Q$1:DK$1,Dashboard!$K$31)</f>
        <v>0</v>
      </c>
      <c r="U907" s="95">
        <v>33</v>
      </c>
      <c r="AA907" s="95">
        <v>25</v>
      </c>
      <c r="AH907" s="95">
        <v>75</v>
      </c>
    </row>
    <row r="908" spans="1:34" x14ac:dyDescent="0.3">
      <c r="A908" s="89" t="str">
        <f>CONCATENATE(D908,".",F908,"-",G908,".",H908,"")</f>
        <v>2.1-1.1</v>
      </c>
      <c r="B908" s="89" t="str">
        <f>IF(CONCATENATE(I908,Key!F$2)=CONCATENATE(INDEX(Dashboard!J:J,MATCH(I908,Dashboard!J:J,0),1),INDEX(Dashboard!J:K,MATCH(I908,Dashboard!J:J,0),2)),"ON",IF(Dashboard!K$32="ALL","ON","-"))</f>
        <v>-</v>
      </c>
      <c r="C908" s="88" t="s">
        <v>152</v>
      </c>
      <c r="D908" s="89">
        <f>IF(C908="ID",1,(IF(C908="PR",2,(IF(C908="DE",3,(IF(C908="RS",4,(IF(C908="RC",5,0)))))))))</f>
        <v>2</v>
      </c>
      <c r="E908" s="89" t="s">
        <v>153</v>
      </c>
      <c r="F908" s="89">
        <f>IF(E908="AM",1,(IF(E908="BE",2,(IF(E908="GV",3,(IF(E908="RA",4,(IF(E908="RM",5,(IF(E908="AC",1,(IF(E908="AT",2,(IF(E908="DS",3,(IF(E908="IP",4,(IF(E908="MA",5,(IF(E908="PT",6,(IF(E908="AE",1,(IF(E908="CM",2,(IF(E908="DP",3,(IF(E908="AN",1,(IF(E908="CO",2,(IF(E908="IM",3,(IF(E908="MI",4,(IF(E908="RP",5,(IF(E908="SC",6,0)))))))))))))))))))))))))))))))))))))))</f>
        <v>1</v>
      </c>
      <c r="G908" s="52">
        <v>1</v>
      </c>
      <c r="H908" s="90" t="s">
        <v>115</v>
      </c>
      <c r="I908" s="93" t="s">
        <v>77</v>
      </c>
      <c r="J908" s="87" t="s">
        <v>1117</v>
      </c>
      <c r="K908" s="102" t="s">
        <v>2153</v>
      </c>
      <c r="L908" s="117">
        <f>IF(O908="","",N908*O908*M908)</f>
        <v>0</v>
      </c>
      <c r="M908" s="108">
        <v>1</v>
      </c>
      <c r="N908" s="95">
        <v>1</v>
      </c>
      <c r="O908" s="109">
        <f>IF(Key!D$1="ON",P908,IF(SUM(Q908:DL908)&lt;1,"",SUM(Q908:DL908)/COUNTIF(Q908:DL908,"&gt;0")))</f>
        <v>0</v>
      </c>
      <c r="P908" s="109">
        <f>SUMIFS(Q908:DK908,Q$1:DK$1,Dashboard!$K$31)</f>
        <v>0</v>
      </c>
      <c r="U908" s="95">
        <v>33</v>
      </c>
      <c r="AA908" s="95">
        <v>25</v>
      </c>
      <c r="AH908" s="95">
        <v>75</v>
      </c>
    </row>
    <row r="909" spans="1:34" ht="15.6" x14ac:dyDescent="0.3">
      <c r="A909" s="89" t="str">
        <f>CONCATENATE(D909,".",F909,"-",G909,".",H909,"")</f>
        <v>2.1-1.1</v>
      </c>
      <c r="B909" s="89" t="str">
        <f>IF(CONCATENATE(I909,Key!F$2)=CONCATENATE(INDEX(Dashboard!J:J,MATCH(I909,Dashboard!J:J,0),1),INDEX(Dashboard!J:K,MATCH(I909,Dashboard!J:J,0),2)),"ON",IF(Dashboard!K$32="ALL","ON","-"))</f>
        <v>-</v>
      </c>
      <c r="C909" s="88" t="s">
        <v>152</v>
      </c>
      <c r="D909" s="89">
        <f>IF(C909="ID",1,(IF(C909="PR",2,(IF(C909="DE",3,(IF(C909="RS",4,(IF(C909="RC",5,0)))))))))</f>
        <v>2</v>
      </c>
      <c r="E909" s="89" t="s">
        <v>153</v>
      </c>
      <c r="F909" s="89">
        <f>IF(E909="AM",1,(IF(E909="BE",2,(IF(E909="GV",3,(IF(E909="RA",4,(IF(E909="RM",5,(IF(E909="AC",1,(IF(E909="AT",2,(IF(E909="DS",3,(IF(E909="IP",4,(IF(E909="MA",5,(IF(E909="PT",6,(IF(E909="AE",1,(IF(E909="CM",2,(IF(E909="DP",3,(IF(E909="AN",1,(IF(E909="CO",2,(IF(E909="IM",3,(IF(E909="MI",4,(IF(E909="RP",5,(IF(E909="SC",6,0)))))))))))))))))))))))))))))))))))))))</f>
        <v>1</v>
      </c>
      <c r="G909" s="52">
        <v>1</v>
      </c>
      <c r="H909" s="90" t="s">
        <v>115</v>
      </c>
      <c r="I909" s="93" t="s">
        <v>77</v>
      </c>
      <c r="J909" s="87" t="s">
        <v>1118</v>
      </c>
      <c r="K909" s="102" t="s">
        <v>2154</v>
      </c>
      <c r="L909" s="117">
        <f>IF(O909="","",N909*O909*M909)</f>
        <v>0</v>
      </c>
      <c r="M909" s="108">
        <v>1</v>
      </c>
      <c r="N909" s="95">
        <v>1</v>
      </c>
      <c r="O909" s="109">
        <f>IF(Key!D$1="ON",P909,IF(SUM(Q909:DL909)&lt;1,"",SUM(Q909:DL909)/COUNTIF(Q909:DL909,"&gt;0")))</f>
        <v>0</v>
      </c>
      <c r="P909" s="109">
        <f>SUMIFS(Q909:DK909,Q$1:DK$1,Dashboard!$K$31)</f>
        <v>0</v>
      </c>
      <c r="U909" s="95">
        <v>33</v>
      </c>
      <c r="AA909" s="95">
        <v>25</v>
      </c>
      <c r="AH909" s="95">
        <v>75</v>
      </c>
    </row>
    <row r="910" spans="1:34" ht="15.6" x14ac:dyDescent="0.3">
      <c r="A910" s="89" t="str">
        <f>CONCATENATE(D910,".",F910,"-",G910,".",H910,"")</f>
        <v>2.1-1.1</v>
      </c>
      <c r="B910" s="89" t="str">
        <f>IF(CONCATENATE(I910,Key!F$2)=CONCATENATE(INDEX(Dashboard!J:J,MATCH(I910,Dashboard!J:J,0),1),INDEX(Dashboard!J:K,MATCH(I910,Dashboard!J:J,0),2)),"ON",IF(Dashboard!K$32="ALL","ON","-"))</f>
        <v>-</v>
      </c>
      <c r="C910" s="88" t="s">
        <v>152</v>
      </c>
      <c r="D910" s="89">
        <f>IF(C910="ID",1,(IF(C910="PR",2,(IF(C910="DE",3,(IF(C910="RS",4,(IF(C910="RC",5,0)))))))))</f>
        <v>2</v>
      </c>
      <c r="E910" s="89" t="s">
        <v>153</v>
      </c>
      <c r="F910" s="89">
        <f>IF(E910="AM",1,(IF(E910="BE",2,(IF(E910="GV",3,(IF(E910="RA",4,(IF(E910="RM",5,(IF(E910="AC",1,(IF(E910="AT",2,(IF(E910="DS",3,(IF(E910="IP",4,(IF(E910="MA",5,(IF(E910="PT",6,(IF(E910="AE",1,(IF(E910="CM",2,(IF(E910="DP",3,(IF(E910="AN",1,(IF(E910="CO",2,(IF(E910="IM",3,(IF(E910="MI",4,(IF(E910="RP",5,(IF(E910="SC",6,0)))))))))))))))))))))))))))))))))))))))</f>
        <v>1</v>
      </c>
      <c r="G910" s="52">
        <v>1</v>
      </c>
      <c r="H910" s="90" t="s">
        <v>115</v>
      </c>
      <c r="I910" s="93" t="s">
        <v>77</v>
      </c>
      <c r="J910" s="87" t="s">
        <v>1119</v>
      </c>
      <c r="K910" s="102" t="s">
        <v>2155</v>
      </c>
      <c r="L910" s="117">
        <f>IF(O910="","",N910*O910*M910)</f>
        <v>0</v>
      </c>
      <c r="M910" s="108">
        <v>1</v>
      </c>
      <c r="N910" s="95">
        <v>1</v>
      </c>
      <c r="O910" s="109">
        <f>IF(Key!D$1="ON",P910,IF(SUM(Q910:DL910)&lt;1,"",SUM(Q910:DL910)/COUNTIF(Q910:DL910,"&gt;0")))</f>
        <v>0</v>
      </c>
      <c r="P910" s="109">
        <f>SUMIFS(Q910:DK910,Q$1:DK$1,Dashboard!$K$31)</f>
        <v>0</v>
      </c>
      <c r="U910" s="95">
        <v>33</v>
      </c>
      <c r="AA910" s="95">
        <v>25</v>
      </c>
      <c r="AH910" s="95">
        <v>75</v>
      </c>
    </row>
    <row r="911" spans="1:34" ht="15.6" x14ac:dyDescent="0.3">
      <c r="A911" s="89" t="str">
        <f>CONCATENATE(D911,".",F911,"-",G911,".",H911,"")</f>
        <v>2.1-1.1</v>
      </c>
      <c r="B911" s="89" t="str">
        <f>IF(CONCATENATE(I911,Key!F$2)=CONCATENATE(INDEX(Dashboard!J:J,MATCH(I911,Dashboard!J:J,0),1),INDEX(Dashboard!J:K,MATCH(I911,Dashboard!J:J,0),2)),"ON",IF(Dashboard!K$32="ALL","ON","-"))</f>
        <v>-</v>
      </c>
      <c r="C911" s="88" t="s">
        <v>152</v>
      </c>
      <c r="D911" s="89">
        <f>IF(C911="ID",1,(IF(C911="PR",2,(IF(C911="DE",3,(IF(C911="RS",4,(IF(C911="RC",5,0)))))))))</f>
        <v>2</v>
      </c>
      <c r="E911" s="89" t="s">
        <v>153</v>
      </c>
      <c r="F911" s="89">
        <f>IF(E911="AM",1,(IF(E911="BE",2,(IF(E911="GV",3,(IF(E911="RA",4,(IF(E911="RM",5,(IF(E911="AC",1,(IF(E911="AT",2,(IF(E911="DS",3,(IF(E911="IP",4,(IF(E911="MA",5,(IF(E911="PT",6,(IF(E911="AE",1,(IF(E911="CM",2,(IF(E911="DP",3,(IF(E911="AN",1,(IF(E911="CO",2,(IF(E911="IM",3,(IF(E911="MI",4,(IF(E911="RP",5,(IF(E911="SC",6,0)))))))))))))))))))))))))))))))))))))))</f>
        <v>1</v>
      </c>
      <c r="G911" s="52">
        <v>1</v>
      </c>
      <c r="H911" s="90" t="s">
        <v>115</v>
      </c>
      <c r="I911" s="93" t="s">
        <v>77</v>
      </c>
      <c r="J911" s="87" t="s">
        <v>1191</v>
      </c>
      <c r="K911" s="102" t="s">
        <v>2219</v>
      </c>
      <c r="L911" s="117">
        <f>IF(O911="","",N911*O911*M911)</f>
        <v>0</v>
      </c>
      <c r="M911" s="108">
        <v>1</v>
      </c>
      <c r="N911" s="95">
        <v>1</v>
      </c>
      <c r="O911" s="109">
        <f>IF(Key!D$1="ON",P911,IF(SUM(Q911:DL911)&lt;1,"",SUM(Q911:DL911)/COUNTIF(Q911:DL911,"&gt;0")))</f>
        <v>0</v>
      </c>
      <c r="P911" s="109">
        <f>SUMIFS(Q911:DK911,Q$1:DK$1,Dashboard!$K$31)</f>
        <v>0</v>
      </c>
      <c r="U911" s="95">
        <v>33</v>
      </c>
      <c r="AA911" s="95">
        <v>25</v>
      </c>
      <c r="AH911" s="95">
        <v>75</v>
      </c>
    </row>
    <row r="912" spans="1:34" ht="15.6" x14ac:dyDescent="0.3">
      <c r="A912" s="89" t="str">
        <f>CONCATENATE(D912,".",F912,"-",G912,".",H912,"")</f>
        <v>2.1-1.1</v>
      </c>
      <c r="B912" s="89" t="str">
        <f>IF(CONCATENATE(I912,Key!F$2)=CONCATENATE(INDEX(Dashboard!J:J,MATCH(I912,Dashboard!J:J,0),1),INDEX(Dashboard!J:K,MATCH(I912,Dashboard!J:J,0),2)),"ON",IF(Dashboard!K$32="ALL","ON","-"))</f>
        <v>-</v>
      </c>
      <c r="C912" s="88" t="s">
        <v>152</v>
      </c>
      <c r="D912" s="89">
        <f>IF(C912="ID",1,(IF(C912="PR",2,(IF(C912="DE",3,(IF(C912="RS",4,(IF(C912="RC",5,0)))))))))</f>
        <v>2</v>
      </c>
      <c r="E912" s="89" t="s">
        <v>153</v>
      </c>
      <c r="F912" s="89">
        <f>IF(E912="AM",1,(IF(E912="BE",2,(IF(E912="GV",3,(IF(E912="RA",4,(IF(E912="RM",5,(IF(E912="AC",1,(IF(E912="AT",2,(IF(E912="DS",3,(IF(E912="IP",4,(IF(E912="MA",5,(IF(E912="PT",6,(IF(E912="AE",1,(IF(E912="CM",2,(IF(E912="DP",3,(IF(E912="AN",1,(IF(E912="CO",2,(IF(E912="IM",3,(IF(E912="MI",4,(IF(E912="RP",5,(IF(E912="SC",6,0)))))))))))))))))))))))))))))))))))))))</f>
        <v>1</v>
      </c>
      <c r="G912" s="52">
        <v>1</v>
      </c>
      <c r="H912" s="90" t="s">
        <v>115</v>
      </c>
      <c r="I912" s="93" t="s">
        <v>77</v>
      </c>
      <c r="J912" s="87" t="s">
        <v>1121</v>
      </c>
      <c r="K912" s="102" t="s">
        <v>2156</v>
      </c>
      <c r="L912" s="117">
        <f>IF(O912="","",N912*O912*M912)</f>
        <v>0</v>
      </c>
      <c r="M912" s="108">
        <v>1</v>
      </c>
      <c r="N912" s="95">
        <v>1</v>
      </c>
      <c r="O912" s="109">
        <f>IF(Key!D$1="ON",P912,IF(SUM(Q912:DL912)&lt;1,"",SUM(Q912:DL912)/COUNTIF(Q912:DL912,"&gt;0")))</f>
        <v>0</v>
      </c>
      <c r="P912" s="109">
        <f>SUMIFS(Q912:DK912,Q$1:DK$1,Dashboard!$K$31)</f>
        <v>0</v>
      </c>
      <c r="U912" s="95">
        <v>33</v>
      </c>
      <c r="AA912" s="95">
        <v>25</v>
      </c>
      <c r="AH912" s="95">
        <v>75</v>
      </c>
    </row>
    <row r="913" spans="1:34" ht="15.6" x14ac:dyDescent="0.3">
      <c r="A913" s="89" t="str">
        <f>CONCATENATE(D913,".",F913,"-",G913,".",H913,"")</f>
        <v>2.1-1.1</v>
      </c>
      <c r="B913" s="89" t="str">
        <f>IF(CONCATENATE(I913,Key!F$2)=CONCATENATE(INDEX(Dashboard!J:J,MATCH(I913,Dashboard!J:J,0),1),INDEX(Dashboard!J:K,MATCH(I913,Dashboard!J:J,0),2)),"ON",IF(Dashboard!K$32="ALL","ON","-"))</f>
        <v>-</v>
      </c>
      <c r="C913" s="88" t="s">
        <v>152</v>
      </c>
      <c r="D913" s="89">
        <f>IF(C913="ID",1,(IF(C913="PR",2,(IF(C913="DE",3,(IF(C913="RS",4,(IF(C913="RC",5,0)))))))))</f>
        <v>2</v>
      </c>
      <c r="E913" s="89" t="s">
        <v>153</v>
      </c>
      <c r="F913" s="89">
        <f>IF(E913="AM",1,(IF(E913="BE",2,(IF(E913="GV",3,(IF(E913="RA",4,(IF(E913="RM",5,(IF(E913="AC",1,(IF(E913="AT",2,(IF(E913="DS",3,(IF(E913="IP",4,(IF(E913="MA",5,(IF(E913="PT",6,(IF(E913="AE",1,(IF(E913="CM",2,(IF(E913="DP",3,(IF(E913="AN",1,(IF(E913="CO",2,(IF(E913="IM",3,(IF(E913="MI",4,(IF(E913="RP",5,(IF(E913="SC",6,0)))))))))))))))))))))))))))))))))))))))</f>
        <v>1</v>
      </c>
      <c r="G913" s="52">
        <v>1</v>
      </c>
      <c r="H913" s="90" t="s">
        <v>115</v>
      </c>
      <c r="I913" s="93" t="s">
        <v>77</v>
      </c>
      <c r="J913" s="87" t="s">
        <v>1122</v>
      </c>
      <c r="K913" s="102" t="s">
        <v>2157</v>
      </c>
      <c r="L913" s="117">
        <f>IF(O913="","",N913*O913*M913)</f>
        <v>0</v>
      </c>
      <c r="M913" s="108">
        <v>1</v>
      </c>
      <c r="N913" s="95">
        <v>1</v>
      </c>
      <c r="O913" s="109">
        <f>IF(Key!D$1="ON",P913,IF(SUM(Q913:DL913)&lt;1,"",SUM(Q913:DL913)/COUNTIF(Q913:DL913,"&gt;0")))</f>
        <v>0</v>
      </c>
      <c r="P913" s="109">
        <f>SUMIFS(Q913:DK913,Q$1:DK$1,Dashboard!$K$31)</f>
        <v>0</v>
      </c>
      <c r="U913" s="95">
        <v>33</v>
      </c>
      <c r="AA913" s="95">
        <v>25</v>
      </c>
      <c r="AH913" s="95">
        <v>75</v>
      </c>
    </row>
    <row r="914" spans="1:34" ht="15.6" x14ac:dyDescent="0.3">
      <c r="A914" s="89" t="str">
        <f>CONCATENATE(D914,".",F914,"-",G914,".",H914,"")</f>
        <v>2.1-1.1</v>
      </c>
      <c r="B914" s="89" t="str">
        <f>IF(CONCATENATE(I914,Key!F$2)=CONCATENATE(INDEX(Dashboard!J:J,MATCH(I914,Dashboard!J:J,0),1),INDEX(Dashboard!J:K,MATCH(I914,Dashboard!J:J,0),2)),"ON",IF(Dashboard!K$32="ALL","ON","-"))</f>
        <v>-</v>
      </c>
      <c r="C914" s="88" t="s">
        <v>152</v>
      </c>
      <c r="D914" s="89">
        <f>IF(C914="ID",1,(IF(C914="PR",2,(IF(C914="DE",3,(IF(C914="RS",4,(IF(C914="RC",5,0)))))))))</f>
        <v>2</v>
      </c>
      <c r="E914" s="89" t="s">
        <v>153</v>
      </c>
      <c r="F914" s="89">
        <f>IF(E914="AM",1,(IF(E914="BE",2,(IF(E914="GV",3,(IF(E914="RA",4,(IF(E914="RM",5,(IF(E914="AC",1,(IF(E914="AT",2,(IF(E914="DS",3,(IF(E914="IP",4,(IF(E914="MA",5,(IF(E914="PT",6,(IF(E914="AE",1,(IF(E914="CM",2,(IF(E914="DP",3,(IF(E914="AN",1,(IF(E914="CO",2,(IF(E914="IM",3,(IF(E914="MI",4,(IF(E914="RP",5,(IF(E914="SC",6,0)))))))))))))))))))))))))))))))))))))))</f>
        <v>1</v>
      </c>
      <c r="G914" s="52">
        <v>1</v>
      </c>
      <c r="H914" s="90" t="s">
        <v>115</v>
      </c>
      <c r="I914" s="93" t="s">
        <v>77</v>
      </c>
      <c r="J914" s="87" t="s">
        <v>1123</v>
      </c>
      <c r="K914" s="102" t="s">
        <v>2158</v>
      </c>
      <c r="L914" s="117">
        <f>IF(O914="","",N914*O914*M914)</f>
        <v>0</v>
      </c>
      <c r="M914" s="108">
        <v>1</v>
      </c>
      <c r="N914" s="95">
        <v>1</v>
      </c>
      <c r="O914" s="109">
        <f>IF(Key!D$1="ON",P914,IF(SUM(Q914:DL914)&lt;1,"",SUM(Q914:DL914)/COUNTIF(Q914:DL914,"&gt;0")))</f>
        <v>0</v>
      </c>
      <c r="P914" s="109">
        <f>SUMIFS(Q914:DK914,Q$1:DK$1,Dashboard!$K$31)</f>
        <v>0</v>
      </c>
      <c r="U914" s="95">
        <v>33</v>
      </c>
      <c r="AA914" s="95">
        <v>25</v>
      </c>
      <c r="AH914" s="95">
        <v>75</v>
      </c>
    </row>
    <row r="915" spans="1:34" ht="15.6" x14ac:dyDescent="0.3">
      <c r="A915" s="89" t="str">
        <f>CONCATENATE(D915,".",F915,"-",G915,".",H915,"")</f>
        <v>2.1-1.1</v>
      </c>
      <c r="B915" s="89" t="str">
        <f>IF(CONCATENATE(I915,Key!F$2)=CONCATENATE(INDEX(Dashboard!J:J,MATCH(I915,Dashboard!J:J,0),1),INDEX(Dashboard!J:K,MATCH(I915,Dashboard!J:J,0),2)),"ON",IF(Dashboard!K$32="ALL","ON","-"))</f>
        <v>-</v>
      </c>
      <c r="C915" s="88" t="s">
        <v>152</v>
      </c>
      <c r="D915" s="89">
        <f>IF(C915="ID",1,(IF(C915="PR",2,(IF(C915="DE",3,(IF(C915="RS",4,(IF(C915="RC",5,0)))))))))</f>
        <v>2</v>
      </c>
      <c r="E915" s="89" t="s">
        <v>153</v>
      </c>
      <c r="F915" s="89">
        <f>IF(E915="AM",1,(IF(E915="BE",2,(IF(E915="GV",3,(IF(E915="RA",4,(IF(E915="RM",5,(IF(E915="AC",1,(IF(E915="AT",2,(IF(E915="DS",3,(IF(E915="IP",4,(IF(E915="MA",5,(IF(E915="PT",6,(IF(E915="AE",1,(IF(E915="CM",2,(IF(E915="DP",3,(IF(E915="AN",1,(IF(E915="CO",2,(IF(E915="IM",3,(IF(E915="MI",4,(IF(E915="RP",5,(IF(E915="SC",6,0)))))))))))))))))))))))))))))))))))))))</f>
        <v>1</v>
      </c>
      <c r="G915" s="52">
        <v>1</v>
      </c>
      <c r="H915" s="90" t="s">
        <v>115</v>
      </c>
      <c r="I915" s="93" t="s">
        <v>77</v>
      </c>
      <c r="J915" s="87" t="s">
        <v>1124</v>
      </c>
      <c r="K915" s="102" t="s">
        <v>2159</v>
      </c>
      <c r="L915" s="117">
        <f>IF(O915="","",N915*O915*M915)</f>
        <v>0</v>
      </c>
      <c r="M915" s="108">
        <v>1</v>
      </c>
      <c r="N915" s="95">
        <v>1</v>
      </c>
      <c r="O915" s="109">
        <f>IF(Key!D$1="ON",P915,IF(SUM(Q915:DL915)&lt;1,"",SUM(Q915:DL915)/COUNTIF(Q915:DL915,"&gt;0")))</f>
        <v>0</v>
      </c>
      <c r="P915" s="109">
        <f>SUMIFS(Q915:DK915,Q$1:DK$1,Dashboard!$K$31)</f>
        <v>0</v>
      </c>
      <c r="U915" s="95">
        <v>33</v>
      </c>
      <c r="AA915" s="95">
        <v>25</v>
      </c>
      <c r="AH915" s="95">
        <v>75</v>
      </c>
    </row>
    <row r="916" spans="1:34" ht="15.6" x14ac:dyDescent="0.3">
      <c r="A916" s="89" t="str">
        <f>CONCATENATE(D916,".",F916,"-",G916,".",H916,"")</f>
        <v>2.1-1.1</v>
      </c>
      <c r="B916" s="89" t="str">
        <f>IF(CONCATENATE(I916,Key!F$2)=CONCATENATE(INDEX(Dashboard!J:J,MATCH(I916,Dashboard!J:J,0),1),INDEX(Dashboard!J:K,MATCH(I916,Dashboard!J:J,0),2)),"ON",IF(Dashboard!K$32="ALL","ON","-"))</f>
        <v>-</v>
      </c>
      <c r="C916" s="88" t="s">
        <v>152</v>
      </c>
      <c r="D916" s="89">
        <f>IF(C916="ID",1,(IF(C916="PR",2,(IF(C916="DE",3,(IF(C916="RS",4,(IF(C916="RC",5,0)))))))))</f>
        <v>2</v>
      </c>
      <c r="E916" s="89" t="s">
        <v>153</v>
      </c>
      <c r="F916" s="89">
        <f>IF(E916="AM",1,(IF(E916="BE",2,(IF(E916="GV",3,(IF(E916="RA",4,(IF(E916="RM",5,(IF(E916="AC",1,(IF(E916="AT",2,(IF(E916="DS",3,(IF(E916="IP",4,(IF(E916="MA",5,(IF(E916="PT",6,(IF(E916="AE",1,(IF(E916="CM",2,(IF(E916="DP",3,(IF(E916="AN",1,(IF(E916="CO",2,(IF(E916="IM",3,(IF(E916="MI",4,(IF(E916="RP",5,(IF(E916="SC",6,0)))))))))))))))))))))))))))))))))))))))</f>
        <v>1</v>
      </c>
      <c r="G916" s="52">
        <v>1</v>
      </c>
      <c r="H916" s="90" t="s">
        <v>115</v>
      </c>
      <c r="I916" s="93" t="s">
        <v>77</v>
      </c>
      <c r="J916" s="87" t="s">
        <v>1126</v>
      </c>
      <c r="K916" s="102" t="s">
        <v>2160</v>
      </c>
      <c r="L916" s="117">
        <f>IF(O916="","",N916*O916*M916)</f>
        <v>0</v>
      </c>
      <c r="M916" s="108">
        <v>1</v>
      </c>
      <c r="N916" s="95">
        <v>1</v>
      </c>
      <c r="O916" s="109">
        <f>IF(Key!D$1="ON",P916,IF(SUM(Q916:DL916)&lt;1,"",SUM(Q916:DL916)/COUNTIF(Q916:DL916,"&gt;0")))</f>
        <v>0</v>
      </c>
      <c r="P916" s="109">
        <f>SUMIFS(Q916:DK916,Q$1:DK$1,Dashboard!$K$31)</f>
        <v>0</v>
      </c>
      <c r="U916" s="95">
        <v>33</v>
      </c>
      <c r="AA916" s="95">
        <v>25</v>
      </c>
      <c r="AH916" s="95">
        <v>75</v>
      </c>
    </row>
    <row r="917" spans="1:34" ht="15.6" x14ac:dyDescent="0.3">
      <c r="A917" s="89" t="str">
        <f>CONCATENATE(D917,".",F917,"-",G917,".",H917,"")</f>
        <v>2.1-1.1</v>
      </c>
      <c r="B917" s="89" t="str">
        <f>IF(CONCATENATE(I917,Key!F$2)=CONCATENATE(INDEX(Dashboard!J:J,MATCH(I917,Dashboard!J:J,0),1),INDEX(Dashboard!J:K,MATCH(I917,Dashboard!J:J,0),2)),"ON",IF(Dashboard!K$32="ALL","ON","-"))</f>
        <v>-</v>
      </c>
      <c r="C917" s="88" t="s">
        <v>152</v>
      </c>
      <c r="D917" s="89">
        <f>IF(C917="ID",1,(IF(C917="PR",2,(IF(C917="DE",3,(IF(C917="RS",4,(IF(C917="RC",5,0)))))))))</f>
        <v>2</v>
      </c>
      <c r="E917" s="89" t="s">
        <v>153</v>
      </c>
      <c r="F917" s="89">
        <f>IF(E917="AM",1,(IF(E917="BE",2,(IF(E917="GV",3,(IF(E917="RA",4,(IF(E917="RM",5,(IF(E917="AC",1,(IF(E917="AT",2,(IF(E917="DS",3,(IF(E917="IP",4,(IF(E917="MA",5,(IF(E917="PT",6,(IF(E917="AE",1,(IF(E917="CM",2,(IF(E917="DP",3,(IF(E917="AN",1,(IF(E917="CO",2,(IF(E917="IM",3,(IF(E917="MI",4,(IF(E917="RP",5,(IF(E917="SC",6,0)))))))))))))))))))))))))))))))))))))))</f>
        <v>1</v>
      </c>
      <c r="G917" s="52">
        <v>1</v>
      </c>
      <c r="H917" s="90" t="s">
        <v>115</v>
      </c>
      <c r="I917" s="93" t="s">
        <v>77</v>
      </c>
      <c r="J917" s="87" t="s">
        <v>1128</v>
      </c>
      <c r="K917" s="102" t="s">
        <v>2161</v>
      </c>
      <c r="L917" s="117">
        <f>IF(O917="","",N917*O917*M917)</f>
        <v>0</v>
      </c>
      <c r="M917" s="108">
        <v>1</v>
      </c>
      <c r="N917" s="95">
        <v>1</v>
      </c>
      <c r="O917" s="109">
        <f>IF(Key!D$1="ON",P917,IF(SUM(Q917:DL917)&lt;1,"",SUM(Q917:DL917)/COUNTIF(Q917:DL917,"&gt;0")))</f>
        <v>0</v>
      </c>
      <c r="P917" s="109">
        <f>SUMIFS(Q917:DK917,Q$1:DK$1,Dashboard!$K$31)</f>
        <v>0</v>
      </c>
      <c r="U917" s="95">
        <v>33</v>
      </c>
      <c r="AA917" s="95">
        <v>25</v>
      </c>
      <c r="AH917" s="95">
        <v>75</v>
      </c>
    </row>
    <row r="918" spans="1:34" ht="15.6" x14ac:dyDescent="0.3">
      <c r="A918" s="89" t="str">
        <f>CONCATENATE(D918,".",F918,"-",G918,".",H918,"")</f>
        <v>2.1-1.1</v>
      </c>
      <c r="B918" s="89" t="str">
        <f>IF(CONCATENATE(I918,Key!F$2)=CONCATENATE(INDEX(Dashboard!J:J,MATCH(I918,Dashboard!J:J,0),1),INDEX(Dashboard!J:K,MATCH(I918,Dashboard!J:J,0),2)),"ON",IF(Dashboard!K$32="ALL","ON","-"))</f>
        <v>-</v>
      </c>
      <c r="C918" s="88" t="s">
        <v>152</v>
      </c>
      <c r="D918" s="89">
        <f>IF(C918="ID",1,(IF(C918="PR",2,(IF(C918="DE",3,(IF(C918="RS",4,(IF(C918="RC",5,0)))))))))</f>
        <v>2</v>
      </c>
      <c r="E918" s="89" t="s">
        <v>153</v>
      </c>
      <c r="F918" s="89">
        <f>IF(E918="AM",1,(IF(E918="BE",2,(IF(E918="GV",3,(IF(E918="RA",4,(IF(E918="RM",5,(IF(E918="AC",1,(IF(E918="AT",2,(IF(E918="DS",3,(IF(E918="IP",4,(IF(E918="MA",5,(IF(E918="PT",6,(IF(E918="AE",1,(IF(E918="CM",2,(IF(E918="DP",3,(IF(E918="AN",1,(IF(E918="CO",2,(IF(E918="IM",3,(IF(E918="MI",4,(IF(E918="RP",5,(IF(E918="SC",6,0)))))))))))))))))))))))))))))))))))))))</f>
        <v>1</v>
      </c>
      <c r="G918" s="52">
        <v>1</v>
      </c>
      <c r="H918" s="90" t="s">
        <v>115</v>
      </c>
      <c r="I918" s="93" t="s">
        <v>77</v>
      </c>
      <c r="J918" s="87" t="s">
        <v>1129</v>
      </c>
      <c r="K918" s="102" t="s">
        <v>2162</v>
      </c>
      <c r="L918" s="117">
        <f>IF(O918="","",N918*O918*M918)</f>
        <v>0</v>
      </c>
      <c r="M918" s="108">
        <v>1</v>
      </c>
      <c r="N918" s="95">
        <v>1</v>
      </c>
      <c r="O918" s="109">
        <f>IF(Key!D$1="ON",P918,IF(SUM(Q918:DL918)&lt;1,"",SUM(Q918:DL918)/COUNTIF(Q918:DL918,"&gt;0")))</f>
        <v>0</v>
      </c>
      <c r="P918" s="109">
        <f>SUMIFS(Q918:DK918,Q$1:DK$1,Dashboard!$K$31)</f>
        <v>0</v>
      </c>
      <c r="U918" s="95">
        <v>33</v>
      </c>
      <c r="AA918" s="95">
        <v>25</v>
      </c>
      <c r="AH918" s="95">
        <v>75</v>
      </c>
    </row>
    <row r="919" spans="1:34" x14ac:dyDescent="0.3">
      <c r="A919" s="89" t="str">
        <f>CONCATENATE(D919,".",F919,"-",G919,".",H919,"")</f>
        <v>2.1-1.1</v>
      </c>
      <c r="B919" s="89" t="str">
        <f>IF(CONCATENATE(I919,Key!F$2)=CONCATENATE(INDEX(Dashboard!J:J,MATCH(I919,Dashboard!J:J,0),1),INDEX(Dashboard!J:K,MATCH(I919,Dashboard!J:J,0),2)),"ON",IF(Dashboard!K$32="ALL","ON","-"))</f>
        <v>-</v>
      </c>
      <c r="C919" s="88" t="s">
        <v>152</v>
      </c>
      <c r="D919" s="89">
        <f>IF(C919="ID",1,(IF(C919="PR",2,(IF(C919="DE",3,(IF(C919="RS",4,(IF(C919="RC",5,0)))))))))</f>
        <v>2</v>
      </c>
      <c r="E919" s="89" t="s">
        <v>153</v>
      </c>
      <c r="F919" s="89">
        <f>IF(E919="AM",1,(IF(E919="BE",2,(IF(E919="GV",3,(IF(E919="RA",4,(IF(E919="RM",5,(IF(E919="AC",1,(IF(E919="AT",2,(IF(E919="DS",3,(IF(E919="IP",4,(IF(E919="MA",5,(IF(E919="PT",6,(IF(E919="AE",1,(IF(E919="CM",2,(IF(E919="DP",3,(IF(E919="AN",1,(IF(E919="CO",2,(IF(E919="IM",3,(IF(E919="MI",4,(IF(E919="RP",5,(IF(E919="SC",6,0)))))))))))))))))))))))))))))))))))))))</f>
        <v>1</v>
      </c>
      <c r="G919" s="52">
        <v>1</v>
      </c>
      <c r="H919" s="90" t="s">
        <v>115</v>
      </c>
      <c r="I919" s="93" t="s">
        <v>77</v>
      </c>
      <c r="J919" s="87" t="s">
        <v>1130</v>
      </c>
      <c r="K919" s="102" t="s">
        <v>2163</v>
      </c>
      <c r="L919" s="117">
        <f>IF(O919="","",N919*O919*M919)</f>
        <v>0</v>
      </c>
      <c r="M919" s="108">
        <v>1</v>
      </c>
      <c r="N919" s="95">
        <v>1</v>
      </c>
      <c r="O919" s="109">
        <f>IF(Key!D$1="ON",P919,IF(SUM(Q919:DL919)&lt;1,"",SUM(Q919:DL919)/COUNTIF(Q919:DL919,"&gt;0")))</f>
        <v>0</v>
      </c>
      <c r="P919" s="109">
        <f>SUMIFS(Q919:DK919,Q$1:DK$1,Dashboard!$K$31)</f>
        <v>0</v>
      </c>
      <c r="U919" s="95">
        <v>33</v>
      </c>
      <c r="AA919" s="95">
        <v>25</v>
      </c>
      <c r="AH919" s="95">
        <v>75</v>
      </c>
    </row>
    <row r="920" spans="1:34" x14ac:dyDescent="0.3">
      <c r="A920" s="89" t="str">
        <f>CONCATENATE(D920,".",F920,"-",G920,".",H920,"")</f>
        <v>2.1-1.1</v>
      </c>
      <c r="B920" s="89" t="str">
        <f>IF(CONCATENATE(I920,Key!F$2)=CONCATENATE(INDEX(Dashboard!J:J,MATCH(I920,Dashboard!J:J,0),1),INDEX(Dashboard!J:K,MATCH(I920,Dashboard!J:J,0),2)),"ON",IF(Dashboard!K$32="ALL","ON","-"))</f>
        <v>-</v>
      </c>
      <c r="C920" s="88" t="s">
        <v>152</v>
      </c>
      <c r="D920" s="89">
        <f>IF(C920="ID",1,(IF(C920="PR",2,(IF(C920="DE",3,(IF(C920="RS",4,(IF(C920="RC",5,0)))))))))</f>
        <v>2</v>
      </c>
      <c r="E920" s="89" t="s">
        <v>153</v>
      </c>
      <c r="F920" s="89">
        <f>IF(E920="AM",1,(IF(E920="BE",2,(IF(E920="GV",3,(IF(E920="RA",4,(IF(E920="RM",5,(IF(E920="AC",1,(IF(E920="AT",2,(IF(E920="DS",3,(IF(E920="IP",4,(IF(E920="MA",5,(IF(E920="PT",6,(IF(E920="AE",1,(IF(E920="CM",2,(IF(E920="DP",3,(IF(E920="AN",1,(IF(E920="CO",2,(IF(E920="IM",3,(IF(E920="MI",4,(IF(E920="RP",5,(IF(E920="SC",6,0)))))))))))))))))))))))))))))))))))))))</f>
        <v>1</v>
      </c>
      <c r="G920" s="52">
        <v>1</v>
      </c>
      <c r="H920" s="90" t="s">
        <v>115</v>
      </c>
      <c r="I920" s="93" t="s">
        <v>77</v>
      </c>
      <c r="J920" s="87" t="s">
        <v>1131</v>
      </c>
      <c r="K920" s="102" t="s">
        <v>2164</v>
      </c>
      <c r="L920" s="117">
        <f>IF(O920="","",N920*O920*M920)</f>
        <v>0</v>
      </c>
      <c r="M920" s="108">
        <v>1</v>
      </c>
      <c r="N920" s="95">
        <v>1</v>
      </c>
      <c r="O920" s="109">
        <f>IF(Key!D$1="ON",P920,IF(SUM(Q920:DL920)&lt;1,"",SUM(Q920:DL920)/COUNTIF(Q920:DL920,"&gt;0")))</f>
        <v>0</v>
      </c>
      <c r="P920" s="109">
        <f>SUMIFS(Q920:DK920,Q$1:DK$1,Dashboard!$K$31)</f>
        <v>0</v>
      </c>
      <c r="U920" s="95">
        <v>33</v>
      </c>
      <c r="AA920" s="95">
        <v>25</v>
      </c>
      <c r="AH920" s="95">
        <v>75</v>
      </c>
    </row>
    <row r="921" spans="1:34" x14ac:dyDescent="0.3">
      <c r="A921" s="89" t="str">
        <f>CONCATENATE(D921,".",F921,"-",G921,".",H921,"")</f>
        <v>2.1-1.1</v>
      </c>
      <c r="B921" s="89" t="str">
        <f>IF(CONCATENATE(I921,Key!F$2)=CONCATENATE(INDEX(Dashboard!J:J,MATCH(I921,Dashboard!J:J,0),1),INDEX(Dashboard!J:K,MATCH(I921,Dashboard!J:J,0),2)),"ON",IF(Dashboard!K$32="ALL","ON","-"))</f>
        <v>-</v>
      </c>
      <c r="C921" s="88" t="s">
        <v>152</v>
      </c>
      <c r="D921" s="89">
        <f>IF(C921="ID",1,(IF(C921="PR",2,(IF(C921="DE",3,(IF(C921="RS",4,(IF(C921="RC",5,0)))))))))</f>
        <v>2</v>
      </c>
      <c r="E921" s="89" t="s">
        <v>153</v>
      </c>
      <c r="F921" s="89">
        <f>IF(E921="AM",1,(IF(E921="BE",2,(IF(E921="GV",3,(IF(E921="RA",4,(IF(E921="RM",5,(IF(E921="AC",1,(IF(E921="AT",2,(IF(E921="DS",3,(IF(E921="IP",4,(IF(E921="MA",5,(IF(E921="PT",6,(IF(E921="AE",1,(IF(E921="CM",2,(IF(E921="DP",3,(IF(E921="AN",1,(IF(E921="CO",2,(IF(E921="IM",3,(IF(E921="MI",4,(IF(E921="RP",5,(IF(E921="SC",6,0)))))))))))))))))))))))))))))))))))))))</f>
        <v>1</v>
      </c>
      <c r="G921" s="52">
        <v>1</v>
      </c>
      <c r="H921" s="90" t="s">
        <v>115</v>
      </c>
      <c r="I921" s="93" t="s">
        <v>77</v>
      </c>
      <c r="J921" s="87" t="s">
        <v>1132</v>
      </c>
      <c r="K921" s="102" t="s">
        <v>2165</v>
      </c>
      <c r="L921" s="117">
        <f>IF(O921="","",N921*O921*M921)</f>
        <v>0</v>
      </c>
      <c r="M921" s="108">
        <v>1</v>
      </c>
      <c r="N921" s="95">
        <v>1</v>
      </c>
      <c r="O921" s="109">
        <f>IF(Key!D$1="ON",P921,IF(SUM(Q921:DL921)&lt;1,"",SUM(Q921:DL921)/COUNTIF(Q921:DL921,"&gt;0")))</f>
        <v>0</v>
      </c>
      <c r="P921" s="109">
        <f>SUMIFS(Q921:DK921,Q$1:DK$1,Dashboard!$K$31)</f>
        <v>0</v>
      </c>
      <c r="U921" s="95">
        <v>33</v>
      </c>
      <c r="AA921" s="95">
        <v>25</v>
      </c>
      <c r="AH921" s="95">
        <v>75</v>
      </c>
    </row>
    <row r="922" spans="1:34" x14ac:dyDescent="0.3">
      <c r="A922" s="89" t="str">
        <f>CONCATENATE(D922,".",F922,"-",G922,".",H922,"")</f>
        <v>2.1-1.1</v>
      </c>
      <c r="B922" s="89" t="str">
        <f>IF(CONCATENATE(I922,Key!F$2)=CONCATENATE(INDEX(Dashboard!J:J,MATCH(I922,Dashboard!J:J,0),1),INDEX(Dashboard!J:K,MATCH(I922,Dashboard!J:J,0),2)),"ON",IF(Dashboard!K$32="ALL","ON","-"))</f>
        <v>-</v>
      </c>
      <c r="C922" s="88" t="s">
        <v>152</v>
      </c>
      <c r="D922" s="89">
        <f>IF(C922="ID",1,(IF(C922="PR",2,(IF(C922="DE",3,(IF(C922="RS",4,(IF(C922="RC",5,0)))))))))</f>
        <v>2</v>
      </c>
      <c r="E922" s="89" t="s">
        <v>153</v>
      </c>
      <c r="F922" s="89">
        <f>IF(E922="AM",1,(IF(E922="BE",2,(IF(E922="GV",3,(IF(E922="RA",4,(IF(E922="RM",5,(IF(E922="AC",1,(IF(E922="AT",2,(IF(E922="DS",3,(IF(E922="IP",4,(IF(E922="MA",5,(IF(E922="PT",6,(IF(E922="AE",1,(IF(E922="CM",2,(IF(E922="DP",3,(IF(E922="AN",1,(IF(E922="CO",2,(IF(E922="IM",3,(IF(E922="MI",4,(IF(E922="RP",5,(IF(E922="SC",6,0)))))))))))))))))))))))))))))))))))))))</f>
        <v>1</v>
      </c>
      <c r="G922" s="52">
        <v>1</v>
      </c>
      <c r="H922" s="90" t="s">
        <v>115</v>
      </c>
      <c r="I922" s="93" t="s">
        <v>77</v>
      </c>
      <c r="J922" s="87" t="s">
        <v>1133</v>
      </c>
      <c r="K922" s="102" t="s">
        <v>2166</v>
      </c>
      <c r="L922" s="117">
        <f>IF(O922="","",N922*O922*M922)</f>
        <v>0</v>
      </c>
      <c r="M922" s="108">
        <v>1</v>
      </c>
      <c r="N922" s="95">
        <v>1</v>
      </c>
      <c r="O922" s="109">
        <f>IF(Key!D$1="ON",P922,IF(SUM(Q922:DL922)&lt;1,"",SUM(Q922:DL922)/COUNTIF(Q922:DL922,"&gt;0")))</f>
        <v>0</v>
      </c>
      <c r="P922" s="109">
        <f>SUMIFS(Q922:DK922,Q$1:DK$1,Dashboard!$K$31)</f>
        <v>0</v>
      </c>
      <c r="U922" s="95">
        <v>33</v>
      </c>
      <c r="AA922" s="95">
        <v>25</v>
      </c>
      <c r="AH922" s="95">
        <v>75</v>
      </c>
    </row>
    <row r="923" spans="1:34" x14ac:dyDescent="0.3">
      <c r="A923" s="89" t="str">
        <f>CONCATENATE(D923,".",F923,"-",G923,".",H923,"")</f>
        <v>2.1-1.1</v>
      </c>
      <c r="B923" s="89" t="str">
        <f>IF(CONCATENATE(I923,Key!F$2)=CONCATENATE(INDEX(Dashboard!J:J,MATCH(I923,Dashboard!J:J,0),1),INDEX(Dashboard!J:K,MATCH(I923,Dashboard!J:J,0),2)),"ON",IF(Dashboard!K$32="ALL","ON","-"))</f>
        <v>-</v>
      </c>
      <c r="C923" s="88" t="s">
        <v>152</v>
      </c>
      <c r="D923" s="89">
        <f>IF(C923="ID",1,(IF(C923="PR",2,(IF(C923="DE",3,(IF(C923="RS",4,(IF(C923="RC",5,0)))))))))</f>
        <v>2</v>
      </c>
      <c r="E923" s="89" t="s">
        <v>153</v>
      </c>
      <c r="F923" s="89">
        <f>IF(E923="AM",1,(IF(E923="BE",2,(IF(E923="GV",3,(IF(E923="RA",4,(IF(E923="RM",5,(IF(E923="AC",1,(IF(E923="AT",2,(IF(E923="DS",3,(IF(E923="IP",4,(IF(E923="MA",5,(IF(E923="PT",6,(IF(E923="AE",1,(IF(E923="CM",2,(IF(E923="DP",3,(IF(E923="AN",1,(IF(E923="CO",2,(IF(E923="IM",3,(IF(E923="MI",4,(IF(E923="RP",5,(IF(E923="SC",6,0)))))))))))))))))))))))))))))))))))))))</f>
        <v>1</v>
      </c>
      <c r="G923" s="52">
        <v>1</v>
      </c>
      <c r="H923" s="90" t="s">
        <v>115</v>
      </c>
      <c r="I923" s="93" t="s">
        <v>77</v>
      </c>
      <c r="J923" s="87" t="s">
        <v>1134</v>
      </c>
      <c r="K923" s="102" t="s">
        <v>2167</v>
      </c>
      <c r="L923" s="117">
        <f>IF(O923="","",N923*O923*M923)</f>
        <v>0</v>
      </c>
      <c r="M923" s="108">
        <v>1</v>
      </c>
      <c r="N923" s="95">
        <v>1</v>
      </c>
      <c r="O923" s="109">
        <f>IF(Key!D$1="ON",P923,IF(SUM(Q923:DL923)&lt;1,"",SUM(Q923:DL923)/COUNTIF(Q923:DL923,"&gt;0")))</f>
        <v>0</v>
      </c>
      <c r="P923" s="109">
        <f>SUMIFS(Q923:DK923,Q$1:DK$1,Dashboard!$K$31)</f>
        <v>0</v>
      </c>
      <c r="U923" s="95">
        <v>33</v>
      </c>
      <c r="AA923" s="95">
        <v>25</v>
      </c>
      <c r="AH923" s="95">
        <v>75</v>
      </c>
    </row>
    <row r="924" spans="1:34" x14ac:dyDescent="0.3">
      <c r="A924" s="89" t="str">
        <f>CONCATENATE(D924,".",F924,"-",G924,".",H924,"")</f>
        <v>2.1-1.1</v>
      </c>
      <c r="B924" s="89" t="str">
        <f>IF(CONCATENATE(I924,Key!F$2)=CONCATENATE(INDEX(Dashboard!J:J,MATCH(I924,Dashboard!J:J,0),1),INDEX(Dashboard!J:K,MATCH(I924,Dashboard!J:J,0),2)),"ON",IF(Dashboard!K$32="ALL","ON","-"))</f>
        <v>-</v>
      </c>
      <c r="C924" s="88" t="s">
        <v>152</v>
      </c>
      <c r="D924" s="89">
        <f>IF(C924="ID",1,(IF(C924="PR",2,(IF(C924="DE",3,(IF(C924="RS",4,(IF(C924="RC",5,0)))))))))</f>
        <v>2</v>
      </c>
      <c r="E924" s="89" t="s">
        <v>153</v>
      </c>
      <c r="F924" s="89">
        <f>IF(E924="AM",1,(IF(E924="BE",2,(IF(E924="GV",3,(IF(E924="RA",4,(IF(E924="RM",5,(IF(E924="AC",1,(IF(E924="AT",2,(IF(E924="DS",3,(IF(E924="IP",4,(IF(E924="MA",5,(IF(E924="PT",6,(IF(E924="AE",1,(IF(E924="CM",2,(IF(E924="DP",3,(IF(E924="AN",1,(IF(E924="CO",2,(IF(E924="IM",3,(IF(E924="MI",4,(IF(E924="RP",5,(IF(E924="SC",6,0)))))))))))))))))))))))))))))))))))))))</f>
        <v>1</v>
      </c>
      <c r="G924" s="52">
        <v>1</v>
      </c>
      <c r="H924" s="90" t="s">
        <v>115</v>
      </c>
      <c r="I924" s="93" t="s">
        <v>77</v>
      </c>
      <c r="J924" s="87" t="s">
        <v>1135</v>
      </c>
      <c r="K924" s="102" t="s">
        <v>2168</v>
      </c>
      <c r="L924" s="117">
        <f>IF(O924="","",N924*O924*M924)</f>
        <v>0</v>
      </c>
      <c r="M924" s="108">
        <v>1</v>
      </c>
      <c r="N924" s="95">
        <v>1</v>
      </c>
      <c r="O924" s="109">
        <f>IF(Key!D$1="ON",P924,IF(SUM(Q924:DL924)&lt;1,"",SUM(Q924:DL924)/COUNTIF(Q924:DL924,"&gt;0")))</f>
        <v>0</v>
      </c>
      <c r="P924" s="109">
        <f>SUMIFS(Q924:DK924,Q$1:DK$1,Dashboard!$K$31)</f>
        <v>0</v>
      </c>
      <c r="U924" s="95">
        <v>33</v>
      </c>
      <c r="AA924" s="95">
        <v>25</v>
      </c>
      <c r="AH924" s="95">
        <v>75</v>
      </c>
    </row>
    <row r="925" spans="1:34" x14ac:dyDescent="0.3">
      <c r="A925" s="89" t="str">
        <f>CONCATENATE(D925,".",F925,"-",G925,".",H925,"")</f>
        <v>2.1-1.1</v>
      </c>
      <c r="B925" s="89" t="str">
        <f>IF(CONCATENATE(I925,Key!F$2)=CONCATENATE(INDEX(Dashboard!J:J,MATCH(I925,Dashboard!J:J,0),1),INDEX(Dashboard!J:K,MATCH(I925,Dashboard!J:J,0),2)),"ON",IF(Dashboard!K$32="ALL","ON","-"))</f>
        <v>-</v>
      </c>
      <c r="C925" s="88" t="s">
        <v>152</v>
      </c>
      <c r="D925" s="89">
        <f>IF(C925="ID",1,(IF(C925="PR",2,(IF(C925="DE",3,(IF(C925="RS",4,(IF(C925="RC",5,0)))))))))</f>
        <v>2</v>
      </c>
      <c r="E925" s="89" t="s">
        <v>153</v>
      </c>
      <c r="F925" s="89">
        <f>IF(E925="AM",1,(IF(E925="BE",2,(IF(E925="GV",3,(IF(E925="RA",4,(IF(E925="RM",5,(IF(E925="AC",1,(IF(E925="AT",2,(IF(E925="DS",3,(IF(E925="IP",4,(IF(E925="MA",5,(IF(E925="PT",6,(IF(E925="AE",1,(IF(E925="CM",2,(IF(E925="DP",3,(IF(E925="AN",1,(IF(E925="CO",2,(IF(E925="IM",3,(IF(E925="MI",4,(IF(E925="RP",5,(IF(E925="SC",6,0)))))))))))))))))))))))))))))))))))))))</f>
        <v>1</v>
      </c>
      <c r="G925" s="52">
        <v>1</v>
      </c>
      <c r="H925" s="90" t="s">
        <v>115</v>
      </c>
      <c r="I925" s="93" t="s">
        <v>77</v>
      </c>
      <c r="J925" s="87" t="s">
        <v>1136</v>
      </c>
      <c r="K925" s="102" t="s">
        <v>2169</v>
      </c>
      <c r="L925" s="117">
        <f>IF(O925="","",N925*O925*M925)</f>
        <v>0</v>
      </c>
      <c r="M925" s="108">
        <v>1</v>
      </c>
      <c r="N925" s="95">
        <v>1</v>
      </c>
      <c r="O925" s="109">
        <f>IF(Key!D$1="ON",P925,IF(SUM(Q925:DL925)&lt;1,"",SUM(Q925:DL925)/COUNTIF(Q925:DL925,"&gt;0")))</f>
        <v>0</v>
      </c>
      <c r="P925" s="109">
        <f>SUMIFS(Q925:DK925,Q$1:DK$1,Dashboard!$K$31)</f>
        <v>0</v>
      </c>
      <c r="U925" s="95">
        <v>33</v>
      </c>
      <c r="AA925" s="95">
        <v>25</v>
      </c>
      <c r="AH925" s="95">
        <v>75</v>
      </c>
    </row>
    <row r="926" spans="1:34" ht="15.6" x14ac:dyDescent="0.3">
      <c r="A926" s="89" t="str">
        <f>CONCATENATE(D926,".",F926,"-",G926,".",H926,"")</f>
        <v>2.1-1.1</v>
      </c>
      <c r="B926" s="89" t="str">
        <f>IF(CONCATENATE(I926,Key!F$2)=CONCATENATE(INDEX(Dashboard!J:J,MATCH(I926,Dashboard!J:J,0),1),INDEX(Dashboard!J:K,MATCH(I926,Dashboard!J:J,0),2)),"ON",IF(Dashboard!K$32="ALL","ON","-"))</f>
        <v>-</v>
      </c>
      <c r="C926" s="88" t="s">
        <v>152</v>
      </c>
      <c r="D926" s="89">
        <f>IF(C926="ID",1,(IF(C926="PR",2,(IF(C926="DE",3,(IF(C926="RS",4,(IF(C926="RC",5,0)))))))))</f>
        <v>2</v>
      </c>
      <c r="E926" s="89" t="s">
        <v>153</v>
      </c>
      <c r="F926" s="89">
        <f>IF(E926="AM",1,(IF(E926="BE",2,(IF(E926="GV",3,(IF(E926="RA",4,(IF(E926="RM",5,(IF(E926="AC",1,(IF(E926="AT",2,(IF(E926="DS",3,(IF(E926="IP",4,(IF(E926="MA",5,(IF(E926="PT",6,(IF(E926="AE",1,(IF(E926="CM",2,(IF(E926="DP",3,(IF(E926="AN",1,(IF(E926="CO",2,(IF(E926="IM",3,(IF(E926="MI",4,(IF(E926="RP",5,(IF(E926="SC",6,0)))))))))))))))))))))))))))))))))))))))</f>
        <v>1</v>
      </c>
      <c r="G926" s="52">
        <v>1</v>
      </c>
      <c r="H926" s="90" t="s">
        <v>115</v>
      </c>
      <c r="I926" s="93" t="s">
        <v>77</v>
      </c>
      <c r="J926" s="87" t="s">
        <v>1137</v>
      </c>
      <c r="K926" s="102" t="s">
        <v>2170</v>
      </c>
      <c r="L926" s="117">
        <f>IF(O926="","",N926*O926*M926)</f>
        <v>0</v>
      </c>
      <c r="M926" s="108">
        <v>1</v>
      </c>
      <c r="N926" s="95">
        <v>1</v>
      </c>
      <c r="O926" s="109">
        <f>IF(Key!D$1="ON",P926,IF(SUM(Q926:DL926)&lt;1,"",SUM(Q926:DL926)/COUNTIF(Q926:DL926,"&gt;0")))</f>
        <v>0</v>
      </c>
      <c r="P926" s="109">
        <f>SUMIFS(Q926:DK926,Q$1:DK$1,Dashboard!$K$31)</f>
        <v>0</v>
      </c>
      <c r="U926" s="95">
        <v>33</v>
      </c>
      <c r="AA926" s="95">
        <v>25</v>
      </c>
      <c r="AH926" s="95">
        <v>75</v>
      </c>
    </row>
    <row r="927" spans="1:34" x14ac:dyDescent="0.3">
      <c r="A927" s="89" t="str">
        <f>CONCATENATE(D927,".",F927,"-",G927,".",H927,"")</f>
        <v>2.1-1.1</v>
      </c>
      <c r="B927" s="89" t="str">
        <f>IF(CONCATENATE(I927,Key!F$2)=CONCATENATE(INDEX(Dashboard!J:J,MATCH(I927,Dashboard!J:J,0),1),INDEX(Dashboard!J:K,MATCH(I927,Dashboard!J:J,0),2)),"ON",IF(Dashboard!K$32="ALL","ON","-"))</f>
        <v>-</v>
      </c>
      <c r="C927" s="88" t="s">
        <v>152</v>
      </c>
      <c r="D927" s="89">
        <f>IF(C927="ID",1,(IF(C927="PR",2,(IF(C927="DE",3,(IF(C927="RS",4,(IF(C927="RC",5,0)))))))))</f>
        <v>2</v>
      </c>
      <c r="E927" s="89" t="s">
        <v>153</v>
      </c>
      <c r="F927" s="89">
        <f>IF(E927="AM",1,(IF(E927="BE",2,(IF(E927="GV",3,(IF(E927="RA",4,(IF(E927="RM",5,(IF(E927="AC",1,(IF(E927="AT",2,(IF(E927="DS",3,(IF(E927="IP",4,(IF(E927="MA",5,(IF(E927="PT",6,(IF(E927="AE",1,(IF(E927="CM",2,(IF(E927="DP",3,(IF(E927="AN",1,(IF(E927="CO",2,(IF(E927="IM",3,(IF(E927="MI",4,(IF(E927="RP",5,(IF(E927="SC",6,0)))))))))))))))))))))))))))))))))))))))</f>
        <v>1</v>
      </c>
      <c r="G927" s="52">
        <v>1</v>
      </c>
      <c r="H927" s="90" t="s">
        <v>115</v>
      </c>
      <c r="I927" s="93" t="s">
        <v>77</v>
      </c>
      <c r="J927" s="87" t="s">
        <v>1138</v>
      </c>
      <c r="K927" s="102" t="s">
        <v>2171</v>
      </c>
      <c r="L927" s="117">
        <f>IF(O927="","",N927*O927*M927)</f>
        <v>0</v>
      </c>
      <c r="M927" s="108">
        <v>1</v>
      </c>
      <c r="N927" s="95">
        <v>1</v>
      </c>
      <c r="O927" s="109">
        <f>IF(Key!D$1="ON",P927,IF(SUM(Q927:DL927)&lt;1,"",SUM(Q927:DL927)/COUNTIF(Q927:DL927,"&gt;0")))</f>
        <v>0</v>
      </c>
      <c r="P927" s="109">
        <f>SUMIFS(Q927:DK927,Q$1:DK$1,Dashboard!$K$31)</f>
        <v>0</v>
      </c>
      <c r="U927" s="95">
        <v>33</v>
      </c>
      <c r="AA927" s="95">
        <v>25</v>
      </c>
      <c r="AH927" s="95">
        <v>75</v>
      </c>
    </row>
    <row r="928" spans="1:34" x14ac:dyDescent="0.3">
      <c r="A928" s="89" t="str">
        <f>CONCATENATE(D928,".",F928,"-",G928,".",H928,"")</f>
        <v>2.1-1.1</v>
      </c>
      <c r="B928" s="89" t="str">
        <f>IF(CONCATENATE(I928,Key!F$2)=CONCATENATE(INDEX(Dashboard!J:J,MATCH(I928,Dashboard!J:J,0),1),INDEX(Dashboard!J:K,MATCH(I928,Dashboard!J:J,0),2)),"ON",IF(Dashboard!K$32="ALL","ON","-"))</f>
        <v>-</v>
      </c>
      <c r="C928" s="88" t="s">
        <v>152</v>
      </c>
      <c r="D928" s="89">
        <f>IF(C928="ID",1,(IF(C928="PR",2,(IF(C928="DE",3,(IF(C928="RS",4,(IF(C928="RC",5,0)))))))))</f>
        <v>2</v>
      </c>
      <c r="E928" s="89" t="s">
        <v>153</v>
      </c>
      <c r="F928" s="89">
        <f>IF(E928="AM",1,(IF(E928="BE",2,(IF(E928="GV",3,(IF(E928="RA",4,(IF(E928="RM",5,(IF(E928="AC",1,(IF(E928="AT",2,(IF(E928="DS",3,(IF(E928="IP",4,(IF(E928="MA",5,(IF(E928="PT",6,(IF(E928="AE",1,(IF(E928="CM",2,(IF(E928="DP",3,(IF(E928="AN",1,(IF(E928="CO",2,(IF(E928="IM",3,(IF(E928="MI",4,(IF(E928="RP",5,(IF(E928="SC",6,0)))))))))))))))))))))))))))))))))))))))</f>
        <v>1</v>
      </c>
      <c r="G928" s="52">
        <v>1</v>
      </c>
      <c r="H928" s="90" t="s">
        <v>115</v>
      </c>
      <c r="I928" s="93" t="s">
        <v>77</v>
      </c>
      <c r="J928" s="87" t="s">
        <v>1139</v>
      </c>
      <c r="K928" s="102" t="s">
        <v>2172</v>
      </c>
      <c r="L928" s="117">
        <f>IF(O928="","",N928*O928*M928)</f>
        <v>0</v>
      </c>
      <c r="M928" s="108">
        <v>1</v>
      </c>
      <c r="N928" s="95">
        <v>1</v>
      </c>
      <c r="O928" s="109">
        <f>IF(Key!D$1="ON",P928,IF(SUM(Q928:DL928)&lt;1,"",SUM(Q928:DL928)/COUNTIF(Q928:DL928,"&gt;0")))</f>
        <v>0</v>
      </c>
      <c r="P928" s="109">
        <f>SUMIFS(Q928:DK928,Q$1:DK$1,Dashboard!$K$31)</f>
        <v>0</v>
      </c>
      <c r="U928" s="95">
        <v>33</v>
      </c>
      <c r="AA928" s="95">
        <v>25</v>
      </c>
      <c r="AH928" s="95">
        <v>75</v>
      </c>
    </row>
    <row r="929" spans="1:34" x14ac:dyDescent="0.3">
      <c r="A929" s="89" t="str">
        <f>CONCATENATE(D929,".",F929,"-",G929,".",H929,"")</f>
        <v>2.1-1.1</v>
      </c>
      <c r="B929" s="89" t="str">
        <f>IF(CONCATENATE(I929,Key!F$2)=CONCATENATE(INDEX(Dashboard!J:J,MATCH(I929,Dashboard!J:J,0),1),INDEX(Dashboard!J:K,MATCH(I929,Dashboard!J:J,0),2)),"ON",IF(Dashboard!K$32="ALL","ON","-"))</f>
        <v>-</v>
      </c>
      <c r="C929" s="88" t="s">
        <v>152</v>
      </c>
      <c r="D929" s="89">
        <f>IF(C929="ID",1,(IF(C929="PR",2,(IF(C929="DE",3,(IF(C929="RS",4,(IF(C929="RC",5,0)))))))))</f>
        <v>2</v>
      </c>
      <c r="E929" s="89" t="s">
        <v>153</v>
      </c>
      <c r="F929" s="89">
        <f>IF(E929="AM",1,(IF(E929="BE",2,(IF(E929="GV",3,(IF(E929="RA",4,(IF(E929="RM",5,(IF(E929="AC",1,(IF(E929="AT",2,(IF(E929="DS",3,(IF(E929="IP",4,(IF(E929="MA",5,(IF(E929="PT",6,(IF(E929="AE",1,(IF(E929="CM",2,(IF(E929="DP",3,(IF(E929="AN",1,(IF(E929="CO",2,(IF(E929="IM",3,(IF(E929="MI",4,(IF(E929="RP",5,(IF(E929="SC",6,0)))))))))))))))))))))))))))))))))))))))</f>
        <v>1</v>
      </c>
      <c r="G929" s="52">
        <v>1</v>
      </c>
      <c r="H929" s="90" t="s">
        <v>115</v>
      </c>
      <c r="I929" s="93" t="s">
        <v>77</v>
      </c>
      <c r="J929" s="87" t="s">
        <v>1140</v>
      </c>
      <c r="K929" s="102" t="s">
        <v>2173</v>
      </c>
      <c r="L929" s="117">
        <f>IF(O929="","",N929*O929*M929)</f>
        <v>0</v>
      </c>
      <c r="M929" s="108">
        <v>1</v>
      </c>
      <c r="N929" s="95">
        <v>1</v>
      </c>
      <c r="O929" s="109">
        <f>IF(Key!D$1="ON",P929,IF(SUM(Q929:DL929)&lt;1,"",SUM(Q929:DL929)/COUNTIF(Q929:DL929,"&gt;0")))</f>
        <v>0</v>
      </c>
      <c r="P929" s="109">
        <f>SUMIFS(Q929:DK929,Q$1:DK$1,Dashboard!$K$31)</f>
        <v>0</v>
      </c>
      <c r="U929" s="95">
        <v>33</v>
      </c>
      <c r="AA929" s="95">
        <v>25</v>
      </c>
      <c r="AH929" s="95">
        <v>75</v>
      </c>
    </row>
    <row r="930" spans="1:34" x14ac:dyDescent="0.3">
      <c r="A930" s="89" t="str">
        <f>CONCATENATE(D930,".",F930,"-",G930,".",H930,"")</f>
        <v>2.1-1.1</v>
      </c>
      <c r="B930" s="89" t="str">
        <f>IF(CONCATENATE(I930,Key!F$2)=CONCATENATE(INDEX(Dashboard!J:J,MATCH(I930,Dashboard!J:J,0),1),INDEX(Dashboard!J:K,MATCH(I930,Dashboard!J:J,0),2)),"ON",IF(Dashboard!K$32="ALL","ON","-"))</f>
        <v>-</v>
      </c>
      <c r="C930" s="88" t="s">
        <v>152</v>
      </c>
      <c r="D930" s="89">
        <f>IF(C930="ID",1,(IF(C930="PR",2,(IF(C930="DE",3,(IF(C930="RS",4,(IF(C930="RC",5,0)))))))))</f>
        <v>2</v>
      </c>
      <c r="E930" s="89" t="s">
        <v>153</v>
      </c>
      <c r="F930" s="89">
        <f>IF(E930="AM",1,(IF(E930="BE",2,(IF(E930="GV",3,(IF(E930="RA",4,(IF(E930="RM",5,(IF(E930="AC",1,(IF(E930="AT",2,(IF(E930="DS",3,(IF(E930="IP",4,(IF(E930="MA",5,(IF(E930="PT",6,(IF(E930="AE",1,(IF(E930="CM",2,(IF(E930="DP",3,(IF(E930="AN",1,(IF(E930="CO",2,(IF(E930="IM",3,(IF(E930="MI",4,(IF(E930="RP",5,(IF(E930="SC",6,0)))))))))))))))))))))))))))))))))))))))</f>
        <v>1</v>
      </c>
      <c r="G930" s="52">
        <v>1</v>
      </c>
      <c r="H930" s="90" t="s">
        <v>115</v>
      </c>
      <c r="I930" s="93" t="s">
        <v>77</v>
      </c>
      <c r="J930" s="87" t="s">
        <v>1141</v>
      </c>
      <c r="K930" s="102" t="s">
        <v>2174</v>
      </c>
      <c r="L930" s="117">
        <f>IF(O930="","",N930*O930*M930)</f>
        <v>0</v>
      </c>
      <c r="M930" s="108">
        <v>1</v>
      </c>
      <c r="N930" s="95">
        <v>1</v>
      </c>
      <c r="O930" s="109">
        <f>IF(Key!D$1="ON",P930,IF(SUM(Q930:DL930)&lt;1,"",SUM(Q930:DL930)/COUNTIF(Q930:DL930,"&gt;0")))</f>
        <v>0</v>
      </c>
      <c r="P930" s="109">
        <f>SUMIFS(Q930:DK930,Q$1:DK$1,Dashboard!$K$31)</f>
        <v>0</v>
      </c>
      <c r="U930" s="95">
        <v>33</v>
      </c>
      <c r="AA930" s="95">
        <v>25</v>
      </c>
      <c r="AH930" s="95">
        <v>75</v>
      </c>
    </row>
    <row r="931" spans="1:34" ht="15.6" x14ac:dyDescent="0.3">
      <c r="A931" s="89" t="str">
        <f>CONCATENATE(D931,".",F931,"-",G931,".",H931,"")</f>
        <v>2.1-1.1</v>
      </c>
      <c r="B931" s="89" t="str">
        <f>IF(CONCATENATE(I931,Key!F$2)=CONCATENATE(INDEX(Dashboard!J:J,MATCH(I931,Dashboard!J:J,0),1),INDEX(Dashboard!J:K,MATCH(I931,Dashboard!J:J,0),2)),"ON",IF(Dashboard!K$32="ALL","ON","-"))</f>
        <v>-</v>
      </c>
      <c r="C931" s="88" t="s">
        <v>152</v>
      </c>
      <c r="D931" s="89">
        <f>IF(C931="ID",1,(IF(C931="PR",2,(IF(C931="DE",3,(IF(C931="RS",4,(IF(C931="RC",5,0)))))))))</f>
        <v>2</v>
      </c>
      <c r="E931" s="89" t="s">
        <v>153</v>
      </c>
      <c r="F931" s="89">
        <f>IF(E931="AM",1,(IF(E931="BE",2,(IF(E931="GV",3,(IF(E931="RA",4,(IF(E931="RM",5,(IF(E931="AC",1,(IF(E931="AT",2,(IF(E931="DS",3,(IF(E931="IP",4,(IF(E931="MA",5,(IF(E931="PT",6,(IF(E931="AE",1,(IF(E931="CM",2,(IF(E931="DP",3,(IF(E931="AN",1,(IF(E931="CO",2,(IF(E931="IM",3,(IF(E931="MI",4,(IF(E931="RP",5,(IF(E931="SC",6,0)))))))))))))))))))))))))))))))))))))))</f>
        <v>1</v>
      </c>
      <c r="G931" s="52">
        <v>1</v>
      </c>
      <c r="H931" s="90" t="s">
        <v>115</v>
      </c>
      <c r="I931" s="93" t="s">
        <v>77</v>
      </c>
      <c r="J931" s="87" t="s">
        <v>1142</v>
      </c>
      <c r="K931" s="102" t="s">
        <v>2175</v>
      </c>
      <c r="L931" s="117">
        <f>IF(O931="","",N931*O931*M931)</f>
        <v>0</v>
      </c>
      <c r="M931" s="108">
        <v>1</v>
      </c>
      <c r="N931" s="95">
        <v>1</v>
      </c>
      <c r="O931" s="109">
        <f>IF(Key!D$1="ON",P931,IF(SUM(Q931:DL931)&lt;1,"",SUM(Q931:DL931)/COUNTIF(Q931:DL931,"&gt;0")))</f>
        <v>0</v>
      </c>
      <c r="P931" s="109">
        <f>SUMIFS(Q931:DK931,Q$1:DK$1,Dashboard!$K$31)</f>
        <v>0</v>
      </c>
      <c r="U931" s="95">
        <v>33</v>
      </c>
      <c r="AA931" s="95">
        <v>25</v>
      </c>
      <c r="AH931" s="95">
        <v>75</v>
      </c>
    </row>
    <row r="932" spans="1:34" x14ac:dyDescent="0.3">
      <c r="A932" s="89" t="str">
        <f>CONCATENATE(D932,".",F932,"-",G932,".",H932,"")</f>
        <v>2.1-1.1</v>
      </c>
      <c r="B932" s="89" t="str">
        <f>IF(CONCATENATE(I932,Key!F$2)=CONCATENATE(INDEX(Dashboard!J:J,MATCH(I932,Dashboard!J:J,0),1),INDEX(Dashboard!J:K,MATCH(I932,Dashboard!J:J,0),2)),"ON",IF(Dashboard!K$32="ALL","ON","-"))</f>
        <v>-</v>
      </c>
      <c r="C932" s="88" t="s">
        <v>152</v>
      </c>
      <c r="D932" s="89">
        <f>IF(C932="ID",1,(IF(C932="PR",2,(IF(C932="DE",3,(IF(C932="RS",4,(IF(C932="RC",5,0)))))))))</f>
        <v>2</v>
      </c>
      <c r="E932" s="89" t="s">
        <v>153</v>
      </c>
      <c r="F932" s="89">
        <f>IF(E932="AM",1,(IF(E932="BE",2,(IF(E932="GV",3,(IF(E932="RA",4,(IF(E932="RM",5,(IF(E932="AC",1,(IF(E932="AT",2,(IF(E932="DS",3,(IF(E932="IP",4,(IF(E932="MA",5,(IF(E932="PT",6,(IF(E932="AE",1,(IF(E932="CM",2,(IF(E932="DP",3,(IF(E932="AN",1,(IF(E932="CO",2,(IF(E932="IM",3,(IF(E932="MI",4,(IF(E932="RP",5,(IF(E932="SC",6,0)))))))))))))))))))))))))))))))))))))))</f>
        <v>1</v>
      </c>
      <c r="G932" s="52">
        <v>1</v>
      </c>
      <c r="H932" s="90" t="s">
        <v>115</v>
      </c>
      <c r="I932" s="93" t="s">
        <v>77</v>
      </c>
      <c r="J932" s="87" t="s">
        <v>1144</v>
      </c>
      <c r="K932" s="102" t="s">
        <v>2176</v>
      </c>
      <c r="L932" s="117">
        <f>IF(O932="","",N932*O932*M932)</f>
        <v>0</v>
      </c>
      <c r="M932" s="108">
        <v>1</v>
      </c>
      <c r="N932" s="95">
        <v>1</v>
      </c>
      <c r="O932" s="109">
        <f>IF(Key!D$1="ON",P932,IF(SUM(Q932:DL932)&lt;1,"",SUM(Q932:DL932)/COUNTIF(Q932:DL932,"&gt;0")))</f>
        <v>0</v>
      </c>
      <c r="P932" s="109">
        <f>SUMIFS(Q932:DK932,Q$1:DK$1,Dashboard!$K$31)</f>
        <v>0</v>
      </c>
      <c r="U932" s="95">
        <v>33</v>
      </c>
      <c r="AA932" s="95">
        <v>25</v>
      </c>
      <c r="AH932" s="95">
        <v>75</v>
      </c>
    </row>
    <row r="933" spans="1:34" x14ac:dyDescent="0.3">
      <c r="A933" s="89" t="str">
        <f>CONCATENATE(D933,".",F933,"-",G933,".",H933,"")</f>
        <v>2.1-1.1</v>
      </c>
      <c r="B933" s="89" t="str">
        <f>IF(CONCATENATE(I933,Key!F$2)=CONCATENATE(INDEX(Dashboard!J:J,MATCH(I933,Dashboard!J:J,0),1),INDEX(Dashboard!J:K,MATCH(I933,Dashboard!J:J,0),2)),"ON",IF(Dashboard!K$32="ALL","ON","-"))</f>
        <v>-</v>
      </c>
      <c r="C933" s="88" t="s">
        <v>152</v>
      </c>
      <c r="D933" s="89">
        <f>IF(C933="ID",1,(IF(C933="PR",2,(IF(C933="DE",3,(IF(C933="RS",4,(IF(C933="RC",5,0)))))))))</f>
        <v>2</v>
      </c>
      <c r="E933" s="89" t="s">
        <v>153</v>
      </c>
      <c r="F933" s="89">
        <f>IF(E933="AM",1,(IF(E933="BE",2,(IF(E933="GV",3,(IF(E933="RA",4,(IF(E933="RM",5,(IF(E933="AC",1,(IF(E933="AT",2,(IF(E933="DS",3,(IF(E933="IP",4,(IF(E933="MA",5,(IF(E933="PT",6,(IF(E933="AE",1,(IF(E933="CM",2,(IF(E933="DP",3,(IF(E933="AN",1,(IF(E933="CO",2,(IF(E933="IM",3,(IF(E933="MI",4,(IF(E933="RP",5,(IF(E933="SC",6,0)))))))))))))))))))))))))))))))))))))))</f>
        <v>1</v>
      </c>
      <c r="G933" s="52">
        <v>1</v>
      </c>
      <c r="H933" s="90" t="s">
        <v>115</v>
      </c>
      <c r="I933" s="93" t="s">
        <v>77</v>
      </c>
      <c r="J933" s="87" t="s">
        <v>1145</v>
      </c>
      <c r="K933" s="102" t="s">
        <v>2177</v>
      </c>
      <c r="L933" s="117">
        <f>IF(O933="","",N933*O933*M933)</f>
        <v>0</v>
      </c>
      <c r="M933" s="108">
        <v>1</v>
      </c>
      <c r="N933" s="95">
        <v>1</v>
      </c>
      <c r="O933" s="109">
        <f>IF(Key!D$1="ON",P933,IF(SUM(Q933:DL933)&lt;1,"",SUM(Q933:DL933)/COUNTIF(Q933:DL933,"&gt;0")))</f>
        <v>0</v>
      </c>
      <c r="P933" s="109">
        <f>SUMIFS(Q933:DK933,Q$1:DK$1,Dashboard!$K$31)</f>
        <v>0</v>
      </c>
      <c r="U933" s="95">
        <v>33</v>
      </c>
      <c r="AA933" s="95">
        <v>25</v>
      </c>
      <c r="AH933" s="95">
        <v>75</v>
      </c>
    </row>
    <row r="934" spans="1:34" x14ac:dyDescent="0.3">
      <c r="A934" s="89" t="str">
        <f>CONCATENATE(D934,".",F934,"-",G934,".",H934,"")</f>
        <v>2.1-1.1</v>
      </c>
      <c r="B934" s="89" t="str">
        <f>IF(CONCATENATE(I934,Key!F$2)=CONCATENATE(INDEX(Dashboard!J:J,MATCH(I934,Dashboard!J:J,0),1),INDEX(Dashboard!J:K,MATCH(I934,Dashboard!J:J,0),2)),"ON",IF(Dashboard!K$32="ALL","ON","-"))</f>
        <v>-</v>
      </c>
      <c r="C934" s="88" t="s">
        <v>152</v>
      </c>
      <c r="D934" s="89">
        <f>IF(C934="ID",1,(IF(C934="PR",2,(IF(C934="DE",3,(IF(C934="RS",4,(IF(C934="RC",5,0)))))))))</f>
        <v>2</v>
      </c>
      <c r="E934" s="89" t="s">
        <v>153</v>
      </c>
      <c r="F934" s="89">
        <f>IF(E934="AM",1,(IF(E934="BE",2,(IF(E934="GV",3,(IF(E934="RA",4,(IF(E934="RM",5,(IF(E934="AC",1,(IF(E934="AT",2,(IF(E934="DS",3,(IF(E934="IP",4,(IF(E934="MA",5,(IF(E934="PT",6,(IF(E934="AE",1,(IF(E934="CM",2,(IF(E934="DP",3,(IF(E934="AN",1,(IF(E934="CO",2,(IF(E934="IM",3,(IF(E934="MI",4,(IF(E934="RP",5,(IF(E934="SC",6,0)))))))))))))))))))))))))))))))))))))))</f>
        <v>1</v>
      </c>
      <c r="G934" s="52">
        <v>1</v>
      </c>
      <c r="H934" s="90" t="s">
        <v>115</v>
      </c>
      <c r="I934" s="93" t="s">
        <v>77</v>
      </c>
      <c r="J934" s="87" t="s">
        <v>1146</v>
      </c>
      <c r="K934" s="102" t="s">
        <v>2178</v>
      </c>
      <c r="L934" s="117">
        <f>IF(O934="","",N934*O934*M934)</f>
        <v>0</v>
      </c>
      <c r="M934" s="108">
        <v>1</v>
      </c>
      <c r="N934" s="95">
        <v>1</v>
      </c>
      <c r="O934" s="109">
        <f>IF(Key!D$1="ON",P934,IF(SUM(Q934:DL934)&lt;1,"",SUM(Q934:DL934)/COUNTIF(Q934:DL934,"&gt;0")))</f>
        <v>0</v>
      </c>
      <c r="P934" s="109">
        <f>SUMIFS(Q934:DK934,Q$1:DK$1,Dashboard!$K$31)</f>
        <v>0</v>
      </c>
      <c r="U934" s="95">
        <v>33</v>
      </c>
      <c r="AA934" s="95">
        <v>25</v>
      </c>
      <c r="AH934" s="95">
        <v>75</v>
      </c>
    </row>
    <row r="935" spans="1:34" x14ac:dyDescent="0.3">
      <c r="A935" s="89" t="str">
        <f>CONCATENATE(D935,".",F935,"-",G935,".",H935,"")</f>
        <v>2.1-1.1</v>
      </c>
      <c r="B935" s="89" t="str">
        <f>IF(CONCATENATE(I935,Key!F$2)=CONCATENATE(INDEX(Dashboard!J:J,MATCH(I935,Dashboard!J:J,0),1),INDEX(Dashboard!J:K,MATCH(I935,Dashboard!J:J,0),2)),"ON",IF(Dashboard!K$32="ALL","ON","-"))</f>
        <v>-</v>
      </c>
      <c r="C935" s="88" t="s">
        <v>152</v>
      </c>
      <c r="D935" s="89">
        <f>IF(C935="ID",1,(IF(C935="PR",2,(IF(C935="DE",3,(IF(C935="RS",4,(IF(C935="RC",5,0)))))))))</f>
        <v>2</v>
      </c>
      <c r="E935" s="89" t="s">
        <v>153</v>
      </c>
      <c r="F935" s="89">
        <f>IF(E935="AM",1,(IF(E935="BE",2,(IF(E935="GV",3,(IF(E935="RA",4,(IF(E935="RM",5,(IF(E935="AC",1,(IF(E935="AT",2,(IF(E935="DS",3,(IF(E935="IP",4,(IF(E935="MA",5,(IF(E935="PT",6,(IF(E935="AE",1,(IF(E935="CM",2,(IF(E935="DP",3,(IF(E935="AN",1,(IF(E935="CO",2,(IF(E935="IM",3,(IF(E935="MI",4,(IF(E935="RP",5,(IF(E935="SC",6,0)))))))))))))))))))))))))))))))))))))))</f>
        <v>1</v>
      </c>
      <c r="G935" s="52">
        <v>1</v>
      </c>
      <c r="H935" s="90" t="s">
        <v>115</v>
      </c>
      <c r="I935" s="93" t="s">
        <v>77</v>
      </c>
      <c r="J935" s="87" t="s">
        <v>1147</v>
      </c>
      <c r="K935" s="102" t="s">
        <v>2179</v>
      </c>
      <c r="L935" s="117">
        <f>IF(O935="","",N935*O935*M935)</f>
        <v>0</v>
      </c>
      <c r="M935" s="108">
        <v>1</v>
      </c>
      <c r="N935" s="95">
        <v>1</v>
      </c>
      <c r="O935" s="109">
        <f>IF(Key!D$1="ON",P935,IF(SUM(Q935:DL935)&lt;1,"",SUM(Q935:DL935)/COUNTIF(Q935:DL935,"&gt;0")))</f>
        <v>0</v>
      </c>
      <c r="P935" s="109">
        <f>SUMIFS(Q935:DK935,Q$1:DK$1,Dashboard!$K$31)</f>
        <v>0</v>
      </c>
      <c r="U935" s="95">
        <v>33</v>
      </c>
      <c r="AA935" s="95">
        <v>25</v>
      </c>
      <c r="AH935" s="95">
        <v>75</v>
      </c>
    </row>
    <row r="936" spans="1:34" x14ac:dyDescent="0.3">
      <c r="A936" s="89" t="str">
        <f>CONCATENATE(D936,".",F936,"-",G936,".",H936,"")</f>
        <v>2.1-1.1</v>
      </c>
      <c r="B936" s="89" t="str">
        <f>IF(CONCATENATE(I936,Key!F$2)=CONCATENATE(INDEX(Dashboard!J:J,MATCH(I936,Dashboard!J:J,0),1),INDEX(Dashboard!J:K,MATCH(I936,Dashboard!J:J,0),2)),"ON",IF(Dashboard!K$32="ALL","ON","-"))</f>
        <v>-</v>
      </c>
      <c r="C936" s="88" t="s">
        <v>152</v>
      </c>
      <c r="D936" s="89">
        <f>IF(C936="ID",1,(IF(C936="PR",2,(IF(C936="DE",3,(IF(C936="RS",4,(IF(C936="RC",5,0)))))))))</f>
        <v>2</v>
      </c>
      <c r="E936" s="89" t="s">
        <v>153</v>
      </c>
      <c r="F936" s="89">
        <f>IF(E936="AM",1,(IF(E936="BE",2,(IF(E936="GV",3,(IF(E936="RA",4,(IF(E936="RM",5,(IF(E936="AC",1,(IF(E936="AT",2,(IF(E936="DS",3,(IF(E936="IP",4,(IF(E936="MA",5,(IF(E936="PT",6,(IF(E936="AE",1,(IF(E936="CM",2,(IF(E936="DP",3,(IF(E936="AN",1,(IF(E936="CO",2,(IF(E936="IM",3,(IF(E936="MI",4,(IF(E936="RP",5,(IF(E936="SC",6,0)))))))))))))))))))))))))))))))))))))))</f>
        <v>1</v>
      </c>
      <c r="G936" s="52">
        <v>1</v>
      </c>
      <c r="H936" s="90" t="s">
        <v>115</v>
      </c>
      <c r="I936" s="93" t="s">
        <v>77</v>
      </c>
      <c r="J936" s="87" t="s">
        <v>1149</v>
      </c>
      <c r="K936" s="102" t="s">
        <v>2180</v>
      </c>
      <c r="L936" s="117">
        <f>IF(O936="","",N936*O936*M936)</f>
        <v>0</v>
      </c>
      <c r="M936" s="108">
        <v>1</v>
      </c>
      <c r="N936" s="95">
        <v>1</v>
      </c>
      <c r="O936" s="109">
        <f>IF(Key!D$1="ON",P936,IF(SUM(Q936:DL936)&lt;1,"",SUM(Q936:DL936)/COUNTIF(Q936:DL936,"&gt;0")))</f>
        <v>0</v>
      </c>
      <c r="P936" s="109">
        <f>SUMIFS(Q936:DK936,Q$1:DK$1,Dashboard!$K$31)</f>
        <v>0</v>
      </c>
      <c r="U936" s="95">
        <v>33</v>
      </c>
      <c r="AA936" s="95">
        <v>25</v>
      </c>
      <c r="AH936" s="95">
        <v>75</v>
      </c>
    </row>
    <row r="937" spans="1:34" x14ac:dyDescent="0.3">
      <c r="A937" s="89" t="str">
        <f>CONCATENATE(D937,".",F937,"-",G937,".",H937,"")</f>
        <v>2.1-1.1</v>
      </c>
      <c r="B937" s="89" t="str">
        <f>IF(CONCATENATE(I937,Key!F$2)=CONCATENATE(INDEX(Dashboard!J:J,MATCH(I937,Dashboard!J:J,0),1),INDEX(Dashboard!J:K,MATCH(I937,Dashboard!J:J,0),2)),"ON",IF(Dashboard!K$32="ALL","ON","-"))</f>
        <v>-</v>
      </c>
      <c r="C937" s="88" t="s">
        <v>152</v>
      </c>
      <c r="D937" s="89">
        <f>IF(C937="ID",1,(IF(C937="PR",2,(IF(C937="DE",3,(IF(C937="RS",4,(IF(C937="RC",5,0)))))))))</f>
        <v>2</v>
      </c>
      <c r="E937" s="89" t="s">
        <v>153</v>
      </c>
      <c r="F937" s="89">
        <f>IF(E937="AM",1,(IF(E937="BE",2,(IF(E937="GV",3,(IF(E937="RA",4,(IF(E937="RM",5,(IF(E937="AC",1,(IF(E937="AT",2,(IF(E937="DS",3,(IF(E937="IP",4,(IF(E937="MA",5,(IF(E937="PT",6,(IF(E937="AE",1,(IF(E937="CM",2,(IF(E937="DP",3,(IF(E937="AN",1,(IF(E937="CO",2,(IF(E937="IM",3,(IF(E937="MI",4,(IF(E937="RP",5,(IF(E937="SC",6,0)))))))))))))))))))))))))))))))))))))))</f>
        <v>1</v>
      </c>
      <c r="G937" s="52">
        <v>1</v>
      </c>
      <c r="H937" s="90" t="s">
        <v>115</v>
      </c>
      <c r="I937" s="93" t="s">
        <v>77</v>
      </c>
      <c r="J937" s="87" t="s">
        <v>1150</v>
      </c>
      <c r="K937" s="102" t="s">
        <v>2181</v>
      </c>
      <c r="L937" s="117">
        <f>IF(O937="","",N937*O937*M937)</f>
        <v>0</v>
      </c>
      <c r="M937" s="108">
        <v>1</v>
      </c>
      <c r="N937" s="95">
        <v>1</v>
      </c>
      <c r="O937" s="109">
        <f>IF(Key!D$1="ON",P937,IF(SUM(Q937:DL937)&lt;1,"",SUM(Q937:DL937)/COUNTIF(Q937:DL937,"&gt;0")))</f>
        <v>0</v>
      </c>
      <c r="P937" s="109">
        <f>SUMIFS(Q937:DK937,Q$1:DK$1,Dashboard!$K$31)</f>
        <v>0</v>
      </c>
      <c r="U937" s="95">
        <v>33</v>
      </c>
      <c r="AA937" s="95">
        <v>25</v>
      </c>
      <c r="AH937" s="95">
        <v>75</v>
      </c>
    </row>
    <row r="938" spans="1:34" x14ac:dyDescent="0.3">
      <c r="A938" s="89" t="str">
        <f>CONCATENATE(D938,".",F938,"-",G938,".",H938,"")</f>
        <v>2.1-1.1</v>
      </c>
      <c r="B938" s="89" t="str">
        <f>IF(CONCATENATE(I938,Key!F$2)=CONCATENATE(INDEX(Dashboard!J:J,MATCH(I938,Dashboard!J:J,0),1),INDEX(Dashboard!J:K,MATCH(I938,Dashboard!J:J,0),2)),"ON",IF(Dashboard!K$32="ALL","ON","-"))</f>
        <v>-</v>
      </c>
      <c r="C938" s="88" t="s">
        <v>152</v>
      </c>
      <c r="D938" s="89">
        <f>IF(C938="ID",1,(IF(C938="PR",2,(IF(C938="DE",3,(IF(C938="RS",4,(IF(C938="RC",5,0)))))))))</f>
        <v>2</v>
      </c>
      <c r="E938" s="89" t="s">
        <v>153</v>
      </c>
      <c r="F938" s="89">
        <f>IF(E938="AM",1,(IF(E938="BE",2,(IF(E938="GV",3,(IF(E938="RA",4,(IF(E938="RM",5,(IF(E938="AC",1,(IF(E938="AT",2,(IF(E938="DS",3,(IF(E938="IP",4,(IF(E938="MA",5,(IF(E938="PT",6,(IF(E938="AE",1,(IF(E938="CM",2,(IF(E938="DP",3,(IF(E938="AN",1,(IF(E938="CO",2,(IF(E938="IM",3,(IF(E938="MI",4,(IF(E938="RP",5,(IF(E938="SC",6,0)))))))))))))))))))))))))))))))))))))))</f>
        <v>1</v>
      </c>
      <c r="G938" s="52">
        <v>1</v>
      </c>
      <c r="H938" s="90" t="s">
        <v>115</v>
      </c>
      <c r="I938" s="93" t="s">
        <v>77</v>
      </c>
      <c r="J938" s="87" t="s">
        <v>1151</v>
      </c>
      <c r="K938" s="102" t="s">
        <v>2182</v>
      </c>
      <c r="L938" s="117">
        <f>IF(O938="","",N938*O938*M938)</f>
        <v>0</v>
      </c>
      <c r="M938" s="108">
        <v>1</v>
      </c>
      <c r="N938" s="95">
        <v>1</v>
      </c>
      <c r="O938" s="109">
        <f>IF(Key!D$1="ON",P938,IF(SUM(Q938:DL938)&lt;1,"",SUM(Q938:DL938)/COUNTIF(Q938:DL938,"&gt;0")))</f>
        <v>0</v>
      </c>
      <c r="P938" s="109">
        <f>SUMIFS(Q938:DK938,Q$1:DK$1,Dashboard!$K$31)</f>
        <v>0</v>
      </c>
      <c r="U938" s="95">
        <v>33</v>
      </c>
      <c r="AA938" s="95">
        <v>25</v>
      </c>
      <c r="AH938" s="95">
        <v>75</v>
      </c>
    </row>
    <row r="939" spans="1:34" x14ac:dyDescent="0.3">
      <c r="A939" s="89" t="str">
        <f>CONCATENATE(D939,".",F939,"-",G939,".",H939,"")</f>
        <v>2.1-1.1</v>
      </c>
      <c r="B939" s="89" t="str">
        <f>IF(CONCATENATE(I939,Key!F$2)=CONCATENATE(INDEX(Dashboard!J:J,MATCH(I939,Dashboard!J:J,0),1),INDEX(Dashboard!J:K,MATCH(I939,Dashboard!J:J,0),2)),"ON",IF(Dashboard!K$32="ALL","ON","-"))</f>
        <v>-</v>
      </c>
      <c r="C939" s="88" t="s">
        <v>152</v>
      </c>
      <c r="D939" s="89">
        <f>IF(C939="ID",1,(IF(C939="PR",2,(IF(C939="DE",3,(IF(C939="RS",4,(IF(C939="RC",5,0)))))))))</f>
        <v>2</v>
      </c>
      <c r="E939" s="89" t="s">
        <v>153</v>
      </c>
      <c r="F939" s="89">
        <f>IF(E939="AM",1,(IF(E939="BE",2,(IF(E939="GV",3,(IF(E939="RA",4,(IF(E939="RM",5,(IF(E939="AC",1,(IF(E939="AT",2,(IF(E939="DS",3,(IF(E939="IP",4,(IF(E939="MA",5,(IF(E939="PT",6,(IF(E939="AE",1,(IF(E939="CM",2,(IF(E939="DP",3,(IF(E939="AN",1,(IF(E939="CO",2,(IF(E939="IM",3,(IF(E939="MI",4,(IF(E939="RP",5,(IF(E939="SC",6,0)))))))))))))))))))))))))))))))))))))))</f>
        <v>1</v>
      </c>
      <c r="G939" s="52">
        <v>1</v>
      </c>
      <c r="H939" s="90" t="s">
        <v>115</v>
      </c>
      <c r="I939" s="93" t="s">
        <v>77</v>
      </c>
      <c r="J939" s="87" t="s">
        <v>1152</v>
      </c>
      <c r="K939" s="102" t="s">
        <v>2183</v>
      </c>
      <c r="L939" s="117">
        <f>IF(O939="","",N939*O939*M939)</f>
        <v>0</v>
      </c>
      <c r="M939" s="108">
        <v>1</v>
      </c>
      <c r="N939" s="95">
        <v>1</v>
      </c>
      <c r="O939" s="109">
        <f>IF(Key!D$1="ON",P939,IF(SUM(Q939:DL939)&lt;1,"",SUM(Q939:DL939)/COUNTIF(Q939:DL939,"&gt;0")))</f>
        <v>0</v>
      </c>
      <c r="P939" s="109">
        <f>SUMIFS(Q939:DK939,Q$1:DK$1,Dashboard!$K$31)</f>
        <v>0</v>
      </c>
      <c r="U939" s="95">
        <v>33</v>
      </c>
      <c r="AA939" s="95">
        <v>25</v>
      </c>
      <c r="AH939" s="95">
        <v>75</v>
      </c>
    </row>
    <row r="940" spans="1:34" x14ac:dyDescent="0.3">
      <c r="A940" s="89" t="str">
        <f>CONCATENATE(D940,".",F940,"-",G940,".",H940,"")</f>
        <v>2.1-1.1</v>
      </c>
      <c r="B940" s="89" t="str">
        <f>IF(CONCATENATE(I940,Key!F$2)=CONCATENATE(INDEX(Dashboard!J:J,MATCH(I940,Dashboard!J:J,0),1),INDEX(Dashboard!J:K,MATCH(I940,Dashboard!J:J,0),2)),"ON",IF(Dashboard!K$32="ALL","ON","-"))</f>
        <v>-</v>
      </c>
      <c r="C940" s="88" t="s">
        <v>152</v>
      </c>
      <c r="D940" s="89">
        <f>IF(C940="ID",1,(IF(C940="PR",2,(IF(C940="DE",3,(IF(C940="RS",4,(IF(C940="RC",5,0)))))))))</f>
        <v>2</v>
      </c>
      <c r="E940" s="89" t="s">
        <v>153</v>
      </c>
      <c r="F940" s="89">
        <f>IF(E940="AM",1,(IF(E940="BE",2,(IF(E940="GV",3,(IF(E940="RA",4,(IF(E940="RM",5,(IF(E940="AC",1,(IF(E940="AT",2,(IF(E940="DS",3,(IF(E940="IP",4,(IF(E940="MA",5,(IF(E940="PT",6,(IF(E940="AE",1,(IF(E940="CM",2,(IF(E940="DP",3,(IF(E940="AN",1,(IF(E940="CO",2,(IF(E940="IM",3,(IF(E940="MI",4,(IF(E940="RP",5,(IF(E940="SC",6,0)))))))))))))))))))))))))))))))))))))))</f>
        <v>1</v>
      </c>
      <c r="G940" s="52">
        <v>1</v>
      </c>
      <c r="H940" s="90" t="s">
        <v>115</v>
      </c>
      <c r="I940" s="93" t="s">
        <v>77</v>
      </c>
      <c r="J940" s="87" t="s">
        <v>1153</v>
      </c>
      <c r="K940" s="102" t="s">
        <v>2184</v>
      </c>
      <c r="L940" s="117">
        <f>IF(O940="","",N940*O940*M940)</f>
        <v>0</v>
      </c>
      <c r="M940" s="108">
        <v>1</v>
      </c>
      <c r="N940" s="95">
        <v>1</v>
      </c>
      <c r="O940" s="109">
        <f>IF(Key!D$1="ON",P940,IF(SUM(Q940:DL940)&lt;1,"",SUM(Q940:DL940)/COUNTIF(Q940:DL940,"&gt;0")))</f>
        <v>0</v>
      </c>
      <c r="P940" s="109">
        <f>SUMIFS(Q940:DK940,Q$1:DK$1,Dashboard!$K$31)</f>
        <v>0</v>
      </c>
      <c r="U940" s="95">
        <v>33</v>
      </c>
      <c r="AA940" s="95">
        <v>25</v>
      </c>
      <c r="AH940" s="95">
        <v>75</v>
      </c>
    </row>
    <row r="941" spans="1:34" x14ac:dyDescent="0.3">
      <c r="A941" s="89" t="str">
        <f>CONCATENATE(D941,".",F941,"-",G941,".",H941,"")</f>
        <v>2.1-1.1</v>
      </c>
      <c r="B941" s="89" t="str">
        <f>IF(CONCATENATE(I941,Key!F$2)=CONCATENATE(INDEX(Dashboard!J:J,MATCH(I941,Dashboard!J:J,0),1),INDEX(Dashboard!J:K,MATCH(I941,Dashboard!J:J,0),2)),"ON",IF(Dashboard!K$32="ALL","ON","-"))</f>
        <v>-</v>
      </c>
      <c r="C941" s="88" t="s">
        <v>152</v>
      </c>
      <c r="D941" s="89">
        <f>IF(C941="ID",1,(IF(C941="PR",2,(IF(C941="DE",3,(IF(C941="RS",4,(IF(C941="RC",5,0)))))))))</f>
        <v>2</v>
      </c>
      <c r="E941" s="89" t="s">
        <v>153</v>
      </c>
      <c r="F941" s="89">
        <f>IF(E941="AM",1,(IF(E941="BE",2,(IF(E941="GV",3,(IF(E941="RA",4,(IF(E941="RM",5,(IF(E941="AC",1,(IF(E941="AT",2,(IF(E941="DS",3,(IF(E941="IP",4,(IF(E941="MA",5,(IF(E941="PT",6,(IF(E941="AE",1,(IF(E941="CM",2,(IF(E941="DP",3,(IF(E941="AN",1,(IF(E941="CO",2,(IF(E941="IM",3,(IF(E941="MI",4,(IF(E941="RP",5,(IF(E941="SC",6,0)))))))))))))))))))))))))))))))))))))))</f>
        <v>1</v>
      </c>
      <c r="G941" s="52">
        <v>1</v>
      </c>
      <c r="H941" s="90" t="s">
        <v>115</v>
      </c>
      <c r="I941" s="93" t="s">
        <v>77</v>
      </c>
      <c r="J941" s="87" t="s">
        <v>1154</v>
      </c>
      <c r="K941" s="102" t="s">
        <v>2185</v>
      </c>
      <c r="L941" s="117">
        <f>IF(O941="","",N941*O941*M941)</f>
        <v>0</v>
      </c>
      <c r="M941" s="108">
        <v>1</v>
      </c>
      <c r="N941" s="95">
        <v>1</v>
      </c>
      <c r="O941" s="109">
        <f>IF(Key!D$1="ON",P941,IF(SUM(Q941:DL941)&lt;1,"",SUM(Q941:DL941)/COUNTIF(Q941:DL941,"&gt;0")))</f>
        <v>0</v>
      </c>
      <c r="P941" s="109">
        <f>SUMIFS(Q941:DK941,Q$1:DK$1,Dashboard!$K$31)</f>
        <v>0</v>
      </c>
      <c r="U941" s="95">
        <v>33</v>
      </c>
      <c r="AA941" s="95">
        <v>25</v>
      </c>
      <c r="AH941" s="95">
        <v>75</v>
      </c>
    </row>
    <row r="942" spans="1:34" x14ac:dyDescent="0.3">
      <c r="A942" s="89" t="str">
        <f>CONCATENATE(D942,".",F942,"-",G942,".",H942,"")</f>
        <v>2.1-1.1</v>
      </c>
      <c r="B942" s="89" t="str">
        <f>IF(CONCATENATE(I942,Key!F$2)=CONCATENATE(INDEX(Dashboard!J:J,MATCH(I942,Dashboard!J:J,0),1),INDEX(Dashboard!J:K,MATCH(I942,Dashboard!J:J,0),2)),"ON",IF(Dashboard!K$32="ALL","ON","-"))</f>
        <v>-</v>
      </c>
      <c r="C942" s="88" t="s">
        <v>152</v>
      </c>
      <c r="D942" s="89">
        <f>IF(C942="ID",1,(IF(C942="PR",2,(IF(C942="DE",3,(IF(C942="RS",4,(IF(C942="RC",5,0)))))))))</f>
        <v>2</v>
      </c>
      <c r="E942" s="89" t="s">
        <v>153</v>
      </c>
      <c r="F942" s="89">
        <f>IF(E942="AM",1,(IF(E942="BE",2,(IF(E942="GV",3,(IF(E942="RA",4,(IF(E942="RM",5,(IF(E942="AC",1,(IF(E942="AT",2,(IF(E942="DS",3,(IF(E942="IP",4,(IF(E942="MA",5,(IF(E942="PT",6,(IF(E942="AE",1,(IF(E942="CM",2,(IF(E942="DP",3,(IF(E942="AN",1,(IF(E942="CO",2,(IF(E942="IM",3,(IF(E942="MI",4,(IF(E942="RP",5,(IF(E942="SC",6,0)))))))))))))))))))))))))))))))))))))))</f>
        <v>1</v>
      </c>
      <c r="G942" s="52">
        <v>1</v>
      </c>
      <c r="H942" s="90" t="s">
        <v>115</v>
      </c>
      <c r="I942" s="93" t="s">
        <v>77</v>
      </c>
      <c r="J942" s="87" t="s">
        <v>1155</v>
      </c>
      <c r="K942" s="102" t="s">
        <v>2186</v>
      </c>
      <c r="L942" s="117">
        <f>IF(O942="","",N942*O942*M942)</f>
        <v>0</v>
      </c>
      <c r="M942" s="108">
        <v>1</v>
      </c>
      <c r="N942" s="95">
        <v>1</v>
      </c>
      <c r="O942" s="109">
        <f>IF(Key!D$1="ON",P942,IF(SUM(Q942:DL942)&lt;1,"",SUM(Q942:DL942)/COUNTIF(Q942:DL942,"&gt;0")))</f>
        <v>0</v>
      </c>
      <c r="P942" s="109">
        <f>SUMIFS(Q942:DK942,Q$1:DK$1,Dashboard!$K$31)</f>
        <v>0</v>
      </c>
      <c r="U942" s="95">
        <v>33</v>
      </c>
      <c r="AA942" s="95">
        <v>25</v>
      </c>
      <c r="AH942" s="95">
        <v>75</v>
      </c>
    </row>
    <row r="943" spans="1:34" x14ac:dyDescent="0.3">
      <c r="A943" s="89" t="str">
        <f>CONCATENATE(D943,".",F943,"-",G943,".",H943,"")</f>
        <v>2.1-1.1</v>
      </c>
      <c r="B943" s="89" t="str">
        <f>IF(CONCATENATE(I943,Key!F$2)=CONCATENATE(INDEX(Dashboard!J:J,MATCH(I943,Dashboard!J:J,0),1),INDEX(Dashboard!J:K,MATCH(I943,Dashboard!J:J,0),2)),"ON",IF(Dashboard!K$32="ALL","ON","-"))</f>
        <v>-</v>
      </c>
      <c r="C943" s="88" t="s">
        <v>152</v>
      </c>
      <c r="D943" s="89">
        <f>IF(C943="ID",1,(IF(C943="PR",2,(IF(C943="DE",3,(IF(C943="RS",4,(IF(C943="RC",5,0)))))))))</f>
        <v>2</v>
      </c>
      <c r="E943" s="89" t="s">
        <v>153</v>
      </c>
      <c r="F943" s="89">
        <f>IF(E943="AM",1,(IF(E943="BE",2,(IF(E943="GV",3,(IF(E943="RA",4,(IF(E943="RM",5,(IF(E943="AC",1,(IF(E943="AT",2,(IF(E943="DS",3,(IF(E943="IP",4,(IF(E943="MA",5,(IF(E943="PT",6,(IF(E943="AE",1,(IF(E943="CM",2,(IF(E943="DP",3,(IF(E943="AN",1,(IF(E943="CO",2,(IF(E943="IM",3,(IF(E943="MI",4,(IF(E943="RP",5,(IF(E943="SC",6,0)))))))))))))))))))))))))))))))))))))))</f>
        <v>1</v>
      </c>
      <c r="G943" s="52">
        <v>1</v>
      </c>
      <c r="H943" s="90" t="s">
        <v>115</v>
      </c>
      <c r="I943" s="93" t="s">
        <v>77</v>
      </c>
      <c r="J943" s="87" t="s">
        <v>1156</v>
      </c>
      <c r="K943" s="102" t="s">
        <v>2187</v>
      </c>
      <c r="L943" s="117">
        <f>IF(O943="","",N943*O943*M943)</f>
        <v>0</v>
      </c>
      <c r="M943" s="108">
        <v>1</v>
      </c>
      <c r="N943" s="95">
        <v>1</v>
      </c>
      <c r="O943" s="109">
        <f>IF(Key!D$1="ON",P943,IF(SUM(Q943:DL943)&lt;1,"",SUM(Q943:DL943)/COUNTIF(Q943:DL943,"&gt;0")))</f>
        <v>0</v>
      </c>
      <c r="P943" s="109">
        <f>SUMIFS(Q943:DK943,Q$1:DK$1,Dashboard!$K$31)</f>
        <v>0</v>
      </c>
      <c r="U943" s="95">
        <v>33</v>
      </c>
      <c r="AA943" s="95">
        <v>25</v>
      </c>
      <c r="AH943" s="95">
        <v>75</v>
      </c>
    </row>
    <row r="944" spans="1:34" x14ac:dyDescent="0.3">
      <c r="A944" s="89" t="str">
        <f>CONCATENATE(D944,".",F944,"-",G944,".",H944,"")</f>
        <v>2.1-1.1</v>
      </c>
      <c r="B944" s="89" t="str">
        <f>IF(CONCATENATE(I944,Key!F$2)=CONCATENATE(INDEX(Dashboard!J:J,MATCH(I944,Dashboard!J:J,0),1),INDEX(Dashboard!J:K,MATCH(I944,Dashboard!J:J,0),2)),"ON",IF(Dashboard!K$32="ALL","ON","-"))</f>
        <v>-</v>
      </c>
      <c r="C944" s="88" t="s">
        <v>152</v>
      </c>
      <c r="D944" s="89">
        <f>IF(C944="ID",1,(IF(C944="PR",2,(IF(C944="DE",3,(IF(C944="RS",4,(IF(C944="RC",5,0)))))))))</f>
        <v>2</v>
      </c>
      <c r="E944" s="89" t="s">
        <v>153</v>
      </c>
      <c r="F944" s="89">
        <f>IF(E944="AM",1,(IF(E944="BE",2,(IF(E944="GV",3,(IF(E944="RA",4,(IF(E944="RM",5,(IF(E944="AC",1,(IF(E944="AT",2,(IF(E944="DS",3,(IF(E944="IP",4,(IF(E944="MA",5,(IF(E944="PT",6,(IF(E944="AE",1,(IF(E944="CM",2,(IF(E944="DP",3,(IF(E944="AN",1,(IF(E944="CO",2,(IF(E944="IM",3,(IF(E944="MI",4,(IF(E944="RP",5,(IF(E944="SC",6,0)))))))))))))))))))))))))))))))))))))))</f>
        <v>1</v>
      </c>
      <c r="G944" s="52">
        <v>1</v>
      </c>
      <c r="H944" s="90" t="s">
        <v>115</v>
      </c>
      <c r="I944" s="93" t="s">
        <v>77</v>
      </c>
      <c r="J944" s="87" t="s">
        <v>1158</v>
      </c>
      <c r="K944" s="102" t="s">
        <v>2188</v>
      </c>
      <c r="L944" s="117">
        <f>IF(O944="","",N944*O944*M944)</f>
        <v>0</v>
      </c>
      <c r="M944" s="108">
        <v>1</v>
      </c>
      <c r="N944" s="95">
        <v>1</v>
      </c>
      <c r="O944" s="109">
        <f>IF(Key!D$1="ON",P944,IF(SUM(Q944:DL944)&lt;1,"",SUM(Q944:DL944)/COUNTIF(Q944:DL944,"&gt;0")))</f>
        <v>0</v>
      </c>
      <c r="P944" s="109">
        <f>SUMIFS(Q944:DK944,Q$1:DK$1,Dashboard!$K$31)</f>
        <v>0</v>
      </c>
      <c r="U944" s="95">
        <v>33</v>
      </c>
      <c r="AA944" s="95">
        <v>25</v>
      </c>
      <c r="AH944" s="95">
        <v>75</v>
      </c>
    </row>
    <row r="945" spans="1:34" x14ac:dyDescent="0.3">
      <c r="A945" s="89" t="str">
        <f>CONCATENATE(D945,".",F945,"-",G945,".",H945,"")</f>
        <v>2.1-1.1</v>
      </c>
      <c r="B945" s="89" t="str">
        <f>IF(CONCATENATE(I945,Key!F$2)=CONCATENATE(INDEX(Dashboard!J:J,MATCH(I945,Dashboard!J:J,0),1),INDEX(Dashboard!J:K,MATCH(I945,Dashboard!J:J,0),2)),"ON",IF(Dashboard!K$32="ALL","ON","-"))</f>
        <v>-</v>
      </c>
      <c r="C945" s="88" t="s">
        <v>152</v>
      </c>
      <c r="D945" s="89">
        <f>IF(C945="ID",1,(IF(C945="PR",2,(IF(C945="DE",3,(IF(C945="RS",4,(IF(C945="RC",5,0)))))))))</f>
        <v>2</v>
      </c>
      <c r="E945" s="89" t="s">
        <v>153</v>
      </c>
      <c r="F945" s="89">
        <f>IF(E945="AM",1,(IF(E945="BE",2,(IF(E945="GV",3,(IF(E945="RA",4,(IF(E945="RM",5,(IF(E945="AC",1,(IF(E945="AT",2,(IF(E945="DS",3,(IF(E945="IP",4,(IF(E945="MA",5,(IF(E945="PT",6,(IF(E945="AE",1,(IF(E945="CM",2,(IF(E945="DP",3,(IF(E945="AN",1,(IF(E945="CO",2,(IF(E945="IM",3,(IF(E945="MI",4,(IF(E945="RP",5,(IF(E945="SC",6,0)))))))))))))))))))))))))))))))))))))))</f>
        <v>1</v>
      </c>
      <c r="G945" s="52">
        <v>1</v>
      </c>
      <c r="H945" s="90" t="s">
        <v>115</v>
      </c>
      <c r="I945" s="93" t="s">
        <v>77</v>
      </c>
      <c r="J945" s="87" t="s">
        <v>1159</v>
      </c>
      <c r="K945" s="102" t="s">
        <v>2189</v>
      </c>
      <c r="L945" s="117">
        <f>IF(O945="","",N945*O945*M945)</f>
        <v>0</v>
      </c>
      <c r="M945" s="108">
        <v>1</v>
      </c>
      <c r="N945" s="95">
        <v>1</v>
      </c>
      <c r="O945" s="109">
        <f>IF(Key!D$1="ON",P945,IF(SUM(Q945:DL945)&lt;1,"",SUM(Q945:DL945)/COUNTIF(Q945:DL945,"&gt;0")))</f>
        <v>0</v>
      </c>
      <c r="P945" s="109">
        <f>SUMIFS(Q945:DK945,Q$1:DK$1,Dashboard!$K$31)</f>
        <v>0</v>
      </c>
      <c r="U945" s="95">
        <v>33</v>
      </c>
      <c r="AA945" s="95">
        <v>25</v>
      </c>
      <c r="AH945" s="95">
        <v>75</v>
      </c>
    </row>
    <row r="946" spans="1:34" x14ac:dyDescent="0.3">
      <c r="A946" s="89" t="str">
        <f>CONCATENATE(D946,".",F946,"-",G946,".",H946,"")</f>
        <v>2.1-1.1</v>
      </c>
      <c r="B946" s="89" t="str">
        <f>IF(CONCATENATE(I946,Key!F$2)=CONCATENATE(INDEX(Dashboard!J:J,MATCH(I946,Dashboard!J:J,0),1),INDEX(Dashboard!J:K,MATCH(I946,Dashboard!J:J,0),2)),"ON",IF(Dashboard!K$32="ALL","ON","-"))</f>
        <v>-</v>
      </c>
      <c r="C946" s="88" t="s">
        <v>152</v>
      </c>
      <c r="D946" s="89">
        <f>IF(C946="ID",1,(IF(C946="PR",2,(IF(C946="DE",3,(IF(C946="RS",4,(IF(C946="RC",5,0)))))))))</f>
        <v>2</v>
      </c>
      <c r="E946" s="89" t="s">
        <v>153</v>
      </c>
      <c r="F946" s="89">
        <f>IF(E946="AM",1,(IF(E946="BE",2,(IF(E946="GV",3,(IF(E946="RA",4,(IF(E946="RM",5,(IF(E946="AC",1,(IF(E946="AT",2,(IF(E946="DS",3,(IF(E946="IP",4,(IF(E946="MA",5,(IF(E946="PT",6,(IF(E946="AE",1,(IF(E946="CM",2,(IF(E946="DP",3,(IF(E946="AN",1,(IF(E946="CO",2,(IF(E946="IM",3,(IF(E946="MI",4,(IF(E946="RP",5,(IF(E946="SC",6,0)))))))))))))))))))))))))))))))))))))))</f>
        <v>1</v>
      </c>
      <c r="G946" s="52">
        <v>1</v>
      </c>
      <c r="H946" s="90" t="s">
        <v>115</v>
      </c>
      <c r="I946" s="93" t="s">
        <v>77</v>
      </c>
      <c r="J946" s="87" t="s">
        <v>1160</v>
      </c>
      <c r="K946" s="102" t="s">
        <v>2190</v>
      </c>
      <c r="L946" s="117">
        <f>IF(O946="","",N946*O946*M946)</f>
        <v>0</v>
      </c>
      <c r="M946" s="108">
        <v>1</v>
      </c>
      <c r="N946" s="95">
        <v>1</v>
      </c>
      <c r="O946" s="109">
        <f>IF(Key!D$1="ON",P946,IF(SUM(Q946:DL946)&lt;1,"",SUM(Q946:DL946)/COUNTIF(Q946:DL946,"&gt;0")))</f>
        <v>0</v>
      </c>
      <c r="P946" s="109">
        <f>SUMIFS(Q946:DK946,Q$1:DK$1,Dashboard!$K$31)</f>
        <v>0</v>
      </c>
      <c r="U946" s="95">
        <v>33</v>
      </c>
      <c r="AA946" s="95">
        <v>25</v>
      </c>
      <c r="AH946" s="95">
        <v>75</v>
      </c>
    </row>
    <row r="947" spans="1:34" x14ac:dyDescent="0.3">
      <c r="A947" s="89" t="str">
        <f>CONCATENATE(D947,".",F947,"-",G947,".",H947,"")</f>
        <v>2.1-1.1</v>
      </c>
      <c r="B947" s="89" t="str">
        <f>IF(CONCATENATE(I947,Key!F$2)=CONCATENATE(INDEX(Dashboard!J:J,MATCH(I947,Dashboard!J:J,0),1),INDEX(Dashboard!J:K,MATCH(I947,Dashboard!J:J,0),2)),"ON",IF(Dashboard!K$32="ALL","ON","-"))</f>
        <v>-</v>
      </c>
      <c r="C947" s="88" t="s">
        <v>152</v>
      </c>
      <c r="D947" s="89">
        <f>IF(C947="ID",1,(IF(C947="PR",2,(IF(C947="DE",3,(IF(C947="RS",4,(IF(C947="RC",5,0)))))))))</f>
        <v>2</v>
      </c>
      <c r="E947" s="89" t="s">
        <v>153</v>
      </c>
      <c r="F947" s="89">
        <f>IF(E947="AM",1,(IF(E947="BE",2,(IF(E947="GV",3,(IF(E947="RA",4,(IF(E947="RM",5,(IF(E947="AC",1,(IF(E947="AT",2,(IF(E947="DS",3,(IF(E947="IP",4,(IF(E947="MA",5,(IF(E947="PT",6,(IF(E947="AE",1,(IF(E947="CM",2,(IF(E947="DP",3,(IF(E947="AN",1,(IF(E947="CO",2,(IF(E947="IM",3,(IF(E947="MI",4,(IF(E947="RP",5,(IF(E947="SC",6,0)))))))))))))))))))))))))))))))))))))))</f>
        <v>1</v>
      </c>
      <c r="G947" s="52">
        <v>1</v>
      </c>
      <c r="H947" s="90" t="s">
        <v>115</v>
      </c>
      <c r="I947" s="93" t="s">
        <v>77</v>
      </c>
      <c r="J947" s="87" t="s">
        <v>1161</v>
      </c>
      <c r="K947" s="102" t="s">
        <v>2191</v>
      </c>
      <c r="L947" s="117">
        <f>IF(O947="","",N947*O947*M947)</f>
        <v>0</v>
      </c>
      <c r="M947" s="108">
        <v>1</v>
      </c>
      <c r="N947" s="95">
        <v>1</v>
      </c>
      <c r="O947" s="109">
        <f>IF(Key!D$1="ON",P947,IF(SUM(Q947:DL947)&lt;1,"",SUM(Q947:DL947)/COUNTIF(Q947:DL947,"&gt;0")))</f>
        <v>0</v>
      </c>
      <c r="P947" s="109">
        <f>SUMIFS(Q947:DK947,Q$1:DK$1,Dashboard!$K$31)</f>
        <v>0</v>
      </c>
      <c r="U947" s="95">
        <v>33</v>
      </c>
      <c r="AA947" s="95">
        <v>25</v>
      </c>
      <c r="AH947" s="95">
        <v>75</v>
      </c>
    </row>
    <row r="948" spans="1:34" x14ac:dyDescent="0.3">
      <c r="A948" s="89" t="str">
        <f>CONCATENATE(D948,".",F948,"-",G948,".",H948,"")</f>
        <v>2.1-1.1</v>
      </c>
      <c r="B948" s="89" t="str">
        <f>IF(CONCATENATE(I948,Key!F$2)=CONCATENATE(INDEX(Dashboard!J:J,MATCH(I948,Dashboard!J:J,0),1),INDEX(Dashboard!J:K,MATCH(I948,Dashboard!J:J,0),2)),"ON",IF(Dashboard!K$32="ALL","ON","-"))</f>
        <v>-</v>
      </c>
      <c r="C948" s="88" t="s">
        <v>152</v>
      </c>
      <c r="D948" s="89">
        <f>IF(C948="ID",1,(IF(C948="PR",2,(IF(C948="DE",3,(IF(C948="RS",4,(IF(C948="RC",5,0)))))))))</f>
        <v>2</v>
      </c>
      <c r="E948" s="89" t="s">
        <v>153</v>
      </c>
      <c r="F948" s="89">
        <f>IF(E948="AM",1,(IF(E948="BE",2,(IF(E948="GV",3,(IF(E948="RA",4,(IF(E948="RM",5,(IF(E948="AC",1,(IF(E948="AT",2,(IF(E948="DS",3,(IF(E948="IP",4,(IF(E948="MA",5,(IF(E948="PT",6,(IF(E948="AE",1,(IF(E948="CM",2,(IF(E948="DP",3,(IF(E948="AN",1,(IF(E948="CO",2,(IF(E948="IM",3,(IF(E948="MI",4,(IF(E948="RP",5,(IF(E948="SC",6,0)))))))))))))))))))))))))))))))))))))))</f>
        <v>1</v>
      </c>
      <c r="G948" s="52">
        <v>1</v>
      </c>
      <c r="H948" s="90" t="s">
        <v>115</v>
      </c>
      <c r="I948" s="93" t="s">
        <v>77</v>
      </c>
      <c r="J948" s="87" t="s">
        <v>1162</v>
      </c>
      <c r="K948" s="102" t="s">
        <v>2192</v>
      </c>
      <c r="L948" s="117">
        <f>IF(O948="","",N948*O948*M948)</f>
        <v>0</v>
      </c>
      <c r="M948" s="108">
        <v>1</v>
      </c>
      <c r="N948" s="95">
        <v>1</v>
      </c>
      <c r="O948" s="109">
        <f>IF(Key!D$1="ON",P948,IF(SUM(Q948:DL948)&lt;1,"",SUM(Q948:DL948)/COUNTIF(Q948:DL948,"&gt;0")))</f>
        <v>0</v>
      </c>
      <c r="P948" s="109">
        <f>SUMIFS(Q948:DK948,Q$1:DK$1,Dashboard!$K$31)</f>
        <v>0</v>
      </c>
      <c r="U948" s="95">
        <v>33</v>
      </c>
      <c r="AA948" s="95">
        <v>25</v>
      </c>
      <c r="AH948" s="95">
        <v>75</v>
      </c>
    </row>
    <row r="949" spans="1:34" x14ac:dyDescent="0.3">
      <c r="A949" s="89" t="str">
        <f>CONCATENATE(D949,".",F949,"-",G949,".",H949,"")</f>
        <v>2.1-1.1</v>
      </c>
      <c r="B949" s="89" t="str">
        <f>IF(CONCATENATE(I949,Key!F$2)=CONCATENATE(INDEX(Dashboard!J:J,MATCH(I949,Dashboard!J:J,0),1),INDEX(Dashboard!J:K,MATCH(I949,Dashboard!J:J,0),2)),"ON",IF(Dashboard!K$32="ALL","ON","-"))</f>
        <v>-</v>
      </c>
      <c r="C949" s="88" t="s">
        <v>152</v>
      </c>
      <c r="D949" s="89">
        <f>IF(C949="ID",1,(IF(C949="PR",2,(IF(C949="DE",3,(IF(C949="RS",4,(IF(C949="RC",5,0)))))))))</f>
        <v>2</v>
      </c>
      <c r="E949" s="89" t="s">
        <v>153</v>
      </c>
      <c r="F949" s="89">
        <f>IF(E949="AM",1,(IF(E949="BE",2,(IF(E949="GV",3,(IF(E949="RA",4,(IF(E949="RM",5,(IF(E949="AC",1,(IF(E949="AT",2,(IF(E949="DS",3,(IF(E949="IP",4,(IF(E949="MA",5,(IF(E949="PT",6,(IF(E949="AE",1,(IF(E949="CM",2,(IF(E949="DP",3,(IF(E949="AN",1,(IF(E949="CO",2,(IF(E949="IM",3,(IF(E949="MI",4,(IF(E949="RP",5,(IF(E949="SC",6,0)))))))))))))))))))))))))))))))))))))))</f>
        <v>1</v>
      </c>
      <c r="G949" s="52">
        <v>1</v>
      </c>
      <c r="H949" s="90" t="s">
        <v>115</v>
      </c>
      <c r="I949" s="93" t="s">
        <v>77</v>
      </c>
      <c r="J949" s="87" t="s">
        <v>1163</v>
      </c>
      <c r="K949" s="102" t="s">
        <v>2193</v>
      </c>
      <c r="L949" s="117">
        <f>IF(O949="","",N949*O949*M949)</f>
        <v>0</v>
      </c>
      <c r="M949" s="108">
        <v>1</v>
      </c>
      <c r="N949" s="95">
        <v>1</v>
      </c>
      <c r="O949" s="109">
        <f>IF(Key!D$1="ON",P949,IF(SUM(Q949:DL949)&lt;1,"",SUM(Q949:DL949)/COUNTIF(Q949:DL949,"&gt;0")))</f>
        <v>0</v>
      </c>
      <c r="P949" s="109">
        <f>SUMIFS(Q949:DK949,Q$1:DK$1,Dashboard!$K$31)</f>
        <v>0</v>
      </c>
      <c r="U949" s="95">
        <v>33</v>
      </c>
      <c r="AA949" s="95">
        <v>25</v>
      </c>
      <c r="AH949" s="95">
        <v>75</v>
      </c>
    </row>
    <row r="950" spans="1:34" x14ac:dyDescent="0.3">
      <c r="A950" s="89" t="str">
        <f>CONCATENATE(D950,".",F950,"-",G950,".",H950,"")</f>
        <v>2.1-1.1</v>
      </c>
      <c r="B950" s="89" t="str">
        <f>IF(CONCATENATE(I950,Key!F$2)=CONCATENATE(INDEX(Dashboard!J:J,MATCH(I950,Dashboard!J:J,0),1),INDEX(Dashboard!J:K,MATCH(I950,Dashboard!J:J,0),2)),"ON",IF(Dashboard!K$32="ALL","ON","-"))</f>
        <v>-</v>
      </c>
      <c r="C950" s="88" t="s">
        <v>152</v>
      </c>
      <c r="D950" s="89">
        <f>IF(C950="ID",1,(IF(C950="PR",2,(IF(C950="DE",3,(IF(C950="RS",4,(IF(C950="RC",5,0)))))))))</f>
        <v>2</v>
      </c>
      <c r="E950" s="89" t="s">
        <v>153</v>
      </c>
      <c r="F950" s="89">
        <f>IF(E950="AM",1,(IF(E950="BE",2,(IF(E950="GV",3,(IF(E950="RA",4,(IF(E950="RM",5,(IF(E950="AC",1,(IF(E950="AT",2,(IF(E950="DS",3,(IF(E950="IP",4,(IF(E950="MA",5,(IF(E950="PT",6,(IF(E950="AE",1,(IF(E950="CM",2,(IF(E950="DP",3,(IF(E950="AN",1,(IF(E950="CO",2,(IF(E950="IM",3,(IF(E950="MI",4,(IF(E950="RP",5,(IF(E950="SC",6,0)))))))))))))))))))))))))))))))))))))))</f>
        <v>1</v>
      </c>
      <c r="G950" s="52">
        <v>1</v>
      </c>
      <c r="H950" s="90" t="s">
        <v>115</v>
      </c>
      <c r="I950" s="93" t="s">
        <v>77</v>
      </c>
      <c r="J950" s="87" t="s">
        <v>1164</v>
      </c>
      <c r="K950" s="102" t="s">
        <v>2194</v>
      </c>
      <c r="L950" s="117">
        <f>IF(O950="","",N950*O950*M950)</f>
        <v>0</v>
      </c>
      <c r="M950" s="108">
        <v>1</v>
      </c>
      <c r="N950" s="95">
        <v>1</v>
      </c>
      <c r="O950" s="109">
        <f>IF(Key!D$1="ON",P950,IF(SUM(Q950:DL950)&lt;1,"",SUM(Q950:DL950)/COUNTIF(Q950:DL950,"&gt;0")))</f>
        <v>0</v>
      </c>
      <c r="P950" s="109">
        <f>SUMIFS(Q950:DK950,Q$1:DK$1,Dashboard!$K$31)</f>
        <v>0</v>
      </c>
      <c r="U950" s="95">
        <v>33</v>
      </c>
      <c r="AA950" s="95">
        <v>25</v>
      </c>
      <c r="AH950" s="95">
        <v>75</v>
      </c>
    </row>
    <row r="951" spans="1:34" ht="15.6" x14ac:dyDescent="0.3">
      <c r="A951" s="89" t="str">
        <f>CONCATENATE(D951,".",F951,"-",G951,".",H951,"")</f>
        <v>2.1-1.1</v>
      </c>
      <c r="B951" s="89" t="str">
        <f>IF(CONCATENATE(I951,Key!F$2)=CONCATENATE(INDEX(Dashboard!J:J,MATCH(I951,Dashboard!J:J,0),1),INDEX(Dashboard!J:K,MATCH(I951,Dashboard!J:J,0),2)),"ON",IF(Dashboard!K$32="ALL","ON","-"))</f>
        <v>-</v>
      </c>
      <c r="C951" s="88" t="s">
        <v>152</v>
      </c>
      <c r="D951" s="89">
        <f>IF(C951="ID",1,(IF(C951="PR",2,(IF(C951="DE",3,(IF(C951="RS",4,(IF(C951="RC",5,0)))))))))</f>
        <v>2</v>
      </c>
      <c r="E951" s="89" t="s">
        <v>153</v>
      </c>
      <c r="F951" s="89">
        <f>IF(E951="AM",1,(IF(E951="BE",2,(IF(E951="GV",3,(IF(E951="RA",4,(IF(E951="RM",5,(IF(E951="AC",1,(IF(E951="AT",2,(IF(E951="DS",3,(IF(E951="IP",4,(IF(E951="MA",5,(IF(E951="PT",6,(IF(E951="AE",1,(IF(E951="CM",2,(IF(E951="DP",3,(IF(E951="AN",1,(IF(E951="CO",2,(IF(E951="IM",3,(IF(E951="MI",4,(IF(E951="RP",5,(IF(E951="SC",6,0)))))))))))))))))))))))))))))))))))))))</f>
        <v>1</v>
      </c>
      <c r="G951" s="52">
        <v>1</v>
      </c>
      <c r="H951" s="90" t="s">
        <v>115</v>
      </c>
      <c r="I951" s="93" t="s">
        <v>77</v>
      </c>
      <c r="J951" s="87" t="s">
        <v>696</v>
      </c>
      <c r="K951" s="102" t="s">
        <v>2195</v>
      </c>
      <c r="L951" s="117">
        <f>IF(O951="","",N951*O951*M951)</f>
        <v>0</v>
      </c>
      <c r="M951" s="108">
        <v>1</v>
      </c>
      <c r="N951" s="95">
        <v>1</v>
      </c>
      <c r="O951" s="109">
        <f>IF(Key!D$1="ON",P951,IF(SUM(Q951:DL951)&lt;1,"",SUM(Q951:DL951)/COUNTIF(Q951:DL951,"&gt;0")))</f>
        <v>0</v>
      </c>
      <c r="P951" s="109">
        <f>SUMIFS(Q951:DK951,Q$1:DK$1,Dashboard!$K$31)</f>
        <v>0</v>
      </c>
      <c r="U951" s="95">
        <v>33</v>
      </c>
      <c r="AA951" s="95">
        <v>25</v>
      </c>
      <c r="AH951" s="95">
        <v>75</v>
      </c>
    </row>
    <row r="952" spans="1:34" ht="15.6" x14ac:dyDescent="0.3">
      <c r="A952" s="89" t="str">
        <f>CONCATENATE(D952,".",F952,"-",G952,".",H952,"")</f>
        <v>2.1-1.1</v>
      </c>
      <c r="B952" s="89" t="str">
        <f>IF(CONCATENATE(I952,Key!F$2)=CONCATENATE(INDEX(Dashboard!J:J,MATCH(I952,Dashboard!J:J,0),1),INDEX(Dashboard!J:K,MATCH(I952,Dashboard!J:J,0),2)),"ON",IF(Dashboard!K$32="ALL","ON","-"))</f>
        <v>-</v>
      </c>
      <c r="C952" s="88" t="s">
        <v>152</v>
      </c>
      <c r="D952" s="89">
        <f>IF(C952="ID",1,(IF(C952="PR",2,(IF(C952="DE",3,(IF(C952="RS",4,(IF(C952="RC",5,0)))))))))</f>
        <v>2</v>
      </c>
      <c r="E952" s="89" t="s">
        <v>153</v>
      </c>
      <c r="F952" s="89">
        <f>IF(E952="AM",1,(IF(E952="BE",2,(IF(E952="GV",3,(IF(E952="RA",4,(IF(E952="RM",5,(IF(E952="AC",1,(IF(E952="AT",2,(IF(E952="DS",3,(IF(E952="IP",4,(IF(E952="MA",5,(IF(E952="PT",6,(IF(E952="AE",1,(IF(E952="CM",2,(IF(E952="DP",3,(IF(E952="AN",1,(IF(E952="CO",2,(IF(E952="IM",3,(IF(E952="MI",4,(IF(E952="RP",5,(IF(E952="SC",6,0)))))))))))))))))))))))))))))))))))))))</f>
        <v>1</v>
      </c>
      <c r="G952" s="52">
        <v>1</v>
      </c>
      <c r="H952" s="90" t="s">
        <v>115</v>
      </c>
      <c r="I952" s="93" t="s">
        <v>77</v>
      </c>
      <c r="J952" s="87" t="s">
        <v>1165</v>
      </c>
      <c r="K952" s="102" t="s">
        <v>2196</v>
      </c>
      <c r="L952" s="117">
        <f>IF(O952="","",N952*O952*M952)</f>
        <v>0</v>
      </c>
      <c r="M952" s="108">
        <v>1</v>
      </c>
      <c r="N952" s="95">
        <v>1</v>
      </c>
      <c r="O952" s="109">
        <f>IF(Key!D$1="ON",P952,IF(SUM(Q952:DL952)&lt;1,"",SUM(Q952:DL952)/COUNTIF(Q952:DL952,"&gt;0")))</f>
        <v>0</v>
      </c>
      <c r="P952" s="109">
        <f>SUMIFS(Q952:DK952,Q$1:DK$1,Dashboard!$K$31)</f>
        <v>0</v>
      </c>
      <c r="U952" s="95">
        <v>33</v>
      </c>
      <c r="AA952" s="95">
        <v>25</v>
      </c>
      <c r="AH952" s="95">
        <v>75</v>
      </c>
    </row>
    <row r="953" spans="1:34" x14ac:dyDescent="0.3">
      <c r="A953" s="89" t="str">
        <f>CONCATENATE(D953,".",F953,"-",G953,".",H953,"")</f>
        <v>2.1-1.1</v>
      </c>
      <c r="B953" s="89" t="str">
        <f>IF(CONCATENATE(I953,Key!F$2)=CONCATENATE(INDEX(Dashboard!J:J,MATCH(I953,Dashboard!J:J,0),1),INDEX(Dashboard!J:K,MATCH(I953,Dashboard!J:J,0),2)),"ON",IF(Dashboard!K$32="ALL","ON","-"))</f>
        <v>-</v>
      </c>
      <c r="C953" s="88" t="s">
        <v>152</v>
      </c>
      <c r="D953" s="89">
        <f>IF(C953="ID",1,(IF(C953="PR",2,(IF(C953="DE",3,(IF(C953="RS",4,(IF(C953="RC",5,0)))))))))</f>
        <v>2</v>
      </c>
      <c r="E953" s="89" t="s">
        <v>153</v>
      </c>
      <c r="F953" s="89">
        <f>IF(E953="AM",1,(IF(E953="BE",2,(IF(E953="GV",3,(IF(E953="RA",4,(IF(E953="RM",5,(IF(E953="AC",1,(IF(E953="AT",2,(IF(E953="DS",3,(IF(E953="IP",4,(IF(E953="MA",5,(IF(E953="PT",6,(IF(E953="AE",1,(IF(E953="CM",2,(IF(E953="DP",3,(IF(E953="AN",1,(IF(E953="CO",2,(IF(E953="IM",3,(IF(E953="MI",4,(IF(E953="RP",5,(IF(E953="SC",6,0)))))))))))))))))))))))))))))))))))))))</f>
        <v>1</v>
      </c>
      <c r="G953" s="52">
        <v>1</v>
      </c>
      <c r="H953" s="90" t="s">
        <v>115</v>
      </c>
      <c r="I953" s="93" t="s">
        <v>77</v>
      </c>
      <c r="J953" s="87" t="s">
        <v>1166</v>
      </c>
      <c r="K953" s="102" t="s">
        <v>2197</v>
      </c>
      <c r="L953" s="117">
        <f>IF(O953="","",N953*O953*M953)</f>
        <v>0</v>
      </c>
      <c r="M953" s="108">
        <v>1</v>
      </c>
      <c r="N953" s="95">
        <v>1</v>
      </c>
      <c r="O953" s="109">
        <f>IF(Key!D$1="ON",P953,IF(SUM(Q953:DL953)&lt;1,"",SUM(Q953:DL953)/COUNTIF(Q953:DL953,"&gt;0")))</f>
        <v>0</v>
      </c>
      <c r="P953" s="109">
        <f>SUMIFS(Q953:DK953,Q$1:DK$1,Dashboard!$K$31)</f>
        <v>0</v>
      </c>
      <c r="U953" s="95">
        <v>33</v>
      </c>
      <c r="AA953" s="95">
        <v>25</v>
      </c>
      <c r="AH953" s="95">
        <v>75</v>
      </c>
    </row>
    <row r="954" spans="1:34" x14ac:dyDescent="0.3">
      <c r="A954" s="89" t="str">
        <f>CONCATENATE(D954,".",F954,"-",G954,".",H954,"")</f>
        <v>2.1-1.1</v>
      </c>
      <c r="B954" s="89" t="str">
        <f>IF(CONCATENATE(I954,Key!F$2)=CONCATENATE(INDEX(Dashboard!J:J,MATCH(I954,Dashboard!J:J,0),1),INDEX(Dashboard!J:K,MATCH(I954,Dashboard!J:J,0),2)),"ON",IF(Dashboard!K$32="ALL","ON","-"))</f>
        <v>-</v>
      </c>
      <c r="C954" s="88" t="s">
        <v>152</v>
      </c>
      <c r="D954" s="89">
        <f>IF(C954="ID",1,(IF(C954="PR",2,(IF(C954="DE",3,(IF(C954="RS",4,(IF(C954="RC",5,0)))))))))</f>
        <v>2</v>
      </c>
      <c r="E954" s="89" t="s">
        <v>153</v>
      </c>
      <c r="F954" s="89">
        <f>IF(E954="AM",1,(IF(E954="BE",2,(IF(E954="GV",3,(IF(E954="RA",4,(IF(E954="RM",5,(IF(E954="AC",1,(IF(E954="AT",2,(IF(E954="DS",3,(IF(E954="IP",4,(IF(E954="MA",5,(IF(E954="PT",6,(IF(E954="AE",1,(IF(E954="CM",2,(IF(E954="DP",3,(IF(E954="AN",1,(IF(E954="CO",2,(IF(E954="IM",3,(IF(E954="MI",4,(IF(E954="RP",5,(IF(E954="SC",6,0)))))))))))))))))))))))))))))))))))))))</f>
        <v>1</v>
      </c>
      <c r="G954" s="52">
        <v>1</v>
      </c>
      <c r="H954" s="90" t="s">
        <v>115</v>
      </c>
      <c r="I954" s="93" t="s">
        <v>77</v>
      </c>
      <c r="J954" s="87" t="s">
        <v>1167</v>
      </c>
      <c r="K954" s="102" t="s">
        <v>2198</v>
      </c>
      <c r="L954" s="117">
        <f>IF(O954="","",N954*O954*M954)</f>
        <v>0</v>
      </c>
      <c r="M954" s="108">
        <v>1</v>
      </c>
      <c r="N954" s="95">
        <v>1</v>
      </c>
      <c r="O954" s="109">
        <f>IF(Key!D$1="ON",P954,IF(SUM(Q954:DL954)&lt;1,"",SUM(Q954:DL954)/COUNTIF(Q954:DL954,"&gt;0")))</f>
        <v>0</v>
      </c>
      <c r="P954" s="109">
        <f>SUMIFS(Q954:DK954,Q$1:DK$1,Dashboard!$K$31)</f>
        <v>0</v>
      </c>
      <c r="U954" s="95">
        <v>33</v>
      </c>
      <c r="AA954" s="95">
        <v>25</v>
      </c>
      <c r="AH954" s="95">
        <v>75</v>
      </c>
    </row>
    <row r="955" spans="1:34" x14ac:dyDescent="0.3">
      <c r="A955" s="89" t="str">
        <f>CONCATENATE(D955,".",F955,"-",G955,".",H955,"")</f>
        <v>2.1-1.1</v>
      </c>
      <c r="B955" s="89" t="str">
        <f>IF(CONCATENATE(I955,Key!F$2)=CONCATENATE(INDEX(Dashboard!J:J,MATCH(I955,Dashboard!J:J,0),1),INDEX(Dashboard!J:K,MATCH(I955,Dashboard!J:J,0),2)),"ON",IF(Dashboard!K$32="ALL","ON","-"))</f>
        <v>-</v>
      </c>
      <c r="C955" s="88" t="s">
        <v>152</v>
      </c>
      <c r="D955" s="89">
        <f>IF(C955="ID",1,(IF(C955="PR",2,(IF(C955="DE",3,(IF(C955="RS",4,(IF(C955="RC",5,0)))))))))</f>
        <v>2</v>
      </c>
      <c r="E955" s="89" t="s">
        <v>153</v>
      </c>
      <c r="F955" s="89">
        <f>IF(E955="AM",1,(IF(E955="BE",2,(IF(E955="GV",3,(IF(E955="RA",4,(IF(E955="RM",5,(IF(E955="AC",1,(IF(E955="AT",2,(IF(E955="DS",3,(IF(E955="IP",4,(IF(E955="MA",5,(IF(E955="PT",6,(IF(E955="AE",1,(IF(E955="CM",2,(IF(E955="DP",3,(IF(E955="AN",1,(IF(E955="CO",2,(IF(E955="IM",3,(IF(E955="MI",4,(IF(E955="RP",5,(IF(E955="SC",6,0)))))))))))))))))))))))))))))))))))))))</f>
        <v>1</v>
      </c>
      <c r="G955" s="52">
        <v>1</v>
      </c>
      <c r="H955" s="90" t="s">
        <v>115</v>
      </c>
      <c r="I955" s="93" t="s">
        <v>77</v>
      </c>
      <c r="J955" s="87" t="s">
        <v>1168</v>
      </c>
      <c r="K955" s="102" t="s">
        <v>2199</v>
      </c>
      <c r="L955" s="117">
        <f>IF(O955="","",N955*O955*M955)</f>
        <v>0</v>
      </c>
      <c r="M955" s="108">
        <v>1</v>
      </c>
      <c r="N955" s="95">
        <v>1</v>
      </c>
      <c r="O955" s="109">
        <f>IF(Key!D$1="ON",P955,IF(SUM(Q955:DL955)&lt;1,"",SUM(Q955:DL955)/COUNTIF(Q955:DL955,"&gt;0")))</f>
        <v>0</v>
      </c>
      <c r="P955" s="109">
        <f>SUMIFS(Q955:DK955,Q$1:DK$1,Dashboard!$K$31)</f>
        <v>0</v>
      </c>
      <c r="U955" s="95">
        <v>33</v>
      </c>
      <c r="AA955" s="95">
        <v>25</v>
      </c>
      <c r="AH955" s="95">
        <v>75</v>
      </c>
    </row>
    <row r="956" spans="1:34" x14ac:dyDescent="0.3">
      <c r="A956" s="89" t="str">
        <f>CONCATENATE(D956,".",F956,"-",G956,".",H956,"")</f>
        <v>2.1-1.1</v>
      </c>
      <c r="B956" s="89" t="str">
        <f>IF(CONCATENATE(I956,Key!F$2)=CONCATENATE(INDEX(Dashboard!J:J,MATCH(I956,Dashboard!J:J,0),1),INDEX(Dashboard!J:K,MATCH(I956,Dashboard!J:J,0),2)),"ON",IF(Dashboard!K$32="ALL","ON","-"))</f>
        <v>-</v>
      </c>
      <c r="C956" s="88" t="s">
        <v>152</v>
      </c>
      <c r="D956" s="89">
        <f>IF(C956="ID",1,(IF(C956="PR",2,(IF(C956="DE",3,(IF(C956="RS",4,(IF(C956="RC",5,0)))))))))</f>
        <v>2</v>
      </c>
      <c r="E956" s="89" t="s">
        <v>153</v>
      </c>
      <c r="F956" s="89">
        <f>IF(E956="AM",1,(IF(E956="BE",2,(IF(E956="GV",3,(IF(E956="RA",4,(IF(E956="RM",5,(IF(E956="AC",1,(IF(E956="AT",2,(IF(E956="DS",3,(IF(E956="IP",4,(IF(E956="MA",5,(IF(E956="PT",6,(IF(E956="AE",1,(IF(E956="CM",2,(IF(E956="DP",3,(IF(E956="AN",1,(IF(E956="CO",2,(IF(E956="IM",3,(IF(E956="MI",4,(IF(E956="RP",5,(IF(E956="SC",6,0)))))))))))))))))))))))))))))))))))))))</f>
        <v>1</v>
      </c>
      <c r="G956" s="52">
        <v>1</v>
      </c>
      <c r="H956" s="90" t="s">
        <v>115</v>
      </c>
      <c r="I956" s="93" t="s">
        <v>77</v>
      </c>
      <c r="J956" s="87" t="s">
        <v>1169</v>
      </c>
      <c r="K956" s="102" t="s">
        <v>2200</v>
      </c>
      <c r="L956" s="117">
        <f>IF(O956="","",N956*O956*M956)</f>
        <v>0</v>
      </c>
      <c r="M956" s="108">
        <v>1</v>
      </c>
      <c r="N956" s="95">
        <v>1</v>
      </c>
      <c r="O956" s="109">
        <f>IF(Key!D$1="ON",P956,IF(SUM(Q956:DL956)&lt;1,"",SUM(Q956:DL956)/COUNTIF(Q956:DL956,"&gt;0")))</f>
        <v>0</v>
      </c>
      <c r="P956" s="109">
        <f>SUMIFS(Q956:DK956,Q$1:DK$1,Dashboard!$K$31)</f>
        <v>0</v>
      </c>
      <c r="U956" s="95">
        <v>33</v>
      </c>
      <c r="AA956" s="95">
        <v>25</v>
      </c>
      <c r="AH956" s="95">
        <v>75</v>
      </c>
    </row>
    <row r="957" spans="1:34" x14ac:dyDescent="0.3">
      <c r="A957" s="89" t="str">
        <f>CONCATENATE(D957,".",F957,"-",G957,".",H957,"")</f>
        <v>2.1-1.1</v>
      </c>
      <c r="B957" s="89" t="str">
        <f>IF(CONCATENATE(I957,Key!F$2)=CONCATENATE(INDEX(Dashboard!J:J,MATCH(I957,Dashboard!J:J,0),1),INDEX(Dashboard!J:K,MATCH(I957,Dashboard!J:J,0),2)),"ON",IF(Dashboard!K$32="ALL","ON","-"))</f>
        <v>-</v>
      </c>
      <c r="C957" s="88" t="s">
        <v>152</v>
      </c>
      <c r="D957" s="89">
        <f>IF(C957="ID",1,(IF(C957="PR",2,(IF(C957="DE",3,(IF(C957="RS",4,(IF(C957="RC",5,0)))))))))</f>
        <v>2</v>
      </c>
      <c r="E957" s="89" t="s">
        <v>153</v>
      </c>
      <c r="F957" s="89">
        <f>IF(E957="AM",1,(IF(E957="BE",2,(IF(E957="GV",3,(IF(E957="RA",4,(IF(E957="RM",5,(IF(E957="AC",1,(IF(E957="AT",2,(IF(E957="DS",3,(IF(E957="IP",4,(IF(E957="MA",5,(IF(E957="PT",6,(IF(E957="AE",1,(IF(E957="CM",2,(IF(E957="DP",3,(IF(E957="AN",1,(IF(E957="CO",2,(IF(E957="IM",3,(IF(E957="MI",4,(IF(E957="RP",5,(IF(E957="SC",6,0)))))))))))))))))))))))))))))))))))))))</f>
        <v>1</v>
      </c>
      <c r="G957" s="52">
        <v>1</v>
      </c>
      <c r="H957" s="90" t="s">
        <v>115</v>
      </c>
      <c r="I957" s="93" t="s">
        <v>77</v>
      </c>
      <c r="J957" s="87" t="s">
        <v>1170</v>
      </c>
      <c r="K957" s="102" t="s">
        <v>2201</v>
      </c>
      <c r="L957" s="117">
        <f>IF(O957="","",N957*O957*M957)</f>
        <v>0</v>
      </c>
      <c r="M957" s="108">
        <v>1</v>
      </c>
      <c r="N957" s="95">
        <v>1</v>
      </c>
      <c r="O957" s="109">
        <f>IF(Key!D$1="ON",P957,IF(SUM(Q957:DL957)&lt;1,"",SUM(Q957:DL957)/COUNTIF(Q957:DL957,"&gt;0")))</f>
        <v>0</v>
      </c>
      <c r="P957" s="109">
        <f>SUMIFS(Q957:DK957,Q$1:DK$1,Dashboard!$K$31)</f>
        <v>0</v>
      </c>
      <c r="U957" s="95">
        <v>33</v>
      </c>
      <c r="AA957" s="95">
        <v>25</v>
      </c>
      <c r="AH957" s="95">
        <v>75</v>
      </c>
    </row>
    <row r="958" spans="1:34" x14ac:dyDescent="0.3">
      <c r="A958" s="89" t="str">
        <f>CONCATENATE(D958,".",F958,"-",G958,".",H958,"")</f>
        <v>2.1-1.1</v>
      </c>
      <c r="B958" s="89" t="str">
        <f>IF(CONCATENATE(I958,Key!F$2)=CONCATENATE(INDEX(Dashboard!J:J,MATCH(I958,Dashboard!J:J,0),1),INDEX(Dashboard!J:K,MATCH(I958,Dashboard!J:J,0),2)),"ON",IF(Dashboard!K$32="ALL","ON","-"))</f>
        <v>-</v>
      </c>
      <c r="C958" s="88" t="s">
        <v>152</v>
      </c>
      <c r="D958" s="89">
        <f>IF(C958="ID",1,(IF(C958="PR",2,(IF(C958="DE",3,(IF(C958="RS",4,(IF(C958="RC",5,0)))))))))</f>
        <v>2</v>
      </c>
      <c r="E958" s="89" t="s">
        <v>153</v>
      </c>
      <c r="F958" s="89">
        <f>IF(E958="AM",1,(IF(E958="BE",2,(IF(E958="GV",3,(IF(E958="RA",4,(IF(E958="RM",5,(IF(E958="AC",1,(IF(E958="AT",2,(IF(E958="DS",3,(IF(E958="IP",4,(IF(E958="MA",5,(IF(E958="PT",6,(IF(E958="AE",1,(IF(E958="CM",2,(IF(E958="DP",3,(IF(E958="AN",1,(IF(E958="CO",2,(IF(E958="IM",3,(IF(E958="MI",4,(IF(E958="RP",5,(IF(E958="SC",6,0)))))))))))))))))))))))))))))))))))))))</f>
        <v>1</v>
      </c>
      <c r="G958" s="52">
        <v>1</v>
      </c>
      <c r="H958" s="90" t="s">
        <v>115</v>
      </c>
      <c r="I958" s="93" t="s">
        <v>77</v>
      </c>
      <c r="J958" s="87" t="s">
        <v>1171</v>
      </c>
      <c r="K958" s="102" t="s">
        <v>2202</v>
      </c>
      <c r="L958" s="117">
        <f>IF(O958="","",N958*O958*M958)</f>
        <v>0</v>
      </c>
      <c r="M958" s="108">
        <v>1</v>
      </c>
      <c r="N958" s="95">
        <v>1</v>
      </c>
      <c r="O958" s="109">
        <f>IF(Key!D$1="ON",P958,IF(SUM(Q958:DL958)&lt;1,"",SUM(Q958:DL958)/COUNTIF(Q958:DL958,"&gt;0")))</f>
        <v>0</v>
      </c>
      <c r="P958" s="109">
        <f>SUMIFS(Q958:DK958,Q$1:DK$1,Dashboard!$K$31)</f>
        <v>0</v>
      </c>
      <c r="U958" s="95">
        <v>33</v>
      </c>
      <c r="AA958" s="95">
        <v>25</v>
      </c>
      <c r="AH958" s="95">
        <v>75</v>
      </c>
    </row>
    <row r="959" spans="1:34" x14ac:dyDescent="0.3">
      <c r="A959" s="89" t="str">
        <f>CONCATENATE(D959,".",F959,"-",G959,".",H959,"")</f>
        <v>2.1-1.1</v>
      </c>
      <c r="B959" s="89" t="str">
        <f>IF(CONCATENATE(I959,Key!F$2)=CONCATENATE(INDEX(Dashboard!J:J,MATCH(I959,Dashboard!J:J,0),1),INDEX(Dashboard!J:K,MATCH(I959,Dashboard!J:J,0),2)),"ON",IF(Dashboard!K$32="ALL","ON","-"))</f>
        <v>-</v>
      </c>
      <c r="C959" s="88" t="s">
        <v>152</v>
      </c>
      <c r="D959" s="89">
        <f>IF(C959="ID",1,(IF(C959="PR",2,(IF(C959="DE",3,(IF(C959="RS",4,(IF(C959="RC",5,0)))))))))</f>
        <v>2</v>
      </c>
      <c r="E959" s="89" t="s">
        <v>153</v>
      </c>
      <c r="F959" s="89">
        <f>IF(E959="AM",1,(IF(E959="BE",2,(IF(E959="GV",3,(IF(E959="RA",4,(IF(E959="RM",5,(IF(E959="AC",1,(IF(E959="AT",2,(IF(E959="DS",3,(IF(E959="IP",4,(IF(E959="MA",5,(IF(E959="PT",6,(IF(E959="AE",1,(IF(E959="CM",2,(IF(E959="DP",3,(IF(E959="AN",1,(IF(E959="CO",2,(IF(E959="IM",3,(IF(E959="MI",4,(IF(E959="RP",5,(IF(E959="SC",6,0)))))))))))))))))))))))))))))))))))))))</f>
        <v>1</v>
      </c>
      <c r="G959" s="52">
        <v>1</v>
      </c>
      <c r="H959" s="90" t="s">
        <v>115</v>
      </c>
      <c r="I959" s="93" t="s">
        <v>77</v>
      </c>
      <c r="J959" s="87" t="s">
        <v>1172</v>
      </c>
      <c r="K959" s="102" t="s">
        <v>2203</v>
      </c>
      <c r="L959" s="117">
        <f>IF(O959="","",N959*O959*M959)</f>
        <v>0</v>
      </c>
      <c r="M959" s="108">
        <v>1</v>
      </c>
      <c r="N959" s="95">
        <v>1</v>
      </c>
      <c r="O959" s="109">
        <f>IF(Key!D$1="ON",P959,IF(SUM(Q959:DL959)&lt;1,"",SUM(Q959:DL959)/COUNTIF(Q959:DL959,"&gt;0")))</f>
        <v>0</v>
      </c>
      <c r="P959" s="109">
        <f>SUMIFS(Q959:DK959,Q$1:DK$1,Dashboard!$K$31)</f>
        <v>0</v>
      </c>
      <c r="U959" s="95">
        <v>33</v>
      </c>
      <c r="AA959" s="95">
        <v>25</v>
      </c>
      <c r="AH959" s="95">
        <v>75</v>
      </c>
    </row>
    <row r="960" spans="1:34" x14ac:dyDescent="0.3">
      <c r="A960" s="89" t="str">
        <f>CONCATENATE(D960,".",F960,"-",G960,".",H960,"")</f>
        <v>2.1-1.1</v>
      </c>
      <c r="B960" s="89" t="str">
        <f>IF(CONCATENATE(I960,Key!F$2)=CONCATENATE(INDEX(Dashboard!J:J,MATCH(I960,Dashboard!J:J,0),1),INDEX(Dashboard!J:K,MATCH(I960,Dashboard!J:J,0),2)),"ON",IF(Dashboard!K$32="ALL","ON","-"))</f>
        <v>-</v>
      </c>
      <c r="C960" s="88" t="s">
        <v>152</v>
      </c>
      <c r="D960" s="89">
        <f>IF(C960="ID",1,(IF(C960="PR",2,(IF(C960="DE",3,(IF(C960="RS",4,(IF(C960="RC",5,0)))))))))</f>
        <v>2</v>
      </c>
      <c r="E960" s="89" t="s">
        <v>153</v>
      </c>
      <c r="F960" s="89">
        <f>IF(E960="AM",1,(IF(E960="BE",2,(IF(E960="GV",3,(IF(E960="RA",4,(IF(E960="RM",5,(IF(E960="AC",1,(IF(E960="AT",2,(IF(E960="DS",3,(IF(E960="IP",4,(IF(E960="MA",5,(IF(E960="PT",6,(IF(E960="AE",1,(IF(E960="CM",2,(IF(E960="DP",3,(IF(E960="AN",1,(IF(E960="CO",2,(IF(E960="IM",3,(IF(E960="MI",4,(IF(E960="RP",5,(IF(E960="SC",6,0)))))))))))))))))))))))))))))))))))))))</f>
        <v>1</v>
      </c>
      <c r="G960" s="52">
        <v>1</v>
      </c>
      <c r="H960" s="90" t="s">
        <v>115</v>
      </c>
      <c r="I960" s="93" t="s">
        <v>77</v>
      </c>
      <c r="J960" s="87" t="s">
        <v>1173</v>
      </c>
      <c r="K960" s="102" t="s">
        <v>2204</v>
      </c>
      <c r="L960" s="117">
        <f>IF(O960="","",N960*O960*M960)</f>
        <v>0</v>
      </c>
      <c r="M960" s="108">
        <v>1</v>
      </c>
      <c r="N960" s="95">
        <v>1</v>
      </c>
      <c r="O960" s="109">
        <f>IF(Key!D$1="ON",P960,IF(SUM(Q960:DL960)&lt;1,"",SUM(Q960:DL960)/COUNTIF(Q960:DL960,"&gt;0")))</f>
        <v>0</v>
      </c>
      <c r="P960" s="109">
        <f>SUMIFS(Q960:DK960,Q$1:DK$1,Dashboard!$K$31)</f>
        <v>0</v>
      </c>
      <c r="U960" s="95">
        <v>33</v>
      </c>
      <c r="AA960" s="95">
        <v>25</v>
      </c>
      <c r="AH960" s="95">
        <v>75</v>
      </c>
    </row>
    <row r="961" spans="1:34" x14ac:dyDescent="0.3">
      <c r="A961" s="89" t="str">
        <f>CONCATENATE(D961,".",F961,"-",G961,".",H961,"")</f>
        <v>2.1-1.1</v>
      </c>
      <c r="B961" s="89" t="str">
        <f>IF(CONCATENATE(I961,Key!F$2)=CONCATENATE(INDEX(Dashboard!J:J,MATCH(I961,Dashboard!J:J,0),1),INDEX(Dashboard!J:K,MATCH(I961,Dashboard!J:J,0),2)),"ON",IF(Dashboard!K$32="ALL","ON","-"))</f>
        <v>-</v>
      </c>
      <c r="C961" s="88" t="s">
        <v>152</v>
      </c>
      <c r="D961" s="89">
        <f>IF(C961="ID",1,(IF(C961="PR",2,(IF(C961="DE",3,(IF(C961="RS",4,(IF(C961="RC",5,0)))))))))</f>
        <v>2</v>
      </c>
      <c r="E961" s="89" t="s">
        <v>153</v>
      </c>
      <c r="F961" s="89">
        <f>IF(E961="AM",1,(IF(E961="BE",2,(IF(E961="GV",3,(IF(E961="RA",4,(IF(E961="RM",5,(IF(E961="AC",1,(IF(E961="AT",2,(IF(E961="DS",3,(IF(E961="IP",4,(IF(E961="MA",5,(IF(E961="PT",6,(IF(E961="AE",1,(IF(E961="CM",2,(IF(E961="DP",3,(IF(E961="AN",1,(IF(E961="CO",2,(IF(E961="IM",3,(IF(E961="MI",4,(IF(E961="RP",5,(IF(E961="SC",6,0)))))))))))))))))))))))))))))))))))))))</f>
        <v>1</v>
      </c>
      <c r="G961" s="52">
        <v>1</v>
      </c>
      <c r="H961" s="90" t="s">
        <v>115</v>
      </c>
      <c r="I961" s="93" t="s">
        <v>77</v>
      </c>
      <c r="J961" s="87" t="s">
        <v>1175</v>
      </c>
      <c r="K961" s="102" t="s">
        <v>2205</v>
      </c>
      <c r="L961" s="117">
        <f>IF(O961="","",N961*O961*M961)</f>
        <v>0</v>
      </c>
      <c r="M961" s="108">
        <v>1</v>
      </c>
      <c r="N961" s="95">
        <v>1</v>
      </c>
      <c r="O961" s="109">
        <f>IF(Key!D$1="ON",P961,IF(SUM(Q961:DL961)&lt;1,"",SUM(Q961:DL961)/COUNTIF(Q961:DL961,"&gt;0")))</f>
        <v>0</v>
      </c>
      <c r="P961" s="109">
        <f>SUMIFS(Q961:DK961,Q$1:DK$1,Dashboard!$K$31)</f>
        <v>0</v>
      </c>
      <c r="U961" s="95">
        <v>33</v>
      </c>
      <c r="AA961" s="95">
        <v>25</v>
      </c>
      <c r="AH961" s="95">
        <v>75</v>
      </c>
    </row>
    <row r="962" spans="1:34" x14ac:dyDescent="0.3">
      <c r="A962" s="89" t="str">
        <f>CONCATENATE(D962,".",F962,"-",G962,".",H962,"")</f>
        <v>2.1-1.1</v>
      </c>
      <c r="B962" s="89" t="str">
        <f>IF(CONCATENATE(I962,Key!F$2)=CONCATENATE(INDEX(Dashboard!J:J,MATCH(I962,Dashboard!J:J,0),1),INDEX(Dashboard!J:K,MATCH(I962,Dashboard!J:J,0),2)),"ON",IF(Dashboard!K$32="ALL","ON","-"))</f>
        <v>-</v>
      </c>
      <c r="C962" s="88" t="s">
        <v>152</v>
      </c>
      <c r="D962" s="89">
        <f>IF(C962="ID",1,(IF(C962="PR",2,(IF(C962="DE",3,(IF(C962="RS",4,(IF(C962="RC",5,0)))))))))</f>
        <v>2</v>
      </c>
      <c r="E962" s="89" t="s">
        <v>153</v>
      </c>
      <c r="F962" s="89">
        <f>IF(E962="AM",1,(IF(E962="BE",2,(IF(E962="GV",3,(IF(E962="RA",4,(IF(E962="RM",5,(IF(E962="AC",1,(IF(E962="AT",2,(IF(E962="DS",3,(IF(E962="IP",4,(IF(E962="MA",5,(IF(E962="PT",6,(IF(E962="AE",1,(IF(E962="CM",2,(IF(E962="DP",3,(IF(E962="AN",1,(IF(E962="CO",2,(IF(E962="IM",3,(IF(E962="MI",4,(IF(E962="RP",5,(IF(E962="SC",6,0)))))))))))))))))))))))))))))))))))))))</f>
        <v>1</v>
      </c>
      <c r="G962" s="52">
        <v>1</v>
      </c>
      <c r="H962" s="90" t="s">
        <v>115</v>
      </c>
      <c r="I962" s="93" t="s">
        <v>77</v>
      </c>
      <c r="J962" s="87" t="s">
        <v>1176</v>
      </c>
      <c r="K962" s="102" t="s">
        <v>2206</v>
      </c>
      <c r="L962" s="117">
        <f>IF(O962="","",N962*O962*M962)</f>
        <v>0</v>
      </c>
      <c r="M962" s="108">
        <v>1</v>
      </c>
      <c r="N962" s="95">
        <v>1</v>
      </c>
      <c r="O962" s="109">
        <f>IF(Key!D$1="ON",P962,IF(SUM(Q962:DL962)&lt;1,"",SUM(Q962:DL962)/COUNTIF(Q962:DL962,"&gt;0")))</f>
        <v>0</v>
      </c>
      <c r="P962" s="109">
        <f>SUMIFS(Q962:DK962,Q$1:DK$1,Dashboard!$K$31)</f>
        <v>0</v>
      </c>
      <c r="U962" s="95">
        <v>33</v>
      </c>
      <c r="AA962" s="95">
        <v>25</v>
      </c>
      <c r="AH962" s="95">
        <v>75</v>
      </c>
    </row>
    <row r="963" spans="1:34" x14ac:dyDescent="0.3">
      <c r="A963" s="89" t="str">
        <f>CONCATENATE(D963,".",F963,"-",G963,".",H963,"")</f>
        <v>2.1-1.1</v>
      </c>
      <c r="B963" s="89" t="str">
        <f>IF(CONCATENATE(I963,Key!F$2)=CONCATENATE(INDEX(Dashboard!J:J,MATCH(I963,Dashboard!J:J,0),1),INDEX(Dashboard!J:K,MATCH(I963,Dashboard!J:J,0),2)),"ON",IF(Dashboard!K$32="ALL","ON","-"))</f>
        <v>-</v>
      </c>
      <c r="C963" s="88" t="s">
        <v>152</v>
      </c>
      <c r="D963" s="89">
        <f>IF(C963="ID",1,(IF(C963="PR",2,(IF(C963="DE",3,(IF(C963="RS",4,(IF(C963="RC",5,0)))))))))</f>
        <v>2</v>
      </c>
      <c r="E963" s="89" t="s">
        <v>153</v>
      </c>
      <c r="F963" s="89">
        <f>IF(E963="AM",1,(IF(E963="BE",2,(IF(E963="GV",3,(IF(E963="RA",4,(IF(E963="RM",5,(IF(E963="AC",1,(IF(E963="AT",2,(IF(E963="DS",3,(IF(E963="IP",4,(IF(E963="MA",5,(IF(E963="PT",6,(IF(E963="AE",1,(IF(E963="CM",2,(IF(E963="DP",3,(IF(E963="AN",1,(IF(E963="CO",2,(IF(E963="IM",3,(IF(E963="MI",4,(IF(E963="RP",5,(IF(E963="SC",6,0)))))))))))))))))))))))))))))))))))))))</f>
        <v>1</v>
      </c>
      <c r="G963" s="52">
        <v>1</v>
      </c>
      <c r="H963" s="90" t="s">
        <v>115</v>
      </c>
      <c r="I963" s="93" t="s">
        <v>77</v>
      </c>
      <c r="J963" s="87" t="s">
        <v>1177</v>
      </c>
      <c r="K963" s="102" t="s">
        <v>2207</v>
      </c>
      <c r="L963" s="117">
        <f>IF(O963="","",N963*O963*M963)</f>
        <v>0</v>
      </c>
      <c r="M963" s="108">
        <v>1</v>
      </c>
      <c r="N963" s="95">
        <v>1</v>
      </c>
      <c r="O963" s="109">
        <f>IF(Key!D$1="ON",P963,IF(SUM(Q963:DL963)&lt;1,"",SUM(Q963:DL963)/COUNTIF(Q963:DL963,"&gt;0")))</f>
        <v>0</v>
      </c>
      <c r="P963" s="109">
        <f>SUMIFS(Q963:DK963,Q$1:DK$1,Dashboard!$K$31)</f>
        <v>0</v>
      </c>
      <c r="U963" s="95">
        <v>33</v>
      </c>
      <c r="AA963" s="95">
        <v>25</v>
      </c>
      <c r="AH963" s="95">
        <v>75</v>
      </c>
    </row>
    <row r="964" spans="1:34" x14ac:dyDescent="0.3">
      <c r="A964" s="89" t="str">
        <f>CONCATENATE(D964,".",F964,"-",G964,".",H964,"")</f>
        <v>2.1-1.1</v>
      </c>
      <c r="B964" s="89" t="str">
        <f>IF(CONCATENATE(I964,Key!F$2)=CONCATENATE(INDEX(Dashboard!J:J,MATCH(I964,Dashboard!J:J,0),1),INDEX(Dashboard!J:K,MATCH(I964,Dashboard!J:J,0),2)),"ON",IF(Dashboard!K$32="ALL","ON","-"))</f>
        <v>-</v>
      </c>
      <c r="C964" s="88" t="s">
        <v>152</v>
      </c>
      <c r="D964" s="89">
        <f>IF(C964="ID",1,(IF(C964="PR",2,(IF(C964="DE",3,(IF(C964="RS",4,(IF(C964="RC",5,0)))))))))</f>
        <v>2</v>
      </c>
      <c r="E964" s="89" t="s">
        <v>153</v>
      </c>
      <c r="F964" s="89">
        <f>IF(E964="AM",1,(IF(E964="BE",2,(IF(E964="GV",3,(IF(E964="RA",4,(IF(E964="RM",5,(IF(E964="AC",1,(IF(E964="AT",2,(IF(E964="DS",3,(IF(E964="IP",4,(IF(E964="MA",5,(IF(E964="PT",6,(IF(E964="AE",1,(IF(E964="CM",2,(IF(E964="DP",3,(IF(E964="AN",1,(IF(E964="CO",2,(IF(E964="IM",3,(IF(E964="MI",4,(IF(E964="RP",5,(IF(E964="SC",6,0)))))))))))))))))))))))))))))))))))))))</f>
        <v>1</v>
      </c>
      <c r="G964" s="52">
        <v>1</v>
      </c>
      <c r="H964" s="90" t="s">
        <v>115</v>
      </c>
      <c r="I964" s="93" t="s">
        <v>77</v>
      </c>
      <c r="J964" s="87" t="s">
        <v>1178</v>
      </c>
      <c r="K964" s="102" t="s">
        <v>2208</v>
      </c>
      <c r="L964" s="117">
        <f>IF(O964="","",N964*O964*M964)</f>
        <v>0</v>
      </c>
      <c r="M964" s="108">
        <v>1</v>
      </c>
      <c r="N964" s="95">
        <v>1</v>
      </c>
      <c r="O964" s="109">
        <f>IF(Key!D$1="ON",P964,IF(SUM(Q964:DL964)&lt;1,"",SUM(Q964:DL964)/COUNTIF(Q964:DL964,"&gt;0")))</f>
        <v>0</v>
      </c>
      <c r="P964" s="109">
        <f>SUMIFS(Q964:DK964,Q$1:DK$1,Dashboard!$K$31)</f>
        <v>0</v>
      </c>
      <c r="U964" s="95">
        <v>33</v>
      </c>
      <c r="AA964" s="95">
        <v>25</v>
      </c>
      <c r="AH964" s="95">
        <v>75</v>
      </c>
    </row>
    <row r="965" spans="1:34" x14ac:dyDescent="0.3">
      <c r="A965" s="89" t="str">
        <f>CONCATENATE(D965,".",F965,"-",G965,".",H965,"")</f>
        <v>2.1-1.1</v>
      </c>
      <c r="B965" s="89" t="str">
        <f>IF(CONCATENATE(I965,Key!F$2)=CONCATENATE(INDEX(Dashboard!J:J,MATCH(I965,Dashboard!J:J,0),1),INDEX(Dashboard!J:K,MATCH(I965,Dashboard!J:J,0),2)),"ON",IF(Dashboard!K$32="ALL","ON","-"))</f>
        <v>-</v>
      </c>
      <c r="C965" s="88" t="s">
        <v>152</v>
      </c>
      <c r="D965" s="89">
        <f>IF(C965="ID",1,(IF(C965="PR",2,(IF(C965="DE",3,(IF(C965="RS",4,(IF(C965="RC",5,0)))))))))</f>
        <v>2</v>
      </c>
      <c r="E965" s="89" t="s">
        <v>153</v>
      </c>
      <c r="F965" s="89">
        <f>IF(E965="AM",1,(IF(E965="BE",2,(IF(E965="GV",3,(IF(E965="RA",4,(IF(E965="RM",5,(IF(E965="AC",1,(IF(E965="AT",2,(IF(E965="DS",3,(IF(E965="IP",4,(IF(E965="MA",5,(IF(E965="PT",6,(IF(E965="AE",1,(IF(E965="CM",2,(IF(E965="DP",3,(IF(E965="AN",1,(IF(E965="CO",2,(IF(E965="IM",3,(IF(E965="MI",4,(IF(E965="RP",5,(IF(E965="SC",6,0)))))))))))))))))))))))))))))))))))))))</f>
        <v>1</v>
      </c>
      <c r="G965" s="52">
        <v>1</v>
      </c>
      <c r="H965" s="90" t="s">
        <v>115</v>
      </c>
      <c r="I965" s="93" t="s">
        <v>77</v>
      </c>
      <c r="J965" s="87" t="s">
        <v>1179</v>
      </c>
      <c r="K965" s="102" t="s">
        <v>2209</v>
      </c>
      <c r="L965" s="117">
        <f>IF(O965="","",N965*O965*M965)</f>
        <v>0</v>
      </c>
      <c r="M965" s="108">
        <v>1</v>
      </c>
      <c r="N965" s="95">
        <v>1</v>
      </c>
      <c r="O965" s="109">
        <f>IF(Key!D$1="ON",P965,IF(SUM(Q965:DL965)&lt;1,"",SUM(Q965:DL965)/COUNTIF(Q965:DL965,"&gt;0")))</f>
        <v>0</v>
      </c>
      <c r="P965" s="109">
        <f>SUMIFS(Q965:DK965,Q$1:DK$1,Dashboard!$K$31)</f>
        <v>0</v>
      </c>
      <c r="U965" s="95">
        <v>33</v>
      </c>
      <c r="AA965" s="95">
        <v>25</v>
      </c>
      <c r="AH965" s="95">
        <v>75</v>
      </c>
    </row>
    <row r="966" spans="1:34" ht="15.6" x14ac:dyDescent="0.3">
      <c r="A966" s="89" t="str">
        <f>CONCATENATE(D966,".",F966,"-",G966,".",H966,"")</f>
        <v>2.1-1.1</v>
      </c>
      <c r="B966" s="89" t="str">
        <f>IF(CONCATENATE(I966,Key!F$2)=CONCATENATE(INDEX(Dashboard!J:J,MATCH(I966,Dashboard!J:J,0),1),INDEX(Dashboard!J:K,MATCH(I966,Dashboard!J:J,0),2)),"ON",IF(Dashboard!K$32="ALL","ON","-"))</f>
        <v>-</v>
      </c>
      <c r="C966" s="88" t="s">
        <v>152</v>
      </c>
      <c r="D966" s="89">
        <f>IF(C966="ID",1,(IF(C966="PR",2,(IF(C966="DE",3,(IF(C966="RS",4,(IF(C966="RC",5,0)))))))))</f>
        <v>2</v>
      </c>
      <c r="E966" s="89" t="s">
        <v>153</v>
      </c>
      <c r="F966" s="89">
        <f>IF(E966="AM",1,(IF(E966="BE",2,(IF(E966="GV",3,(IF(E966="RA",4,(IF(E966="RM",5,(IF(E966="AC",1,(IF(E966="AT",2,(IF(E966="DS",3,(IF(E966="IP",4,(IF(E966="MA",5,(IF(E966="PT",6,(IF(E966="AE",1,(IF(E966="CM",2,(IF(E966="DP",3,(IF(E966="AN",1,(IF(E966="CO",2,(IF(E966="IM",3,(IF(E966="MI",4,(IF(E966="RP",5,(IF(E966="SC",6,0)))))))))))))))))))))))))))))))))))))))</f>
        <v>1</v>
      </c>
      <c r="G966" s="52">
        <v>1</v>
      </c>
      <c r="H966" s="90" t="s">
        <v>115</v>
      </c>
      <c r="I966" s="93" t="s">
        <v>77</v>
      </c>
      <c r="J966" s="87" t="s">
        <v>1180</v>
      </c>
      <c r="K966" s="102" t="s">
        <v>2210</v>
      </c>
      <c r="L966" s="117">
        <f>IF(O966="","",N966*O966*M966)</f>
        <v>0</v>
      </c>
      <c r="M966" s="108">
        <v>1</v>
      </c>
      <c r="N966" s="95">
        <v>1</v>
      </c>
      <c r="O966" s="109">
        <f>IF(Key!D$1="ON",P966,IF(SUM(Q966:DL966)&lt;1,"",SUM(Q966:DL966)/COUNTIF(Q966:DL966,"&gt;0")))</f>
        <v>0</v>
      </c>
      <c r="P966" s="109">
        <f>SUMIFS(Q966:DK966,Q$1:DK$1,Dashboard!$K$31)</f>
        <v>0</v>
      </c>
      <c r="U966" s="95">
        <v>33</v>
      </c>
      <c r="AA966" s="95">
        <v>25</v>
      </c>
      <c r="AH966" s="95">
        <v>75</v>
      </c>
    </row>
    <row r="967" spans="1:34" x14ac:dyDescent="0.3">
      <c r="A967" s="89" t="str">
        <f>CONCATENATE(D967,".",F967,"-",G967,".",H967,"")</f>
        <v>2.1-1.1</v>
      </c>
      <c r="B967" s="89" t="str">
        <f>IF(CONCATENATE(I967,Key!F$2)=CONCATENATE(INDEX(Dashboard!J:J,MATCH(I967,Dashboard!J:J,0),1),INDEX(Dashboard!J:K,MATCH(I967,Dashboard!J:J,0),2)),"ON",IF(Dashboard!K$32="ALL","ON","-"))</f>
        <v>-</v>
      </c>
      <c r="C967" s="88" t="s">
        <v>152</v>
      </c>
      <c r="D967" s="89">
        <f>IF(C967="ID",1,(IF(C967="PR",2,(IF(C967="DE",3,(IF(C967="RS",4,(IF(C967="RC",5,0)))))))))</f>
        <v>2</v>
      </c>
      <c r="E967" s="89" t="s">
        <v>153</v>
      </c>
      <c r="F967" s="89">
        <f>IF(E967="AM",1,(IF(E967="BE",2,(IF(E967="GV",3,(IF(E967="RA",4,(IF(E967="RM",5,(IF(E967="AC",1,(IF(E967="AT",2,(IF(E967="DS",3,(IF(E967="IP",4,(IF(E967="MA",5,(IF(E967="PT",6,(IF(E967="AE",1,(IF(E967="CM",2,(IF(E967="DP",3,(IF(E967="AN",1,(IF(E967="CO",2,(IF(E967="IM",3,(IF(E967="MI",4,(IF(E967="RP",5,(IF(E967="SC",6,0)))))))))))))))))))))))))))))))))))))))</f>
        <v>1</v>
      </c>
      <c r="G967" s="52">
        <v>1</v>
      </c>
      <c r="H967" s="90" t="s">
        <v>115</v>
      </c>
      <c r="I967" s="93" t="s">
        <v>77</v>
      </c>
      <c r="J967" s="87" t="s">
        <v>1181</v>
      </c>
      <c r="K967" s="102" t="s">
        <v>2211</v>
      </c>
      <c r="L967" s="117">
        <f>IF(O967="","",N967*O967*M967)</f>
        <v>0</v>
      </c>
      <c r="M967" s="108">
        <v>1</v>
      </c>
      <c r="N967" s="95">
        <v>1</v>
      </c>
      <c r="O967" s="109">
        <f>IF(Key!D$1="ON",P967,IF(SUM(Q967:DL967)&lt;1,"",SUM(Q967:DL967)/COUNTIF(Q967:DL967,"&gt;0")))</f>
        <v>0</v>
      </c>
      <c r="P967" s="109">
        <f>SUMIFS(Q967:DK967,Q$1:DK$1,Dashboard!$K$31)</f>
        <v>0</v>
      </c>
      <c r="U967" s="95">
        <v>33</v>
      </c>
      <c r="AA967" s="95">
        <v>25</v>
      </c>
      <c r="AH967" s="95">
        <v>75</v>
      </c>
    </row>
    <row r="968" spans="1:34" x14ac:dyDescent="0.3">
      <c r="A968" s="89" t="str">
        <f>CONCATENATE(D968,".",F968,"-",G968,".",H968,"")</f>
        <v>2.1-1.1</v>
      </c>
      <c r="B968" s="89" t="str">
        <f>IF(CONCATENATE(I968,Key!F$2)=CONCATENATE(INDEX(Dashboard!J:J,MATCH(I968,Dashboard!J:J,0),1),INDEX(Dashboard!J:K,MATCH(I968,Dashboard!J:J,0),2)),"ON",IF(Dashboard!K$32="ALL","ON","-"))</f>
        <v>-</v>
      </c>
      <c r="C968" s="88" t="s">
        <v>152</v>
      </c>
      <c r="D968" s="89">
        <f>IF(C968="ID",1,(IF(C968="PR",2,(IF(C968="DE",3,(IF(C968="RS",4,(IF(C968="RC",5,0)))))))))</f>
        <v>2</v>
      </c>
      <c r="E968" s="89" t="s">
        <v>153</v>
      </c>
      <c r="F968" s="89">
        <f>IF(E968="AM",1,(IF(E968="BE",2,(IF(E968="GV",3,(IF(E968="RA",4,(IF(E968="RM",5,(IF(E968="AC",1,(IF(E968="AT",2,(IF(E968="DS",3,(IF(E968="IP",4,(IF(E968="MA",5,(IF(E968="PT",6,(IF(E968="AE",1,(IF(E968="CM",2,(IF(E968="DP",3,(IF(E968="AN",1,(IF(E968="CO",2,(IF(E968="IM",3,(IF(E968="MI",4,(IF(E968="RP",5,(IF(E968="SC",6,0)))))))))))))))))))))))))))))))))))))))</f>
        <v>1</v>
      </c>
      <c r="G968" s="52">
        <v>1</v>
      </c>
      <c r="H968" s="90" t="s">
        <v>115</v>
      </c>
      <c r="I968" s="93" t="s">
        <v>77</v>
      </c>
      <c r="J968" s="87" t="s">
        <v>1183</v>
      </c>
      <c r="K968" s="102" t="s">
        <v>2212</v>
      </c>
      <c r="L968" s="117">
        <f>IF(O968="","",N968*O968*M968)</f>
        <v>0</v>
      </c>
      <c r="M968" s="108">
        <v>1</v>
      </c>
      <c r="N968" s="95">
        <v>1</v>
      </c>
      <c r="O968" s="109">
        <f>IF(Key!D$1="ON",P968,IF(SUM(Q968:DL968)&lt;1,"",SUM(Q968:DL968)/COUNTIF(Q968:DL968,"&gt;0")))</f>
        <v>0</v>
      </c>
      <c r="P968" s="109">
        <f>SUMIFS(Q968:DK968,Q$1:DK$1,Dashboard!$K$31)</f>
        <v>0</v>
      </c>
      <c r="U968" s="95">
        <v>33</v>
      </c>
      <c r="AA968" s="95">
        <v>25</v>
      </c>
      <c r="AH968" s="95">
        <v>75</v>
      </c>
    </row>
    <row r="969" spans="1:34" ht="15.6" x14ac:dyDescent="0.3">
      <c r="A969" s="89" t="str">
        <f>CONCATENATE(D969,".",F969,"-",G969,".",H969,"")</f>
        <v>2.1-1.1</v>
      </c>
      <c r="B969" s="89" t="str">
        <f>IF(CONCATENATE(I969,Key!F$2)=CONCATENATE(INDEX(Dashboard!J:J,MATCH(I969,Dashboard!J:J,0),1),INDEX(Dashboard!J:K,MATCH(I969,Dashboard!J:J,0),2)),"ON",IF(Dashboard!K$32="ALL","ON","-"))</f>
        <v>-</v>
      </c>
      <c r="C969" s="88" t="s">
        <v>152</v>
      </c>
      <c r="D969" s="89">
        <f>IF(C969="ID",1,(IF(C969="PR",2,(IF(C969="DE",3,(IF(C969="RS",4,(IF(C969="RC",5,0)))))))))</f>
        <v>2</v>
      </c>
      <c r="E969" s="89" t="s">
        <v>153</v>
      </c>
      <c r="F969" s="89">
        <f>IF(E969="AM",1,(IF(E969="BE",2,(IF(E969="GV",3,(IF(E969="RA",4,(IF(E969="RM",5,(IF(E969="AC",1,(IF(E969="AT",2,(IF(E969="DS",3,(IF(E969="IP",4,(IF(E969="MA",5,(IF(E969="PT",6,(IF(E969="AE",1,(IF(E969="CM",2,(IF(E969="DP",3,(IF(E969="AN",1,(IF(E969="CO",2,(IF(E969="IM",3,(IF(E969="MI",4,(IF(E969="RP",5,(IF(E969="SC",6,0)))))))))))))))))))))))))))))))))))))))</f>
        <v>1</v>
      </c>
      <c r="G969" s="52">
        <v>1</v>
      </c>
      <c r="H969" s="90" t="s">
        <v>115</v>
      </c>
      <c r="I969" s="93" t="s">
        <v>77</v>
      </c>
      <c r="J969" s="87" t="s">
        <v>1184</v>
      </c>
      <c r="K969" s="102" t="s">
        <v>2213</v>
      </c>
      <c r="L969" s="117">
        <f>IF(O969="","",N969*O969*M969)</f>
        <v>0</v>
      </c>
      <c r="M969" s="108">
        <v>1</v>
      </c>
      <c r="N969" s="95">
        <v>1</v>
      </c>
      <c r="O969" s="109">
        <f>IF(Key!D$1="ON",P969,IF(SUM(Q969:DL969)&lt;1,"",SUM(Q969:DL969)/COUNTIF(Q969:DL969,"&gt;0")))</f>
        <v>0</v>
      </c>
      <c r="P969" s="109">
        <f>SUMIFS(Q969:DK969,Q$1:DK$1,Dashboard!$K$31)</f>
        <v>0</v>
      </c>
      <c r="U969" s="95">
        <v>33</v>
      </c>
      <c r="AA969" s="95">
        <v>25</v>
      </c>
      <c r="AH969" s="95">
        <v>75</v>
      </c>
    </row>
    <row r="970" spans="1:34" x14ac:dyDescent="0.3">
      <c r="A970" s="89" t="str">
        <f>CONCATENATE(D970,".",F970,"-",G970,".",H970,"")</f>
        <v>2.1-1.1</v>
      </c>
      <c r="B970" s="89" t="str">
        <f>IF(CONCATENATE(I970,Key!F$2)=CONCATENATE(INDEX(Dashboard!J:J,MATCH(I970,Dashboard!J:J,0),1),INDEX(Dashboard!J:K,MATCH(I970,Dashboard!J:J,0),2)),"ON",IF(Dashboard!K$32="ALL","ON","-"))</f>
        <v>-</v>
      </c>
      <c r="C970" s="88" t="s">
        <v>152</v>
      </c>
      <c r="D970" s="89">
        <f>IF(C970="ID",1,(IF(C970="PR",2,(IF(C970="DE",3,(IF(C970="RS",4,(IF(C970="RC",5,0)))))))))</f>
        <v>2</v>
      </c>
      <c r="E970" s="89" t="s">
        <v>153</v>
      </c>
      <c r="F970" s="89">
        <f>IF(E970="AM",1,(IF(E970="BE",2,(IF(E970="GV",3,(IF(E970="RA",4,(IF(E970="RM",5,(IF(E970="AC",1,(IF(E970="AT",2,(IF(E970="DS",3,(IF(E970="IP",4,(IF(E970="MA",5,(IF(E970="PT",6,(IF(E970="AE",1,(IF(E970="CM",2,(IF(E970="DP",3,(IF(E970="AN",1,(IF(E970="CO",2,(IF(E970="IM",3,(IF(E970="MI",4,(IF(E970="RP",5,(IF(E970="SC",6,0)))))))))))))))))))))))))))))))))))))))</f>
        <v>1</v>
      </c>
      <c r="G970" s="52">
        <v>1</v>
      </c>
      <c r="H970" s="90" t="s">
        <v>115</v>
      </c>
      <c r="I970" s="93" t="s">
        <v>85</v>
      </c>
      <c r="J970" s="87" t="s">
        <v>1177</v>
      </c>
      <c r="K970" s="119" t="s">
        <v>4778</v>
      </c>
      <c r="L970" s="117">
        <f>IF(O970="","",N970*O970*M970)</f>
        <v>0</v>
      </c>
      <c r="M970" s="108">
        <v>1</v>
      </c>
      <c r="N970" s="95">
        <v>1</v>
      </c>
      <c r="O970" s="109">
        <f>IF(Key!D$1="ON",P970,IF(SUM(Q970:DL970)&lt;1,"",SUM(Q970:DL970)/COUNTIF(Q970:DL970,"&gt;0")))</f>
        <v>0</v>
      </c>
      <c r="P970" s="109">
        <f>SUMIFS(Q970:DK970,Q$1:DK$1,Dashboard!$K$31)</f>
        <v>0</v>
      </c>
      <c r="U970" s="95">
        <v>33</v>
      </c>
      <c r="AA970" s="95">
        <v>25</v>
      </c>
      <c r="AH970" s="95">
        <v>75</v>
      </c>
    </row>
    <row r="971" spans="1:34" x14ac:dyDescent="0.3">
      <c r="A971" s="89" t="str">
        <f>CONCATENATE(D971,".",F971,"-",G971,".",H971,"")</f>
        <v>2.1-1.1</v>
      </c>
      <c r="B971" s="89" t="str">
        <f>IF(CONCATENATE(I971,Key!F$2)=CONCATENATE(INDEX(Dashboard!J:J,MATCH(I971,Dashboard!J:J,0),1),INDEX(Dashboard!J:K,MATCH(I971,Dashboard!J:J,0),2)),"ON",IF(Dashboard!K$32="ALL","ON","-"))</f>
        <v>-</v>
      </c>
      <c r="C971" s="88" t="s">
        <v>152</v>
      </c>
      <c r="D971" s="89">
        <f>IF(C971="ID",1,(IF(C971="PR",2,(IF(C971="DE",3,(IF(C971="RS",4,(IF(C971="RC",5,0)))))))))</f>
        <v>2</v>
      </c>
      <c r="E971" s="89" t="s">
        <v>153</v>
      </c>
      <c r="F971" s="89">
        <f>IF(E971="AM",1,(IF(E971="BE",2,(IF(E971="GV",3,(IF(E971="RA",4,(IF(E971="RM",5,(IF(E971="AC",1,(IF(E971="AT",2,(IF(E971="DS",3,(IF(E971="IP",4,(IF(E971="MA",5,(IF(E971="PT",6,(IF(E971="AE",1,(IF(E971="CM",2,(IF(E971="DP",3,(IF(E971="AN",1,(IF(E971="CO",2,(IF(E971="IM",3,(IF(E971="MI",4,(IF(E971="RP",5,(IF(E971="SC",6,0)))))))))))))))))))))))))))))))))))))))</f>
        <v>1</v>
      </c>
      <c r="G971" s="52">
        <v>1</v>
      </c>
      <c r="H971" s="90" t="s">
        <v>115</v>
      </c>
      <c r="I971" s="93" t="s">
        <v>85</v>
      </c>
      <c r="J971" s="87" t="s">
        <v>1132</v>
      </c>
      <c r="K971" s="119" t="s">
        <v>4748</v>
      </c>
      <c r="L971" s="117">
        <f>IF(O971="","",N971*O971*M971)</f>
        <v>0</v>
      </c>
      <c r="M971" s="108">
        <v>1</v>
      </c>
      <c r="N971" s="95">
        <v>1</v>
      </c>
      <c r="O971" s="109">
        <f>IF(Key!D$1="ON",P971,IF(SUM(Q971:DL971)&lt;1,"",SUM(Q971:DL971)/COUNTIF(Q971:DL971,"&gt;0")))</f>
        <v>0</v>
      </c>
      <c r="P971" s="109">
        <f>SUMIFS(Q971:DK971,Q$1:DK$1,Dashboard!$K$31)</f>
        <v>0</v>
      </c>
      <c r="U971" s="95">
        <v>33</v>
      </c>
      <c r="AA971" s="95">
        <v>25</v>
      </c>
      <c r="AH971" s="95">
        <v>75</v>
      </c>
    </row>
    <row r="972" spans="1:34" x14ac:dyDescent="0.3">
      <c r="A972" s="89" t="str">
        <f>CONCATENATE(D972,".",F972,"-",G972,".",H972,"")</f>
        <v>2.1-1.1</v>
      </c>
      <c r="B972" s="89" t="str">
        <f>IF(CONCATENATE(I972,Key!F$2)=CONCATENATE(INDEX(Dashboard!J:J,MATCH(I972,Dashboard!J:J,0),1),INDEX(Dashboard!J:K,MATCH(I972,Dashboard!J:J,0),2)),"ON",IF(Dashboard!K$32="ALL","ON","-"))</f>
        <v>-</v>
      </c>
      <c r="C972" s="88" t="s">
        <v>152</v>
      </c>
      <c r="D972" s="89">
        <f>IF(C972="ID",1,(IF(C972="PR",2,(IF(C972="DE",3,(IF(C972="RS",4,(IF(C972="RC",5,0)))))))))</f>
        <v>2</v>
      </c>
      <c r="E972" s="89" t="s">
        <v>153</v>
      </c>
      <c r="F972" s="89">
        <f>IF(E972="AM",1,(IF(E972="BE",2,(IF(E972="GV",3,(IF(E972="RA",4,(IF(E972="RM",5,(IF(E972="AC",1,(IF(E972="AT",2,(IF(E972="DS",3,(IF(E972="IP",4,(IF(E972="MA",5,(IF(E972="PT",6,(IF(E972="AE",1,(IF(E972="CM",2,(IF(E972="DP",3,(IF(E972="AN",1,(IF(E972="CO",2,(IF(E972="IM",3,(IF(E972="MI",4,(IF(E972="RP",5,(IF(E972="SC",6,0)))))))))))))))))))))))))))))))))))))))</f>
        <v>1</v>
      </c>
      <c r="G972" s="52">
        <v>1</v>
      </c>
      <c r="H972" s="90" t="s">
        <v>115</v>
      </c>
      <c r="I972" s="93" t="s">
        <v>85</v>
      </c>
      <c r="J972" s="87" t="s">
        <v>1176</v>
      </c>
      <c r="K972" s="119" t="s">
        <v>4777</v>
      </c>
      <c r="L972" s="117">
        <f>IF(O972="","",N972*O972*M972)</f>
        <v>0</v>
      </c>
      <c r="M972" s="108">
        <v>1</v>
      </c>
      <c r="N972" s="95">
        <v>1</v>
      </c>
      <c r="O972" s="109">
        <f>IF(Key!D$1="ON",P972,IF(SUM(Q972:DL972)&lt;1,"",SUM(Q972:DL972)/COUNTIF(Q972:DL972,"&gt;0")))</f>
        <v>0</v>
      </c>
      <c r="P972" s="109">
        <f>SUMIFS(Q972:DK972,Q$1:DK$1,Dashboard!$K$31)</f>
        <v>0</v>
      </c>
      <c r="U972" s="95">
        <v>33</v>
      </c>
      <c r="AA972" s="95">
        <v>25</v>
      </c>
      <c r="AH972" s="95">
        <v>75</v>
      </c>
    </row>
    <row r="973" spans="1:34" ht="15.6" x14ac:dyDescent="0.3">
      <c r="A973" s="89" t="str">
        <f>CONCATENATE(D973,".",F973,"-",G973,".",H973,"")</f>
        <v>2.1-1.1</v>
      </c>
      <c r="B973" s="89" t="str">
        <f>IF(CONCATENATE(I973,Key!F$2)=CONCATENATE(INDEX(Dashboard!J:J,MATCH(I973,Dashboard!J:J,0),1),INDEX(Dashboard!J:K,MATCH(I973,Dashboard!J:J,0),2)),"ON",IF(Dashboard!K$32="ALL","ON","-"))</f>
        <v>-</v>
      </c>
      <c r="C973" s="88" t="s">
        <v>152</v>
      </c>
      <c r="D973" s="89">
        <f>IF(C973="ID",1,(IF(C973="PR",2,(IF(C973="DE",3,(IF(C973="RS",4,(IF(C973="RC",5,0)))))))))</f>
        <v>2</v>
      </c>
      <c r="E973" s="89" t="s">
        <v>153</v>
      </c>
      <c r="F973" s="89">
        <f>IF(E973="AM",1,(IF(E973="BE",2,(IF(E973="GV",3,(IF(E973="RA",4,(IF(E973="RM",5,(IF(E973="AC",1,(IF(E973="AT",2,(IF(E973="DS",3,(IF(E973="IP",4,(IF(E973="MA",5,(IF(E973="PT",6,(IF(E973="AE",1,(IF(E973="CM",2,(IF(E973="DP",3,(IF(E973="AN",1,(IF(E973="CO",2,(IF(E973="IM",3,(IF(E973="MI",4,(IF(E973="RP",5,(IF(E973="SC",6,0)))))))))))))))))))))))))))))))))))))))</f>
        <v>1</v>
      </c>
      <c r="G973" s="52">
        <v>1</v>
      </c>
      <c r="H973" s="90" t="s">
        <v>115</v>
      </c>
      <c r="I973" s="93" t="s">
        <v>85</v>
      </c>
      <c r="J973" s="87" t="s">
        <v>1180</v>
      </c>
      <c r="K973" s="119" t="s">
        <v>4780</v>
      </c>
      <c r="L973" s="117">
        <f>IF(O973="","",N973*O973*M973)</f>
        <v>0</v>
      </c>
      <c r="M973" s="108">
        <v>1</v>
      </c>
      <c r="N973" s="95">
        <v>1</v>
      </c>
      <c r="O973" s="109">
        <f>IF(Key!D$1="ON",P973,IF(SUM(Q973:DL973)&lt;1,"",SUM(Q973:DL973)/COUNTIF(Q973:DL973,"&gt;0")))</f>
        <v>0</v>
      </c>
      <c r="P973" s="109">
        <f>SUMIFS(Q973:DK973,Q$1:DK$1,Dashboard!$K$31)</f>
        <v>0</v>
      </c>
      <c r="U973" s="95">
        <v>33</v>
      </c>
      <c r="AA973" s="95">
        <v>25</v>
      </c>
      <c r="AH973" s="95">
        <v>75</v>
      </c>
    </row>
    <row r="974" spans="1:34" x14ac:dyDescent="0.3">
      <c r="A974" s="89" t="str">
        <f>CONCATENATE(D974,".",F974,"-",G974,".",H974,"")</f>
        <v>2.1-1.1</v>
      </c>
      <c r="B974" s="89" t="str">
        <f>IF(CONCATENATE(I974,Key!F$2)=CONCATENATE(INDEX(Dashboard!J:J,MATCH(I974,Dashboard!J:J,0),1),INDEX(Dashboard!J:K,MATCH(I974,Dashboard!J:J,0),2)),"ON",IF(Dashboard!K$32="ALL","ON","-"))</f>
        <v>-</v>
      </c>
      <c r="C974" s="88" t="s">
        <v>152</v>
      </c>
      <c r="D974" s="89">
        <f>IF(C974="ID",1,(IF(C974="PR",2,(IF(C974="DE",3,(IF(C974="RS",4,(IF(C974="RC",5,0)))))))))</f>
        <v>2</v>
      </c>
      <c r="E974" s="89" t="s">
        <v>153</v>
      </c>
      <c r="F974" s="89">
        <f>IF(E974="AM",1,(IF(E974="BE",2,(IF(E974="GV",3,(IF(E974="RA",4,(IF(E974="RM",5,(IF(E974="AC",1,(IF(E974="AT",2,(IF(E974="DS",3,(IF(E974="IP",4,(IF(E974="MA",5,(IF(E974="PT",6,(IF(E974="AE",1,(IF(E974="CM",2,(IF(E974="DP",3,(IF(E974="AN",1,(IF(E974="CO",2,(IF(E974="IM",3,(IF(E974="MI",4,(IF(E974="RP",5,(IF(E974="SC",6,0)))))))))))))))))))))))))))))))))))))))</f>
        <v>1</v>
      </c>
      <c r="G974" s="52">
        <v>1</v>
      </c>
      <c r="H974" s="90" t="s">
        <v>115</v>
      </c>
      <c r="I974" s="93" t="s">
        <v>85</v>
      </c>
      <c r="J974" s="87" t="s">
        <v>1140</v>
      </c>
      <c r="K974" s="119" t="s">
        <v>4746</v>
      </c>
      <c r="L974" s="117">
        <f>IF(O974="","",N974*O974*M974)</f>
        <v>0</v>
      </c>
      <c r="M974" s="108">
        <v>1</v>
      </c>
      <c r="N974" s="95">
        <v>1</v>
      </c>
      <c r="O974" s="109">
        <f>IF(Key!D$1="ON",P974,IF(SUM(Q974:DL974)&lt;1,"",SUM(Q974:DL974)/COUNTIF(Q974:DL974,"&gt;0")))</f>
        <v>0</v>
      </c>
      <c r="P974" s="109">
        <f>SUMIFS(Q974:DK974,Q$1:DK$1,Dashboard!$K$31)</f>
        <v>0</v>
      </c>
      <c r="U974" s="95">
        <v>33</v>
      </c>
      <c r="AA974" s="95">
        <v>25</v>
      </c>
      <c r="AH974" s="95">
        <v>75</v>
      </c>
    </row>
    <row r="975" spans="1:34" x14ac:dyDescent="0.3">
      <c r="A975" s="89" t="str">
        <f>CONCATENATE(D975,".",F975,"-",G975,".",H975,"")</f>
        <v>2.1-1.1</v>
      </c>
      <c r="B975" s="89" t="str">
        <f>IF(CONCATENATE(I975,Key!F$2)=CONCATENATE(INDEX(Dashboard!J:J,MATCH(I975,Dashboard!J:J,0),1),INDEX(Dashboard!J:K,MATCH(I975,Dashboard!J:J,0),2)),"ON",IF(Dashboard!K$32="ALL","ON","-"))</f>
        <v>-</v>
      </c>
      <c r="C975" s="88" t="s">
        <v>152</v>
      </c>
      <c r="D975" s="89">
        <f>IF(C975="ID",1,(IF(C975="PR",2,(IF(C975="DE",3,(IF(C975="RS",4,(IF(C975="RC",5,0)))))))))</f>
        <v>2</v>
      </c>
      <c r="E975" s="89" t="s">
        <v>153</v>
      </c>
      <c r="F975" s="89">
        <f>IF(E975="AM",1,(IF(E975="BE",2,(IF(E975="GV",3,(IF(E975="RA",4,(IF(E975="RM",5,(IF(E975="AC",1,(IF(E975="AT",2,(IF(E975="DS",3,(IF(E975="IP",4,(IF(E975="MA",5,(IF(E975="PT",6,(IF(E975="AE",1,(IF(E975="CM",2,(IF(E975="DP",3,(IF(E975="AN",1,(IF(E975="CO",2,(IF(E975="IM",3,(IF(E975="MI",4,(IF(E975="RP",5,(IF(E975="SC",6,0)))))))))))))))))))))))))))))))))))))))</f>
        <v>1</v>
      </c>
      <c r="G975" s="52">
        <v>1</v>
      </c>
      <c r="H975" s="90" t="s">
        <v>115</v>
      </c>
      <c r="I975" s="93" t="s">
        <v>85</v>
      </c>
      <c r="J975" s="87" t="s">
        <v>1138</v>
      </c>
      <c r="K975" s="119" t="s">
        <v>4745</v>
      </c>
      <c r="L975" s="117">
        <f>IF(O975="","",N975*O975*M975)</f>
        <v>0</v>
      </c>
      <c r="M975" s="108">
        <v>1</v>
      </c>
      <c r="N975" s="95">
        <v>1</v>
      </c>
      <c r="O975" s="109">
        <f>IF(Key!D$1="ON",P975,IF(SUM(Q975:DL975)&lt;1,"",SUM(Q975:DL975)/COUNTIF(Q975:DL975,"&gt;0")))</f>
        <v>0</v>
      </c>
      <c r="P975" s="109">
        <f>SUMIFS(Q975:DK975,Q$1:DK$1,Dashboard!$K$31)</f>
        <v>0</v>
      </c>
      <c r="U975" s="95">
        <v>33</v>
      </c>
      <c r="AA975" s="95">
        <v>25</v>
      </c>
      <c r="AH975" s="95">
        <v>75</v>
      </c>
    </row>
    <row r="976" spans="1:34" ht="15.6" x14ac:dyDescent="0.3">
      <c r="A976" s="89" t="str">
        <f>CONCATENATE(D976,".",F976,"-",G976,".",H976,"")</f>
        <v>2.1-1.1</v>
      </c>
      <c r="B976" s="89" t="str">
        <f>IF(CONCATENATE(I976,Key!F$2)=CONCATENATE(INDEX(Dashboard!J:J,MATCH(I976,Dashboard!J:J,0),1),INDEX(Dashboard!J:K,MATCH(I976,Dashboard!J:J,0),2)),"ON",IF(Dashboard!K$32="ALL","ON","-"))</f>
        <v>-</v>
      </c>
      <c r="C976" s="88" t="s">
        <v>152</v>
      </c>
      <c r="D976" s="89">
        <f>IF(C976="ID",1,(IF(C976="PR",2,(IF(C976="DE",3,(IF(C976="RS",4,(IF(C976="RC",5,0)))))))))</f>
        <v>2</v>
      </c>
      <c r="E976" s="89" t="s">
        <v>153</v>
      </c>
      <c r="F976" s="89">
        <f>IF(E976="AM",1,(IF(E976="BE",2,(IF(E976="GV",3,(IF(E976="RA",4,(IF(E976="RM",5,(IF(E976="AC",1,(IF(E976="AT",2,(IF(E976="DS",3,(IF(E976="IP",4,(IF(E976="MA",5,(IF(E976="PT",6,(IF(E976="AE",1,(IF(E976="CM",2,(IF(E976="DP",3,(IF(E976="AN",1,(IF(E976="CO",2,(IF(E976="IM",3,(IF(E976="MI",4,(IF(E976="RP",5,(IF(E976="SC",6,0)))))))))))))))))))))))))))))))))))))))</f>
        <v>1</v>
      </c>
      <c r="G976" s="52">
        <v>1</v>
      </c>
      <c r="H976" s="90" t="s">
        <v>115</v>
      </c>
      <c r="I976" s="93" t="s">
        <v>85</v>
      </c>
      <c r="J976" s="87" t="s">
        <v>1119</v>
      </c>
      <c r="K976" s="119" t="s">
        <v>1120</v>
      </c>
      <c r="L976" s="117">
        <f>IF(O976="","",N976*O976*M976)</f>
        <v>0</v>
      </c>
      <c r="M976" s="108">
        <v>1</v>
      </c>
      <c r="N976" s="95">
        <v>1</v>
      </c>
      <c r="O976" s="109">
        <f>IF(Key!D$1="ON",P976,IF(SUM(Q976:DL976)&lt;1,"",SUM(Q976:DL976)/COUNTIF(Q976:DL976,"&gt;0")))</f>
        <v>0</v>
      </c>
      <c r="P976" s="109">
        <f>SUMIFS(Q976:DK976,Q$1:DK$1,Dashboard!$K$31)</f>
        <v>0</v>
      </c>
      <c r="U976" s="95">
        <v>33</v>
      </c>
      <c r="AA976" s="95">
        <v>25</v>
      </c>
      <c r="AH976" s="95">
        <v>75</v>
      </c>
    </row>
    <row r="977" spans="1:34" x14ac:dyDescent="0.3">
      <c r="A977" s="89" t="str">
        <f>CONCATENATE(D977,".",F977,"-",G977,".",H977,"")</f>
        <v>2.1-1.1</v>
      </c>
      <c r="B977" s="89" t="str">
        <f>IF(CONCATENATE(I977,Key!F$2)=CONCATENATE(INDEX(Dashboard!J:J,MATCH(I977,Dashboard!J:J,0),1),INDEX(Dashboard!J:K,MATCH(I977,Dashboard!J:J,0),2)),"ON",IF(Dashboard!K$32="ALL","ON","-"))</f>
        <v>-</v>
      </c>
      <c r="C977" s="88" t="s">
        <v>152</v>
      </c>
      <c r="D977" s="89">
        <f>IF(C977="ID",1,(IF(C977="PR",2,(IF(C977="DE",3,(IF(C977="RS",4,(IF(C977="RC",5,0)))))))))</f>
        <v>2</v>
      </c>
      <c r="E977" s="89" t="s">
        <v>153</v>
      </c>
      <c r="F977" s="89">
        <f>IF(E977="AM",1,(IF(E977="BE",2,(IF(E977="GV",3,(IF(E977="RA",4,(IF(E977="RM",5,(IF(E977="AC",1,(IF(E977="AT",2,(IF(E977="DS",3,(IF(E977="IP",4,(IF(E977="MA",5,(IF(E977="PT",6,(IF(E977="AE",1,(IF(E977="CM",2,(IF(E977="DP",3,(IF(E977="AN",1,(IF(E977="CO",2,(IF(E977="IM",3,(IF(E977="MI",4,(IF(E977="RP",5,(IF(E977="SC",6,0)))))))))))))))))))))))))))))))))))))))</f>
        <v>1</v>
      </c>
      <c r="G977" s="52">
        <v>1</v>
      </c>
      <c r="H977" s="90" t="s">
        <v>115</v>
      </c>
      <c r="I977" s="93" t="s">
        <v>85</v>
      </c>
      <c r="J977" s="87" t="s">
        <v>1124</v>
      </c>
      <c r="K977" s="119" t="s">
        <v>1125</v>
      </c>
      <c r="L977" s="117">
        <f>IF(O977="","",N977*O977*M977)</f>
        <v>0</v>
      </c>
      <c r="M977" s="108">
        <v>1</v>
      </c>
      <c r="N977" s="95">
        <v>1</v>
      </c>
      <c r="O977" s="109">
        <f>IF(Key!D$1="ON",P977,IF(SUM(Q977:DL977)&lt;1,"",SUM(Q977:DL977)/COUNTIF(Q977:DL977,"&gt;0")))</f>
        <v>0</v>
      </c>
      <c r="P977" s="109">
        <f>SUMIFS(Q977:DK977,Q$1:DK$1,Dashboard!$K$31)</f>
        <v>0</v>
      </c>
      <c r="U977" s="95">
        <v>33</v>
      </c>
      <c r="AA977" s="95">
        <v>25</v>
      </c>
      <c r="AH977" s="95">
        <v>75</v>
      </c>
    </row>
    <row r="978" spans="1:34" x14ac:dyDescent="0.3">
      <c r="A978" s="89" t="str">
        <f>CONCATENATE(D978,".",F978,"-",G978,".",H978,"")</f>
        <v>2.1-1.1</v>
      </c>
      <c r="B978" s="89" t="str">
        <f>IF(CONCATENATE(I978,Key!F$2)=CONCATENATE(INDEX(Dashboard!J:J,MATCH(I978,Dashboard!J:J,0),1),INDEX(Dashboard!J:K,MATCH(I978,Dashboard!J:J,0),2)),"ON",IF(Dashboard!K$32="ALL","ON","-"))</f>
        <v>-</v>
      </c>
      <c r="C978" s="88" t="s">
        <v>152</v>
      </c>
      <c r="D978" s="89">
        <f>IF(C978="ID",1,(IF(C978="PR",2,(IF(C978="DE",3,(IF(C978="RS",4,(IF(C978="RC",5,0)))))))))</f>
        <v>2</v>
      </c>
      <c r="E978" s="89" t="s">
        <v>153</v>
      </c>
      <c r="F978" s="89">
        <f>IF(E978="AM",1,(IF(E978="BE",2,(IF(E978="GV",3,(IF(E978="RA",4,(IF(E978="RM",5,(IF(E978="AC",1,(IF(E978="AT",2,(IF(E978="DS",3,(IF(E978="IP",4,(IF(E978="MA",5,(IF(E978="PT",6,(IF(E978="AE",1,(IF(E978="CM",2,(IF(E978="DP",3,(IF(E978="AN",1,(IF(E978="CO",2,(IF(E978="IM",3,(IF(E978="MI",4,(IF(E978="RP",5,(IF(E978="SC",6,0)))))))))))))))))))))))))))))))))))))))</f>
        <v>1</v>
      </c>
      <c r="G978" s="52">
        <v>1</v>
      </c>
      <c r="H978" s="90" t="s">
        <v>115</v>
      </c>
      <c r="I978" s="93" t="s">
        <v>85</v>
      </c>
      <c r="J978" s="87" t="s">
        <v>1172</v>
      </c>
      <c r="K978" s="119" t="s">
        <v>4775</v>
      </c>
      <c r="L978" s="117">
        <f>IF(O978="","",N978*O978*M978)</f>
        <v>0</v>
      </c>
      <c r="M978" s="108">
        <v>1</v>
      </c>
      <c r="N978" s="95">
        <v>1</v>
      </c>
      <c r="O978" s="109">
        <f>IF(Key!D$1="ON",P978,IF(SUM(Q978:DL978)&lt;1,"",SUM(Q978:DL978)/COUNTIF(Q978:DL978,"&gt;0")))</f>
        <v>0</v>
      </c>
      <c r="P978" s="109">
        <f>SUMIFS(Q978:DK978,Q$1:DK$1,Dashboard!$K$31)</f>
        <v>0</v>
      </c>
      <c r="U978" s="95">
        <v>33</v>
      </c>
      <c r="AA978" s="95">
        <v>25</v>
      </c>
      <c r="AH978" s="95">
        <v>75</v>
      </c>
    </row>
    <row r="979" spans="1:34" x14ac:dyDescent="0.3">
      <c r="A979" s="89" t="str">
        <f>CONCATENATE(D979,".",F979,"-",G979,".",H979,"")</f>
        <v>2.1-1.1</v>
      </c>
      <c r="B979" s="89" t="str">
        <f>IF(CONCATENATE(I979,Key!F$2)=CONCATENATE(INDEX(Dashboard!J:J,MATCH(I979,Dashboard!J:J,0),1),INDEX(Dashboard!J:K,MATCH(I979,Dashboard!J:J,0),2)),"ON",IF(Dashboard!K$32="ALL","ON","-"))</f>
        <v>-</v>
      </c>
      <c r="C979" s="88" t="s">
        <v>152</v>
      </c>
      <c r="D979" s="89">
        <f>IF(C979="ID",1,(IF(C979="PR",2,(IF(C979="DE",3,(IF(C979="RS",4,(IF(C979="RC",5,0)))))))))</f>
        <v>2</v>
      </c>
      <c r="E979" s="89" t="s">
        <v>153</v>
      </c>
      <c r="F979" s="89">
        <f>IF(E979="AM",1,(IF(E979="BE",2,(IF(E979="GV",3,(IF(E979="RA",4,(IF(E979="RM",5,(IF(E979="AC",1,(IF(E979="AT",2,(IF(E979="DS",3,(IF(E979="IP",4,(IF(E979="MA",5,(IF(E979="PT",6,(IF(E979="AE",1,(IF(E979="CM",2,(IF(E979="DP",3,(IF(E979="AN",1,(IF(E979="CO",2,(IF(E979="IM",3,(IF(E979="MI",4,(IF(E979="RP",5,(IF(E979="SC",6,0)))))))))))))))))))))))))))))))))))))))</f>
        <v>1</v>
      </c>
      <c r="G979" s="52">
        <v>1</v>
      </c>
      <c r="H979" s="90" t="s">
        <v>115</v>
      </c>
      <c r="I979" s="93" t="s">
        <v>85</v>
      </c>
      <c r="J979" s="87" t="s">
        <v>1156</v>
      </c>
      <c r="K979" s="119" t="s">
        <v>1157</v>
      </c>
      <c r="L979" s="117">
        <f>IF(O979="","",N979*O979*M979)</f>
        <v>0</v>
      </c>
      <c r="M979" s="108">
        <v>1</v>
      </c>
      <c r="N979" s="95">
        <v>1</v>
      </c>
      <c r="O979" s="109">
        <f>IF(Key!D$1="ON",P979,IF(SUM(Q979:DL979)&lt;1,"",SUM(Q979:DL979)/COUNTIF(Q979:DL979,"&gt;0")))</f>
        <v>0</v>
      </c>
      <c r="P979" s="109">
        <f>SUMIFS(Q979:DK979,Q$1:DK$1,Dashboard!$K$31)</f>
        <v>0</v>
      </c>
      <c r="U979" s="95">
        <v>33</v>
      </c>
      <c r="AA979" s="95">
        <v>25</v>
      </c>
      <c r="AH979" s="95">
        <v>75</v>
      </c>
    </row>
    <row r="980" spans="1:34" x14ac:dyDescent="0.3">
      <c r="A980" s="89" t="str">
        <f>CONCATENATE(D980,".",F980,"-",G980,".",H980,"")</f>
        <v>2.1-1.1</v>
      </c>
      <c r="B980" s="89" t="str">
        <f>IF(CONCATENATE(I980,Key!F$2)=CONCATENATE(INDEX(Dashboard!J:J,MATCH(I980,Dashboard!J:J,0),1),INDEX(Dashboard!J:K,MATCH(I980,Dashboard!J:J,0),2)),"ON",IF(Dashboard!K$32="ALL","ON","-"))</f>
        <v>-</v>
      </c>
      <c r="C980" s="88" t="s">
        <v>152</v>
      </c>
      <c r="D980" s="89">
        <f>IF(C980="ID",1,(IF(C980="PR",2,(IF(C980="DE",3,(IF(C980="RS",4,(IF(C980="RC",5,0)))))))))</f>
        <v>2</v>
      </c>
      <c r="E980" s="89" t="s">
        <v>153</v>
      </c>
      <c r="F980" s="89">
        <f>IF(E980="AM",1,(IF(E980="BE",2,(IF(E980="GV",3,(IF(E980="RA",4,(IF(E980="RM",5,(IF(E980="AC",1,(IF(E980="AT",2,(IF(E980="DS",3,(IF(E980="IP",4,(IF(E980="MA",5,(IF(E980="PT",6,(IF(E980="AE",1,(IF(E980="CM",2,(IF(E980="DP",3,(IF(E980="AN",1,(IF(E980="CO",2,(IF(E980="IM",3,(IF(E980="MI",4,(IF(E980="RP",5,(IF(E980="SC",6,0)))))))))))))))))))))))))))))))))))))))</f>
        <v>1</v>
      </c>
      <c r="G980" s="52">
        <v>1</v>
      </c>
      <c r="H980" s="90" t="s">
        <v>115</v>
      </c>
      <c r="I980" s="93" t="s">
        <v>85</v>
      </c>
      <c r="J980" s="87" t="s">
        <v>1814</v>
      </c>
      <c r="K980" s="119" t="s">
        <v>4491</v>
      </c>
      <c r="L980" s="117">
        <f>IF(O980="","",N980*O980*M980)</f>
        <v>0</v>
      </c>
      <c r="M980" s="108">
        <v>1</v>
      </c>
      <c r="N980" s="95">
        <v>1</v>
      </c>
      <c r="O980" s="109">
        <f>IF(Key!D$1="ON",P980,IF(SUM(Q980:DL980)&lt;1,"",SUM(Q980:DL980)/COUNTIF(Q980:DL980,"&gt;0")))</f>
        <v>0</v>
      </c>
      <c r="P980" s="109">
        <f>SUMIFS(Q980:DK980,Q$1:DK$1,Dashboard!$K$31)</f>
        <v>0</v>
      </c>
      <c r="U980" s="95">
        <v>33</v>
      </c>
      <c r="AA980" s="95">
        <v>25</v>
      </c>
      <c r="AH980" s="95">
        <v>75</v>
      </c>
    </row>
    <row r="981" spans="1:34" x14ac:dyDescent="0.3">
      <c r="A981" s="89" t="str">
        <f>CONCATENATE(D981,".",F981,"-",G981,".",H981,"")</f>
        <v>2.1-1.1</v>
      </c>
      <c r="B981" s="89" t="str">
        <f>IF(CONCATENATE(I981,Key!F$2)=CONCATENATE(INDEX(Dashboard!J:J,MATCH(I981,Dashboard!J:J,0),1),INDEX(Dashboard!J:K,MATCH(I981,Dashboard!J:J,0),2)),"ON",IF(Dashboard!K$32="ALL","ON","-"))</f>
        <v>-</v>
      </c>
      <c r="C981" s="88" t="s">
        <v>152</v>
      </c>
      <c r="D981" s="89">
        <f>IF(C981="ID",1,(IF(C981="PR",2,(IF(C981="DE",3,(IF(C981="RS",4,(IF(C981="RC",5,0)))))))))</f>
        <v>2</v>
      </c>
      <c r="E981" s="89" t="s">
        <v>153</v>
      </c>
      <c r="F981" s="89">
        <f>IF(E981="AM",1,(IF(E981="BE",2,(IF(E981="GV",3,(IF(E981="RA",4,(IF(E981="RM",5,(IF(E981="AC",1,(IF(E981="AT",2,(IF(E981="DS",3,(IF(E981="IP",4,(IF(E981="MA",5,(IF(E981="PT",6,(IF(E981="AE",1,(IF(E981="CM",2,(IF(E981="DP",3,(IF(E981="AN",1,(IF(E981="CO",2,(IF(E981="IM",3,(IF(E981="MI",4,(IF(E981="RP",5,(IF(E981="SC",6,0)))))))))))))))))))))))))))))))))))))))</f>
        <v>1</v>
      </c>
      <c r="G981" s="52">
        <v>1</v>
      </c>
      <c r="H981" s="90" t="s">
        <v>115</v>
      </c>
      <c r="I981" s="93" t="s">
        <v>85</v>
      </c>
      <c r="J981" s="87" t="s">
        <v>1161</v>
      </c>
      <c r="K981" s="119" t="s">
        <v>4768</v>
      </c>
      <c r="L981" s="117">
        <f>IF(O981="","",N981*O981*M981)</f>
        <v>0</v>
      </c>
      <c r="M981" s="108">
        <v>1</v>
      </c>
      <c r="N981" s="95">
        <v>1</v>
      </c>
      <c r="O981" s="109">
        <f>IF(Key!D$1="ON",P981,IF(SUM(Q981:DL981)&lt;1,"",SUM(Q981:DL981)/COUNTIF(Q981:DL981,"&gt;0")))</f>
        <v>0</v>
      </c>
      <c r="P981" s="109">
        <f>SUMIFS(Q981:DK981,Q$1:DK$1,Dashboard!$K$31)</f>
        <v>0</v>
      </c>
      <c r="U981" s="95">
        <v>33</v>
      </c>
      <c r="AA981" s="95">
        <v>25</v>
      </c>
      <c r="AH981" s="95">
        <v>75</v>
      </c>
    </row>
    <row r="982" spans="1:34" x14ac:dyDescent="0.3">
      <c r="A982" s="89" t="str">
        <f>CONCATENATE(D982,".",F982,"-",G982,".",H982,"")</f>
        <v>2.1-1.1</v>
      </c>
      <c r="B982" s="89" t="str">
        <f>IF(CONCATENATE(I982,Key!F$2)=CONCATENATE(INDEX(Dashboard!J:J,MATCH(I982,Dashboard!J:J,0),1),INDEX(Dashboard!J:K,MATCH(I982,Dashboard!J:J,0),2)),"ON",IF(Dashboard!K$32="ALL","ON","-"))</f>
        <v>-</v>
      </c>
      <c r="C982" s="88" t="s">
        <v>152</v>
      </c>
      <c r="D982" s="89">
        <f>IF(C982="ID",1,(IF(C982="PR",2,(IF(C982="DE",3,(IF(C982="RS",4,(IF(C982="RC",5,0)))))))))</f>
        <v>2</v>
      </c>
      <c r="E982" s="89" t="s">
        <v>153</v>
      </c>
      <c r="F982" s="89">
        <f>IF(E982="AM",1,(IF(E982="BE",2,(IF(E982="GV",3,(IF(E982="RA",4,(IF(E982="RM",5,(IF(E982="AC",1,(IF(E982="AT",2,(IF(E982="DS",3,(IF(E982="IP",4,(IF(E982="MA",5,(IF(E982="PT",6,(IF(E982="AE",1,(IF(E982="CM",2,(IF(E982="DP",3,(IF(E982="AN",1,(IF(E982="CO",2,(IF(E982="IM",3,(IF(E982="MI",4,(IF(E982="RP",5,(IF(E982="SC",6,0)))))))))))))))))))))))))))))))))))))))</f>
        <v>1</v>
      </c>
      <c r="G982" s="52">
        <v>1</v>
      </c>
      <c r="H982" s="90" t="s">
        <v>115</v>
      </c>
      <c r="I982" s="93" t="s">
        <v>85</v>
      </c>
      <c r="J982" s="87" t="s">
        <v>1167</v>
      </c>
      <c r="K982" s="119" t="s">
        <v>4762</v>
      </c>
      <c r="L982" s="117">
        <f>IF(O982="","",N982*O982*M982)</f>
        <v>0</v>
      </c>
      <c r="M982" s="108">
        <v>1</v>
      </c>
      <c r="N982" s="95">
        <v>1</v>
      </c>
      <c r="O982" s="109">
        <f>IF(Key!D$1="ON",P982,IF(SUM(Q982:DL982)&lt;1,"",SUM(Q982:DL982)/COUNTIF(Q982:DL982,"&gt;0")))</f>
        <v>0</v>
      </c>
      <c r="P982" s="109">
        <f>SUMIFS(Q982:DK982,Q$1:DK$1,Dashboard!$K$31)</f>
        <v>0</v>
      </c>
      <c r="U982" s="95">
        <v>33</v>
      </c>
      <c r="AA982" s="95">
        <v>25</v>
      </c>
      <c r="AH982" s="95">
        <v>75</v>
      </c>
    </row>
    <row r="983" spans="1:34" x14ac:dyDescent="0.3">
      <c r="A983" s="89" t="str">
        <f>CONCATENATE(D983,".",F983,"-",G983,".",H983,"")</f>
        <v>2.1-1.1</v>
      </c>
      <c r="B983" s="89" t="str">
        <f>IF(CONCATENATE(I983,Key!F$2)=CONCATENATE(INDEX(Dashboard!J:J,MATCH(I983,Dashboard!J:J,0),1),INDEX(Dashboard!J:K,MATCH(I983,Dashboard!J:J,0),2)),"ON",IF(Dashboard!K$32="ALL","ON","-"))</f>
        <v>-</v>
      </c>
      <c r="C983" s="88" t="s">
        <v>152</v>
      </c>
      <c r="D983" s="89">
        <f>IF(C983="ID",1,(IF(C983="PR",2,(IF(C983="DE",3,(IF(C983="RS",4,(IF(C983="RC",5,0)))))))))</f>
        <v>2</v>
      </c>
      <c r="E983" s="89" t="s">
        <v>153</v>
      </c>
      <c r="F983" s="89">
        <f>IF(E983="AM",1,(IF(E983="BE",2,(IF(E983="GV",3,(IF(E983="RA",4,(IF(E983="RM",5,(IF(E983="AC",1,(IF(E983="AT",2,(IF(E983="DS",3,(IF(E983="IP",4,(IF(E983="MA",5,(IF(E983="PT",6,(IF(E983="AE",1,(IF(E983="CM",2,(IF(E983="DP",3,(IF(E983="AN",1,(IF(E983="CO",2,(IF(E983="IM",3,(IF(E983="MI",4,(IF(E983="RP",5,(IF(E983="SC",6,0)))))))))))))))))))))))))))))))))))))))</f>
        <v>1</v>
      </c>
      <c r="G983" s="52">
        <v>1</v>
      </c>
      <c r="H983" s="90" t="s">
        <v>115</v>
      </c>
      <c r="I983" s="93" t="s">
        <v>85</v>
      </c>
      <c r="J983" s="87" t="s">
        <v>1154</v>
      </c>
      <c r="K983" s="119" t="s">
        <v>4757</v>
      </c>
      <c r="L983" s="117">
        <f>IF(O983="","",N983*O983*M983)</f>
        <v>0</v>
      </c>
      <c r="M983" s="108">
        <v>1</v>
      </c>
      <c r="N983" s="95">
        <v>1</v>
      </c>
      <c r="O983" s="109">
        <f>IF(Key!D$1="ON",P983,IF(SUM(Q983:DL983)&lt;1,"",SUM(Q983:DL983)/COUNTIF(Q983:DL983,"&gt;0")))</f>
        <v>0</v>
      </c>
      <c r="P983" s="109">
        <f>SUMIFS(Q983:DK983,Q$1:DK$1,Dashboard!$K$31)</f>
        <v>0</v>
      </c>
      <c r="U983" s="95">
        <v>33</v>
      </c>
      <c r="AA983" s="95">
        <v>25</v>
      </c>
      <c r="AH983" s="95">
        <v>75</v>
      </c>
    </row>
    <row r="984" spans="1:34" x14ac:dyDescent="0.3">
      <c r="A984" s="89" t="str">
        <f>CONCATENATE(D984,".",F984,"-",G984,".",H984,"")</f>
        <v>2.1-1.1</v>
      </c>
      <c r="B984" s="89" t="str">
        <f>IF(CONCATENATE(I984,Key!F$2)=CONCATENATE(INDEX(Dashboard!J:J,MATCH(I984,Dashboard!J:J,0),1),INDEX(Dashboard!J:K,MATCH(I984,Dashboard!J:J,0),2)),"ON",IF(Dashboard!K$32="ALL","ON","-"))</f>
        <v>-</v>
      </c>
      <c r="C984" s="88" t="s">
        <v>152</v>
      </c>
      <c r="D984" s="89">
        <f>IF(C984="ID",1,(IF(C984="PR",2,(IF(C984="DE",3,(IF(C984="RS",4,(IF(C984="RC",5,0)))))))))</f>
        <v>2</v>
      </c>
      <c r="E984" s="89" t="s">
        <v>153</v>
      </c>
      <c r="F984" s="89">
        <f>IF(E984="AM",1,(IF(E984="BE",2,(IF(E984="GV",3,(IF(E984="RA",4,(IF(E984="RM",5,(IF(E984="AC",1,(IF(E984="AT",2,(IF(E984="DS",3,(IF(E984="IP",4,(IF(E984="MA",5,(IF(E984="PT",6,(IF(E984="AE",1,(IF(E984="CM",2,(IF(E984="DP",3,(IF(E984="AN",1,(IF(E984="CO",2,(IF(E984="IM",3,(IF(E984="MI",4,(IF(E984="RP",5,(IF(E984="SC",6,0)))))))))))))))))))))))))))))))))))))))</f>
        <v>1</v>
      </c>
      <c r="G984" s="52">
        <v>1</v>
      </c>
      <c r="H984" s="90" t="s">
        <v>115</v>
      </c>
      <c r="I984" s="93" t="s">
        <v>85</v>
      </c>
      <c r="J984" s="87" t="s">
        <v>1144</v>
      </c>
      <c r="K984" s="119" t="s">
        <v>4750</v>
      </c>
      <c r="L984" s="117">
        <f>IF(O984="","",N984*O984*M984)</f>
        <v>0</v>
      </c>
      <c r="M984" s="108">
        <v>1</v>
      </c>
      <c r="N984" s="95">
        <v>1</v>
      </c>
      <c r="O984" s="109">
        <f>IF(Key!D$1="ON",P984,IF(SUM(Q984:DL984)&lt;1,"",SUM(Q984:DL984)/COUNTIF(Q984:DL984,"&gt;0")))</f>
        <v>0</v>
      </c>
      <c r="P984" s="109">
        <f>SUMIFS(Q984:DK984,Q$1:DK$1,Dashboard!$K$31)</f>
        <v>0</v>
      </c>
      <c r="U984" s="95">
        <v>33</v>
      </c>
      <c r="AA984" s="95">
        <v>25</v>
      </c>
      <c r="AH984" s="95">
        <v>75</v>
      </c>
    </row>
    <row r="985" spans="1:34" x14ac:dyDescent="0.3">
      <c r="A985" s="89" t="str">
        <f>CONCATENATE(D985,".",F985,"-",G985,".",H985,"")</f>
        <v>2.1-1.1</v>
      </c>
      <c r="B985" s="89" t="str">
        <f>IF(CONCATENATE(I985,Key!F$2)=CONCATENATE(INDEX(Dashboard!J:J,MATCH(I985,Dashboard!J:J,0),1),INDEX(Dashboard!J:K,MATCH(I985,Dashboard!J:J,0),2)),"ON",IF(Dashboard!K$32="ALL","ON","-"))</f>
        <v>-</v>
      </c>
      <c r="C985" s="88" t="s">
        <v>152</v>
      </c>
      <c r="D985" s="89">
        <f>IF(C985="ID",1,(IF(C985="PR",2,(IF(C985="DE",3,(IF(C985="RS",4,(IF(C985="RC",5,0)))))))))</f>
        <v>2</v>
      </c>
      <c r="E985" s="89" t="s">
        <v>153</v>
      </c>
      <c r="F985" s="89">
        <f>IF(E985="AM",1,(IF(E985="BE",2,(IF(E985="GV",3,(IF(E985="RA",4,(IF(E985="RM",5,(IF(E985="AC",1,(IF(E985="AT",2,(IF(E985="DS",3,(IF(E985="IP",4,(IF(E985="MA",5,(IF(E985="PT",6,(IF(E985="AE",1,(IF(E985="CM",2,(IF(E985="DP",3,(IF(E985="AN",1,(IF(E985="CO",2,(IF(E985="IM",3,(IF(E985="MI",4,(IF(E985="RP",5,(IF(E985="SC",6,0)))))))))))))))))))))))))))))))))))))))</f>
        <v>1</v>
      </c>
      <c r="G985" s="52">
        <v>1</v>
      </c>
      <c r="H985" s="90" t="s">
        <v>115</v>
      </c>
      <c r="I985" s="93" t="s">
        <v>85</v>
      </c>
      <c r="J985" s="87" t="s">
        <v>1173</v>
      </c>
      <c r="K985" s="119" t="s">
        <v>1174</v>
      </c>
      <c r="L985" s="117">
        <f>IF(O985="","",N985*O985*M985)</f>
        <v>0</v>
      </c>
      <c r="M985" s="108">
        <v>1</v>
      </c>
      <c r="N985" s="95">
        <v>1</v>
      </c>
      <c r="O985" s="109">
        <f>IF(Key!D$1="ON",P985,IF(SUM(Q985:DL985)&lt;1,"",SUM(Q985:DL985)/COUNTIF(Q985:DL985,"&gt;0")))</f>
        <v>0</v>
      </c>
      <c r="P985" s="109">
        <f>SUMIFS(Q985:DK985,Q$1:DK$1,Dashboard!$K$31)</f>
        <v>0</v>
      </c>
      <c r="U985" s="95">
        <v>33</v>
      </c>
      <c r="AA985" s="95">
        <v>25</v>
      </c>
      <c r="AH985" s="95">
        <v>75</v>
      </c>
    </row>
    <row r="986" spans="1:34" x14ac:dyDescent="0.3">
      <c r="A986" s="89" t="str">
        <f>CONCATENATE(D986,".",F986,"-",G986,".",H986,"")</f>
        <v>2.1-1.1</v>
      </c>
      <c r="B986" s="89" t="str">
        <f>IF(CONCATENATE(I986,Key!F$2)=CONCATENATE(INDEX(Dashboard!J:J,MATCH(I986,Dashboard!J:J,0),1),INDEX(Dashboard!J:K,MATCH(I986,Dashboard!J:J,0),2)),"ON",IF(Dashboard!K$32="ALL","ON","-"))</f>
        <v>-</v>
      </c>
      <c r="C986" s="88" t="s">
        <v>152</v>
      </c>
      <c r="D986" s="89">
        <f>IF(C986="ID",1,(IF(C986="PR",2,(IF(C986="DE",3,(IF(C986="RS",4,(IF(C986="RC",5,0)))))))))</f>
        <v>2</v>
      </c>
      <c r="E986" s="89" t="s">
        <v>153</v>
      </c>
      <c r="F986" s="89">
        <f>IF(E986="AM",1,(IF(E986="BE",2,(IF(E986="GV",3,(IF(E986="RA",4,(IF(E986="RM",5,(IF(E986="AC",1,(IF(E986="AT",2,(IF(E986="DS",3,(IF(E986="IP",4,(IF(E986="MA",5,(IF(E986="PT",6,(IF(E986="AE",1,(IF(E986="CM",2,(IF(E986="DP",3,(IF(E986="AN",1,(IF(E986="CO",2,(IF(E986="IM",3,(IF(E986="MI",4,(IF(E986="RP",5,(IF(E986="SC",6,0)))))))))))))))))))))))))))))))))))))))</f>
        <v>1</v>
      </c>
      <c r="G986" s="52">
        <v>1</v>
      </c>
      <c r="H986" s="90" t="s">
        <v>115</v>
      </c>
      <c r="I986" s="93" t="s">
        <v>85</v>
      </c>
      <c r="J986" s="87" t="s">
        <v>1146</v>
      </c>
      <c r="K986" s="119" t="s">
        <v>4752</v>
      </c>
      <c r="L986" s="117">
        <f>IF(O986="","",N986*O986*M986)</f>
        <v>0</v>
      </c>
      <c r="M986" s="108">
        <v>1</v>
      </c>
      <c r="N986" s="95">
        <v>1</v>
      </c>
      <c r="O986" s="109">
        <f>IF(Key!D$1="ON",P986,IF(SUM(Q986:DL986)&lt;1,"",SUM(Q986:DL986)/COUNTIF(Q986:DL986,"&gt;0")))</f>
        <v>0</v>
      </c>
      <c r="P986" s="109">
        <f>SUMIFS(Q986:DK986,Q$1:DK$1,Dashboard!$K$31)</f>
        <v>0</v>
      </c>
      <c r="U986" s="95">
        <v>33</v>
      </c>
      <c r="AA986" s="95">
        <v>25</v>
      </c>
      <c r="AH986" s="95">
        <v>75</v>
      </c>
    </row>
    <row r="987" spans="1:34" x14ac:dyDescent="0.3">
      <c r="A987" s="89" t="str">
        <f>CONCATENATE(D987,".",F987,"-",G987,".",H987,"")</f>
        <v>2.1-1.1</v>
      </c>
      <c r="B987" s="89" t="str">
        <f>IF(CONCATENATE(I987,Key!F$2)=CONCATENATE(INDEX(Dashboard!J:J,MATCH(I987,Dashboard!J:J,0),1),INDEX(Dashboard!J:K,MATCH(I987,Dashboard!J:J,0),2)),"ON",IF(Dashboard!K$32="ALL","ON","-"))</f>
        <v>-</v>
      </c>
      <c r="C987" s="88" t="s">
        <v>152</v>
      </c>
      <c r="D987" s="89">
        <f>IF(C987="ID",1,(IF(C987="PR",2,(IF(C987="DE",3,(IF(C987="RS",4,(IF(C987="RC",5,0)))))))))</f>
        <v>2</v>
      </c>
      <c r="E987" s="89" t="s">
        <v>153</v>
      </c>
      <c r="F987" s="89">
        <f>IF(E987="AM",1,(IF(E987="BE",2,(IF(E987="GV",3,(IF(E987="RA",4,(IF(E987="RM",5,(IF(E987="AC",1,(IF(E987="AT",2,(IF(E987="DS",3,(IF(E987="IP",4,(IF(E987="MA",5,(IF(E987="PT",6,(IF(E987="AE",1,(IF(E987="CM",2,(IF(E987="DP",3,(IF(E987="AN",1,(IF(E987="CO",2,(IF(E987="IM",3,(IF(E987="MI",4,(IF(E987="RP",5,(IF(E987="SC",6,0)))))))))))))))))))))))))))))))))))))))</f>
        <v>1</v>
      </c>
      <c r="G987" s="52">
        <v>1</v>
      </c>
      <c r="H987" s="90" t="s">
        <v>115</v>
      </c>
      <c r="I987" s="93" t="s">
        <v>85</v>
      </c>
      <c r="J987" s="87" t="s">
        <v>1142</v>
      </c>
      <c r="K987" s="119" t="s">
        <v>1143</v>
      </c>
      <c r="L987" s="117">
        <f>IF(O987="","",N987*O987*M987)</f>
        <v>0</v>
      </c>
      <c r="M987" s="108">
        <v>1</v>
      </c>
      <c r="N987" s="95">
        <v>1</v>
      </c>
      <c r="O987" s="109">
        <f>IF(Key!D$1="ON",P987,IF(SUM(Q987:DL987)&lt;1,"",SUM(Q987:DL987)/COUNTIF(Q987:DL987,"&gt;0")))</f>
        <v>0</v>
      </c>
      <c r="P987" s="109">
        <f>SUMIFS(Q987:DK987,Q$1:DK$1,Dashboard!$K$31)</f>
        <v>0</v>
      </c>
      <c r="U987" s="95">
        <v>33</v>
      </c>
      <c r="AA987" s="95">
        <v>25</v>
      </c>
      <c r="AH987" s="95">
        <v>75</v>
      </c>
    </row>
    <row r="988" spans="1:34" x14ac:dyDescent="0.3">
      <c r="A988" s="89" t="str">
        <f>CONCATENATE(D988,".",F988,"-",G988,".",H988,"")</f>
        <v>2.1-1.1</v>
      </c>
      <c r="B988" s="89" t="str">
        <f>IF(CONCATENATE(I988,Key!F$2)=CONCATENATE(INDEX(Dashboard!J:J,MATCH(I988,Dashboard!J:J,0),1),INDEX(Dashboard!J:K,MATCH(I988,Dashboard!J:J,0),2)),"ON",IF(Dashboard!K$32="ALL","ON","-"))</f>
        <v>-</v>
      </c>
      <c r="C988" s="88" t="s">
        <v>152</v>
      </c>
      <c r="D988" s="89">
        <f>IF(C988="ID",1,(IF(C988="PR",2,(IF(C988="DE",3,(IF(C988="RS",4,(IF(C988="RC",5,0)))))))))</f>
        <v>2</v>
      </c>
      <c r="E988" s="89" t="s">
        <v>153</v>
      </c>
      <c r="F988" s="89">
        <f>IF(E988="AM",1,(IF(E988="BE",2,(IF(E988="GV",3,(IF(E988="RA",4,(IF(E988="RM",5,(IF(E988="AC",1,(IF(E988="AT",2,(IF(E988="DS",3,(IF(E988="IP",4,(IF(E988="MA",5,(IF(E988="PT",6,(IF(E988="AE",1,(IF(E988="CM",2,(IF(E988="DP",3,(IF(E988="AN",1,(IF(E988="CO",2,(IF(E988="IM",3,(IF(E988="MI",4,(IF(E988="RP",5,(IF(E988="SC",6,0)))))))))))))))))))))))))))))))))))))))</f>
        <v>1</v>
      </c>
      <c r="G988" s="52">
        <v>1</v>
      </c>
      <c r="H988" s="90" t="s">
        <v>115</v>
      </c>
      <c r="I988" s="93" t="s">
        <v>85</v>
      </c>
      <c r="J988" s="87" t="s">
        <v>1191</v>
      </c>
      <c r="K988" s="119" t="s">
        <v>4499</v>
      </c>
      <c r="L988" s="117">
        <f>IF(O988="","",N988*O988*M988)</f>
        <v>0</v>
      </c>
      <c r="M988" s="108">
        <v>1</v>
      </c>
      <c r="N988" s="95">
        <v>1</v>
      </c>
      <c r="O988" s="109">
        <f>IF(Key!D$1="ON",P988,IF(SUM(Q988:DL988)&lt;1,"",SUM(Q988:DL988)/COUNTIF(Q988:DL988,"&gt;0")))</f>
        <v>0</v>
      </c>
      <c r="P988" s="109">
        <f>SUMIFS(Q988:DK988,Q$1:DK$1,Dashboard!$K$31)</f>
        <v>0</v>
      </c>
      <c r="U988" s="95">
        <v>33</v>
      </c>
      <c r="AA988" s="95">
        <v>25</v>
      </c>
      <c r="AH988" s="95">
        <v>75</v>
      </c>
    </row>
    <row r="989" spans="1:34" x14ac:dyDescent="0.3">
      <c r="A989" s="89" t="str">
        <f>CONCATENATE(D989,".",F989,"-",G989,".",H989,"")</f>
        <v>2.1-1.1</v>
      </c>
      <c r="B989" s="89" t="str">
        <f>IF(CONCATENATE(I989,Key!F$2)=CONCATENATE(INDEX(Dashboard!J:J,MATCH(I989,Dashboard!J:J,0),1),INDEX(Dashboard!J:K,MATCH(I989,Dashboard!J:J,0),2)),"ON",IF(Dashboard!K$32="ALL","ON","-"))</f>
        <v>-</v>
      </c>
      <c r="C989" s="88" t="s">
        <v>152</v>
      </c>
      <c r="D989" s="89">
        <f>IF(C989="ID",1,(IF(C989="PR",2,(IF(C989="DE",3,(IF(C989="RS",4,(IF(C989="RC",5,0)))))))))</f>
        <v>2</v>
      </c>
      <c r="E989" s="89" t="s">
        <v>153</v>
      </c>
      <c r="F989" s="89">
        <f>IF(E989="AM",1,(IF(E989="BE",2,(IF(E989="GV",3,(IF(E989="RA",4,(IF(E989="RM",5,(IF(E989="AC",1,(IF(E989="AT",2,(IF(E989="DS",3,(IF(E989="IP",4,(IF(E989="MA",5,(IF(E989="PT",6,(IF(E989="AE",1,(IF(E989="CM",2,(IF(E989="DP",3,(IF(E989="AN",1,(IF(E989="CO",2,(IF(E989="IM",3,(IF(E989="MI",4,(IF(E989="RP",5,(IF(E989="SC",6,0)))))))))))))))))))))))))))))))))))))))</f>
        <v>1</v>
      </c>
      <c r="G989" s="52">
        <v>1</v>
      </c>
      <c r="H989" s="90" t="s">
        <v>115</v>
      </c>
      <c r="I989" s="93" t="s">
        <v>85</v>
      </c>
      <c r="J989" s="87" t="s">
        <v>1191</v>
      </c>
      <c r="K989" s="119" t="s">
        <v>4499</v>
      </c>
      <c r="L989" s="117">
        <f>IF(O989="","",N989*O989*M989)</f>
        <v>0</v>
      </c>
      <c r="M989" s="108">
        <v>1</v>
      </c>
      <c r="N989" s="95">
        <v>1</v>
      </c>
      <c r="O989" s="109">
        <f>IF(Key!D$1="ON",P989,IF(SUM(Q989:DL989)&lt;1,"",SUM(Q989:DL989)/COUNTIF(Q989:DL989,"&gt;0")))</f>
        <v>0</v>
      </c>
      <c r="P989" s="109">
        <f>SUMIFS(Q989:DK989,Q$1:DK$1,Dashboard!$K$31)</f>
        <v>0</v>
      </c>
      <c r="U989" s="95">
        <v>33</v>
      </c>
      <c r="AA989" s="95">
        <v>25</v>
      </c>
      <c r="AH989" s="95">
        <v>75</v>
      </c>
    </row>
    <row r="990" spans="1:34" x14ac:dyDescent="0.3">
      <c r="A990" s="89" t="str">
        <f>CONCATENATE(D990,".",F990,"-",G990,".",H990,"")</f>
        <v>2.1-1.1</v>
      </c>
      <c r="B990" s="89" t="str">
        <f>IF(CONCATENATE(I990,Key!F$2)=CONCATENATE(INDEX(Dashboard!J:J,MATCH(I990,Dashboard!J:J,0),1),INDEX(Dashboard!J:K,MATCH(I990,Dashboard!J:J,0),2)),"ON",IF(Dashboard!K$32="ALL","ON","-"))</f>
        <v>-</v>
      </c>
      <c r="C990" s="88" t="s">
        <v>152</v>
      </c>
      <c r="D990" s="89">
        <f>IF(C990="ID",1,(IF(C990="PR",2,(IF(C990="DE",3,(IF(C990="RS",4,(IF(C990="RC",5,0)))))))))</f>
        <v>2</v>
      </c>
      <c r="E990" s="89" t="s">
        <v>153</v>
      </c>
      <c r="F990" s="89">
        <f>IF(E990="AM",1,(IF(E990="BE",2,(IF(E990="GV",3,(IF(E990="RA",4,(IF(E990="RM",5,(IF(E990="AC",1,(IF(E990="AT",2,(IF(E990="DS",3,(IF(E990="IP",4,(IF(E990="MA",5,(IF(E990="PT",6,(IF(E990="AE",1,(IF(E990="CM",2,(IF(E990="DP",3,(IF(E990="AN",1,(IF(E990="CO",2,(IF(E990="IM",3,(IF(E990="MI",4,(IF(E990="RP",5,(IF(E990="SC",6,0)))))))))))))))))))))))))))))))))))))))</f>
        <v>1</v>
      </c>
      <c r="G990" s="52">
        <v>1</v>
      </c>
      <c r="H990" s="90" t="s">
        <v>115</v>
      </c>
      <c r="I990" s="93" t="s">
        <v>85</v>
      </c>
      <c r="J990" s="87" t="s">
        <v>1118</v>
      </c>
      <c r="K990" s="119" t="s">
        <v>4579</v>
      </c>
      <c r="L990" s="117">
        <f>IF(O990="","",N990*O990*M990)</f>
        <v>0</v>
      </c>
      <c r="M990" s="108">
        <v>1</v>
      </c>
      <c r="N990" s="95">
        <v>1</v>
      </c>
      <c r="O990" s="109">
        <f>IF(Key!D$1="ON",P990,IF(SUM(Q990:DL990)&lt;1,"",SUM(Q990:DL990)/COUNTIF(Q990:DL990,"&gt;0")))</f>
        <v>0</v>
      </c>
      <c r="P990" s="109">
        <f>SUMIFS(Q990:DK990,Q$1:DK$1,Dashboard!$K$31)</f>
        <v>0</v>
      </c>
      <c r="U990" s="95">
        <v>33</v>
      </c>
      <c r="AA990" s="95">
        <v>25</v>
      </c>
      <c r="AH990" s="95">
        <v>75</v>
      </c>
    </row>
    <row r="991" spans="1:34" x14ac:dyDescent="0.3">
      <c r="A991" s="89" t="str">
        <f>CONCATENATE(D991,".",F991,"-",G991,".",H991,"")</f>
        <v>2.1-1.1</v>
      </c>
      <c r="B991" s="89" t="str">
        <f>IF(CONCATENATE(I991,Key!F$2)=CONCATENATE(INDEX(Dashboard!J:J,MATCH(I991,Dashboard!J:J,0),1),INDEX(Dashboard!J:K,MATCH(I991,Dashboard!J:J,0),2)),"ON",IF(Dashboard!K$32="ALL","ON","-"))</f>
        <v>-</v>
      </c>
      <c r="C991" s="88" t="s">
        <v>152</v>
      </c>
      <c r="D991" s="89">
        <f>IF(C991="ID",1,(IF(C991="PR",2,(IF(C991="DE",3,(IF(C991="RS",4,(IF(C991="RC",5,0)))))))))</f>
        <v>2</v>
      </c>
      <c r="E991" s="89" t="s">
        <v>153</v>
      </c>
      <c r="F991" s="89">
        <f>IF(E991="AM",1,(IF(E991="BE",2,(IF(E991="GV",3,(IF(E991="RA",4,(IF(E991="RM",5,(IF(E991="AC",1,(IF(E991="AT",2,(IF(E991="DS",3,(IF(E991="IP",4,(IF(E991="MA",5,(IF(E991="PT",6,(IF(E991="AE",1,(IF(E991="CM",2,(IF(E991="DP",3,(IF(E991="AN",1,(IF(E991="CO",2,(IF(E991="IM",3,(IF(E991="MI",4,(IF(E991="RP",5,(IF(E991="SC",6,0)))))))))))))))))))))))))))))))))))))))</f>
        <v>1</v>
      </c>
      <c r="G991" s="52">
        <v>1</v>
      </c>
      <c r="H991" s="90" t="s">
        <v>115</v>
      </c>
      <c r="I991" s="93" t="s">
        <v>85</v>
      </c>
      <c r="J991" s="87" t="s">
        <v>1145</v>
      </c>
      <c r="K991" s="119" t="s">
        <v>4751</v>
      </c>
      <c r="L991" s="117">
        <f>IF(O991="","",N991*O991*M991)</f>
        <v>0</v>
      </c>
      <c r="M991" s="108">
        <v>1</v>
      </c>
      <c r="N991" s="95">
        <v>1</v>
      </c>
      <c r="O991" s="109">
        <f>IF(Key!D$1="ON",P991,IF(SUM(Q991:DL991)&lt;1,"",SUM(Q991:DL991)/COUNTIF(Q991:DL991,"&gt;0")))</f>
        <v>0</v>
      </c>
      <c r="P991" s="109">
        <f>SUMIFS(Q991:DK991,Q$1:DK$1,Dashboard!$K$31)</f>
        <v>0</v>
      </c>
      <c r="U991" s="95">
        <v>33</v>
      </c>
      <c r="AA991" s="95">
        <v>25</v>
      </c>
      <c r="AH991" s="95">
        <v>75</v>
      </c>
    </row>
    <row r="992" spans="1:34" x14ac:dyDescent="0.3">
      <c r="A992" s="89" t="str">
        <f>CONCATENATE(D992,".",F992,"-",G992,".",H992,"")</f>
        <v>2.1-1.1</v>
      </c>
      <c r="B992" s="89" t="str">
        <f>IF(CONCATENATE(I992,Key!F$2)=CONCATENATE(INDEX(Dashboard!J:J,MATCH(I992,Dashboard!J:J,0),1),INDEX(Dashboard!J:K,MATCH(I992,Dashboard!J:J,0),2)),"ON",IF(Dashboard!K$32="ALL","ON","-"))</f>
        <v>-</v>
      </c>
      <c r="C992" s="88" t="s">
        <v>152</v>
      </c>
      <c r="D992" s="89">
        <f>IF(C992="ID",1,(IF(C992="PR",2,(IF(C992="DE",3,(IF(C992="RS",4,(IF(C992="RC",5,0)))))))))</f>
        <v>2</v>
      </c>
      <c r="E992" s="89" t="s">
        <v>153</v>
      </c>
      <c r="F992" s="89">
        <f>IF(E992="AM",1,(IF(E992="BE",2,(IF(E992="GV",3,(IF(E992="RA",4,(IF(E992="RM",5,(IF(E992="AC",1,(IF(E992="AT",2,(IF(E992="DS",3,(IF(E992="IP",4,(IF(E992="MA",5,(IF(E992="PT",6,(IF(E992="AE",1,(IF(E992="CM",2,(IF(E992="DP",3,(IF(E992="AN",1,(IF(E992="CO",2,(IF(E992="IM",3,(IF(E992="MI",4,(IF(E992="RP",5,(IF(E992="SC",6,0)))))))))))))))))))))))))))))))))))))))</f>
        <v>1</v>
      </c>
      <c r="G992" s="52">
        <v>1</v>
      </c>
      <c r="H992" s="90" t="s">
        <v>115</v>
      </c>
      <c r="I992" s="93" t="s">
        <v>85</v>
      </c>
      <c r="J992" s="87" t="s">
        <v>1159</v>
      </c>
      <c r="K992" s="119" t="s">
        <v>4767</v>
      </c>
      <c r="L992" s="117">
        <f>IF(O992="","",N992*O992*M992)</f>
        <v>0</v>
      </c>
      <c r="M992" s="108">
        <v>1</v>
      </c>
      <c r="N992" s="95">
        <v>1</v>
      </c>
      <c r="O992" s="109">
        <f>IF(Key!D$1="ON",P992,IF(SUM(Q992:DL992)&lt;1,"",SUM(Q992:DL992)/COUNTIF(Q992:DL992,"&gt;0")))</f>
        <v>0</v>
      </c>
      <c r="P992" s="109">
        <f>SUMIFS(Q992:DK992,Q$1:DK$1,Dashboard!$K$31)</f>
        <v>0</v>
      </c>
      <c r="U992" s="95">
        <v>33</v>
      </c>
      <c r="AA992" s="95">
        <v>25</v>
      </c>
      <c r="AH992" s="95">
        <v>75</v>
      </c>
    </row>
    <row r="993" spans="1:34" x14ac:dyDescent="0.3">
      <c r="A993" s="89" t="str">
        <f>CONCATENATE(D993,".",F993,"-",G993,".",H993,"")</f>
        <v>2.1-1.1</v>
      </c>
      <c r="B993" s="89" t="str">
        <f>IF(CONCATENATE(I993,Key!F$2)=CONCATENATE(INDEX(Dashboard!J:J,MATCH(I993,Dashboard!J:J,0),1),INDEX(Dashboard!J:K,MATCH(I993,Dashboard!J:J,0),2)),"ON",IF(Dashboard!K$32="ALL","ON","-"))</f>
        <v>-</v>
      </c>
      <c r="C993" s="88" t="s">
        <v>152</v>
      </c>
      <c r="D993" s="89">
        <f>IF(C993="ID",1,(IF(C993="PR",2,(IF(C993="DE",3,(IF(C993="RS",4,(IF(C993="RC",5,0)))))))))</f>
        <v>2</v>
      </c>
      <c r="E993" s="89" t="s">
        <v>153</v>
      </c>
      <c r="F993" s="89">
        <f>IF(E993="AM",1,(IF(E993="BE",2,(IF(E993="GV",3,(IF(E993="RA",4,(IF(E993="RM",5,(IF(E993="AC",1,(IF(E993="AT",2,(IF(E993="DS",3,(IF(E993="IP",4,(IF(E993="MA",5,(IF(E993="PT",6,(IF(E993="AE",1,(IF(E993="CM",2,(IF(E993="DP",3,(IF(E993="AN",1,(IF(E993="CO",2,(IF(E993="IM",3,(IF(E993="MI",4,(IF(E993="RP",5,(IF(E993="SC",6,0)))))))))))))))))))))))))))))))))))))))</f>
        <v>1</v>
      </c>
      <c r="G993" s="52">
        <v>1</v>
      </c>
      <c r="H993" s="90" t="s">
        <v>115</v>
      </c>
      <c r="I993" s="93" t="s">
        <v>85</v>
      </c>
      <c r="J993" s="87" t="s">
        <v>1153</v>
      </c>
      <c r="K993" s="119" t="s">
        <v>4756</v>
      </c>
      <c r="L993" s="117">
        <f>IF(O993="","",N993*O993*M993)</f>
        <v>0</v>
      </c>
      <c r="M993" s="108">
        <v>1</v>
      </c>
      <c r="N993" s="95">
        <v>1</v>
      </c>
      <c r="O993" s="109">
        <f>IF(Key!D$1="ON",P993,IF(SUM(Q993:DL993)&lt;1,"",SUM(Q993:DL993)/COUNTIF(Q993:DL993,"&gt;0")))</f>
        <v>0</v>
      </c>
      <c r="P993" s="109">
        <f>SUMIFS(Q993:DK993,Q$1:DK$1,Dashboard!$K$31)</f>
        <v>0</v>
      </c>
      <c r="U993" s="95">
        <v>33</v>
      </c>
      <c r="AA993" s="95">
        <v>25</v>
      </c>
      <c r="AH993" s="95">
        <v>75</v>
      </c>
    </row>
    <row r="994" spans="1:34" x14ac:dyDescent="0.3">
      <c r="A994" s="89" t="str">
        <f>CONCATENATE(D994,".",F994,"-",G994,".",H994,"")</f>
        <v>2.1-1.1</v>
      </c>
      <c r="B994" s="89" t="str">
        <f>IF(CONCATENATE(I994,Key!F$2)=CONCATENATE(INDEX(Dashboard!J:J,MATCH(I994,Dashboard!J:J,0),1),INDEX(Dashboard!J:K,MATCH(I994,Dashboard!J:J,0),2)),"ON",IF(Dashboard!K$32="ALL","ON","-"))</f>
        <v>-</v>
      </c>
      <c r="C994" s="88" t="s">
        <v>152</v>
      </c>
      <c r="D994" s="89">
        <f>IF(C994="ID",1,(IF(C994="PR",2,(IF(C994="DE",3,(IF(C994="RS",4,(IF(C994="RC",5,0)))))))))</f>
        <v>2</v>
      </c>
      <c r="E994" s="89" t="s">
        <v>153</v>
      </c>
      <c r="F994" s="89">
        <f>IF(E994="AM",1,(IF(E994="BE",2,(IF(E994="GV",3,(IF(E994="RA",4,(IF(E994="RM",5,(IF(E994="AC",1,(IF(E994="AT",2,(IF(E994="DS",3,(IF(E994="IP",4,(IF(E994="MA",5,(IF(E994="PT",6,(IF(E994="AE",1,(IF(E994="CM",2,(IF(E994="DP",3,(IF(E994="AN",1,(IF(E994="CO",2,(IF(E994="IM",3,(IF(E994="MI",4,(IF(E994="RP",5,(IF(E994="SC",6,0)))))))))))))))))))))))))))))))))))))))</f>
        <v>1</v>
      </c>
      <c r="G994" s="52">
        <v>1</v>
      </c>
      <c r="H994" s="90" t="s">
        <v>115</v>
      </c>
      <c r="I994" s="93" t="s">
        <v>85</v>
      </c>
      <c r="J994" s="87" t="s">
        <v>1162</v>
      </c>
      <c r="K994" s="119" t="s">
        <v>4769</v>
      </c>
      <c r="L994" s="117">
        <f>IF(O994="","",N994*O994*M994)</f>
        <v>0</v>
      </c>
      <c r="M994" s="108">
        <v>1</v>
      </c>
      <c r="N994" s="95">
        <v>1</v>
      </c>
      <c r="O994" s="109">
        <f>IF(Key!D$1="ON",P994,IF(SUM(Q994:DL994)&lt;1,"",SUM(Q994:DL994)/COUNTIF(Q994:DL994,"&gt;0")))</f>
        <v>0</v>
      </c>
      <c r="P994" s="109">
        <f>SUMIFS(Q994:DK994,Q$1:DK$1,Dashboard!$K$31)</f>
        <v>0</v>
      </c>
      <c r="U994" s="95">
        <v>33</v>
      </c>
      <c r="AA994" s="95">
        <v>25</v>
      </c>
      <c r="AH994" s="95">
        <v>75</v>
      </c>
    </row>
    <row r="995" spans="1:34" x14ac:dyDescent="0.3">
      <c r="A995" s="89" t="str">
        <f>CONCATENATE(D995,".",F995,"-",G995,".",H995,"")</f>
        <v>2.1-1.1</v>
      </c>
      <c r="B995" s="89" t="str">
        <f>IF(CONCATENATE(I995,Key!F$2)=CONCATENATE(INDEX(Dashboard!J:J,MATCH(I995,Dashboard!J:J,0),1),INDEX(Dashboard!J:K,MATCH(I995,Dashboard!J:J,0),2)),"ON",IF(Dashboard!K$32="ALL","ON","-"))</f>
        <v>-</v>
      </c>
      <c r="C995" s="88" t="s">
        <v>152</v>
      </c>
      <c r="D995" s="89">
        <f>IF(C995="ID",1,(IF(C995="PR",2,(IF(C995="DE",3,(IF(C995="RS",4,(IF(C995="RC",5,0)))))))))</f>
        <v>2</v>
      </c>
      <c r="E995" s="89" t="s">
        <v>153</v>
      </c>
      <c r="F995" s="89">
        <f>IF(E995="AM",1,(IF(E995="BE",2,(IF(E995="GV",3,(IF(E995="RA",4,(IF(E995="RM",5,(IF(E995="AC",1,(IF(E995="AT",2,(IF(E995="DS",3,(IF(E995="IP",4,(IF(E995="MA",5,(IF(E995="PT",6,(IF(E995="AE",1,(IF(E995="CM",2,(IF(E995="DP",3,(IF(E995="AN",1,(IF(E995="CO",2,(IF(E995="IM",3,(IF(E995="MI",4,(IF(E995="RP",5,(IF(E995="SC",6,0)))))))))))))))))))))))))))))))))))))))</f>
        <v>1</v>
      </c>
      <c r="G995" s="52">
        <v>1</v>
      </c>
      <c r="H995" s="90" t="s">
        <v>115</v>
      </c>
      <c r="I995" s="93" t="s">
        <v>85</v>
      </c>
      <c r="J995" s="87" t="s">
        <v>1171</v>
      </c>
      <c r="K995" s="119" t="s">
        <v>4766</v>
      </c>
      <c r="L995" s="117">
        <f>IF(O995="","",N995*O995*M995)</f>
        <v>0</v>
      </c>
      <c r="M995" s="108">
        <v>1</v>
      </c>
      <c r="N995" s="95">
        <v>1</v>
      </c>
      <c r="O995" s="109">
        <f>IF(Key!D$1="ON",P995,IF(SUM(Q995:DL995)&lt;1,"",SUM(Q995:DL995)/COUNTIF(Q995:DL995,"&gt;0")))</f>
        <v>0</v>
      </c>
      <c r="P995" s="109">
        <f>SUMIFS(Q995:DK995,Q$1:DK$1,Dashboard!$K$31)</f>
        <v>0</v>
      </c>
      <c r="U995" s="95">
        <v>33</v>
      </c>
      <c r="AA995" s="95">
        <v>25</v>
      </c>
      <c r="AH995" s="95">
        <v>75</v>
      </c>
    </row>
    <row r="996" spans="1:34" x14ac:dyDescent="0.3">
      <c r="A996" s="89" t="str">
        <f>CONCATENATE(D996,".",F996,"-",G996,".",H996,"")</f>
        <v>2.1-1.1</v>
      </c>
      <c r="B996" s="89" t="str">
        <f>IF(CONCATENATE(I996,Key!F$2)=CONCATENATE(INDEX(Dashboard!J:J,MATCH(I996,Dashboard!J:J,0),1),INDEX(Dashboard!J:K,MATCH(I996,Dashboard!J:J,0),2)),"ON",IF(Dashboard!K$32="ALL","ON","-"))</f>
        <v>-</v>
      </c>
      <c r="C996" s="88" t="s">
        <v>152</v>
      </c>
      <c r="D996" s="89">
        <f>IF(C996="ID",1,(IF(C996="PR",2,(IF(C996="DE",3,(IF(C996="RS",4,(IF(C996="RC",5,0)))))))))</f>
        <v>2</v>
      </c>
      <c r="E996" s="89" t="s">
        <v>153</v>
      </c>
      <c r="F996" s="89">
        <f>IF(E996="AM",1,(IF(E996="BE",2,(IF(E996="GV",3,(IF(E996="RA",4,(IF(E996="RM",5,(IF(E996="AC",1,(IF(E996="AT",2,(IF(E996="DS",3,(IF(E996="IP",4,(IF(E996="MA",5,(IF(E996="PT",6,(IF(E996="AE",1,(IF(E996="CM",2,(IF(E996="DP",3,(IF(E996="AN",1,(IF(E996="CO",2,(IF(E996="IM",3,(IF(E996="MI",4,(IF(E996="RP",5,(IF(E996="SC",6,0)))))))))))))))))))))))))))))))))))))))</f>
        <v>1</v>
      </c>
      <c r="G996" s="52">
        <v>1</v>
      </c>
      <c r="H996" s="90" t="s">
        <v>115</v>
      </c>
      <c r="I996" s="93" t="s">
        <v>85</v>
      </c>
      <c r="J996" s="87" t="s">
        <v>1164</v>
      </c>
      <c r="K996" s="119" t="s">
        <v>4771</v>
      </c>
      <c r="L996" s="117">
        <f>IF(O996="","",N996*O996*M996)</f>
        <v>0</v>
      </c>
      <c r="M996" s="108">
        <v>1</v>
      </c>
      <c r="N996" s="95">
        <v>1</v>
      </c>
      <c r="O996" s="109">
        <f>IF(Key!D$1="ON",P996,IF(SUM(Q996:DL996)&lt;1,"",SUM(Q996:DL996)/COUNTIF(Q996:DL996,"&gt;0")))</f>
        <v>0</v>
      </c>
      <c r="P996" s="109">
        <f>SUMIFS(Q996:DK996,Q$1:DK$1,Dashboard!$K$31)</f>
        <v>0</v>
      </c>
      <c r="U996" s="95">
        <v>33</v>
      </c>
      <c r="AA996" s="95">
        <v>25</v>
      </c>
      <c r="AH996" s="95">
        <v>75</v>
      </c>
    </row>
    <row r="997" spans="1:34" x14ac:dyDescent="0.3">
      <c r="A997" s="89" t="str">
        <f>CONCATENATE(D997,".",F997,"-",G997,".",H997,"")</f>
        <v>2.1-1.1</v>
      </c>
      <c r="B997" s="89" t="str">
        <f>IF(CONCATENATE(I997,Key!F$2)=CONCATENATE(INDEX(Dashboard!J:J,MATCH(I997,Dashboard!J:J,0),1),INDEX(Dashboard!J:K,MATCH(I997,Dashboard!J:J,0),2)),"ON",IF(Dashboard!K$32="ALL","ON","-"))</f>
        <v>-</v>
      </c>
      <c r="C997" s="88" t="s">
        <v>152</v>
      </c>
      <c r="D997" s="89">
        <f>IF(C997="ID",1,(IF(C997="PR",2,(IF(C997="DE",3,(IF(C997="RS",4,(IF(C997="RC",5,0)))))))))</f>
        <v>2</v>
      </c>
      <c r="E997" s="89" t="s">
        <v>153</v>
      </c>
      <c r="F997" s="89">
        <f>IF(E997="AM",1,(IF(E997="BE",2,(IF(E997="GV",3,(IF(E997="RA",4,(IF(E997="RM",5,(IF(E997="AC",1,(IF(E997="AT",2,(IF(E997="DS",3,(IF(E997="IP",4,(IF(E997="MA",5,(IF(E997="PT",6,(IF(E997="AE",1,(IF(E997="CM",2,(IF(E997="DP",3,(IF(E997="AN",1,(IF(E997="CO",2,(IF(E997="IM",3,(IF(E997="MI",4,(IF(E997="RP",5,(IF(E997="SC",6,0)))))))))))))))))))))))))))))))))))))))</f>
        <v>1</v>
      </c>
      <c r="G997" s="52">
        <v>1</v>
      </c>
      <c r="H997" s="90" t="s">
        <v>115</v>
      </c>
      <c r="I997" s="93" t="s">
        <v>85</v>
      </c>
      <c r="J997" s="87" t="s">
        <v>1175</v>
      </c>
      <c r="K997" s="119" t="s">
        <v>4776</v>
      </c>
      <c r="L997" s="117">
        <f>IF(O997="","",N997*O997*M997)</f>
        <v>0</v>
      </c>
      <c r="M997" s="108">
        <v>1</v>
      </c>
      <c r="N997" s="95">
        <v>1</v>
      </c>
      <c r="O997" s="109">
        <f>IF(Key!D$1="ON",P997,IF(SUM(Q997:DL997)&lt;1,"",SUM(Q997:DL997)/COUNTIF(Q997:DL997,"&gt;0")))</f>
        <v>0</v>
      </c>
      <c r="P997" s="109">
        <f>SUMIFS(Q997:DK997,Q$1:DK$1,Dashboard!$K$31)</f>
        <v>0</v>
      </c>
      <c r="U997" s="95">
        <v>33</v>
      </c>
      <c r="AA997" s="95">
        <v>25</v>
      </c>
      <c r="AH997" s="95">
        <v>75</v>
      </c>
    </row>
    <row r="998" spans="1:34" x14ac:dyDescent="0.3">
      <c r="A998" s="89" t="str">
        <f>CONCATENATE(D998,".",F998,"-",G998,".",H998,"")</f>
        <v>2.1-1.1</v>
      </c>
      <c r="B998" s="89" t="str">
        <f>IF(CONCATENATE(I998,Key!F$2)=CONCATENATE(INDEX(Dashboard!J:J,MATCH(I998,Dashboard!J:J,0),1),INDEX(Dashboard!J:K,MATCH(I998,Dashboard!J:J,0),2)),"ON",IF(Dashboard!K$32="ALL","ON","-"))</f>
        <v>-</v>
      </c>
      <c r="C998" s="88" t="s">
        <v>152</v>
      </c>
      <c r="D998" s="89">
        <f>IF(C998="ID",1,(IF(C998="PR",2,(IF(C998="DE",3,(IF(C998="RS",4,(IF(C998="RC",5,0)))))))))</f>
        <v>2</v>
      </c>
      <c r="E998" s="89" t="s">
        <v>153</v>
      </c>
      <c r="F998" s="89">
        <f>IF(E998="AM",1,(IF(E998="BE",2,(IF(E998="GV",3,(IF(E998="RA",4,(IF(E998="RM",5,(IF(E998="AC",1,(IF(E998="AT",2,(IF(E998="DS",3,(IF(E998="IP",4,(IF(E998="MA",5,(IF(E998="PT",6,(IF(E998="AE",1,(IF(E998="CM",2,(IF(E998="DP",3,(IF(E998="AN",1,(IF(E998="CO",2,(IF(E998="IM",3,(IF(E998="MI",4,(IF(E998="RP",5,(IF(E998="SC",6,0)))))))))))))))))))))))))))))))))))))))</f>
        <v>1</v>
      </c>
      <c r="G998" s="52">
        <v>1</v>
      </c>
      <c r="H998" s="90" t="s">
        <v>115</v>
      </c>
      <c r="I998" s="93" t="s">
        <v>85</v>
      </c>
      <c r="J998" s="87" t="s">
        <v>1128</v>
      </c>
      <c r="K998" s="119" t="s">
        <v>4741</v>
      </c>
      <c r="L998" s="117">
        <f>IF(O998="","",N998*O998*M998)</f>
        <v>0</v>
      </c>
      <c r="M998" s="108">
        <v>1</v>
      </c>
      <c r="N998" s="95">
        <v>1</v>
      </c>
      <c r="O998" s="109">
        <f>IF(Key!D$1="ON",P998,IF(SUM(Q998:DL998)&lt;1,"",SUM(Q998:DL998)/COUNTIF(Q998:DL998,"&gt;0")))</f>
        <v>0</v>
      </c>
      <c r="P998" s="109">
        <f>SUMIFS(Q998:DK998,Q$1:DK$1,Dashboard!$K$31)</f>
        <v>0</v>
      </c>
      <c r="U998" s="95">
        <v>33</v>
      </c>
      <c r="AA998" s="95">
        <v>25</v>
      </c>
      <c r="AH998" s="95">
        <v>75</v>
      </c>
    </row>
    <row r="999" spans="1:34" x14ac:dyDescent="0.3">
      <c r="A999" s="89" t="str">
        <f>CONCATENATE(D999,".",F999,"-",G999,".",H999,"")</f>
        <v>2.1-1.1</v>
      </c>
      <c r="B999" s="89" t="str">
        <f>IF(CONCATENATE(I999,Key!F$2)=CONCATENATE(INDEX(Dashboard!J:J,MATCH(I999,Dashboard!J:J,0),1),INDEX(Dashboard!J:K,MATCH(I999,Dashboard!J:J,0),2)),"ON",IF(Dashboard!K$32="ALL","ON","-"))</f>
        <v>-</v>
      </c>
      <c r="C999" s="88" t="s">
        <v>152</v>
      </c>
      <c r="D999" s="89">
        <f>IF(C999="ID",1,(IF(C999="PR",2,(IF(C999="DE",3,(IF(C999="RS",4,(IF(C999="RC",5,0)))))))))</f>
        <v>2</v>
      </c>
      <c r="E999" s="89" t="s">
        <v>153</v>
      </c>
      <c r="F999" s="89">
        <f>IF(E999="AM",1,(IF(E999="BE",2,(IF(E999="GV",3,(IF(E999="RA",4,(IF(E999="RM",5,(IF(E999="AC",1,(IF(E999="AT",2,(IF(E999="DS",3,(IF(E999="IP",4,(IF(E999="MA",5,(IF(E999="PT",6,(IF(E999="AE",1,(IF(E999="CM",2,(IF(E999="DP",3,(IF(E999="AN",1,(IF(E999="CO",2,(IF(E999="IM",3,(IF(E999="MI",4,(IF(E999="RP",5,(IF(E999="SC",6,0)))))))))))))))))))))))))))))))))))))))</f>
        <v>1</v>
      </c>
      <c r="G999" s="52">
        <v>1</v>
      </c>
      <c r="H999" s="90" t="s">
        <v>115</v>
      </c>
      <c r="I999" s="93" t="s">
        <v>85</v>
      </c>
      <c r="J999" s="87" t="s">
        <v>1147</v>
      </c>
      <c r="K999" s="119" t="s">
        <v>1148</v>
      </c>
      <c r="L999" s="117">
        <f>IF(O999="","",N999*O999*M999)</f>
        <v>0</v>
      </c>
      <c r="M999" s="108">
        <v>1</v>
      </c>
      <c r="N999" s="95">
        <v>1</v>
      </c>
      <c r="O999" s="109">
        <f>IF(Key!D$1="ON",P999,IF(SUM(Q999:DL999)&lt;1,"",SUM(Q999:DL999)/COUNTIF(Q999:DL999,"&gt;0")))</f>
        <v>0</v>
      </c>
      <c r="P999" s="109">
        <f>SUMIFS(Q999:DK999,Q$1:DK$1,Dashboard!$K$31)</f>
        <v>0</v>
      </c>
      <c r="U999" s="95">
        <v>33</v>
      </c>
      <c r="AA999" s="95">
        <v>25</v>
      </c>
      <c r="AH999" s="95">
        <v>75</v>
      </c>
    </row>
    <row r="1000" spans="1:34" x14ac:dyDescent="0.3">
      <c r="A1000" s="89" t="str">
        <f>CONCATENATE(D1000,".",F1000,"-",G1000,".",H1000,"")</f>
        <v>2.1-1.1</v>
      </c>
      <c r="B1000" s="89" t="str">
        <f>IF(CONCATENATE(I1000,Key!F$2)=CONCATENATE(INDEX(Dashboard!J:J,MATCH(I1000,Dashboard!J:J,0),1),INDEX(Dashboard!J:K,MATCH(I1000,Dashboard!J:J,0),2)),"ON",IF(Dashboard!K$32="ALL","ON","-"))</f>
        <v>-</v>
      </c>
      <c r="C1000" s="88" t="s">
        <v>152</v>
      </c>
      <c r="D1000" s="89">
        <f>IF(C1000="ID",1,(IF(C1000="PR",2,(IF(C1000="DE",3,(IF(C1000="RS",4,(IF(C1000="RC",5,0)))))))))</f>
        <v>2</v>
      </c>
      <c r="E1000" s="89" t="s">
        <v>153</v>
      </c>
      <c r="F1000" s="89">
        <f>IF(E1000="AM",1,(IF(E1000="BE",2,(IF(E1000="GV",3,(IF(E1000="RA",4,(IF(E1000="RM",5,(IF(E1000="AC",1,(IF(E1000="AT",2,(IF(E1000="DS",3,(IF(E1000="IP",4,(IF(E1000="MA",5,(IF(E1000="PT",6,(IF(E1000="AE",1,(IF(E1000="CM",2,(IF(E1000="DP",3,(IF(E1000="AN",1,(IF(E1000="CO",2,(IF(E1000="IM",3,(IF(E1000="MI",4,(IF(E1000="RP",5,(IF(E1000="SC",6,0)))))))))))))))))))))))))))))))))))))))</f>
        <v>1</v>
      </c>
      <c r="G1000" s="52">
        <v>1</v>
      </c>
      <c r="H1000" s="90" t="s">
        <v>115</v>
      </c>
      <c r="I1000" s="93" t="s">
        <v>85</v>
      </c>
      <c r="J1000" s="87" t="s">
        <v>1152</v>
      </c>
      <c r="K1000" s="119" t="s">
        <v>4755</v>
      </c>
      <c r="L1000" s="117">
        <f>IF(O1000="","",N1000*O1000*M1000)</f>
        <v>0</v>
      </c>
      <c r="M1000" s="108">
        <v>1</v>
      </c>
      <c r="N1000" s="95">
        <v>1</v>
      </c>
      <c r="O1000" s="109">
        <f>IF(Key!D$1="ON",P1000,IF(SUM(Q1000:DL1000)&lt;1,"",SUM(Q1000:DL1000)/COUNTIF(Q1000:DL1000,"&gt;0")))</f>
        <v>0</v>
      </c>
      <c r="P1000" s="109">
        <f>SUMIFS(Q1000:DK1000,Q$1:DK$1,Dashboard!$K$31)</f>
        <v>0</v>
      </c>
      <c r="U1000" s="95">
        <v>33</v>
      </c>
      <c r="AA1000" s="95">
        <v>25</v>
      </c>
      <c r="AH1000" s="95">
        <v>75</v>
      </c>
    </row>
    <row r="1001" spans="1:34" x14ac:dyDescent="0.3">
      <c r="A1001" s="89" t="str">
        <f>CONCATENATE(D1001,".",F1001,"-",G1001,".",H1001,"")</f>
        <v>2.1-1.1</v>
      </c>
      <c r="B1001" s="89" t="str">
        <f>IF(CONCATENATE(I1001,Key!F$2)=CONCATENATE(INDEX(Dashboard!J:J,MATCH(I1001,Dashboard!J:J,0),1),INDEX(Dashboard!J:K,MATCH(I1001,Dashboard!J:J,0),2)),"ON",IF(Dashboard!K$32="ALL","ON","-"))</f>
        <v>-</v>
      </c>
      <c r="C1001" s="88" t="s">
        <v>152</v>
      </c>
      <c r="D1001" s="89">
        <f>IF(C1001="ID",1,(IF(C1001="PR",2,(IF(C1001="DE",3,(IF(C1001="RS",4,(IF(C1001="RC",5,0)))))))))</f>
        <v>2</v>
      </c>
      <c r="E1001" s="89" t="s">
        <v>153</v>
      </c>
      <c r="F1001" s="89">
        <f>IF(E1001="AM",1,(IF(E1001="BE",2,(IF(E1001="GV",3,(IF(E1001="RA",4,(IF(E1001="RM",5,(IF(E1001="AC",1,(IF(E1001="AT",2,(IF(E1001="DS",3,(IF(E1001="IP",4,(IF(E1001="MA",5,(IF(E1001="PT",6,(IF(E1001="AE",1,(IF(E1001="CM",2,(IF(E1001="DP",3,(IF(E1001="AN",1,(IF(E1001="CO",2,(IF(E1001="IM",3,(IF(E1001="MI",4,(IF(E1001="RP",5,(IF(E1001="SC",6,0)))))))))))))))))))))))))))))))))))))))</f>
        <v>1</v>
      </c>
      <c r="G1001" s="52">
        <v>1</v>
      </c>
      <c r="H1001" s="90" t="s">
        <v>115</v>
      </c>
      <c r="I1001" s="93" t="s">
        <v>85</v>
      </c>
      <c r="J1001" s="87" t="s">
        <v>1137</v>
      </c>
      <c r="K1001" s="119" t="s">
        <v>4744</v>
      </c>
      <c r="L1001" s="117">
        <f>IF(O1001="","",N1001*O1001*M1001)</f>
        <v>0</v>
      </c>
      <c r="M1001" s="108">
        <v>1</v>
      </c>
      <c r="N1001" s="95">
        <v>1</v>
      </c>
      <c r="O1001" s="109">
        <f>IF(Key!D$1="ON",P1001,IF(SUM(Q1001:DL1001)&lt;1,"",SUM(Q1001:DL1001)/COUNTIF(Q1001:DL1001,"&gt;0")))</f>
        <v>0</v>
      </c>
      <c r="P1001" s="109">
        <f>SUMIFS(Q1001:DK1001,Q$1:DK$1,Dashboard!$K$31)</f>
        <v>0</v>
      </c>
      <c r="U1001" s="95">
        <v>33</v>
      </c>
      <c r="AA1001" s="95">
        <v>25</v>
      </c>
      <c r="AH1001" s="95">
        <v>75</v>
      </c>
    </row>
    <row r="1002" spans="1:34" x14ac:dyDescent="0.3">
      <c r="A1002" s="89" t="str">
        <f>CONCATENATE(D1002,".",F1002,"-",G1002,".",H1002,"")</f>
        <v>2.1-1.1</v>
      </c>
      <c r="B1002" s="89" t="str">
        <f>IF(CONCATENATE(I1002,Key!F$2)=CONCATENATE(INDEX(Dashboard!J:J,MATCH(I1002,Dashboard!J:J,0),1),INDEX(Dashboard!J:K,MATCH(I1002,Dashboard!J:J,0),2)),"ON",IF(Dashboard!K$32="ALL","ON","-"))</f>
        <v>-</v>
      </c>
      <c r="C1002" s="88" t="s">
        <v>152</v>
      </c>
      <c r="D1002" s="89">
        <f>IF(C1002="ID",1,(IF(C1002="PR",2,(IF(C1002="DE",3,(IF(C1002="RS",4,(IF(C1002="RC",5,0)))))))))</f>
        <v>2</v>
      </c>
      <c r="E1002" s="89" t="s">
        <v>153</v>
      </c>
      <c r="F1002" s="89">
        <f>IF(E1002="AM",1,(IF(E1002="BE",2,(IF(E1002="GV",3,(IF(E1002="RA",4,(IF(E1002="RM",5,(IF(E1002="AC",1,(IF(E1002="AT",2,(IF(E1002="DS",3,(IF(E1002="IP",4,(IF(E1002="MA",5,(IF(E1002="PT",6,(IF(E1002="AE",1,(IF(E1002="CM",2,(IF(E1002="DP",3,(IF(E1002="AN",1,(IF(E1002="CO",2,(IF(E1002="IM",3,(IF(E1002="MI",4,(IF(E1002="RP",5,(IF(E1002="SC",6,0)))))))))))))))))))))))))))))))))))))))</f>
        <v>1</v>
      </c>
      <c r="G1002" s="52">
        <v>1</v>
      </c>
      <c r="H1002" s="90" t="s">
        <v>115</v>
      </c>
      <c r="I1002" s="93" t="s">
        <v>85</v>
      </c>
      <c r="J1002" s="87" t="s">
        <v>1163</v>
      </c>
      <c r="K1002" s="119" t="s">
        <v>4770</v>
      </c>
      <c r="L1002" s="117">
        <f>IF(O1002="","",N1002*O1002*M1002)</f>
        <v>0</v>
      </c>
      <c r="M1002" s="108">
        <v>1</v>
      </c>
      <c r="N1002" s="95">
        <v>1</v>
      </c>
      <c r="O1002" s="109">
        <f>IF(Key!D$1="ON",P1002,IF(SUM(Q1002:DL1002)&lt;1,"",SUM(Q1002:DL1002)/COUNTIF(Q1002:DL1002,"&gt;0")))</f>
        <v>0</v>
      </c>
      <c r="P1002" s="109">
        <f>SUMIFS(Q1002:DK1002,Q$1:DK$1,Dashboard!$K$31)</f>
        <v>0</v>
      </c>
      <c r="U1002" s="95">
        <v>33</v>
      </c>
      <c r="AA1002" s="95">
        <v>25</v>
      </c>
      <c r="AH1002" s="95">
        <v>75</v>
      </c>
    </row>
    <row r="1003" spans="1:34" x14ac:dyDescent="0.3">
      <c r="A1003" s="89" t="str">
        <f>CONCATENATE(D1003,".",F1003,"-",G1003,".",H1003,"")</f>
        <v>2.1-1.1</v>
      </c>
      <c r="B1003" s="89" t="str">
        <f>IF(CONCATENATE(I1003,Key!F$2)=CONCATENATE(INDEX(Dashboard!J:J,MATCH(I1003,Dashboard!J:J,0),1),INDEX(Dashboard!J:K,MATCH(I1003,Dashboard!J:J,0),2)),"ON",IF(Dashboard!K$32="ALL","ON","-"))</f>
        <v>-</v>
      </c>
      <c r="C1003" s="88" t="s">
        <v>152</v>
      </c>
      <c r="D1003" s="89">
        <f>IF(C1003="ID",1,(IF(C1003="PR",2,(IF(C1003="DE",3,(IF(C1003="RS",4,(IF(C1003="RC",5,0)))))))))</f>
        <v>2</v>
      </c>
      <c r="E1003" s="89" t="s">
        <v>153</v>
      </c>
      <c r="F1003" s="89">
        <f>IF(E1003="AM",1,(IF(E1003="BE",2,(IF(E1003="GV",3,(IF(E1003="RA",4,(IF(E1003="RM",5,(IF(E1003="AC",1,(IF(E1003="AT",2,(IF(E1003="DS",3,(IF(E1003="IP",4,(IF(E1003="MA",5,(IF(E1003="PT",6,(IF(E1003="AE",1,(IF(E1003="CM",2,(IF(E1003="DP",3,(IF(E1003="AN",1,(IF(E1003="CO",2,(IF(E1003="IM",3,(IF(E1003="MI",4,(IF(E1003="RP",5,(IF(E1003="SC",6,0)))))))))))))))))))))))))))))))))))))))</f>
        <v>1</v>
      </c>
      <c r="G1003" s="52">
        <v>1</v>
      </c>
      <c r="H1003" s="90" t="s">
        <v>115</v>
      </c>
      <c r="I1003" s="93" t="s">
        <v>85</v>
      </c>
      <c r="J1003" s="87" t="s">
        <v>1468</v>
      </c>
      <c r="K1003" s="119" t="s">
        <v>5137</v>
      </c>
      <c r="L1003" s="117">
        <f>IF(O1003="","",N1003*O1003*M1003)</f>
        <v>0</v>
      </c>
      <c r="M1003" s="108">
        <v>1</v>
      </c>
      <c r="N1003" s="95">
        <v>1</v>
      </c>
      <c r="O1003" s="109">
        <f>IF(Key!D$1="ON",P1003,IF(SUM(Q1003:DL1003)&lt;1,"",SUM(Q1003:DL1003)/COUNTIF(Q1003:DL1003,"&gt;0")))</f>
        <v>0</v>
      </c>
      <c r="P1003" s="109">
        <f>SUMIFS(Q1003:DK1003,Q$1:DK$1,Dashboard!$K$31)</f>
        <v>0</v>
      </c>
      <c r="U1003" s="95">
        <v>33</v>
      </c>
      <c r="AA1003" s="95">
        <v>25</v>
      </c>
      <c r="AH1003" s="95">
        <v>75</v>
      </c>
    </row>
    <row r="1004" spans="1:34" x14ac:dyDescent="0.3">
      <c r="A1004" s="89" t="str">
        <f>CONCATENATE(D1004,".",F1004,"-",G1004,".",H1004,"")</f>
        <v>2.1-1.1</v>
      </c>
      <c r="B1004" s="89" t="str">
        <f>IF(CONCATENATE(I1004,Key!F$2)=CONCATENATE(INDEX(Dashboard!J:J,MATCH(I1004,Dashboard!J:J,0),1),INDEX(Dashboard!J:K,MATCH(I1004,Dashboard!J:J,0),2)),"ON",IF(Dashboard!K$32="ALL","ON","-"))</f>
        <v>-</v>
      </c>
      <c r="C1004" s="88" t="s">
        <v>152</v>
      </c>
      <c r="D1004" s="89">
        <f>IF(C1004="ID",1,(IF(C1004="PR",2,(IF(C1004="DE",3,(IF(C1004="RS",4,(IF(C1004="RC",5,0)))))))))</f>
        <v>2</v>
      </c>
      <c r="E1004" s="89" t="s">
        <v>153</v>
      </c>
      <c r="F1004" s="89">
        <f>IF(E1004="AM",1,(IF(E1004="BE",2,(IF(E1004="GV",3,(IF(E1004="RA",4,(IF(E1004="RM",5,(IF(E1004="AC",1,(IF(E1004="AT",2,(IF(E1004="DS",3,(IF(E1004="IP",4,(IF(E1004="MA",5,(IF(E1004="PT",6,(IF(E1004="AE",1,(IF(E1004="CM",2,(IF(E1004="DP",3,(IF(E1004="AN",1,(IF(E1004="CO",2,(IF(E1004="IM",3,(IF(E1004="MI",4,(IF(E1004="RP",5,(IF(E1004="SC",6,0)))))))))))))))))))))))))))))))))))))))</f>
        <v>1</v>
      </c>
      <c r="G1004" s="52">
        <v>1</v>
      </c>
      <c r="H1004" s="90" t="s">
        <v>115</v>
      </c>
      <c r="I1004" s="93" t="s">
        <v>85</v>
      </c>
      <c r="J1004" s="128" t="s">
        <v>1134</v>
      </c>
      <c r="K1004" s="119" t="s">
        <v>4743</v>
      </c>
      <c r="L1004" s="117">
        <f>IF(O1004="","",N1004*O1004*M1004)</f>
        <v>0</v>
      </c>
      <c r="M1004" s="108">
        <v>1</v>
      </c>
      <c r="N1004" s="95">
        <v>1</v>
      </c>
      <c r="O1004" s="109">
        <f>IF(Key!D$1="ON",P1004,IF(SUM(Q1004:DL1004)&lt;1,"",SUM(Q1004:DL1004)/COUNTIF(Q1004:DL1004,"&gt;0")))</f>
        <v>0</v>
      </c>
      <c r="P1004" s="109">
        <f>SUMIFS(Q1004:DK1004,Q$1:DK$1,Dashboard!$K$31)</f>
        <v>0</v>
      </c>
      <c r="U1004" s="95">
        <v>33</v>
      </c>
      <c r="AA1004" s="95">
        <v>25</v>
      </c>
      <c r="AH1004" s="95">
        <v>75</v>
      </c>
    </row>
    <row r="1005" spans="1:34" x14ac:dyDescent="0.3">
      <c r="A1005" s="89" t="str">
        <f>CONCATENATE(D1005,".",F1005,"-",G1005,".",H1005,"")</f>
        <v>2.1-1.1</v>
      </c>
      <c r="B1005" s="89" t="str">
        <f>IF(CONCATENATE(I1005,Key!F$2)=CONCATENATE(INDEX(Dashboard!J:J,MATCH(I1005,Dashboard!J:J,0),1),INDEX(Dashboard!J:K,MATCH(I1005,Dashboard!J:J,0),2)),"ON",IF(Dashboard!K$32="ALL","ON","-"))</f>
        <v>-</v>
      </c>
      <c r="C1005" s="88" t="s">
        <v>152</v>
      </c>
      <c r="D1005" s="89">
        <f>IF(C1005="ID",1,(IF(C1005="PR",2,(IF(C1005="DE",3,(IF(C1005="RS",4,(IF(C1005="RC",5,0)))))))))</f>
        <v>2</v>
      </c>
      <c r="E1005" s="89" t="s">
        <v>153</v>
      </c>
      <c r="F1005" s="89">
        <f>IF(E1005="AM",1,(IF(E1005="BE",2,(IF(E1005="GV",3,(IF(E1005="RA",4,(IF(E1005="RM",5,(IF(E1005="AC",1,(IF(E1005="AT",2,(IF(E1005="DS",3,(IF(E1005="IP",4,(IF(E1005="MA",5,(IF(E1005="PT",6,(IF(E1005="AE",1,(IF(E1005="CM",2,(IF(E1005="DP",3,(IF(E1005="AN",1,(IF(E1005="CO",2,(IF(E1005="IM",3,(IF(E1005="MI",4,(IF(E1005="RP",5,(IF(E1005="SC",6,0)))))))))))))))))))))))))))))))))))))))</f>
        <v>1</v>
      </c>
      <c r="G1005" s="52">
        <v>1</v>
      </c>
      <c r="H1005" s="90" t="s">
        <v>115</v>
      </c>
      <c r="I1005" s="93" t="s">
        <v>85</v>
      </c>
      <c r="J1005" s="128" t="s">
        <v>1129</v>
      </c>
      <c r="K1005" s="119" t="s">
        <v>4742</v>
      </c>
      <c r="L1005" s="117">
        <f>IF(O1005="","",N1005*O1005*M1005)</f>
        <v>0</v>
      </c>
      <c r="M1005" s="108">
        <v>1</v>
      </c>
      <c r="N1005" s="95">
        <v>1</v>
      </c>
      <c r="O1005" s="109">
        <f>IF(Key!D$1="ON",P1005,IF(SUM(Q1005:DL1005)&lt;1,"",SUM(Q1005:DL1005)/COUNTIF(Q1005:DL1005,"&gt;0")))</f>
        <v>0</v>
      </c>
      <c r="P1005" s="109">
        <f>SUMIFS(Q1005:DK1005,Q$1:DK$1,Dashboard!$K$31)</f>
        <v>0</v>
      </c>
      <c r="U1005" s="95">
        <v>33</v>
      </c>
      <c r="AA1005" s="95">
        <v>25</v>
      </c>
      <c r="AH1005" s="95">
        <v>75</v>
      </c>
    </row>
    <row r="1006" spans="1:34" x14ac:dyDescent="0.3">
      <c r="A1006" s="89" t="str">
        <f>CONCATENATE(D1006,".",F1006,"-",G1006,".",H1006,"")</f>
        <v>2.1-1.1</v>
      </c>
      <c r="B1006" s="89" t="str">
        <f>IF(CONCATENATE(I1006,Key!F$2)=CONCATENATE(INDEX(Dashboard!J:J,MATCH(I1006,Dashboard!J:J,0),1),INDEX(Dashboard!J:K,MATCH(I1006,Dashboard!J:J,0),2)),"ON",IF(Dashboard!K$32="ALL","ON","-"))</f>
        <v>-</v>
      </c>
      <c r="C1006" s="88" t="s">
        <v>152</v>
      </c>
      <c r="D1006" s="89">
        <f>IF(C1006="ID",1,(IF(C1006="PR",2,(IF(C1006="DE",3,(IF(C1006="RS",4,(IF(C1006="RC",5,0)))))))))</f>
        <v>2</v>
      </c>
      <c r="E1006" s="89" t="s">
        <v>153</v>
      </c>
      <c r="F1006" s="89">
        <f>IF(E1006="AM",1,(IF(E1006="BE",2,(IF(E1006="GV",3,(IF(E1006="RA",4,(IF(E1006="RM",5,(IF(E1006="AC",1,(IF(E1006="AT",2,(IF(E1006="DS",3,(IF(E1006="IP",4,(IF(E1006="MA",5,(IF(E1006="PT",6,(IF(E1006="AE",1,(IF(E1006="CM",2,(IF(E1006="DP",3,(IF(E1006="AN",1,(IF(E1006="CO",2,(IF(E1006="IM",3,(IF(E1006="MI",4,(IF(E1006="RP",5,(IF(E1006="SC",6,0)))))))))))))))))))))))))))))))))))))))</f>
        <v>1</v>
      </c>
      <c r="G1006" s="52">
        <v>1</v>
      </c>
      <c r="H1006" s="90" t="s">
        <v>115</v>
      </c>
      <c r="I1006" s="93" t="s">
        <v>85</v>
      </c>
      <c r="J1006" s="87" t="s">
        <v>1170</v>
      </c>
      <c r="K1006" s="119" t="s">
        <v>4765</v>
      </c>
      <c r="L1006" s="117">
        <f>IF(O1006="","",N1006*O1006*M1006)</f>
        <v>0</v>
      </c>
      <c r="M1006" s="108">
        <v>1</v>
      </c>
      <c r="N1006" s="95">
        <v>1</v>
      </c>
      <c r="O1006" s="109">
        <f>IF(Key!D$1="ON",P1006,IF(SUM(Q1006:DL1006)&lt;1,"",SUM(Q1006:DL1006)/COUNTIF(Q1006:DL1006,"&gt;0")))</f>
        <v>0</v>
      </c>
      <c r="P1006" s="109">
        <f>SUMIFS(Q1006:DK1006,Q$1:DK$1,Dashboard!$K$31)</f>
        <v>0</v>
      </c>
      <c r="U1006" s="95">
        <v>33</v>
      </c>
      <c r="AA1006" s="95">
        <v>25</v>
      </c>
      <c r="AH1006" s="95">
        <v>75</v>
      </c>
    </row>
    <row r="1007" spans="1:34" x14ac:dyDescent="0.3">
      <c r="A1007" s="89" t="str">
        <f>CONCATENATE(D1007,".",F1007,"-",G1007,".",H1007,"")</f>
        <v>2.1-1.1</v>
      </c>
      <c r="B1007" s="89" t="str">
        <f>IF(CONCATENATE(I1007,Key!F$2)=CONCATENATE(INDEX(Dashboard!J:J,MATCH(I1007,Dashboard!J:J,0),1),INDEX(Dashboard!J:K,MATCH(I1007,Dashboard!J:J,0),2)),"ON",IF(Dashboard!K$32="ALL","ON","-"))</f>
        <v>-</v>
      </c>
      <c r="C1007" s="88" t="s">
        <v>152</v>
      </c>
      <c r="D1007" s="89">
        <f>IF(C1007="ID",1,(IF(C1007="PR",2,(IF(C1007="DE",3,(IF(C1007="RS",4,(IF(C1007="RC",5,0)))))))))</f>
        <v>2</v>
      </c>
      <c r="E1007" s="89" t="s">
        <v>153</v>
      </c>
      <c r="F1007" s="89">
        <f>IF(E1007="AM",1,(IF(E1007="BE",2,(IF(E1007="GV",3,(IF(E1007="RA",4,(IF(E1007="RM",5,(IF(E1007="AC",1,(IF(E1007="AT",2,(IF(E1007="DS",3,(IF(E1007="IP",4,(IF(E1007="MA",5,(IF(E1007="PT",6,(IF(E1007="AE",1,(IF(E1007="CM",2,(IF(E1007="DP",3,(IF(E1007="AN",1,(IF(E1007="CO",2,(IF(E1007="IM",3,(IF(E1007="MI",4,(IF(E1007="RP",5,(IF(E1007="SC",6,0)))))))))))))))))))))))))))))))))))))))</f>
        <v>1</v>
      </c>
      <c r="G1007" s="52">
        <v>1</v>
      </c>
      <c r="H1007" s="90" t="s">
        <v>115</v>
      </c>
      <c r="I1007" s="93" t="s">
        <v>85</v>
      </c>
      <c r="J1007" s="87" t="s">
        <v>1169</v>
      </c>
      <c r="K1007" s="119" t="s">
        <v>4764</v>
      </c>
      <c r="L1007" s="117">
        <f>IF(O1007="","",N1007*O1007*M1007)</f>
        <v>0</v>
      </c>
      <c r="M1007" s="108">
        <v>1</v>
      </c>
      <c r="N1007" s="95">
        <v>1</v>
      </c>
      <c r="O1007" s="109">
        <f>IF(Key!D$1="ON",P1007,IF(SUM(Q1007:DL1007)&lt;1,"",SUM(Q1007:DL1007)/COUNTIF(Q1007:DL1007,"&gt;0")))</f>
        <v>0</v>
      </c>
      <c r="P1007" s="109">
        <f>SUMIFS(Q1007:DK1007,Q$1:DK$1,Dashboard!$K$31)</f>
        <v>0</v>
      </c>
      <c r="U1007" s="95">
        <v>33</v>
      </c>
      <c r="AA1007" s="95">
        <v>25</v>
      </c>
      <c r="AH1007" s="95">
        <v>75</v>
      </c>
    </row>
    <row r="1008" spans="1:34" x14ac:dyDescent="0.3">
      <c r="A1008" s="89" t="str">
        <f>CONCATENATE(D1008,".",F1008,"-",G1008,".",H1008,"")</f>
        <v>2.1-1.1</v>
      </c>
      <c r="B1008" s="89" t="str">
        <f>IF(CONCATENATE(I1008,Key!F$2)=CONCATENATE(INDEX(Dashboard!J:J,MATCH(I1008,Dashboard!J:J,0),1),INDEX(Dashboard!J:K,MATCH(I1008,Dashboard!J:J,0),2)),"ON",IF(Dashboard!K$32="ALL","ON","-"))</f>
        <v>-</v>
      </c>
      <c r="C1008" s="88" t="s">
        <v>152</v>
      </c>
      <c r="D1008" s="89">
        <f>IF(C1008="ID",1,(IF(C1008="PR",2,(IF(C1008="DE",3,(IF(C1008="RS",4,(IF(C1008="RC",5,0)))))))))</f>
        <v>2</v>
      </c>
      <c r="E1008" s="89" t="s">
        <v>153</v>
      </c>
      <c r="F1008" s="89">
        <f>IF(E1008="AM",1,(IF(E1008="BE",2,(IF(E1008="GV",3,(IF(E1008="RA",4,(IF(E1008="RM",5,(IF(E1008="AC",1,(IF(E1008="AT",2,(IF(E1008="DS",3,(IF(E1008="IP",4,(IF(E1008="MA",5,(IF(E1008="PT",6,(IF(E1008="AE",1,(IF(E1008="CM",2,(IF(E1008="DP",3,(IF(E1008="AN",1,(IF(E1008="CO",2,(IF(E1008="IM",3,(IF(E1008="MI",4,(IF(E1008="RP",5,(IF(E1008="SC",6,0)))))))))))))))))))))))))))))))))))))))</f>
        <v>1</v>
      </c>
      <c r="G1008" s="52">
        <v>1</v>
      </c>
      <c r="H1008" s="90" t="s">
        <v>115</v>
      </c>
      <c r="I1008" s="93" t="s">
        <v>85</v>
      </c>
      <c r="J1008" s="87" t="s">
        <v>1133</v>
      </c>
      <c r="K1008" s="119" t="s">
        <v>4749</v>
      </c>
      <c r="L1008" s="117">
        <f>IF(O1008="","",N1008*O1008*M1008)</f>
        <v>0</v>
      </c>
      <c r="M1008" s="108">
        <v>1</v>
      </c>
      <c r="N1008" s="95">
        <v>1</v>
      </c>
      <c r="O1008" s="109">
        <f>IF(Key!D$1="ON",P1008,IF(SUM(Q1008:DL1008)&lt;1,"",SUM(Q1008:DL1008)/COUNTIF(Q1008:DL1008,"&gt;0")))</f>
        <v>0</v>
      </c>
      <c r="P1008" s="109">
        <f>SUMIFS(Q1008:DK1008,Q$1:DK$1,Dashboard!$K$31)</f>
        <v>0</v>
      </c>
      <c r="U1008" s="95">
        <v>33</v>
      </c>
      <c r="AA1008" s="95">
        <v>25</v>
      </c>
      <c r="AH1008" s="95">
        <v>75</v>
      </c>
    </row>
    <row r="1009" spans="1:34" x14ac:dyDescent="0.3">
      <c r="A1009" s="89" t="str">
        <f>CONCATENATE(D1009,".",F1009,"-",G1009,".",H1009,"")</f>
        <v>2.1-1.1</v>
      </c>
      <c r="B1009" s="89" t="str">
        <f>IF(CONCATENATE(I1009,Key!F$2)=CONCATENATE(INDEX(Dashboard!J:J,MATCH(I1009,Dashboard!J:J,0),1),INDEX(Dashboard!J:K,MATCH(I1009,Dashboard!J:J,0),2)),"ON",IF(Dashboard!K$32="ALL","ON","-"))</f>
        <v>-</v>
      </c>
      <c r="C1009" s="88" t="s">
        <v>152</v>
      </c>
      <c r="D1009" s="89">
        <f>IF(C1009="ID",1,(IF(C1009="PR",2,(IF(C1009="DE",3,(IF(C1009="RS",4,(IF(C1009="RC",5,0)))))))))</f>
        <v>2</v>
      </c>
      <c r="E1009" s="89" t="s">
        <v>153</v>
      </c>
      <c r="F1009" s="89">
        <f>IF(E1009="AM",1,(IF(E1009="BE",2,(IF(E1009="GV",3,(IF(E1009="RA",4,(IF(E1009="RM",5,(IF(E1009="AC",1,(IF(E1009="AT",2,(IF(E1009="DS",3,(IF(E1009="IP",4,(IF(E1009="MA",5,(IF(E1009="PT",6,(IF(E1009="AE",1,(IF(E1009="CM",2,(IF(E1009="DP",3,(IF(E1009="AN",1,(IF(E1009="CO",2,(IF(E1009="IM",3,(IF(E1009="MI",4,(IF(E1009="RP",5,(IF(E1009="SC",6,0)))))))))))))))))))))))))))))))))))))))</f>
        <v>1</v>
      </c>
      <c r="G1009" s="52">
        <v>1</v>
      </c>
      <c r="H1009" s="90" t="s">
        <v>115</v>
      </c>
      <c r="I1009" s="93" t="s">
        <v>85</v>
      </c>
      <c r="J1009" s="87" t="s">
        <v>1158</v>
      </c>
      <c r="K1009" s="119" t="s">
        <v>4760</v>
      </c>
      <c r="L1009" s="117">
        <f>IF(O1009="","",N1009*O1009*M1009)</f>
        <v>0</v>
      </c>
      <c r="M1009" s="108">
        <v>1</v>
      </c>
      <c r="N1009" s="95">
        <v>1</v>
      </c>
      <c r="O1009" s="109">
        <f>IF(Key!D$1="ON",P1009,IF(SUM(Q1009:DL1009)&lt;1,"",SUM(Q1009:DL1009)/COUNTIF(Q1009:DL1009,"&gt;0")))</f>
        <v>0</v>
      </c>
      <c r="P1009" s="109">
        <f>SUMIFS(Q1009:DK1009,Q$1:DK$1,Dashboard!$K$31)</f>
        <v>0</v>
      </c>
      <c r="U1009" s="95">
        <v>33</v>
      </c>
      <c r="AA1009" s="95">
        <v>25</v>
      </c>
      <c r="AH1009" s="95">
        <v>75</v>
      </c>
    </row>
    <row r="1010" spans="1:34" x14ac:dyDescent="0.3">
      <c r="A1010" s="89" t="str">
        <f>CONCATENATE(D1010,".",F1010,"-",G1010,".",H1010,"")</f>
        <v>2.1-1.1</v>
      </c>
      <c r="B1010" s="89" t="str">
        <f>IF(CONCATENATE(I1010,Key!F$2)=CONCATENATE(INDEX(Dashboard!J:J,MATCH(I1010,Dashboard!J:J,0),1),INDEX(Dashboard!J:K,MATCH(I1010,Dashboard!J:J,0),2)),"ON",IF(Dashboard!K$32="ALL","ON","-"))</f>
        <v>-</v>
      </c>
      <c r="C1010" s="88" t="s">
        <v>152</v>
      </c>
      <c r="D1010" s="89">
        <f>IF(C1010="ID",1,(IF(C1010="PR",2,(IF(C1010="DE",3,(IF(C1010="RS",4,(IF(C1010="RC",5,0)))))))))</f>
        <v>2</v>
      </c>
      <c r="E1010" s="89" t="s">
        <v>153</v>
      </c>
      <c r="F1010" s="89">
        <f>IF(E1010="AM",1,(IF(E1010="BE",2,(IF(E1010="GV",3,(IF(E1010="RA",4,(IF(E1010="RM",5,(IF(E1010="AC",1,(IF(E1010="AT",2,(IF(E1010="DS",3,(IF(E1010="IP",4,(IF(E1010="MA",5,(IF(E1010="PT",6,(IF(E1010="AE",1,(IF(E1010="CM",2,(IF(E1010="DP",3,(IF(E1010="AN",1,(IF(E1010="CO",2,(IF(E1010="IM",3,(IF(E1010="MI",4,(IF(E1010="RP",5,(IF(E1010="SC",6,0)))))))))))))))))))))))))))))))))))))))</f>
        <v>1</v>
      </c>
      <c r="G1010" s="52">
        <v>1</v>
      </c>
      <c r="H1010" s="90" t="s">
        <v>115</v>
      </c>
      <c r="I1010" s="93" t="s">
        <v>85</v>
      </c>
      <c r="J1010" s="87" t="s">
        <v>1149</v>
      </c>
      <c r="K1010" s="119" t="s">
        <v>4753</v>
      </c>
      <c r="L1010" s="117">
        <f>IF(O1010="","",N1010*O1010*M1010)</f>
        <v>0</v>
      </c>
      <c r="M1010" s="108">
        <v>1</v>
      </c>
      <c r="N1010" s="95">
        <v>1</v>
      </c>
      <c r="O1010" s="109">
        <f>IF(Key!D$1="ON",P1010,IF(SUM(Q1010:DL1010)&lt;1,"",SUM(Q1010:DL1010)/COUNTIF(Q1010:DL1010,"&gt;0")))</f>
        <v>0</v>
      </c>
      <c r="P1010" s="109">
        <f>SUMIFS(Q1010:DK1010,Q$1:DK$1,Dashboard!$K$31)</f>
        <v>0</v>
      </c>
      <c r="U1010" s="95">
        <v>33</v>
      </c>
      <c r="AA1010" s="95">
        <v>25</v>
      </c>
      <c r="AH1010" s="95">
        <v>75</v>
      </c>
    </row>
    <row r="1011" spans="1:34" x14ac:dyDescent="0.3">
      <c r="A1011" s="89" t="str">
        <f>CONCATENATE(D1011,".",F1011,"-",G1011,".",H1011,"")</f>
        <v>2.1-1.1</v>
      </c>
      <c r="B1011" s="89" t="str">
        <f>IF(CONCATENATE(I1011,Key!F$2)=CONCATENATE(INDEX(Dashboard!J:J,MATCH(I1011,Dashboard!J:J,0),1),INDEX(Dashboard!J:K,MATCH(I1011,Dashboard!J:J,0),2)),"ON",IF(Dashboard!K$32="ALL","ON","-"))</f>
        <v>-</v>
      </c>
      <c r="C1011" s="88" t="s">
        <v>152</v>
      </c>
      <c r="D1011" s="89">
        <f>IF(C1011="ID",1,(IF(C1011="PR",2,(IF(C1011="DE",3,(IF(C1011="RS",4,(IF(C1011="RC",5,0)))))))))</f>
        <v>2</v>
      </c>
      <c r="E1011" s="89" t="s">
        <v>153</v>
      </c>
      <c r="F1011" s="89">
        <f>IF(E1011="AM",1,(IF(E1011="BE",2,(IF(E1011="GV",3,(IF(E1011="RA",4,(IF(E1011="RM",5,(IF(E1011="AC",1,(IF(E1011="AT",2,(IF(E1011="DS",3,(IF(E1011="IP",4,(IF(E1011="MA",5,(IF(E1011="PT",6,(IF(E1011="AE",1,(IF(E1011="CM",2,(IF(E1011="DP",3,(IF(E1011="AN",1,(IF(E1011="CO",2,(IF(E1011="IM",3,(IF(E1011="MI",4,(IF(E1011="RP",5,(IF(E1011="SC",6,0)))))))))))))))))))))))))))))))))))))))</f>
        <v>1</v>
      </c>
      <c r="G1011" s="52">
        <v>1</v>
      </c>
      <c r="H1011" s="90" t="s">
        <v>115</v>
      </c>
      <c r="I1011" s="93" t="s">
        <v>85</v>
      </c>
      <c r="J1011" s="87" t="s">
        <v>1168</v>
      </c>
      <c r="K1011" s="119" t="s">
        <v>4763</v>
      </c>
      <c r="L1011" s="117">
        <f>IF(O1011="","",N1011*O1011*M1011)</f>
        <v>0</v>
      </c>
      <c r="M1011" s="108">
        <v>1</v>
      </c>
      <c r="N1011" s="95">
        <v>1</v>
      </c>
      <c r="O1011" s="109">
        <f>IF(Key!D$1="ON",P1011,IF(SUM(Q1011:DL1011)&lt;1,"",SUM(Q1011:DL1011)/COUNTIF(Q1011:DL1011,"&gt;0")))</f>
        <v>0</v>
      </c>
      <c r="P1011" s="109">
        <f>SUMIFS(Q1011:DK1011,Q$1:DK$1,Dashboard!$K$31)</f>
        <v>0</v>
      </c>
      <c r="U1011" s="95">
        <v>33</v>
      </c>
      <c r="AA1011" s="95">
        <v>25</v>
      </c>
      <c r="AH1011" s="95">
        <v>75</v>
      </c>
    </row>
    <row r="1012" spans="1:34" x14ac:dyDescent="0.3">
      <c r="A1012" s="89" t="str">
        <f>CONCATENATE(D1012,".",F1012,"-",G1012,".",H1012,"")</f>
        <v>2.1-1.1</v>
      </c>
      <c r="B1012" s="89" t="str">
        <f>IF(CONCATENATE(I1012,Key!F$2)=CONCATENATE(INDEX(Dashboard!J:J,MATCH(I1012,Dashboard!J:J,0),1),INDEX(Dashboard!J:K,MATCH(I1012,Dashboard!J:J,0),2)),"ON",IF(Dashboard!K$32="ALL","ON","-"))</f>
        <v>-</v>
      </c>
      <c r="C1012" s="88" t="s">
        <v>152</v>
      </c>
      <c r="D1012" s="89">
        <f>IF(C1012="ID",1,(IF(C1012="PR",2,(IF(C1012="DE",3,(IF(C1012="RS",4,(IF(C1012="RC",5,0)))))))))</f>
        <v>2</v>
      </c>
      <c r="E1012" s="89" t="s">
        <v>153</v>
      </c>
      <c r="F1012" s="89">
        <f>IF(E1012="AM",1,(IF(E1012="BE",2,(IF(E1012="GV",3,(IF(E1012="RA",4,(IF(E1012="RM",5,(IF(E1012="AC",1,(IF(E1012="AT",2,(IF(E1012="DS",3,(IF(E1012="IP",4,(IF(E1012="MA",5,(IF(E1012="PT",6,(IF(E1012="AE",1,(IF(E1012="CM",2,(IF(E1012="DP",3,(IF(E1012="AN",1,(IF(E1012="CO",2,(IF(E1012="IM",3,(IF(E1012="MI",4,(IF(E1012="RP",5,(IF(E1012="SC",6,0)))))))))))))))))))))))))))))))))))))))</f>
        <v>1</v>
      </c>
      <c r="G1012" s="52">
        <v>1</v>
      </c>
      <c r="H1012" s="90" t="s">
        <v>115</v>
      </c>
      <c r="I1012" s="93" t="s">
        <v>85</v>
      </c>
      <c r="J1012" s="87" t="s">
        <v>1126</v>
      </c>
      <c r="K1012" s="119" t="s">
        <v>1127</v>
      </c>
      <c r="L1012" s="117">
        <f>IF(O1012="","",N1012*O1012*M1012)</f>
        <v>0</v>
      </c>
      <c r="M1012" s="108">
        <v>1</v>
      </c>
      <c r="N1012" s="95">
        <v>1</v>
      </c>
      <c r="O1012" s="109">
        <f>IF(Key!D$1="ON",P1012,IF(SUM(Q1012:DL1012)&lt;1,"",SUM(Q1012:DL1012)/COUNTIF(Q1012:DL1012,"&gt;0")))</f>
        <v>0</v>
      </c>
      <c r="P1012" s="109">
        <f>SUMIFS(Q1012:DK1012,Q$1:DK$1,Dashboard!$K$31)</f>
        <v>0</v>
      </c>
      <c r="U1012" s="95">
        <v>33</v>
      </c>
      <c r="AA1012" s="95">
        <v>25</v>
      </c>
      <c r="AH1012" s="95">
        <v>75</v>
      </c>
    </row>
    <row r="1013" spans="1:34" x14ac:dyDescent="0.3">
      <c r="A1013" s="89" t="str">
        <f>CONCATENATE(D1013,".",F1013,"-",G1013,".",H1013,"")</f>
        <v>2.1-1.1</v>
      </c>
      <c r="B1013" s="89" t="str">
        <f>IF(CONCATENATE(I1013,Key!F$2)=CONCATENATE(INDEX(Dashboard!J:J,MATCH(I1013,Dashboard!J:J,0),1),INDEX(Dashboard!J:K,MATCH(I1013,Dashboard!J:J,0),2)),"ON",IF(Dashboard!K$32="ALL","ON","-"))</f>
        <v>-</v>
      </c>
      <c r="C1013" s="88" t="s">
        <v>152</v>
      </c>
      <c r="D1013" s="89">
        <f>IF(C1013="ID",1,(IF(C1013="PR",2,(IF(C1013="DE",3,(IF(C1013="RS",4,(IF(C1013="RC",5,0)))))))))</f>
        <v>2</v>
      </c>
      <c r="E1013" s="89" t="s">
        <v>153</v>
      </c>
      <c r="F1013" s="89">
        <f>IF(E1013="AM",1,(IF(E1013="BE",2,(IF(E1013="GV",3,(IF(E1013="RA",4,(IF(E1013="RM",5,(IF(E1013="AC",1,(IF(E1013="AT",2,(IF(E1013="DS",3,(IF(E1013="IP",4,(IF(E1013="MA",5,(IF(E1013="PT",6,(IF(E1013="AE",1,(IF(E1013="CM",2,(IF(E1013="DP",3,(IF(E1013="AN",1,(IF(E1013="CO",2,(IF(E1013="IM",3,(IF(E1013="MI",4,(IF(E1013="RP",5,(IF(E1013="SC",6,0)))))))))))))))))))))))))))))))))))))))</f>
        <v>1</v>
      </c>
      <c r="G1013" s="52">
        <v>1</v>
      </c>
      <c r="H1013" s="90" t="s">
        <v>115</v>
      </c>
      <c r="I1013" s="93" t="s">
        <v>85</v>
      </c>
      <c r="J1013" s="87" t="s">
        <v>1472</v>
      </c>
      <c r="K1013" s="119" t="s">
        <v>5141</v>
      </c>
      <c r="L1013" s="117">
        <f>IF(O1013="","",N1013*O1013*M1013)</f>
        <v>0</v>
      </c>
      <c r="M1013" s="108">
        <v>1</v>
      </c>
      <c r="N1013" s="95">
        <v>1</v>
      </c>
      <c r="O1013" s="109">
        <f>IF(Key!D$1="ON",P1013,IF(SUM(Q1013:DL1013)&lt;1,"",SUM(Q1013:DL1013)/COUNTIF(Q1013:DL1013,"&gt;0")))</f>
        <v>0</v>
      </c>
      <c r="P1013" s="109">
        <f>SUMIFS(Q1013:DK1013,Q$1:DK$1,Dashboard!$K$31)</f>
        <v>0</v>
      </c>
      <c r="U1013" s="95">
        <v>33</v>
      </c>
      <c r="AA1013" s="95">
        <v>25</v>
      </c>
      <c r="AH1013" s="95">
        <v>75</v>
      </c>
    </row>
    <row r="1014" spans="1:34" ht="15.6" x14ac:dyDescent="0.3">
      <c r="A1014" s="89" t="str">
        <f>CONCATENATE(D1014,".",F1014,"-",G1014,".",H1014,"")</f>
        <v>2.1-1.1</v>
      </c>
      <c r="B1014" s="89" t="str">
        <f>IF(CONCATENATE(I1014,Key!F$2)=CONCATENATE(INDEX(Dashboard!J:J,MATCH(I1014,Dashboard!J:J,0),1),INDEX(Dashboard!J:K,MATCH(I1014,Dashboard!J:J,0),2)),"ON",IF(Dashboard!K$32="ALL","ON","-"))</f>
        <v>-</v>
      </c>
      <c r="C1014" s="88" t="s">
        <v>152</v>
      </c>
      <c r="D1014" s="89">
        <f>IF(C1014="ID",1,(IF(C1014="PR",2,(IF(C1014="DE",3,(IF(C1014="RS",4,(IF(C1014="RC",5,0)))))))))</f>
        <v>2</v>
      </c>
      <c r="E1014" s="89" t="s">
        <v>153</v>
      </c>
      <c r="F1014" s="89">
        <f>IF(E1014="AM",1,(IF(E1014="BE",2,(IF(E1014="GV",3,(IF(E1014="RA",4,(IF(E1014="RM",5,(IF(E1014="AC",1,(IF(E1014="AT",2,(IF(E1014="DS",3,(IF(E1014="IP",4,(IF(E1014="MA",5,(IF(E1014="PT",6,(IF(E1014="AE",1,(IF(E1014="CM",2,(IF(E1014="DP",3,(IF(E1014="AN",1,(IF(E1014="CO",2,(IF(E1014="IM",3,(IF(E1014="MI",4,(IF(E1014="RP",5,(IF(E1014="SC",6,0)))))))))))))))))))))))))))))))))))))))</f>
        <v>1</v>
      </c>
      <c r="G1014" s="52">
        <v>1</v>
      </c>
      <c r="H1014" s="90" t="s">
        <v>115</v>
      </c>
      <c r="I1014" s="93" t="s">
        <v>85</v>
      </c>
      <c r="J1014" s="87" t="s">
        <v>1123</v>
      </c>
      <c r="K1014" s="119" t="s">
        <v>4548</v>
      </c>
      <c r="L1014" s="117">
        <f>IF(O1014="","",N1014*O1014*M1014)</f>
        <v>0</v>
      </c>
      <c r="M1014" s="108">
        <v>1</v>
      </c>
      <c r="N1014" s="95">
        <v>1</v>
      </c>
      <c r="O1014" s="109">
        <f>IF(Key!D$1="ON",P1014,IF(SUM(Q1014:DL1014)&lt;1,"",SUM(Q1014:DL1014)/COUNTIF(Q1014:DL1014,"&gt;0")))</f>
        <v>0</v>
      </c>
      <c r="P1014" s="109">
        <f>SUMIFS(Q1014:DK1014,Q$1:DK$1,Dashboard!$K$31)</f>
        <v>0</v>
      </c>
      <c r="U1014" s="95">
        <v>33</v>
      </c>
      <c r="AA1014" s="95">
        <v>25</v>
      </c>
      <c r="AH1014" s="95">
        <v>75</v>
      </c>
    </row>
    <row r="1015" spans="1:34" x14ac:dyDescent="0.3">
      <c r="A1015" s="89" t="str">
        <f>CONCATENATE(D1015,".",F1015,"-",G1015,".",H1015,"")</f>
        <v>2.1-1.1</v>
      </c>
      <c r="B1015" s="89" t="str">
        <f>IF(CONCATENATE(I1015,Key!F$2)=CONCATENATE(INDEX(Dashboard!J:J,MATCH(I1015,Dashboard!J:J,0),1),INDEX(Dashboard!J:K,MATCH(I1015,Dashboard!J:J,0),2)),"ON",IF(Dashboard!K$32="ALL","ON","-"))</f>
        <v>-</v>
      </c>
      <c r="C1015" s="88" t="s">
        <v>152</v>
      </c>
      <c r="D1015" s="89">
        <f>IF(C1015="ID",1,(IF(C1015="PR",2,(IF(C1015="DE",3,(IF(C1015="RS",4,(IF(C1015="RC",5,0)))))))))</f>
        <v>2</v>
      </c>
      <c r="E1015" s="89" t="s">
        <v>153</v>
      </c>
      <c r="F1015" s="89">
        <f>IF(E1015="AM",1,(IF(E1015="BE",2,(IF(E1015="GV",3,(IF(E1015="RA",4,(IF(E1015="RM",5,(IF(E1015="AC",1,(IF(E1015="AT",2,(IF(E1015="DS",3,(IF(E1015="IP",4,(IF(E1015="MA",5,(IF(E1015="PT",6,(IF(E1015="AE",1,(IF(E1015="CM",2,(IF(E1015="DP",3,(IF(E1015="AN",1,(IF(E1015="CO",2,(IF(E1015="IM",3,(IF(E1015="MI",4,(IF(E1015="RP",5,(IF(E1015="SC",6,0)))))))))))))))))))))))))))))))))))))))</f>
        <v>1</v>
      </c>
      <c r="G1015" s="52">
        <v>1</v>
      </c>
      <c r="H1015" s="90" t="s">
        <v>115</v>
      </c>
      <c r="I1015" s="93" t="s">
        <v>85</v>
      </c>
      <c r="J1015" s="87" t="s">
        <v>1122</v>
      </c>
      <c r="K1015" s="119" t="s">
        <v>4505</v>
      </c>
      <c r="L1015" s="117">
        <f>IF(O1015="","",N1015*O1015*M1015)</f>
        <v>0</v>
      </c>
      <c r="M1015" s="108">
        <v>1</v>
      </c>
      <c r="N1015" s="95">
        <v>1</v>
      </c>
      <c r="O1015" s="109">
        <f>IF(Key!D$1="ON",P1015,IF(SUM(Q1015:DL1015)&lt;1,"",SUM(Q1015:DL1015)/COUNTIF(Q1015:DL1015,"&gt;0")))</f>
        <v>0</v>
      </c>
      <c r="P1015" s="109">
        <f>SUMIFS(Q1015:DK1015,Q$1:DK$1,Dashboard!$K$31)</f>
        <v>0</v>
      </c>
      <c r="U1015" s="95">
        <v>33</v>
      </c>
      <c r="AA1015" s="95">
        <v>25</v>
      </c>
      <c r="AH1015" s="95">
        <v>75</v>
      </c>
    </row>
    <row r="1016" spans="1:34" x14ac:dyDescent="0.3">
      <c r="A1016" s="89" t="str">
        <f>CONCATENATE(D1016,".",F1016,"-",G1016,".",H1016,"")</f>
        <v>2.1-1.1</v>
      </c>
      <c r="B1016" s="89" t="str">
        <f>IF(CONCATENATE(I1016,Key!F$2)=CONCATENATE(INDEX(Dashboard!J:J,MATCH(I1016,Dashboard!J:J,0),1),INDEX(Dashboard!J:K,MATCH(I1016,Dashboard!J:J,0),2)),"ON",IF(Dashboard!K$32="ALL","ON","-"))</f>
        <v>-</v>
      </c>
      <c r="C1016" s="88" t="s">
        <v>152</v>
      </c>
      <c r="D1016" s="89">
        <f>IF(C1016="ID",1,(IF(C1016="PR",2,(IF(C1016="DE",3,(IF(C1016="RS",4,(IF(C1016="RC",5,0)))))))))</f>
        <v>2</v>
      </c>
      <c r="E1016" s="89" t="s">
        <v>153</v>
      </c>
      <c r="F1016" s="89">
        <f>IF(E1016="AM",1,(IF(E1016="BE",2,(IF(E1016="GV",3,(IF(E1016="RA",4,(IF(E1016="RM",5,(IF(E1016="AC",1,(IF(E1016="AT",2,(IF(E1016="DS",3,(IF(E1016="IP",4,(IF(E1016="MA",5,(IF(E1016="PT",6,(IF(E1016="AE",1,(IF(E1016="CM",2,(IF(E1016="DP",3,(IF(E1016="AN",1,(IF(E1016="CO",2,(IF(E1016="IM",3,(IF(E1016="MI",4,(IF(E1016="RP",5,(IF(E1016="SC",6,0)))))))))))))))))))))))))))))))))))))))</f>
        <v>1</v>
      </c>
      <c r="G1016" s="52">
        <v>1</v>
      </c>
      <c r="H1016" s="90" t="s">
        <v>115</v>
      </c>
      <c r="I1016" s="93" t="s">
        <v>85</v>
      </c>
      <c r="J1016" s="87" t="s">
        <v>1121</v>
      </c>
      <c r="K1016" s="119" t="s">
        <v>4503</v>
      </c>
      <c r="L1016" s="117">
        <f>IF(O1016="","",N1016*O1016*M1016)</f>
        <v>0</v>
      </c>
      <c r="M1016" s="108">
        <v>1</v>
      </c>
      <c r="N1016" s="95">
        <v>1</v>
      </c>
      <c r="O1016" s="109">
        <f>IF(Key!D$1="ON",P1016,IF(SUM(Q1016:DL1016)&lt;1,"",SUM(Q1016:DL1016)/COUNTIF(Q1016:DL1016,"&gt;0")))</f>
        <v>0</v>
      </c>
      <c r="P1016" s="109">
        <f>SUMIFS(Q1016:DK1016,Q$1:DK$1,Dashboard!$K$31)</f>
        <v>0</v>
      </c>
      <c r="U1016" s="95">
        <v>33</v>
      </c>
      <c r="AA1016" s="95">
        <v>25</v>
      </c>
      <c r="AH1016" s="95">
        <v>75</v>
      </c>
    </row>
    <row r="1017" spans="1:34" x14ac:dyDescent="0.3">
      <c r="A1017" s="89" t="str">
        <f>CONCATENATE(D1017,".",F1017,"-",G1017,".",H1017,"")</f>
        <v>2.1-1.1</v>
      </c>
      <c r="B1017" s="89" t="str">
        <f>IF(CONCATENATE(I1017,Key!F$2)=CONCATENATE(INDEX(Dashboard!J:J,MATCH(I1017,Dashboard!J:J,0),1),INDEX(Dashboard!J:K,MATCH(I1017,Dashboard!J:J,0),2)),"ON",IF(Dashboard!K$32="ALL","ON","-"))</f>
        <v>-</v>
      </c>
      <c r="C1017" s="88" t="s">
        <v>152</v>
      </c>
      <c r="D1017" s="89">
        <f>IF(C1017="ID",1,(IF(C1017="PR",2,(IF(C1017="DE",3,(IF(C1017="RS",4,(IF(C1017="RC",5,0)))))))))</f>
        <v>2</v>
      </c>
      <c r="E1017" s="89" t="s">
        <v>153</v>
      </c>
      <c r="F1017" s="89">
        <f>IF(E1017="AM",1,(IF(E1017="BE",2,(IF(E1017="GV",3,(IF(E1017="RA",4,(IF(E1017="RM",5,(IF(E1017="AC",1,(IF(E1017="AT",2,(IF(E1017="DS",3,(IF(E1017="IP",4,(IF(E1017="MA",5,(IF(E1017="PT",6,(IF(E1017="AE",1,(IF(E1017="CM",2,(IF(E1017="DP",3,(IF(E1017="AN",1,(IF(E1017="CO",2,(IF(E1017="IM",3,(IF(E1017="MI",4,(IF(E1017="RP",5,(IF(E1017="SC",6,0)))))))))))))))))))))))))))))))))))))))</f>
        <v>1</v>
      </c>
      <c r="G1017" s="52">
        <v>1</v>
      </c>
      <c r="H1017" s="90" t="s">
        <v>115</v>
      </c>
      <c r="I1017" s="93" t="s">
        <v>85</v>
      </c>
      <c r="J1017" s="87" t="s">
        <v>1181</v>
      </c>
      <c r="K1017" s="119" t="s">
        <v>1182</v>
      </c>
      <c r="L1017" s="117">
        <f>IF(O1017="","",N1017*O1017*M1017)</f>
        <v>0</v>
      </c>
      <c r="M1017" s="108">
        <v>1</v>
      </c>
      <c r="N1017" s="95">
        <v>1</v>
      </c>
      <c r="O1017" s="109">
        <f>IF(Key!D$1="ON",P1017,IF(SUM(Q1017:DL1017)&lt;1,"",SUM(Q1017:DL1017)/COUNTIF(Q1017:DL1017,"&gt;0")))</f>
        <v>0</v>
      </c>
      <c r="P1017" s="109">
        <f>SUMIFS(Q1017:DK1017,Q$1:DK$1,Dashboard!$K$31)</f>
        <v>0</v>
      </c>
      <c r="U1017" s="95">
        <v>33</v>
      </c>
      <c r="AA1017" s="95">
        <v>25</v>
      </c>
      <c r="AH1017" s="95">
        <v>75</v>
      </c>
    </row>
    <row r="1018" spans="1:34" x14ac:dyDescent="0.3">
      <c r="A1018" s="89" t="str">
        <f>CONCATENATE(D1018,".",F1018,"-",G1018,".",H1018,"")</f>
        <v>2.1-1.1</v>
      </c>
      <c r="B1018" s="89" t="str">
        <f>IF(CONCATENATE(I1018,Key!F$2)=CONCATENATE(INDEX(Dashboard!J:J,MATCH(I1018,Dashboard!J:J,0),1),INDEX(Dashboard!J:K,MATCH(I1018,Dashboard!J:J,0),2)),"ON",IF(Dashboard!K$32="ALL","ON","-"))</f>
        <v>-</v>
      </c>
      <c r="C1018" s="88" t="s">
        <v>152</v>
      </c>
      <c r="D1018" s="89">
        <f>IF(C1018="ID",1,(IF(C1018="PR",2,(IF(C1018="DE",3,(IF(C1018="RS",4,(IF(C1018="RC",5,0)))))))))</f>
        <v>2</v>
      </c>
      <c r="E1018" s="89" t="s">
        <v>153</v>
      </c>
      <c r="F1018" s="89">
        <f>IF(E1018="AM",1,(IF(E1018="BE",2,(IF(E1018="GV",3,(IF(E1018="RA",4,(IF(E1018="RM",5,(IF(E1018="AC",1,(IF(E1018="AT",2,(IF(E1018="DS",3,(IF(E1018="IP",4,(IF(E1018="MA",5,(IF(E1018="PT",6,(IF(E1018="AE",1,(IF(E1018="CM",2,(IF(E1018="DP",3,(IF(E1018="AN",1,(IF(E1018="CO",2,(IF(E1018="IM",3,(IF(E1018="MI",4,(IF(E1018="RP",5,(IF(E1018="SC",6,0)))))))))))))))))))))))))))))))))))))))</f>
        <v>1</v>
      </c>
      <c r="G1018" s="52">
        <v>1</v>
      </c>
      <c r="H1018" s="90" t="s">
        <v>115</v>
      </c>
      <c r="I1018" s="93" t="s">
        <v>85</v>
      </c>
      <c r="J1018" s="87" t="s">
        <v>1130</v>
      </c>
      <c r="K1018" s="119" t="s">
        <v>4747</v>
      </c>
      <c r="L1018" s="117">
        <f>IF(O1018="","",N1018*O1018*M1018)</f>
        <v>0</v>
      </c>
      <c r="M1018" s="108">
        <v>1</v>
      </c>
      <c r="N1018" s="95">
        <v>1</v>
      </c>
      <c r="O1018" s="109">
        <f>IF(Key!D$1="ON",P1018,IF(SUM(Q1018:DL1018)&lt;1,"",SUM(Q1018:DL1018)/COUNTIF(Q1018:DL1018,"&gt;0")))</f>
        <v>0</v>
      </c>
      <c r="P1018" s="109">
        <f>SUMIFS(Q1018:DK1018,Q$1:DK$1,Dashboard!$K$31)</f>
        <v>0</v>
      </c>
      <c r="U1018" s="95">
        <v>33</v>
      </c>
      <c r="AA1018" s="95">
        <v>25</v>
      </c>
      <c r="AH1018" s="95">
        <v>75</v>
      </c>
    </row>
    <row r="1019" spans="1:34" ht="15.6" x14ac:dyDescent="0.3">
      <c r="A1019" s="89" t="str">
        <f>CONCATENATE(D1019,".",F1019,"-",G1019,".",H1019,"")</f>
        <v>2.1-1.1</v>
      </c>
      <c r="B1019" s="89" t="str">
        <f>IF(CONCATENATE(I1019,Key!F$2)=CONCATENATE(INDEX(Dashboard!J:J,MATCH(I1019,Dashboard!J:J,0),1),INDEX(Dashboard!J:K,MATCH(I1019,Dashboard!J:J,0),2)),"ON",IF(Dashboard!K$32="ALL","ON","-"))</f>
        <v>-</v>
      </c>
      <c r="C1019" s="88" t="s">
        <v>152</v>
      </c>
      <c r="D1019" s="89">
        <f>IF(C1019="ID",1,(IF(C1019="PR",2,(IF(C1019="DE",3,(IF(C1019="RS",4,(IF(C1019="RC",5,0)))))))))</f>
        <v>2</v>
      </c>
      <c r="E1019" s="89" t="s">
        <v>153</v>
      </c>
      <c r="F1019" s="89">
        <f>IF(E1019="AM",1,(IF(E1019="BE",2,(IF(E1019="GV",3,(IF(E1019="RA",4,(IF(E1019="RM",5,(IF(E1019="AC",1,(IF(E1019="AT",2,(IF(E1019="DS",3,(IF(E1019="IP",4,(IF(E1019="MA",5,(IF(E1019="PT",6,(IF(E1019="AE",1,(IF(E1019="CM",2,(IF(E1019="DP",3,(IF(E1019="AN",1,(IF(E1019="CO",2,(IF(E1019="IM",3,(IF(E1019="MI",4,(IF(E1019="RP",5,(IF(E1019="SC",6,0)))))))))))))))))))))))))))))))))))))))</f>
        <v>1</v>
      </c>
      <c r="G1019" s="52">
        <v>1</v>
      </c>
      <c r="H1019" s="90" t="s">
        <v>115</v>
      </c>
      <c r="I1019" s="93" t="s">
        <v>85</v>
      </c>
      <c r="J1019" s="86" t="s">
        <v>628</v>
      </c>
      <c r="K1019" s="119" t="s">
        <v>4561</v>
      </c>
      <c r="L1019" s="117">
        <f>IF(O1019="","",N1019*O1019*M1019)</f>
        <v>0</v>
      </c>
      <c r="M1019" s="108">
        <v>1</v>
      </c>
      <c r="N1019" s="95">
        <v>1</v>
      </c>
      <c r="O1019" s="109">
        <f>IF(Key!D$1="ON",P1019,IF(SUM(Q1019:DL1019)&lt;1,"",SUM(Q1019:DL1019)/COUNTIF(Q1019:DL1019,"&gt;0")))</f>
        <v>0</v>
      </c>
      <c r="P1019" s="109">
        <f>SUMIFS(Q1019:DK1019,Q$1:DK$1,Dashboard!$K$31)</f>
        <v>0</v>
      </c>
      <c r="U1019" s="95">
        <v>33</v>
      </c>
      <c r="AA1019" s="95">
        <v>25</v>
      </c>
      <c r="AH1019" s="95">
        <v>75</v>
      </c>
    </row>
    <row r="1020" spans="1:34" x14ac:dyDescent="0.3">
      <c r="A1020" s="89" t="str">
        <f>CONCATENATE(D1020,".",F1020,"-",G1020,".",H1020,"")</f>
        <v>2.1-1.1</v>
      </c>
      <c r="B1020" s="89" t="str">
        <f>IF(CONCATENATE(I1020,Key!F$2)=CONCATENATE(INDEX(Dashboard!J:J,MATCH(I1020,Dashboard!J:J,0),1),INDEX(Dashboard!J:K,MATCH(I1020,Dashboard!J:J,0),2)),"ON",IF(Dashboard!K$32="ALL","ON","-"))</f>
        <v>-</v>
      </c>
      <c r="C1020" s="88" t="s">
        <v>152</v>
      </c>
      <c r="D1020" s="89">
        <f>IF(C1020="ID",1,(IF(C1020="PR",2,(IF(C1020="DE",3,(IF(C1020="RS",4,(IF(C1020="RC",5,0)))))))))</f>
        <v>2</v>
      </c>
      <c r="E1020" s="89" t="s">
        <v>153</v>
      </c>
      <c r="F1020" s="89">
        <f>IF(E1020="AM",1,(IF(E1020="BE",2,(IF(E1020="GV",3,(IF(E1020="RA",4,(IF(E1020="RM",5,(IF(E1020="AC",1,(IF(E1020="AT",2,(IF(E1020="DS",3,(IF(E1020="IP",4,(IF(E1020="MA",5,(IF(E1020="PT",6,(IF(E1020="AE",1,(IF(E1020="CM",2,(IF(E1020="DP",3,(IF(E1020="AN",1,(IF(E1020="CO",2,(IF(E1020="IM",3,(IF(E1020="MI",4,(IF(E1020="RP",5,(IF(E1020="SC",6,0)))))))))))))))))))))))))))))))))))))))</f>
        <v>1</v>
      </c>
      <c r="G1020" s="52">
        <v>1</v>
      </c>
      <c r="H1020" s="90" t="s">
        <v>115</v>
      </c>
      <c r="I1020" s="93" t="s">
        <v>85</v>
      </c>
      <c r="J1020" s="86" t="s">
        <v>629</v>
      </c>
      <c r="K1020" s="119" t="s">
        <v>4562</v>
      </c>
      <c r="L1020" s="117">
        <f>IF(O1020="","",N1020*O1020*M1020)</f>
        <v>0</v>
      </c>
      <c r="M1020" s="108">
        <v>1</v>
      </c>
      <c r="N1020" s="95">
        <v>1</v>
      </c>
      <c r="O1020" s="109">
        <f>IF(Key!D$1="ON",P1020,IF(SUM(Q1020:DL1020)&lt;1,"",SUM(Q1020:DL1020)/COUNTIF(Q1020:DL1020,"&gt;0")))</f>
        <v>0</v>
      </c>
      <c r="P1020" s="109">
        <f>SUMIFS(Q1020:DK1020,Q$1:DK$1,Dashboard!$K$31)</f>
        <v>0</v>
      </c>
      <c r="U1020" s="95">
        <v>33</v>
      </c>
      <c r="AA1020" s="95">
        <v>25</v>
      </c>
      <c r="AH1020" s="95">
        <v>75</v>
      </c>
    </row>
    <row r="1021" spans="1:34" x14ac:dyDescent="0.3">
      <c r="A1021" s="89" t="str">
        <f>CONCATENATE(D1021,".",F1021,"-",G1021,".",H1021,"")</f>
        <v>2.1-1.1</v>
      </c>
      <c r="B1021" s="89" t="str">
        <f>IF(CONCATENATE(I1021,Key!F$2)=CONCATENATE(INDEX(Dashboard!J:J,MATCH(I1021,Dashboard!J:J,0),1),INDEX(Dashboard!J:K,MATCH(I1021,Dashboard!J:J,0),2)),"ON",IF(Dashboard!K$32="ALL","ON","-"))</f>
        <v>-</v>
      </c>
      <c r="C1021" s="88" t="s">
        <v>152</v>
      </c>
      <c r="D1021" s="89">
        <f>IF(C1021="ID",1,(IF(C1021="PR",2,(IF(C1021="DE",3,(IF(C1021="RS",4,(IF(C1021="RC",5,0)))))))))</f>
        <v>2</v>
      </c>
      <c r="E1021" s="89" t="s">
        <v>153</v>
      </c>
      <c r="F1021" s="89">
        <f>IF(E1021="AM",1,(IF(E1021="BE",2,(IF(E1021="GV",3,(IF(E1021="RA",4,(IF(E1021="RM",5,(IF(E1021="AC",1,(IF(E1021="AT",2,(IF(E1021="DS",3,(IF(E1021="IP",4,(IF(E1021="MA",5,(IF(E1021="PT",6,(IF(E1021="AE",1,(IF(E1021="CM",2,(IF(E1021="DP",3,(IF(E1021="AN",1,(IF(E1021="CO",2,(IF(E1021="IM",3,(IF(E1021="MI",4,(IF(E1021="RP",5,(IF(E1021="SC",6,0)))))))))))))))))))))))))))))))))))))))</f>
        <v>1</v>
      </c>
      <c r="G1021" s="52">
        <v>1</v>
      </c>
      <c r="H1021" s="90" t="s">
        <v>115</v>
      </c>
      <c r="I1021" s="93" t="s">
        <v>85</v>
      </c>
      <c r="J1021" s="87" t="s">
        <v>1179</v>
      </c>
      <c r="K1021" s="119" t="s">
        <v>4779</v>
      </c>
      <c r="L1021" s="117">
        <f>IF(O1021="","",N1021*O1021*M1021)</f>
        <v>0</v>
      </c>
      <c r="M1021" s="108">
        <v>1</v>
      </c>
      <c r="N1021" s="95">
        <v>1</v>
      </c>
      <c r="O1021" s="109">
        <f>IF(Key!D$1="ON",P1021,IF(SUM(Q1021:DL1021)&lt;1,"",SUM(Q1021:DL1021)/COUNTIF(Q1021:DL1021,"&gt;0")))</f>
        <v>0</v>
      </c>
      <c r="P1021" s="109">
        <f>SUMIFS(Q1021:DK1021,Q$1:DK$1,Dashboard!$K$31)</f>
        <v>0</v>
      </c>
      <c r="U1021" s="95">
        <v>33</v>
      </c>
      <c r="AA1021" s="95">
        <v>25</v>
      </c>
      <c r="AH1021" s="95">
        <v>75</v>
      </c>
    </row>
    <row r="1022" spans="1:34" x14ac:dyDescent="0.3">
      <c r="A1022" s="89" t="str">
        <f>CONCATENATE(D1022,".",F1022,"-",G1022,".",H1022,"")</f>
        <v>2.1-1.1</v>
      </c>
      <c r="B1022" s="89" t="str">
        <f>IF(CONCATENATE(I1022,Key!F$2)=CONCATENATE(INDEX(Dashboard!J:J,MATCH(I1022,Dashboard!J:J,0),1),INDEX(Dashboard!J:K,MATCH(I1022,Dashboard!J:J,0),2)),"ON",IF(Dashboard!K$32="ALL","ON","-"))</f>
        <v>-</v>
      </c>
      <c r="C1022" s="88" t="s">
        <v>152</v>
      </c>
      <c r="D1022" s="89">
        <f>IF(C1022="ID",1,(IF(C1022="PR",2,(IF(C1022="DE",3,(IF(C1022="RS",4,(IF(C1022="RC",5,0)))))))))</f>
        <v>2</v>
      </c>
      <c r="E1022" s="89" t="s">
        <v>153</v>
      </c>
      <c r="F1022" s="89">
        <f>IF(E1022="AM",1,(IF(E1022="BE",2,(IF(E1022="GV",3,(IF(E1022="RA",4,(IF(E1022="RM",5,(IF(E1022="AC",1,(IF(E1022="AT",2,(IF(E1022="DS",3,(IF(E1022="IP",4,(IF(E1022="MA",5,(IF(E1022="PT",6,(IF(E1022="AE",1,(IF(E1022="CM",2,(IF(E1022="DP",3,(IF(E1022="AN",1,(IF(E1022="CO",2,(IF(E1022="IM",3,(IF(E1022="MI",4,(IF(E1022="RP",5,(IF(E1022="SC",6,0)))))))))))))))))))))))))))))))))))))))</f>
        <v>1</v>
      </c>
      <c r="G1022" s="52">
        <v>1</v>
      </c>
      <c r="H1022" s="90" t="s">
        <v>115</v>
      </c>
      <c r="I1022" s="93" t="s">
        <v>85</v>
      </c>
      <c r="J1022" s="86" t="s">
        <v>1117</v>
      </c>
      <c r="K1022" s="119" t="s">
        <v>4560</v>
      </c>
      <c r="L1022" s="117">
        <f>IF(O1022="","",N1022*O1022*M1022)</f>
        <v>0</v>
      </c>
      <c r="M1022" s="108">
        <v>1</v>
      </c>
      <c r="N1022" s="95">
        <v>1</v>
      </c>
      <c r="O1022" s="109">
        <f>IF(Key!D$1="ON",P1022,IF(SUM(Q1022:DL1022)&lt;1,"",SUM(Q1022:DL1022)/COUNTIF(Q1022:DL1022,"&gt;0")))</f>
        <v>0</v>
      </c>
      <c r="P1022" s="109">
        <f>SUMIFS(Q1022:DK1022,Q$1:DK$1,Dashboard!$K$31)</f>
        <v>0</v>
      </c>
      <c r="U1022" s="95">
        <v>33</v>
      </c>
      <c r="AA1022" s="95">
        <v>25</v>
      </c>
      <c r="AH1022" s="95">
        <v>75</v>
      </c>
    </row>
    <row r="1023" spans="1:34" ht="15.6" x14ac:dyDescent="0.3">
      <c r="A1023" s="89" t="str">
        <f>CONCATENATE(D1023,".",F1023,"-",G1023,".",H1023,"")</f>
        <v>2.1-1.1</v>
      </c>
      <c r="B1023" s="89" t="str">
        <f>IF(CONCATENATE(I1023,Key!F$2)=CONCATENATE(INDEX(Dashboard!J:J,MATCH(I1023,Dashboard!J:J,0),1),INDEX(Dashboard!J:K,MATCH(I1023,Dashboard!J:J,0),2)),"ON",IF(Dashboard!K$32="ALL","ON","-"))</f>
        <v>-</v>
      </c>
      <c r="C1023" s="88" t="s">
        <v>152</v>
      </c>
      <c r="D1023" s="89">
        <f>IF(C1023="ID",1,(IF(C1023="PR",2,(IF(C1023="DE",3,(IF(C1023="RS",4,(IF(C1023="RC",5,0)))))))))</f>
        <v>2</v>
      </c>
      <c r="E1023" s="89" t="s">
        <v>312</v>
      </c>
      <c r="F1023" s="89">
        <f>IF(E1023="AM",1,(IF(E1023="BE",2,(IF(E1023="GV",3,(IF(E1023="RA",4,(IF(E1023="RM",5,(IF(E1023="AC",1,(IF(E1023="AT",2,(IF(E1023="DS",3,(IF(E1023="IP",4,(IF(E1023="MA",5,(IF(E1023="PT",6,(IF(E1023="AE",1,(IF(E1023="CM",2,(IF(E1023="DP",3,(IF(E1023="AN",1,(IF(E1023="CO",2,(IF(E1023="IM",3,(IF(E1023="MI",4,(IF(E1023="RP",5,(IF(E1023="SC",6,0)))))))))))))))))))))))))))))))))))))))</f>
        <v>1</v>
      </c>
      <c r="G1023" s="52">
        <v>1</v>
      </c>
      <c r="H1023" s="90" t="s">
        <v>115</v>
      </c>
      <c r="I1023" s="93" t="s">
        <v>85</v>
      </c>
      <c r="J1023" s="87" t="s">
        <v>1665</v>
      </c>
      <c r="K1023" s="119" t="s">
        <v>5063</v>
      </c>
      <c r="L1023" s="117">
        <f>IF(O1023="","",N1023*O1023*M1023)</f>
        <v>0</v>
      </c>
      <c r="M1023" s="108">
        <v>1</v>
      </c>
      <c r="N1023" s="95">
        <v>1</v>
      </c>
      <c r="O1023" s="109">
        <f>IF(Key!D$1="ON",P1023,IF(SUM(Q1023:DL1023)&lt;1,"",SUM(Q1023:DL1023)/COUNTIF(Q1023:DL1023,"&gt;0")))</f>
        <v>0</v>
      </c>
      <c r="P1023" s="109">
        <f>SUMIFS(Q1023:DK1023,Q$1:DK$1,Dashboard!$K$31)</f>
        <v>0</v>
      </c>
      <c r="U1023" s="95">
        <v>33</v>
      </c>
      <c r="AA1023" s="95">
        <v>25</v>
      </c>
      <c r="AH1023" s="95">
        <v>75</v>
      </c>
    </row>
    <row r="1024" spans="1:34" x14ac:dyDescent="0.3">
      <c r="A1024" s="89" t="str">
        <f>CONCATENATE(D1024,".",F1024,"-",G1024,".",H1024,"")</f>
        <v>2.1-1.1</v>
      </c>
      <c r="B1024" s="89" t="str">
        <f>IF(CONCATENATE(I1024,Key!F$2)=CONCATENATE(INDEX(Dashboard!J:J,MATCH(I1024,Dashboard!J:J,0),1),INDEX(Dashboard!J:K,MATCH(I1024,Dashboard!J:J,0),2)),"ON",IF(Dashboard!K$32="ALL","ON","-"))</f>
        <v>-</v>
      </c>
      <c r="C1024" s="88" t="s">
        <v>152</v>
      </c>
      <c r="D1024" s="89">
        <f>IF(C1024="ID",1,(IF(C1024="PR",2,(IF(C1024="DE",3,(IF(C1024="RS",4,(IF(C1024="RC",5,0)))))))))</f>
        <v>2</v>
      </c>
      <c r="E1024" s="89" t="s">
        <v>312</v>
      </c>
      <c r="F1024" s="89">
        <f>IF(E1024="AM",1,(IF(E1024="BE",2,(IF(E1024="GV",3,(IF(E1024="RA",4,(IF(E1024="RM",5,(IF(E1024="AC",1,(IF(E1024="AT",2,(IF(E1024="DS",3,(IF(E1024="IP",4,(IF(E1024="MA",5,(IF(E1024="PT",6,(IF(E1024="AE",1,(IF(E1024="CM",2,(IF(E1024="DP",3,(IF(E1024="AN",1,(IF(E1024="CO",2,(IF(E1024="IM",3,(IF(E1024="MI",4,(IF(E1024="RP",5,(IF(E1024="SC",6,0)))))))))))))))))))))))))))))))))))))))</f>
        <v>1</v>
      </c>
      <c r="G1024" s="52">
        <v>1</v>
      </c>
      <c r="H1024" s="90" t="s">
        <v>115</v>
      </c>
      <c r="I1024" s="93" t="s">
        <v>85</v>
      </c>
      <c r="J1024" s="87" t="s">
        <v>1664</v>
      </c>
      <c r="K1024" s="119" t="s">
        <v>5062</v>
      </c>
      <c r="L1024" s="117">
        <f>IF(O1024="","",N1024*O1024*M1024)</f>
        <v>0</v>
      </c>
      <c r="M1024" s="108">
        <v>1</v>
      </c>
      <c r="N1024" s="95">
        <v>1</v>
      </c>
      <c r="O1024" s="109">
        <f>IF(Key!D$1="ON",P1024,IF(SUM(Q1024:DL1024)&lt;1,"",SUM(Q1024:DL1024)/COUNTIF(Q1024:DL1024,"&gt;0")))</f>
        <v>0</v>
      </c>
      <c r="P1024" s="109">
        <f>SUMIFS(Q1024:DK1024,Q$1:DK$1,Dashboard!$K$31)</f>
        <v>0</v>
      </c>
      <c r="U1024" s="95">
        <v>33</v>
      </c>
      <c r="AA1024" s="95">
        <v>25</v>
      </c>
      <c r="AH1024" s="95">
        <v>75</v>
      </c>
    </row>
    <row r="1025" spans="1:34" x14ac:dyDescent="0.3">
      <c r="A1025" s="89" t="str">
        <f>CONCATENATE(D1025,".",F1025,"-",G1025,".",H1025,"")</f>
        <v>2.1-1.1</v>
      </c>
      <c r="B1025" s="89" t="str">
        <f>IF(CONCATENATE(I1025,Key!F$2)=CONCATENATE(INDEX(Dashboard!J:J,MATCH(I1025,Dashboard!J:J,0),1),INDEX(Dashboard!J:K,MATCH(I1025,Dashboard!J:J,0),2)),"ON",IF(Dashboard!K$32="ALL","ON","-"))</f>
        <v>-</v>
      </c>
      <c r="C1025" s="88" t="s">
        <v>152</v>
      </c>
      <c r="D1025" s="89">
        <f>IF(C1025="ID",1,(IF(C1025="PR",2,(IF(C1025="DE",3,(IF(C1025="RS",4,(IF(C1025="RC",5,0)))))))))</f>
        <v>2</v>
      </c>
      <c r="E1025" s="89" t="s">
        <v>312</v>
      </c>
      <c r="F1025" s="89">
        <f>IF(E1025="AM",1,(IF(E1025="BE",2,(IF(E1025="GV",3,(IF(E1025="RA",4,(IF(E1025="RM",5,(IF(E1025="AC",1,(IF(E1025="AT",2,(IF(E1025="DS",3,(IF(E1025="IP",4,(IF(E1025="MA",5,(IF(E1025="PT",6,(IF(E1025="AE",1,(IF(E1025="CM",2,(IF(E1025="DP",3,(IF(E1025="AN",1,(IF(E1025="CO",2,(IF(E1025="IM",3,(IF(E1025="MI",4,(IF(E1025="RP",5,(IF(E1025="SC",6,0)))))))))))))))))))))))))))))))))))))))</f>
        <v>1</v>
      </c>
      <c r="G1025" s="52">
        <v>1</v>
      </c>
      <c r="H1025" s="90" t="s">
        <v>115</v>
      </c>
      <c r="I1025" s="93" t="s">
        <v>85</v>
      </c>
      <c r="J1025" s="87" t="s">
        <v>1661</v>
      </c>
      <c r="K1025" s="119" t="s">
        <v>1662</v>
      </c>
      <c r="L1025" s="117">
        <f>IF(O1025="","",N1025*O1025*M1025)</f>
        <v>0</v>
      </c>
      <c r="M1025" s="108">
        <v>1</v>
      </c>
      <c r="N1025" s="95">
        <v>1</v>
      </c>
      <c r="O1025" s="109">
        <f>IF(Key!D$1="ON",P1025,IF(SUM(Q1025:DL1025)&lt;1,"",SUM(Q1025:DL1025)/COUNTIF(Q1025:DL1025,"&gt;0")))</f>
        <v>0</v>
      </c>
      <c r="P1025" s="109">
        <f>SUMIFS(Q1025:DK1025,Q$1:DK$1,Dashboard!$K$31)</f>
        <v>0</v>
      </c>
      <c r="U1025" s="95">
        <v>33</v>
      </c>
      <c r="AA1025" s="95">
        <v>25</v>
      </c>
      <c r="AH1025" s="95">
        <v>75</v>
      </c>
    </row>
    <row r="1026" spans="1:34" x14ac:dyDescent="0.3">
      <c r="A1026" s="89" t="str">
        <f>CONCATENATE(D1026,".",F1026,"-",G1026,".",H1026,"")</f>
        <v>2.1-1.1</v>
      </c>
      <c r="B1026" s="89" t="str">
        <f>IF(CONCATENATE(I1026,Key!F$2)=CONCATENATE(INDEX(Dashboard!J:J,MATCH(I1026,Dashboard!J:J,0),1),INDEX(Dashboard!J:K,MATCH(I1026,Dashboard!J:J,0),2)),"ON",IF(Dashboard!K$32="ALL","ON","-"))</f>
        <v>-</v>
      </c>
      <c r="C1026" s="88" t="s">
        <v>152</v>
      </c>
      <c r="D1026" s="89">
        <f>IF(C1026="ID",1,(IF(C1026="PR",2,(IF(C1026="DE",3,(IF(C1026="RS",4,(IF(C1026="RC",5,0)))))))))</f>
        <v>2</v>
      </c>
      <c r="E1026" s="89" t="s">
        <v>312</v>
      </c>
      <c r="F1026" s="89">
        <f>IF(E1026="AM",1,(IF(E1026="BE",2,(IF(E1026="GV",3,(IF(E1026="RA",4,(IF(E1026="RM",5,(IF(E1026="AC",1,(IF(E1026="AT",2,(IF(E1026="DS",3,(IF(E1026="IP",4,(IF(E1026="MA",5,(IF(E1026="PT",6,(IF(E1026="AE",1,(IF(E1026="CM",2,(IF(E1026="DP",3,(IF(E1026="AN",1,(IF(E1026="CO",2,(IF(E1026="IM",3,(IF(E1026="MI",4,(IF(E1026="RP",5,(IF(E1026="SC",6,0)))))))))))))))))))))))))))))))))))))))</f>
        <v>1</v>
      </c>
      <c r="G1026" s="52">
        <v>1</v>
      </c>
      <c r="H1026" s="90" t="s">
        <v>115</v>
      </c>
      <c r="I1026" s="93" t="s">
        <v>85</v>
      </c>
      <c r="J1026" s="87" t="s">
        <v>1666</v>
      </c>
      <c r="K1026" s="119" t="s">
        <v>5064</v>
      </c>
      <c r="L1026" s="117">
        <f>IF(O1026="","",N1026*O1026*M1026)</f>
        <v>0</v>
      </c>
      <c r="M1026" s="108">
        <v>1</v>
      </c>
      <c r="N1026" s="95">
        <v>1</v>
      </c>
      <c r="O1026" s="109">
        <f>IF(Key!D$1="ON",P1026,IF(SUM(Q1026:DL1026)&lt;1,"",SUM(Q1026:DL1026)/COUNTIF(Q1026:DL1026,"&gt;0")))</f>
        <v>0</v>
      </c>
      <c r="P1026" s="109">
        <f>SUMIFS(Q1026:DK1026,Q$1:DK$1,Dashboard!$K$31)</f>
        <v>0</v>
      </c>
      <c r="U1026" s="95">
        <v>33</v>
      </c>
      <c r="AA1026" s="95">
        <v>25</v>
      </c>
      <c r="AH1026" s="95">
        <v>75</v>
      </c>
    </row>
    <row r="1027" spans="1:34" x14ac:dyDescent="0.3">
      <c r="A1027" s="89" t="str">
        <f>CONCATENATE(D1027,".",F1027,"-",G1027,".",H1027,"")</f>
        <v>2.1-1.1</v>
      </c>
      <c r="B1027" s="89" t="str">
        <f>IF(CONCATENATE(I1027,Key!F$2)=CONCATENATE(INDEX(Dashboard!J:J,MATCH(I1027,Dashboard!J:J,0),1),INDEX(Dashboard!J:K,MATCH(I1027,Dashboard!J:J,0),2)),"ON",IF(Dashboard!K$32="ALL","ON","-"))</f>
        <v>-</v>
      </c>
      <c r="C1027" s="88" t="s">
        <v>152</v>
      </c>
      <c r="D1027" s="89">
        <f>IF(C1027="ID",1,(IF(C1027="PR",2,(IF(C1027="DE",3,(IF(C1027="RS",4,(IF(C1027="RC",5,0)))))))))</f>
        <v>2</v>
      </c>
      <c r="E1027" s="89" t="s">
        <v>312</v>
      </c>
      <c r="F1027" s="89">
        <f>IF(E1027="AM",1,(IF(E1027="BE",2,(IF(E1027="GV",3,(IF(E1027="RA",4,(IF(E1027="RM",5,(IF(E1027="AC",1,(IF(E1027="AT",2,(IF(E1027="DS",3,(IF(E1027="IP",4,(IF(E1027="MA",5,(IF(E1027="PT",6,(IF(E1027="AE",1,(IF(E1027="CM",2,(IF(E1027="DP",3,(IF(E1027="AN",1,(IF(E1027="CO",2,(IF(E1027="IM",3,(IF(E1027="MI",4,(IF(E1027="RP",5,(IF(E1027="SC",6,0)))))))))))))))))))))))))))))))))))))))</f>
        <v>1</v>
      </c>
      <c r="G1027" s="52">
        <v>1</v>
      </c>
      <c r="H1027" s="90" t="s">
        <v>115</v>
      </c>
      <c r="I1027" s="93" t="s">
        <v>85</v>
      </c>
      <c r="J1027" s="87" t="s">
        <v>1663</v>
      </c>
      <c r="K1027" s="119" t="s">
        <v>5061</v>
      </c>
      <c r="L1027" s="117">
        <f>IF(O1027="","",N1027*O1027*M1027)</f>
        <v>0</v>
      </c>
      <c r="M1027" s="108">
        <v>1</v>
      </c>
      <c r="N1027" s="95">
        <v>1</v>
      </c>
      <c r="O1027" s="109">
        <f>IF(Key!D$1="ON",P1027,IF(SUM(Q1027:DL1027)&lt;1,"",SUM(Q1027:DL1027)/COUNTIF(Q1027:DL1027,"&gt;0")))</f>
        <v>0</v>
      </c>
      <c r="P1027" s="109">
        <f>SUMIFS(Q1027:DK1027,Q$1:DK$1,Dashboard!$K$31)</f>
        <v>0</v>
      </c>
      <c r="U1027" s="95">
        <v>33</v>
      </c>
      <c r="AA1027" s="95">
        <v>25</v>
      </c>
      <c r="AH1027" s="95">
        <v>75</v>
      </c>
    </row>
    <row r="1028" spans="1:34" x14ac:dyDescent="0.3">
      <c r="A1028" s="89" t="str">
        <f>CONCATENATE(D1028,".",F1028,"-",G1028,".",H1028,"")</f>
        <v>2.1-1.1</v>
      </c>
      <c r="B1028" s="89" t="str">
        <f>IF(CONCATENATE(I1028,Key!F$2)=CONCATENATE(INDEX(Dashboard!J:J,MATCH(I1028,Dashboard!J:J,0),1),INDEX(Dashboard!J:K,MATCH(I1028,Dashboard!J:J,0),2)),"ON",IF(Dashboard!K$32="ALL","ON","-"))</f>
        <v>-</v>
      </c>
      <c r="C1028" s="88" t="s">
        <v>152</v>
      </c>
      <c r="D1028" s="89">
        <f>IF(C1028="ID",1,(IF(C1028="PR",2,(IF(C1028="DE",3,(IF(C1028="RS",4,(IF(C1028="RC",5,0)))))))))</f>
        <v>2</v>
      </c>
      <c r="E1028" s="89" t="s">
        <v>153</v>
      </c>
      <c r="F1028" s="89">
        <f>IF(E1028="AM",1,(IF(E1028="BE",2,(IF(E1028="GV",3,(IF(E1028="RA",4,(IF(E1028="RM",5,(IF(E1028="AC",1,(IF(E1028="AT",2,(IF(E1028="DS",3,(IF(E1028="IP",4,(IF(E1028="MA",5,(IF(E1028="PT",6,(IF(E1028="AE",1,(IF(E1028="CM",2,(IF(E1028="DP",3,(IF(E1028="AN",1,(IF(E1028="CO",2,(IF(E1028="IM",3,(IF(E1028="MI",4,(IF(E1028="RP",5,(IF(E1028="SC",6,0)))))))))))))))))))))))))))))))))))))))</f>
        <v>1</v>
      </c>
      <c r="G1028" s="52">
        <v>1</v>
      </c>
      <c r="H1028" s="90" t="s">
        <v>115</v>
      </c>
      <c r="I1028" s="93" t="s">
        <v>89</v>
      </c>
      <c r="J1028" s="88">
        <v>500.07</v>
      </c>
      <c r="K1028" s="102" t="s">
        <v>485</v>
      </c>
      <c r="L1028" s="117">
        <f>IF(O1028="","",N1028*O1028*M1028)</f>
        <v>0</v>
      </c>
      <c r="M1028" s="108">
        <v>1</v>
      </c>
      <c r="N1028" s="95">
        <v>1</v>
      </c>
      <c r="O1028" s="109">
        <f>IF(Key!D$1="ON",P1028,IF(SUM(Q1028:DL1028)&lt;1,"",SUM(Q1028:DL1028)/COUNTIF(Q1028:DL1028,"&gt;0")))</f>
        <v>0</v>
      </c>
      <c r="P1028" s="109">
        <f>SUMIFS(Q1028:DK1028,Q$1:DK$1,Dashboard!$K$31)</f>
        <v>0</v>
      </c>
      <c r="U1028" s="95">
        <v>33</v>
      </c>
      <c r="AA1028" s="95">
        <v>25</v>
      </c>
      <c r="AH1028" s="95">
        <v>75</v>
      </c>
    </row>
    <row r="1029" spans="1:34" x14ac:dyDescent="0.3">
      <c r="A1029" s="89" t="str">
        <f>CONCATENATE(D1029,".",F1029,"-",G1029,".",H1029,"")</f>
        <v>2.1-1.1</v>
      </c>
      <c r="B1029" s="89" t="str">
        <f>IF(CONCATENATE(I1029,Key!F$2)=CONCATENATE(INDEX(Dashboard!J:J,MATCH(I1029,Dashboard!J:J,0),1),INDEX(Dashboard!J:K,MATCH(I1029,Dashboard!J:J,0),2)),"ON",IF(Dashboard!K$32="ALL","ON","-"))</f>
        <v>-</v>
      </c>
      <c r="C1029" s="88" t="s">
        <v>152</v>
      </c>
      <c r="D1029" s="89">
        <f>IF(C1029="ID",1,(IF(C1029="PR",2,(IF(C1029="DE",3,(IF(C1029="RS",4,(IF(C1029="RC",5,0)))))))))</f>
        <v>2</v>
      </c>
      <c r="E1029" s="89" t="s">
        <v>153</v>
      </c>
      <c r="F1029" s="89">
        <f>IF(E1029="AM",1,(IF(E1029="BE",2,(IF(E1029="GV",3,(IF(E1029="RA",4,(IF(E1029="RM",5,(IF(E1029="AC",1,(IF(E1029="AT",2,(IF(E1029="DS",3,(IF(E1029="IP",4,(IF(E1029="MA",5,(IF(E1029="PT",6,(IF(E1029="AE",1,(IF(E1029="CM",2,(IF(E1029="DP",3,(IF(E1029="AN",1,(IF(E1029="CO",2,(IF(E1029="IM",3,(IF(E1029="MI",4,(IF(E1029="RP",5,(IF(E1029="SC",6,0)))))))))))))))))))))))))))))))))))))))</f>
        <v>1</v>
      </c>
      <c r="G1029" s="52">
        <v>1</v>
      </c>
      <c r="H1029" s="90" t="s">
        <v>115</v>
      </c>
      <c r="I1029" s="93" t="s">
        <v>92</v>
      </c>
      <c r="J1029" s="88">
        <v>2.1</v>
      </c>
      <c r="K1029" s="102" t="s">
        <v>5226</v>
      </c>
      <c r="L1029" s="117">
        <f>IF(O1029="","",N1029*O1029*M1029)</f>
        <v>0</v>
      </c>
      <c r="M1029" s="108">
        <v>1</v>
      </c>
      <c r="N1029" s="95">
        <v>1</v>
      </c>
      <c r="O1029" s="109">
        <f>IF(Key!D$1="ON",P1029,IF(SUM(Q1029:DL1029)&lt;1,"",SUM(Q1029:DL1029)/COUNTIF(Q1029:DL1029,"&gt;0")))</f>
        <v>0</v>
      </c>
      <c r="P1029" s="109">
        <f>SUMIFS(Q1029:DK1029,Q$1:DK$1,Dashboard!$K$31)</f>
        <v>0</v>
      </c>
      <c r="U1029" s="95">
        <v>33</v>
      </c>
      <c r="AA1029" s="95">
        <v>25</v>
      </c>
      <c r="AH1029" s="95">
        <v>75</v>
      </c>
    </row>
    <row r="1030" spans="1:34" ht="15.6" x14ac:dyDescent="0.3">
      <c r="A1030" s="89" t="str">
        <f>CONCATENATE(D1030,".",F1030,"-",G1030,".",H1030,"")</f>
        <v>2.1-1.1</v>
      </c>
      <c r="B1030" s="89" t="str">
        <f>IF(CONCATENATE(I1030,Key!F$2)=CONCATENATE(INDEX(Dashboard!J:J,MATCH(I1030,Dashboard!J:J,0),1),INDEX(Dashboard!J:K,MATCH(I1030,Dashboard!J:J,0),2)),"ON",IF(Dashboard!K$32="ALL","ON","-"))</f>
        <v>-</v>
      </c>
      <c r="C1030" s="88" t="s">
        <v>152</v>
      </c>
      <c r="D1030" s="89">
        <f>IF(C1030="ID",1,(IF(C1030="PR",2,(IF(C1030="DE",3,(IF(C1030="RS",4,(IF(C1030="RC",5,0)))))))))</f>
        <v>2</v>
      </c>
      <c r="E1030" s="89" t="s">
        <v>153</v>
      </c>
      <c r="F1030" s="89">
        <f>IF(E1030="AM",1,(IF(E1030="BE",2,(IF(E1030="GV",3,(IF(E1030="RA",4,(IF(E1030="RM",5,(IF(E1030="AC",1,(IF(E1030="AT",2,(IF(E1030="DS",3,(IF(E1030="IP",4,(IF(E1030="MA",5,(IF(E1030="PT",6,(IF(E1030="AE",1,(IF(E1030="CM",2,(IF(E1030="DP",3,(IF(E1030="AN",1,(IF(E1030="CO",2,(IF(E1030="IM",3,(IF(E1030="MI",4,(IF(E1030="RP",5,(IF(E1030="SC",6,0)))))))))))))))))))))))))))))))))))))))</f>
        <v>1</v>
      </c>
      <c r="G1030" s="52">
        <v>1</v>
      </c>
      <c r="H1030" s="90" t="s">
        <v>115</v>
      </c>
      <c r="I1030" s="93" t="s">
        <v>92</v>
      </c>
      <c r="J1030" s="88">
        <v>8</v>
      </c>
      <c r="K1030" s="102" t="s">
        <v>5226</v>
      </c>
      <c r="L1030" s="117">
        <f>IF(O1030="","",N1030*O1030*M1030)</f>
        <v>0</v>
      </c>
      <c r="M1030" s="108">
        <v>1</v>
      </c>
      <c r="N1030" s="95">
        <v>1</v>
      </c>
      <c r="O1030" s="109">
        <f>IF(Key!D$1="ON",P1030,IF(SUM(Q1030:DL1030)&lt;1,"",SUM(Q1030:DL1030)/COUNTIF(Q1030:DL1030,"&gt;0")))</f>
        <v>0</v>
      </c>
      <c r="P1030" s="109">
        <f>SUMIFS(Q1030:DK1030,Q$1:DK$1,Dashboard!$K$31)</f>
        <v>0</v>
      </c>
      <c r="U1030" s="95">
        <v>33</v>
      </c>
      <c r="AA1030" s="95">
        <v>25</v>
      </c>
      <c r="AH1030" s="95">
        <v>75</v>
      </c>
    </row>
    <row r="1031" spans="1:34" x14ac:dyDescent="0.3">
      <c r="A1031" s="89" t="str">
        <f>CONCATENATE(D1031,".",F1031,"-",G1031,".",H1031,"")</f>
        <v>2.1-1.1</v>
      </c>
      <c r="B1031" s="89" t="str">
        <f>IF(CONCATENATE(I1031,Key!F$2)=CONCATENATE(INDEX(Dashboard!J:J,MATCH(I1031,Dashboard!J:J,0),1),INDEX(Dashboard!J:K,MATCH(I1031,Dashboard!J:J,0),2)),"ON",IF(Dashboard!K$32="ALL","ON","-"))</f>
        <v>-</v>
      </c>
      <c r="C1031" s="88" t="s">
        <v>152</v>
      </c>
      <c r="D1031" s="89">
        <f>IF(C1031="ID",1,(IF(C1031="PR",2,(IF(C1031="DE",3,(IF(C1031="RS",4,(IF(C1031="RC",5,0)))))))))</f>
        <v>2</v>
      </c>
      <c r="E1031" s="89" t="s">
        <v>153</v>
      </c>
      <c r="F1031" s="89">
        <f>IF(E1031="AM",1,(IF(E1031="BE",2,(IF(E1031="GV",3,(IF(E1031="RA",4,(IF(E1031="RM",5,(IF(E1031="AC",1,(IF(E1031="AT",2,(IF(E1031="DS",3,(IF(E1031="IP",4,(IF(E1031="MA",5,(IF(E1031="PT",6,(IF(E1031="AE",1,(IF(E1031="CM",2,(IF(E1031="DP",3,(IF(E1031="AN",1,(IF(E1031="CO",2,(IF(E1031="IM",3,(IF(E1031="MI",4,(IF(E1031="RP",5,(IF(E1031="SC",6,0)))))))))))))))))))))))))))))))))))))))</f>
        <v>1</v>
      </c>
      <c r="G1031" s="52">
        <v>1</v>
      </c>
      <c r="H1031" s="90" t="s">
        <v>115</v>
      </c>
      <c r="I1031" s="93" t="s">
        <v>92</v>
      </c>
      <c r="J1031" s="88">
        <v>8.1999999999999993</v>
      </c>
      <c r="K1031" s="102" t="s">
        <v>5226</v>
      </c>
      <c r="L1031" s="117">
        <f>IF(O1031="","",N1031*O1031*M1031)</f>
        <v>0</v>
      </c>
      <c r="M1031" s="108">
        <v>1</v>
      </c>
      <c r="N1031" s="95">
        <v>1</v>
      </c>
      <c r="O1031" s="109">
        <f>IF(Key!D$1="ON",P1031,IF(SUM(Q1031:DL1031)&lt;1,"",SUM(Q1031:DL1031)/COUNTIF(Q1031:DL1031,"&gt;0")))</f>
        <v>0</v>
      </c>
      <c r="P1031" s="109">
        <f>SUMIFS(Q1031:DK1031,Q$1:DK$1,Dashboard!$K$31)</f>
        <v>0</v>
      </c>
      <c r="U1031" s="95">
        <v>33</v>
      </c>
      <c r="AA1031" s="95">
        <v>25</v>
      </c>
      <c r="AH1031" s="95">
        <v>75</v>
      </c>
    </row>
    <row r="1032" spans="1:34" x14ac:dyDescent="0.3">
      <c r="A1032" s="89" t="str">
        <f>CONCATENATE(D1032,".",F1032,"-",G1032,".",H1032,"")</f>
        <v>2.1-1.1</v>
      </c>
      <c r="B1032" s="89" t="str">
        <f>IF(CONCATENATE(I1032,Key!F$2)=CONCATENATE(INDEX(Dashboard!J:J,MATCH(I1032,Dashboard!J:J,0),1),INDEX(Dashboard!J:K,MATCH(I1032,Dashboard!J:J,0),2)),"ON",IF(Dashboard!K$32="ALL","ON","-"))</f>
        <v>-</v>
      </c>
      <c r="C1032" s="88" t="s">
        <v>152</v>
      </c>
      <c r="D1032" s="89">
        <f>IF(C1032="ID",1,(IF(C1032="PR",2,(IF(C1032="DE",3,(IF(C1032="RS",4,(IF(C1032="RC",5,0)))))))))</f>
        <v>2</v>
      </c>
      <c r="E1032" s="89" t="s">
        <v>153</v>
      </c>
      <c r="F1032" s="89">
        <f>IF(E1032="AM",1,(IF(E1032="BE",2,(IF(E1032="GV",3,(IF(E1032="RA",4,(IF(E1032="RM",5,(IF(E1032="AC",1,(IF(E1032="AT",2,(IF(E1032="DS",3,(IF(E1032="IP",4,(IF(E1032="MA",5,(IF(E1032="PT",6,(IF(E1032="AE",1,(IF(E1032="CM",2,(IF(E1032="DP",3,(IF(E1032="AN",1,(IF(E1032="CO",2,(IF(E1032="IM",3,(IF(E1032="MI",4,(IF(E1032="RP",5,(IF(E1032="SC",6,0)))))))))))))))))))))))))))))))))))))))</f>
        <v>1</v>
      </c>
      <c r="G1032" s="52">
        <v>1</v>
      </c>
      <c r="H1032" s="90" t="s">
        <v>115</v>
      </c>
      <c r="I1032" s="93" t="s">
        <v>92</v>
      </c>
      <c r="J1032" s="88">
        <v>8.6</v>
      </c>
      <c r="K1032" s="102" t="s">
        <v>5226</v>
      </c>
      <c r="L1032" s="117">
        <f>IF(O1032="","",N1032*O1032*M1032)</f>
        <v>0</v>
      </c>
      <c r="M1032" s="108">
        <v>1</v>
      </c>
      <c r="N1032" s="95">
        <v>1</v>
      </c>
      <c r="O1032" s="109">
        <f>IF(Key!D$1="ON",P1032,IF(SUM(Q1032:DL1032)&lt;1,"",SUM(Q1032:DL1032)/COUNTIF(Q1032:DL1032,"&gt;0")))</f>
        <v>0</v>
      </c>
      <c r="P1032" s="109">
        <f>SUMIFS(Q1032:DK1032,Q$1:DK$1,Dashboard!$K$31)</f>
        <v>0</v>
      </c>
      <c r="U1032" s="95">
        <v>33</v>
      </c>
      <c r="AA1032" s="95">
        <v>25</v>
      </c>
      <c r="AH1032" s="95">
        <v>75</v>
      </c>
    </row>
    <row r="1033" spans="1:34" x14ac:dyDescent="0.3">
      <c r="A1033" s="89" t="str">
        <f>CONCATENATE(D1033,".",F1033,"-",G1033,".",H1033,"")</f>
        <v>2.1-1.1</v>
      </c>
      <c r="B1033" s="89" t="str">
        <f>IF(CONCATENATE(I1033,Key!F$2)=CONCATENATE(INDEX(Dashboard!J:J,MATCH(I1033,Dashboard!J:J,0),1),INDEX(Dashboard!J:K,MATCH(I1033,Dashboard!J:J,0),2)),"ON",IF(Dashboard!K$32="ALL","ON","-"))</f>
        <v>-</v>
      </c>
      <c r="C1033" s="88" t="s">
        <v>152</v>
      </c>
      <c r="D1033" s="89">
        <f>IF(C1033="ID",1,(IF(C1033="PR",2,(IF(C1033="DE",3,(IF(C1033="RS",4,(IF(C1033="RC",5,0)))))))))</f>
        <v>2</v>
      </c>
      <c r="E1033" s="89" t="s">
        <v>153</v>
      </c>
      <c r="F1033" s="89">
        <f>IF(E1033="AM",1,(IF(E1033="BE",2,(IF(E1033="GV",3,(IF(E1033="RA",4,(IF(E1033="RM",5,(IF(E1033="AC",1,(IF(E1033="AT",2,(IF(E1033="DS",3,(IF(E1033="IP",4,(IF(E1033="MA",5,(IF(E1033="PT",6,(IF(E1033="AE",1,(IF(E1033="CM",2,(IF(E1033="DP",3,(IF(E1033="AN",1,(IF(E1033="CO",2,(IF(E1033="IM",3,(IF(E1033="MI",4,(IF(E1033="RP",5,(IF(E1033="SC",6,0)))))))))))))))))))))))))))))))))))))))</f>
        <v>1</v>
      </c>
      <c r="G1033" s="52">
        <v>1</v>
      </c>
      <c r="H1033" s="90" t="s">
        <v>115</v>
      </c>
      <c r="I1033" s="93" t="s">
        <v>92</v>
      </c>
      <c r="J1033" s="88" t="s">
        <v>154</v>
      </c>
      <c r="K1033" s="102" t="s">
        <v>5226</v>
      </c>
      <c r="L1033" s="117">
        <f>IF(O1033="","",N1033*O1033*M1033)</f>
        <v>0</v>
      </c>
      <c r="M1033" s="108">
        <v>1</v>
      </c>
      <c r="N1033" s="95">
        <v>1</v>
      </c>
      <c r="O1033" s="109">
        <f>IF(Key!D$1="ON",P1033,IF(SUM(Q1033:DL1033)&lt;1,"",SUM(Q1033:DL1033)/COUNTIF(Q1033:DL1033,"&gt;0")))</f>
        <v>0</v>
      </c>
      <c r="P1033" s="109">
        <f>SUMIFS(Q1033:DK1033,Q$1:DK$1,Dashboard!$K$31)</f>
        <v>0</v>
      </c>
      <c r="U1033" s="95">
        <v>33</v>
      </c>
      <c r="AA1033" s="95">
        <v>25</v>
      </c>
      <c r="AH1033" s="95">
        <v>75</v>
      </c>
    </row>
    <row r="1034" spans="1:34" x14ac:dyDescent="0.3">
      <c r="A1034" s="89" t="str">
        <f>CONCATENATE(D1034,".",F1034,"-",G1034,".",H1034,"")</f>
        <v>2.1-1.1</v>
      </c>
      <c r="B1034" s="89" t="str">
        <f>IF(CONCATENATE(I1034,Key!F$2)=CONCATENATE(INDEX(Dashboard!J:J,MATCH(I1034,Dashboard!J:J,0),1),INDEX(Dashboard!J:K,MATCH(I1034,Dashboard!J:J,0),2)),"ON",IF(Dashboard!K$32="ALL","ON","-"))</f>
        <v>-</v>
      </c>
      <c r="C1034" s="88" t="s">
        <v>152</v>
      </c>
      <c r="D1034" s="89">
        <f>IF(C1034="ID",1,(IF(C1034="PR",2,(IF(C1034="DE",3,(IF(C1034="RS",4,(IF(C1034="RC",5,0)))))))))</f>
        <v>2</v>
      </c>
      <c r="E1034" s="89" t="s">
        <v>153</v>
      </c>
      <c r="F1034" s="89">
        <f>IF(E1034="AM",1,(IF(E1034="BE",2,(IF(E1034="GV",3,(IF(E1034="RA",4,(IF(E1034="RM",5,(IF(E1034="AC",1,(IF(E1034="AT",2,(IF(E1034="DS",3,(IF(E1034="IP",4,(IF(E1034="MA",5,(IF(E1034="PT",6,(IF(E1034="AE",1,(IF(E1034="CM",2,(IF(E1034="DP",3,(IF(E1034="AN",1,(IF(E1034="CO",2,(IF(E1034="IM",3,(IF(E1034="MI",4,(IF(E1034="RP",5,(IF(E1034="SC",6,0)))))))))))))))))))))))))))))))))))))))</f>
        <v>1</v>
      </c>
      <c r="G1034" s="52">
        <v>1</v>
      </c>
      <c r="H1034" s="90" t="s">
        <v>115</v>
      </c>
      <c r="I1034" s="93" t="s">
        <v>92</v>
      </c>
      <c r="J1034" s="88" t="s">
        <v>155</v>
      </c>
      <c r="K1034" s="102" t="s">
        <v>5226</v>
      </c>
      <c r="L1034" s="117">
        <f>IF(O1034="","",N1034*O1034*M1034)</f>
        <v>0</v>
      </c>
      <c r="M1034" s="108">
        <v>1</v>
      </c>
      <c r="N1034" s="95">
        <v>1</v>
      </c>
      <c r="O1034" s="109">
        <f>IF(Key!D$1="ON",P1034,IF(SUM(Q1034:DL1034)&lt;1,"",SUM(Q1034:DL1034)/COUNTIF(Q1034:DL1034,"&gt;0")))</f>
        <v>0</v>
      </c>
      <c r="P1034" s="109">
        <f>SUMIFS(Q1034:DK1034,Q$1:DK$1,Dashboard!$K$31)</f>
        <v>0</v>
      </c>
      <c r="U1034" s="95">
        <v>33</v>
      </c>
      <c r="AA1034" s="95">
        <v>25</v>
      </c>
      <c r="AH1034" s="95">
        <v>75</v>
      </c>
    </row>
    <row r="1035" spans="1:34" x14ac:dyDescent="0.3">
      <c r="A1035" s="89" t="str">
        <f>CONCATENATE(D1035,".",F1035,"-",G1035,".",H1035,"")</f>
        <v>2.1-1.1</v>
      </c>
      <c r="B1035" s="89" t="str">
        <f>IF(CONCATENATE(I1035,Key!F$2)=CONCATENATE(INDEX(Dashboard!J:J,MATCH(I1035,Dashboard!J:J,0),1),INDEX(Dashboard!J:K,MATCH(I1035,Dashboard!J:J,0),2)),"ON",IF(Dashboard!K$32="ALL","ON","-"))</f>
        <v>-</v>
      </c>
      <c r="C1035" s="88" t="s">
        <v>152</v>
      </c>
      <c r="D1035" s="89">
        <f>IF(C1035="ID",1,(IF(C1035="PR",2,(IF(C1035="DE",3,(IF(C1035="RS",4,(IF(C1035="RC",5,0)))))))))</f>
        <v>2</v>
      </c>
      <c r="E1035" s="89" t="s">
        <v>153</v>
      </c>
      <c r="F1035" s="89">
        <f>IF(E1035="AM",1,(IF(E1035="BE",2,(IF(E1035="GV",3,(IF(E1035="RA",4,(IF(E1035="RM",5,(IF(E1035="AC",1,(IF(E1035="AT",2,(IF(E1035="DS",3,(IF(E1035="IP",4,(IF(E1035="MA",5,(IF(E1035="PT",6,(IF(E1035="AE",1,(IF(E1035="CM",2,(IF(E1035="DP",3,(IF(E1035="AN",1,(IF(E1035="CO",2,(IF(E1035="IM",3,(IF(E1035="MI",4,(IF(E1035="RP",5,(IF(E1035="SC",6,0)))))))))))))))))))))))))))))))))))))))</f>
        <v>1</v>
      </c>
      <c r="G1035" s="52">
        <v>1</v>
      </c>
      <c r="H1035" s="90" t="s">
        <v>115</v>
      </c>
      <c r="I1035" s="93" t="s">
        <v>92</v>
      </c>
      <c r="J1035" s="88" t="s">
        <v>156</v>
      </c>
      <c r="K1035" s="102" t="s">
        <v>5226</v>
      </c>
      <c r="L1035" s="117">
        <f>IF(O1035="","",N1035*O1035*M1035)</f>
        <v>0</v>
      </c>
      <c r="M1035" s="108">
        <v>1</v>
      </c>
      <c r="N1035" s="95">
        <v>1</v>
      </c>
      <c r="O1035" s="109">
        <f>IF(Key!D$1="ON",P1035,IF(SUM(Q1035:DL1035)&lt;1,"",SUM(Q1035:DL1035)/COUNTIF(Q1035:DL1035,"&gt;0")))</f>
        <v>0</v>
      </c>
      <c r="P1035" s="109">
        <f>SUMIFS(Q1035:DK1035,Q$1:DK$1,Dashboard!$K$31)</f>
        <v>0</v>
      </c>
      <c r="U1035" s="95">
        <v>33</v>
      </c>
      <c r="AA1035" s="95">
        <v>25</v>
      </c>
      <c r="AH1035" s="95">
        <v>75</v>
      </c>
    </row>
    <row r="1036" spans="1:34" ht="15.6" x14ac:dyDescent="0.3">
      <c r="A1036" s="89" t="str">
        <f>CONCATENATE(D1036,".",F1036,"-",G1036,".",H1036,"")</f>
        <v>2.1-1.1</v>
      </c>
      <c r="B1036" s="89" t="str">
        <f>IF(CONCATENATE(I1036,Key!F$2)=CONCATENATE(INDEX(Dashboard!J:J,MATCH(I1036,Dashboard!J:J,0),1),INDEX(Dashboard!J:K,MATCH(I1036,Dashboard!J:J,0),2)),"ON",IF(Dashboard!K$32="ALL","ON","-"))</f>
        <v>-</v>
      </c>
      <c r="C1036" s="88" t="s">
        <v>152</v>
      </c>
      <c r="D1036" s="89">
        <f>IF(C1036="ID",1,(IF(C1036="PR",2,(IF(C1036="DE",3,(IF(C1036="RS",4,(IF(C1036="RC",5,0)))))))))</f>
        <v>2</v>
      </c>
      <c r="E1036" s="89" t="s">
        <v>153</v>
      </c>
      <c r="F1036" s="89">
        <f>IF(E1036="AM",1,(IF(E1036="BE",2,(IF(E1036="GV",3,(IF(E1036="RA",4,(IF(E1036="RM",5,(IF(E1036="AC",1,(IF(E1036="AT",2,(IF(E1036="DS",3,(IF(E1036="IP",4,(IF(E1036="MA",5,(IF(E1036="PT",6,(IF(E1036="AE",1,(IF(E1036="CM",2,(IF(E1036="DP",3,(IF(E1036="AN",1,(IF(E1036="CO",2,(IF(E1036="IM",3,(IF(E1036="MI",4,(IF(E1036="RP",5,(IF(E1036="SC",6,0)))))))))))))))))))))))))))))))))))))))</f>
        <v>1</v>
      </c>
      <c r="G1036" s="52">
        <v>1</v>
      </c>
      <c r="H1036" s="90" t="s">
        <v>115</v>
      </c>
      <c r="I1036" s="93" t="s">
        <v>92</v>
      </c>
      <c r="J1036" s="88" t="s">
        <v>157</v>
      </c>
      <c r="K1036" s="102" t="s">
        <v>5226</v>
      </c>
      <c r="L1036" s="117">
        <f>IF(O1036="","",N1036*O1036*M1036)</f>
        <v>0</v>
      </c>
      <c r="M1036" s="108">
        <v>1</v>
      </c>
      <c r="N1036" s="95">
        <v>1</v>
      </c>
      <c r="O1036" s="109">
        <f>IF(Key!D$1="ON",P1036,IF(SUM(Q1036:DL1036)&lt;1,"",SUM(Q1036:DL1036)/COUNTIF(Q1036:DL1036,"&gt;0")))</f>
        <v>0</v>
      </c>
      <c r="P1036" s="109">
        <f>SUMIFS(Q1036:DK1036,Q$1:DK$1,Dashboard!$K$31)</f>
        <v>0</v>
      </c>
      <c r="U1036" s="95">
        <v>33</v>
      </c>
      <c r="AA1036" s="95">
        <v>25</v>
      </c>
      <c r="AH1036" s="95">
        <v>75</v>
      </c>
    </row>
    <row r="1037" spans="1:34" ht="15.6" x14ac:dyDescent="0.3">
      <c r="A1037" s="89" t="str">
        <f>CONCATENATE(D1037,".",F1037,"-",G1037,".",H1037,"")</f>
        <v>2.1-1.1</v>
      </c>
      <c r="B1037" s="89" t="str">
        <f>IF(CONCATENATE(I1037,Key!F$2)=CONCATENATE(INDEX(Dashboard!J:J,MATCH(I1037,Dashboard!J:J,0),1),INDEX(Dashboard!J:K,MATCH(I1037,Dashboard!J:J,0),2)),"ON",IF(Dashboard!K$32="ALL","ON","-"))</f>
        <v>-</v>
      </c>
      <c r="C1037" s="88" t="s">
        <v>152</v>
      </c>
      <c r="D1037" s="89">
        <f>IF(C1037="ID",1,(IF(C1037="PR",2,(IF(C1037="DE",3,(IF(C1037="RS",4,(IF(C1037="RC",5,0)))))))))</f>
        <v>2</v>
      </c>
      <c r="E1037" s="89" t="s">
        <v>153</v>
      </c>
      <c r="F1037" s="89">
        <f>IF(E1037="AM",1,(IF(E1037="BE",2,(IF(E1037="GV",3,(IF(E1037="RA",4,(IF(E1037="RM",5,(IF(E1037="AC",1,(IF(E1037="AT",2,(IF(E1037="DS",3,(IF(E1037="IP",4,(IF(E1037="MA",5,(IF(E1037="PT",6,(IF(E1037="AE",1,(IF(E1037="CM",2,(IF(E1037="DP",3,(IF(E1037="AN",1,(IF(E1037="CO",2,(IF(E1037="IM",3,(IF(E1037="MI",4,(IF(E1037="RP",5,(IF(E1037="SC",6,0)))))))))))))))))))))))))))))))))))))))</f>
        <v>1</v>
      </c>
      <c r="G1037" s="52">
        <v>1</v>
      </c>
      <c r="H1037" s="90" t="s">
        <v>115</v>
      </c>
      <c r="I1037" s="93" t="s">
        <v>92</v>
      </c>
      <c r="J1037" s="88" t="s">
        <v>158</v>
      </c>
      <c r="K1037" s="102" t="s">
        <v>5226</v>
      </c>
      <c r="L1037" s="117">
        <f>IF(O1037="","",N1037*O1037*M1037)</f>
        <v>0</v>
      </c>
      <c r="M1037" s="108">
        <v>1</v>
      </c>
      <c r="N1037" s="95">
        <v>1</v>
      </c>
      <c r="O1037" s="109">
        <f>IF(Key!D$1="ON",P1037,IF(SUM(Q1037:DL1037)&lt;1,"",SUM(Q1037:DL1037)/COUNTIF(Q1037:DL1037,"&gt;0")))</f>
        <v>0</v>
      </c>
      <c r="P1037" s="109">
        <f>SUMIFS(Q1037:DK1037,Q$1:DK$1,Dashboard!$K$31)</f>
        <v>0</v>
      </c>
      <c r="U1037" s="95">
        <v>33</v>
      </c>
      <c r="AA1037" s="95">
        <v>25</v>
      </c>
      <c r="AH1037" s="95">
        <v>75</v>
      </c>
    </row>
    <row r="1038" spans="1:34" ht="15.6" x14ac:dyDescent="0.3">
      <c r="A1038" s="89" t="str">
        <f>CONCATENATE(D1038,".",F1038,"-",G1038,".",H1038,"")</f>
        <v>2.1-1.1</v>
      </c>
      <c r="B1038" s="89" t="str">
        <f>IF(CONCATENATE(I1038,Key!F$2)=CONCATENATE(INDEX(Dashboard!J:J,MATCH(I1038,Dashboard!J:J,0),1),INDEX(Dashboard!J:K,MATCH(I1038,Dashboard!J:J,0),2)),"ON",IF(Dashboard!K$32="ALL","ON","-"))</f>
        <v>-</v>
      </c>
      <c r="C1038" s="88" t="s">
        <v>152</v>
      </c>
      <c r="D1038" s="89">
        <f>IF(C1038="ID",1,(IF(C1038="PR",2,(IF(C1038="DE",3,(IF(C1038="RS",4,(IF(C1038="RC",5,0)))))))))</f>
        <v>2</v>
      </c>
      <c r="E1038" s="89" t="s">
        <v>153</v>
      </c>
      <c r="F1038" s="89">
        <f>IF(E1038="AM",1,(IF(E1038="BE",2,(IF(E1038="GV",3,(IF(E1038="RA",4,(IF(E1038="RM",5,(IF(E1038="AC",1,(IF(E1038="AT",2,(IF(E1038="DS",3,(IF(E1038="IP",4,(IF(E1038="MA",5,(IF(E1038="PT",6,(IF(E1038="AE",1,(IF(E1038="CM",2,(IF(E1038="DP",3,(IF(E1038="AN",1,(IF(E1038="CO",2,(IF(E1038="IM",3,(IF(E1038="MI",4,(IF(E1038="RP",5,(IF(E1038="SC",6,0)))))))))))))))))))))))))))))))))))))))</f>
        <v>1</v>
      </c>
      <c r="G1038" s="52">
        <v>1</v>
      </c>
      <c r="H1038" s="90" t="s">
        <v>115</v>
      </c>
      <c r="I1038" s="93" t="s">
        <v>92</v>
      </c>
      <c r="J1038" s="88" t="s">
        <v>159</v>
      </c>
      <c r="K1038" s="102" t="s">
        <v>5226</v>
      </c>
      <c r="L1038" s="117">
        <f>IF(O1038="","",N1038*O1038*M1038)</f>
        <v>0</v>
      </c>
      <c r="M1038" s="108">
        <v>1</v>
      </c>
      <c r="N1038" s="95">
        <v>1</v>
      </c>
      <c r="O1038" s="109">
        <f>IF(Key!D$1="ON",P1038,IF(SUM(Q1038:DL1038)&lt;1,"",SUM(Q1038:DL1038)/COUNTIF(Q1038:DL1038,"&gt;0")))</f>
        <v>0</v>
      </c>
      <c r="P1038" s="109">
        <f>SUMIFS(Q1038:DK1038,Q$1:DK$1,Dashboard!$K$31)</f>
        <v>0</v>
      </c>
      <c r="U1038" s="95">
        <v>33</v>
      </c>
      <c r="AA1038" s="95">
        <v>25</v>
      </c>
      <c r="AH1038" s="95">
        <v>75</v>
      </c>
    </row>
    <row r="1039" spans="1:34" ht="15.6" x14ac:dyDescent="0.3">
      <c r="A1039" s="89" t="str">
        <f>CONCATENATE(D1039,".",F1039,"-",G1039,".",H1039,"")</f>
        <v>2.1-1.1</v>
      </c>
      <c r="B1039" s="89" t="str">
        <f>IF(CONCATENATE(I1039,Key!F$2)=CONCATENATE(INDEX(Dashboard!J:J,MATCH(I1039,Dashboard!J:J,0),1),INDEX(Dashboard!J:K,MATCH(I1039,Dashboard!J:J,0),2)),"ON",IF(Dashboard!K$32="ALL","ON","-"))</f>
        <v>-</v>
      </c>
      <c r="C1039" s="88" t="s">
        <v>152</v>
      </c>
      <c r="D1039" s="89">
        <f>IF(C1039="ID",1,(IF(C1039="PR",2,(IF(C1039="DE",3,(IF(C1039="RS",4,(IF(C1039="RC",5,0)))))))))</f>
        <v>2</v>
      </c>
      <c r="E1039" s="89" t="s">
        <v>153</v>
      </c>
      <c r="F1039" s="89">
        <f>IF(E1039="AM",1,(IF(E1039="BE",2,(IF(E1039="GV",3,(IF(E1039="RA",4,(IF(E1039="RM",5,(IF(E1039="AC",1,(IF(E1039="AT",2,(IF(E1039="DS",3,(IF(E1039="IP",4,(IF(E1039="MA",5,(IF(E1039="PT",6,(IF(E1039="AE",1,(IF(E1039="CM",2,(IF(E1039="DP",3,(IF(E1039="AN",1,(IF(E1039="CO",2,(IF(E1039="IM",3,(IF(E1039="MI",4,(IF(E1039="RP",5,(IF(E1039="SC",6,0)))))))))))))))))))))))))))))))))))))))</f>
        <v>1</v>
      </c>
      <c r="G1039" s="52">
        <v>1</v>
      </c>
      <c r="H1039" s="90" t="s">
        <v>115</v>
      </c>
      <c r="I1039" s="93" t="s">
        <v>92</v>
      </c>
      <c r="J1039" s="88" t="s">
        <v>160</v>
      </c>
      <c r="K1039" s="102" t="s">
        <v>5226</v>
      </c>
      <c r="L1039" s="117">
        <f>IF(O1039="","",N1039*O1039*M1039)</f>
        <v>0</v>
      </c>
      <c r="M1039" s="108">
        <v>1</v>
      </c>
      <c r="N1039" s="95">
        <v>1</v>
      </c>
      <c r="O1039" s="109">
        <f>IF(Key!D$1="ON",P1039,IF(SUM(Q1039:DL1039)&lt;1,"",SUM(Q1039:DL1039)/COUNTIF(Q1039:DL1039,"&gt;0")))</f>
        <v>0</v>
      </c>
      <c r="P1039" s="109">
        <f>SUMIFS(Q1039:DK1039,Q$1:DK$1,Dashboard!$K$31)</f>
        <v>0</v>
      </c>
      <c r="U1039" s="95">
        <v>33</v>
      </c>
      <c r="AA1039" s="95">
        <v>25</v>
      </c>
      <c r="AH1039" s="95">
        <v>75</v>
      </c>
    </row>
    <row r="1040" spans="1:34" ht="15.6" x14ac:dyDescent="0.3">
      <c r="A1040" s="89" t="str">
        <f>CONCATENATE(D1040,".",F1040,"-",G1040,".",H1040,"")</f>
        <v>2.1-1.1</v>
      </c>
      <c r="B1040" s="89" t="str">
        <f>IF(CONCATENATE(I1040,Key!F$2)=CONCATENATE(INDEX(Dashboard!J:J,MATCH(I1040,Dashboard!J:J,0),1),INDEX(Dashboard!J:K,MATCH(I1040,Dashboard!J:J,0),2)),"ON",IF(Dashboard!K$32="ALL","ON","-"))</f>
        <v>-</v>
      </c>
      <c r="C1040" s="88" t="s">
        <v>152</v>
      </c>
      <c r="D1040" s="89">
        <f>IF(C1040="ID",1,(IF(C1040="PR",2,(IF(C1040="DE",3,(IF(C1040="RS",4,(IF(C1040="RC",5,0)))))))))</f>
        <v>2</v>
      </c>
      <c r="E1040" s="89" t="s">
        <v>153</v>
      </c>
      <c r="F1040" s="89">
        <f>IF(E1040="AM",1,(IF(E1040="BE",2,(IF(E1040="GV",3,(IF(E1040="RA",4,(IF(E1040="RM",5,(IF(E1040="AC",1,(IF(E1040="AT",2,(IF(E1040="DS",3,(IF(E1040="IP",4,(IF(E1040="MA",5,(IF(E1040="PT",6,(IF(E1040="AE",1,(IF(E1040="CM",2,(IF(E1040="DP",3,(IF(E1040="AN",1,(IF(E1040="CO",2,(IF(E1040="IM",3,(IF(E1040="MI",4,(IF(E1040="RP",5,(IF(E1040="SC",6,0)))))))))))))))))))))))))))))))))))))))</f>
        <v>1</v>
      </c>
      <c r="G1040" s="52">
        <v>1</v>
      </c>
      <c r="H1040" s="90" t="s">
        <v>115</v>
      </c>
      <c r="I1040" s="93" t="s">
        <v>92</v>
      </c>
      <c r="J1040" s="88" t="s">
        <v>161</v>
      </c>
      <c r="K1040" s="102" t="s">
        <v>5226</v>
      </c>
      <c r="L1040" s="117">
        <f>IF(O1040="","",N1040*O1040*M1040)</f>
        <v>0</v>
      </c>
      <c r="M1040" s="108">
        <v>1</v>
      </c>
      <c r="N1040" s="95">
        <v>1</v>
      </c>
      <c r="O1040" s="109">
        <f>IF(Key!D$1="ON",P1040,IF(SUM(Q1040:DL1040)&lt;1,"",SUM(Q1040:DL1040)/COUNTIF(Q1040:DL1040,"&gt;0")))</f>
        <v>0</v>
      </c>
      <c r="P1040" s="109">
        <f>SUMIFS(Q1040:DK1040,Q$1:DK$1,Dashboard!$K$31)</f>
        <v>0</v>
      </c>
      <c r="U1040" s="95">
        <v>33</v>
      </c>
      <c r="AA1040" s="95">
        <v>25</v>
      </c>
      <c r="AH1040" s="95">
        <v>75</v>
      </c>
    </row>
    <row r="1041" spans="1:34" ht="15.6" x14ac:dyDescent="0.3">
      <c r="A1041" s="89" t="str">
        <f>CONCATENATE(D1041,".",F1041,"-",G1041,".",H1041,"")</f>
        <v>2.1-1.1</v>
      </c>
      <c r="B1041" s="89" t="str">
        <f>IF(CONCATENATE(I1041,Key!F$2)=CONCATENATE(INDEX(Dashboard!J:J,MATCH(I1041,Dashboard!J:J,0),1),INDEX(Dashboard!J:K,MATCH(I1041,Dashboard!J:J,0),2)),"ON",IF(Dashboard!K$32="ALL","ON","-"))</f>
        <v>-</v>
      </c>
      <c r="C1041" s="88" t="s">
        <v>152</v>
      </c>
      <c r="D1041" s="89">
        <f>IF(C1041="ID",1,(IF(C1041="PR",2,(IF(C1041="DE",3,(IF(C1041="RS",4,(IF(C1041="RC",5,0)))))))))</f>
        <v>2</v>
      </c>
      <c r="E1041" s="89" t="s">
        <v>153</v>
      </c>
      <c r="F1041" s="89">
        <f>IF(E1041="AM",1,(IF(E1041="BE",2,(IF(E1041="GV",3,(IF(E1041="RA",4,(IF(E1041="RM",5,(IF(E1041="AC",1,(IF(E1041="AT",2,(IF(E1041="DS",3,(IF(E1041="IP",4,(IF(E1041="MA",5,(IF(E1041="PT",6,(IF(E1041="AE",1,(IF(E1041="CM",2,(IF(E1041="DP",3,(IF(E1041="AN",1,(IF(E1041="CO",2,(IF(E1041="IM",3,(IF(E1041="MI",4,(IF(E1041="RP",5,(IF(E1041="SC",6,0)))))))))))))))))))))))))))))))))))))))</f>
        <v>1</v>
      </c>
      <c r="G1041" s="52">
        <v>1</v>
      </c>
      <c r="H1041" s="90" t="s">
        <v>115</v>
      </c>
      <c r="I1041" s="93" t="s">
        <v>92</v>
      </c>
      <c r="J1041" s="88" t="s">
        <v>162</v>
      </c>
      <c r="K1041" s="102" t="s">
        <v>5226</v>
      </c>
      <c r="L1041" s="117">
        <f>IF(O1041="","",N1041*O1041*M1041)</f>
        <v>0</v>
      </c>
      <c r="M1041" s="108">
        <v>1</v>
      </c>
      <c r="N1041" s="95">
        <v>1</v>
      </c>
      <c r="O1041" s="109">
        <f>IF(Key!D$1="ON",P1041,IF(SUM(Q1041:DL1041)&lt;1,"",SUM(Q1041:DL1041)/COUNTIF(Q1041:DL1041,"&gt;0")))</f>
        <v>0</v>
      </c>
      <c r="P1041" s="109">
        <f>SUMIFS(Q1041:DK1041,Q$1:DK$1,Dashboard!$K$31)</f>
        <v>0</v>
      </c>
      <c r="U1041" s="95">
        <v>33</v>
      </c>
      <c r="AA1041" s="95">
        <v>25</v>
      </c>
      <c r="AH1041" s="95">
        <v>75</v>
      </c>
    </row>
    <row r="1042" spans="1:34" ht="15.6" x14ac:dyDescent="0.3">
      <c r="A1042" s="89" t="str">
        <f>CONCATENATE(D1042,".",F1042,"-",G1042,".",H1042,"")</f>
        <v>2.1-1.1</v>
      </c>
      <c r="B1042" s="89" t="str">
        <f>IF(CONCATENATE(I1042,Key!F$2)=CONCATENATE(INDEX(Dashboard!J:J,MATCH(I1042,Dashboard!J:J,0),1),INDEX(Dashboard!J:K,MATCH(I1042,Dashboard!J:J,0),2)),"ON",IF(Dashboard!K$32="ALL","ON","-"))</f>
        <v>-</v>
      </c>
      <c r="C1042" s="88" t="s">
        <v>152</v>
      </c>
      <c r="D1042" s="89">
        <f>IF(C1042="ID",1,(IF(C1042="PR",2,(IF(C1042="DE",3,(IF(C1042="RS",4,(IF(C1042="RC",5,0)))))))))</f>
        <v>2</v>
      </c>
      <c r="E1042" s="89" t="s">
        <v>153</v>
      </c>
      <c r="F1042" s="89">
        <f>IF(E1042="AM",1,(IF(E1042="BE",2,(IF(E1042="GV",3,(IF(E1042="RA",4,(IF(E1042="RM",5,(IF(E1042="AC",1,(IF(E1042="AT",2,(IF(E1042="DS",3,(IF(E1042="IP",4,(IF(E1042="MA",5,(IF(E1042="PT",6,(IF(E1042="AE",1,(IF(E1042="CM",2,(IF(E1042="DP",3,(IF(E1042="AN",1,(IF(E1042="CO",2,(IF(E1042="IM",3,(IF(E1042="MI",4,(IF(E1042="RP",5,(IF(E1042="SC",6,0)))))))))))))))))))))))))))))))))))))))</f>
        <v>1</v>
      </c>
      <c r="G1042" s="52">
        <v>1</v>
      </c>
      <c r="H1042" s="90" t="s">
        <v>115</v>
      </c>
      <c r="I1042" s="93" t="s">
        <v>92</v>
      </c>
      <c r="J1042" s="88" t="s">
        <v>163</v>
      </c>
      <c r="K1042" s="102" t="s">
        <v>5226</v>
      </c>
      <c r="L1042" s="117">
        <f>IF(O1042="","",N1042*O1042*M1042)</f>
        <v>0</v>
      </c>
      <c r="M1042" s="108">
        <v>1</v>
      </c>
      <c r="N1042" s="95">
        <v>1</v>
      </c>
      <c r="O1042" s="109">
        <f>IF(Key!D$1="ON",P1042,IF(SUM(Q1042:DL1042)&lt;1,"",SUM(Q1042:DL1042)/COUNTIF(Q1042:DL1042,"&gt;0")))</f>
        <v>0</v>
      </c>
      <c r="P1042" s="109">
        <f>SUMIFS(Q1042:DK1042,Q$1:DK$1,Dashboard!$K$31)</f>
        <v>0</v>
      </c>
      <c r="U1042" s="95">
        <v>33</v>
      </c>
      <c r="AA1042" s="95">
        <v>25</v>
      </c>
      <c r="AH1042" s="95">
        <v>75</v>
      </c>
    </row>
    <row r="1043" spans="1:34" ht="15.6" x14ac:dyDescent="0.3">
      <c r="A1043" s="89" t="str">
        <f>CONCATENATE(D1043,".",F1043,"-",G1043,".",H1043,"")</f>
        <v>2.1-1.1</v>
      </c>
      <c r="B1043" s="89" t="str">
        <f>IF(CONCATENATE(I1043,Key!F$2)=CONCATENATE(INDEX(Dashboard!J:J,MATCH(I1043,Dashboard!J:J,0),1),INDEX(Dashboard!J:K,MATCH(I1043,Dashboard!J:J,0),2)),"ON",IF(Dashboard!K$32="ALL","ON","-"))</f>
        <v>-</v>
      </c>
      <c r="C1043" s="88" t="s">
        <v>152</v>
      </c>
      <c r="D1043" s="89">
        <f>IF(C1043="ID",1,(IF(C1043="PR",2,(IF(C1043="DE",3,(IF(C1043="RS",4,(IF(C1043="RC",5,0)))))))))</f>
        <v>2</v>
      </c>
      <c r="E1043" s="89" t="s">
        <v>153</v>
      </c>
      <c r="F1043" s="89">
        <f>IF(E1043="AM",1,(IF(E1043="BE",2,(IF(E1043="GV",3,(IF(E1043="RA",4,(IF(E1043="RM",5,(IF(E1043="AC",1,(IF(E1043="AT",2,(IF(E1043="DS",3,(IF(E1043="IP",4,(IF(E1043="MA",5,(IF(E1043="PT",6,(IF(E1043="AE",1,(IF(E1043="CM",2,(IF(E1043="DP",3,(IF(E1043="AN",1,(IF(E1043="CO",2,(IF(E1043="IM",3,(IF(E1043="MI",4,(IF(E1043="RP",5,(IF(E1043="SC",6,0)))))))))))))))))))))))))))))))))))))))</f>
        <v>1</v>
      </c>
      <c r="G1043" s="52">
        <v>1</v>
      </c>
      <c r="H1043" s="90" t="s">
        <v>115</v>
      </c>
      <c r="I1043" s="93" t="s">
        <v>92</v>
      </c>
      <c r="J1043" s="88" t="s">
        <v>164</v>
      </c>
      <c r="K1043" s="102" t="s">
        <v>5226</v>
      </c>
      <c r="L1043" s="117">
        <f>IF(O1043="","",N1043*O1043*M1043)</f>
        <v>0</v>
      </c>
      <c r="M1043" s="108">
        <v>1</v>
      </c>
      <c r="N1043" s="95">
        <v>1</v>
      </c>
      <c r="O1043" s="109">
        <f>IF(Key!D$1="ON",P1043,IF(SUM(Q1043:DL1043)&lt;1,"",SUM(Q1043:DL1043)/COUNTIF(Q1043:DL1043,"&gt;0")))</f>
        <v>0</v>
      </c>
      <c r="P1043" s="109">
        <f>SUMIFS(Q1043:DK1043,Q$1:DK$1,Dashboard!$K$31)</f>
        <v>0</v>
      </c>
      <c r="U1043" s="95">
        <v>33</v>
      </c>
      <c r="AA1043" s="95">
        <v>25</v>
      </c>
      <c r="AH1043" s="95">
        <v>75</v>
      </c>
    </row>
    <row r="1044" spans="1:34" ht="15.6" x14ac:dyDescent="0.3">
      <c r="A1044" s="89" t="str">
        <f>CONCATENATE(D1044,".",F1044,"-",G1044,".",H1044,"")</f>
        <v>2.1-1.2</v>
      </c>
      <c r="B1044" s="89" t="str">
        <f>IF(CONCATENATE(I1044,Key!F$2)=CONCATENATE(INDEX(Dashboard!J:J,MATCH(I1044,Dashboard!J:J,0),1),INDEX(Dashboard!J:K,MATCH(I1044,Dashboard!J:J,0),2)),"ON",IF(Dashboard!K$32="ALL","ON","-"))</f>
        <v>-</v>
      </c>
      <c r="C1044" s="88" t="s">
        <v>152</v>
      </c>
      <c r="D1044" s="89">
        <f>IF(C1044="ID",1,(IF(C1044="PR",2,(IF(C1044="DE",3,(IF(C1044="RS",4,(IF(C1044="RC",5,0)))))))))</f>
        <v>2</v>
      </c>
      <c r="E1044" s="89" t="s">
        <v>153</v>
      </c>
      <c r="F1044" s="89">
        <f>IF(E1044="AM",1,(IF(E1044="BE",2,(IF(E1044="GV",3,(IF(E1044="RA",4,(IF(E1044="RM",5,(IF(E1044="AC",1,(IF(E1044="AT",2,(IF(E1044="DS",3,(IF(E1044="IP",4,(IF(E1044="MA",5,(IF(E1044="PT",6,(IF(E1044="AE",1,(IF(E1044="CM",2,(IF(E1044="DP",3,(IF(E1044="AN",1,(IF(E1044="CO",2,(IF(E1044="IM",3,(IF(E1044="MI",4,(IF(E1044="RP",5,(IF(E1044="SC",6,0)))))))))))))))))))))))))))))))))))))))</f>
        <v>1</v>
      </c>
      <c r="G1044" s="52">
        <v>1</v>
      </c>
      <c r="H1044" s="90" t="s">
        <v>112</v>
      </c>
      <c r="I1044" s="93" t="s">
        <v>60</v>
      </c>
      <c r="J1044" s="87" t="s">
        <v>3169</v>
      </c>
      <c r="K1044" s="51" t="s">
        <v>5282</v>
      </c>
      <c r="L1044" s="117">
        <f>IF(O1044="","",N1044*O1044*M1044)</f>
        <v>0</v>
      </c>
      <c r="M1044" s="108">
        <v>1</v>
      </c>
      <c r="N1044" s="95">
        <v>1</v>
      </c>
      <c r="O1044" s="109">
        <f>IF(Key!D$1="ON",P1044,IF(SUM(Q1044:DL1044)&lt;1,"",SUM(Q1044:DL1044)/COUNTIF(Q1044:DL1044,"&gt;0")))</f>
        <v>0</v>
      </c>
      <c r="P1044" s="109">
        <f>SUMIFS(Q1044:DK1044,Q$1:DK$1,Dashboard!$K$31)</f>
        <v>0</v>
      </c>
      <c r="U1044" s="95">
        <v>33</v>
      </c>
      <c r="AA1044" s="95">
        <v>25</v>
      </c>
      <c r="AH1044" s="95">
        <v>75</v>
      </c>
    </row>
    <row r="1045" spans="1:34" ht="15.6" x14ac:dyDescent="0.3">
      <c r="A1045" s="89" t="str">
        <f>CONCATENATE(D1045,".",F1045,"-",G1045,".",H1045,"")</f>
        <v>2.1-1.2</v>
      </c>
      <c r="B1045" s="89" t="str">
        <f>IF(CONCATENATE(I1045,Key!F$2)=CONCATENATE(INDEX(Dashboard!J:J,MATCH(I1045,Dashboard!J:J,0),1),INDEX(Dashboard!J:K,MATCH(I1045,Dashboard!J:J,0),2)),"ON",IF(Dashboard!K$32="ALL","ON","-"))</f>
        <v>-</v>
      </c>
      <c r="C1045" s="88" t="s">
        <v>152</v>
      </c>
      <c r="D1045" s="89">
        <f>IF(C1045="ID",1,(IF(C1045="PR",2,(IF(C1045="DE",3,(IF(C1045="RS",4,(IF(C1045="RC",5,0)))))))))</f>
        <v>2</v>
      </c>
      <c r="E1045" s="89" t="s">
        <v>153</v>
      </c>
      <c r="F1045" s="89">
        <f>IF(E1045="AM",1,(IF(E1045="BE",2,(IF(E1045="GV",3,(IF(E1045="RA",4,(IF(E1045="RM",5,(IF(E1045="AC",1,(IF(E1045="AT",2,(IF(E1045="DS",3,(IF(E1045="IP",4,(IF(E1045="MA",5,(IF(E1045="PT",6,(IF(E1045="AE",1,(IF(E1045="CM",2,(IF(E1045="DP",3,(IF(E1045="AN",1,(IF(E1045="CO",2,(IF(E1045="IM",3,(IF(E1045="MI",4,(IF(E1045="RP",5,(IF(E1045="SC",6,0)))))))))))))))))))))))))))))))))))))))</f>
        <v>1</v>
      </c>
      <c r="G1045" s="52">
        <v>1</v>
      </c>
      <c r="H1045" s="90" t="s">
        <v>112</v>
      </c>
      <c r="I1045" s="93" t="s">
        <v>60</v>
      </c>
      <c r="J1045" s="87" t="s">
        <v>3170</v>
      </c>
      <c r="K1045" s="51" t="s">
        <v>5283</v>
      </c>
      <c r="L1045" s="117">
        <f>IF(O1045="","",N1045*O1045*M1045)</f>
        <v>0</v>
      </c>
      <c r="M1045" s="108">
        <v>1</v>
      </c>
      <c r="N1045" s="95">
        <v>1</v>
      </c>
      <c r="O1045" s="109">
        <f>IF(Key!D$1="ON",P1045,IF(SUM(Q1045:DL1045)&lt;1,"",SUM(Q1045:DL1045)/COUNTIF(Q1045:DL1045,"&gt;0")))</f>
        <v>0</v>
      </c>
      <c r="P1045" s="109">
        <f>SUMIFS(Q1045:DK1045,Q$1:DK$1,Dashboard!$K$31)</f>
        <v>0</v>
      </c>
      <c r="U1045" s="95">
        <v>33</v>
      </c>
      <c r="AA1045" s="95">
        <v>25</v>
      </c>
      <c r="AH1045" s="95">
        <v>75</v>
      </c>
    </row>
    <row r="1046" spans="1:34" x14ac:dyDescent="0.3">
      <c r="A1046" s="89" t="str">
        <f>CONCATENATE(D1046,".",F1046,"-",G1046,".",H1046,"")</f>
        <v>2.1-1.2</v>
      </c>
      <c r="B1046" s="89" t="str">
        <f>IF(CONCATENATE(I1046,Key!F$2)=CONCATENATE(INDEX(Dashboard!J:J,MATCH(I1046,Dashboard!J:J,0),1),INDEX(Dashboard!J:K,MATCH(I1046,Dashboard!J:J,0),2)),"ON",IF(Dashboard!K$32="ALL","ON","-"))</f>
        <v>-</v>
      </c>
      <c r="C1046" s="88" t="s">
        <v>152</v>
      </c>
      <c r="D1046" s="89">
        <f>IF(C1046="ID",1,(IF(C1046="PR",2,(IF(C1046="DE",3,(IF(C1046="RS",4,(IF(C1046="RC",5,0)))))))))</f>
        <v>2</v>
      </c>
      <c r="E1046" s="89" t="s">
        <v>153</v>
      </c>
      <c r="F1046" s="89">
        <f>IF(E1046="AM",1,(IF(E1046="BE",2,(IF(E1046="GV",3,(IF(E1046="RA",4,(IF(E1046="RM",5,(IF(E1046="AC",1,(IF(E1046="AT",2,(IF(E1046="DS",3,(IF(E1046="IP",4,(IF(E1046="MA",5,(IF(E1046="PT",6,(IF(E1046="AE",1,(IF(E1046="CM",2,(IF(E1046="DP",3,(IF(E1046="AN",1,(IF(E1046="CO",2,(IF(E1046="IM",3,(IF(E1046="MI",4,(IF(E1046="RP",5,(IF(E1046="SC",6,0)))))))))))))))))))))))))))))))))))))))</f>
        <v>1</v>
      </c>
      <c r="G1046" s="52">
        <v>1</v>
      </c>
      <c r="H1046" s="90" t="s">
        <v>112</v>
      </c>
      <c r="I1046" s="93" t="s">
        <v>64</v>
      </c>
      <c r="J1046" s="87" t="s">
        <v>1185</v>
      </c>
      <c r="K1046" s="102" t="s">
        <v>2214</v>
      </c>
      <c r="L1046" s="117">
        <f>IF(O1046="","",N1046*O1046*M1046)</f>
        <v>0</v>
      </c>
      <c r="M1046" s="108">
        <v>1</v>
      </c>
      <c r="N1046" s="95">
        <v>1</v>
      </c>
      <c r="O1046" s="109">
        <f>IF(Key!D$1="ON",P1046,IF(SUM(Q1046:DL1046)&lt;1,"",SUM(Q1046:DL1046)/COUNTIF(Q1046:DL1046,"&gt;0")))</f>
        <v>0</v>
      </c>
      <c r="P1046" s="109">
        <f>SUMIFS(Q1046:DK1046,Q$1:DK$1,Dashboard!$K$31)</f>
        <v>0</v>
      </c>
      <c r="U1046" s="95">
        <v>33</v>
      </c>
      <c r="AA1046" s="95">
        <v>25</v>
      </c>
      <c r="AH1046" s="95">
        <v>75</v>
      </c>
    </row>
    <row r="1047" spans="1:34" x14ac:dyDescent="0.3">
      <c r="A1047" s="89" t="str">
        <f>CONCATENATE(D1047,".",F1047,"-",G1047,".",H1047,"")</f>
        <v>2.1-1.2</v>
      </c>
      <c r="B1047" s="89" t="str">
        <f>IF(CONCATENATE(I1047,Key!F$2)=CONCATENATE(INDEX(Dashboard!J:J,MATCH(I1047,Dashboard!J:J,0),1),INDEX(Dashboard!J:K,MATCH(I1047,Dashboard!J:J,0),2)),"ON",IF(Dashboard!K$32="ALL","ON","-"))</f>
        <v>-</v>
      </c>
      <c r="C1047" s="88" t="s">
        <v>152</v>
      </c>
      <c r="D1047" s="89">
        <f>IF(C1047="ID",1,(IF(C1047="PR",2,(IF(C1047="DE",3,(IF(C1047="RS",4,(IF(C1047="RC",5,0)))))))))</f>
        <v>2</v>
      </c>
      <c r="E1047" s="89" t="s">
        <v>153</v>
      </c>
      <c r="F1047" s="89">
        <f>IF(E1047="AM",1,(IF(E1047="BE",2,(IF(E1047="GV",3,(IF(E1047="RA",4,(IF(E1047="RM",5,(IF(E1047="AC",1,(IF(E1047="AT",2,(IF(E1047="DS",3,(IF(E1047="IP",4,(IF(E1047="MA",5,(IF(E1047="PT",6,(IF(E1047="AE",1,(IF(E1047="CM",2,(IF(E1047="DP",3,(IF(E1047="AN",1,(IF(E1047="CO",2,(IF(E1047="IM",3,(IF(E1047="MI",4,(IF(E1047="RP",5,(IF(E1047="SC",6,0)))))))))))))))))))))))))))))))))))))))</f>
        <v>1</v>
      </c>
      <c r="G1047" s="52">
        <v>1</v>
      </c>
      <c r="H1047" s="90" t="s">
        <v>112</v>
      </c>
      <c r="I1047" s="93" t="s">
        <v>64</v>
      </c>
      <c r="J1047" s="87" t="s">
        <v>1186</v>
      </c>
      <c r="K1047" s="102" t="s">
        <v>2215</v>
      </c>
      <c r="L1047" s="117">
        <f>IF(O1047="","",N1047*O1047*M1047)</f>
        <v>0</v>
      </c>
      <c r="M1047" s="108">
        <v>1</v>
      </c>
      <c r="N1047" s="95">
        <v>1</v>
      </c>
      <c r="O1047" s="109">
        <f>IF(Key!D$1="ON",P1047,IF(SUM(Q1047:DL1047)&lt;1,"",SUM(Q1047:DL1047)/COUNTIF(Q1047:DL1047,"&gt;0")))</f>
        <v>0</v>
      </c>
      <c r="P1047" s="109">
        <f>SUMIFS(Q1047:DK1047,Q$1:DK$1,Dashboard!$K$31)</f>
        <v>0</v>
      </c>
      <c r="U1047" s="95">
        <v>33</v>
      </c>
      <c r="AA1047" s="95">
        <v>25</v>
      </c>
      <c r="AH1047" s="95">
        <v>75</v>
      </c>
    </row>
    <row r="1048" spans="1:34" x14ac:dyDescent="0.3">
      <c r="A1048" s="89" t="str">
        <f>CONCATENATE(D1048,".",F1048,"-",G1048,".",H1048,"")</f>
        <v>2.1-1.2</v>
      </c>
      <c r="B1048" s="89" t="str">
        <f>IF(CONCATENATE(I1048,Key!F$2)=CONCATENATE(INDEX(Dashboard!J:J,MATCH(I1048,Dashboard!J:J,0),1),INDEX(Dashboard!J:K,MATCH(I1048,Dashboard!J:J,0),2)),"ON",IF(Dashboard!K$32="ALL","ON","-"))</f>
        <v>-</v>
      </c>
      <c r="C1048" s="88" t="s">
        <v>152</v>
      </c>
      <c r="D1048" s="89">
        <f>IF(C1048="ID",1,(IF(C1048="PR",2,(IF(C1048="DE",3,(IF(C1048="RS",4,(IF(C1048="RC",5,0)))))))))</f>
        <v>2</v>
      </c>
      <c r="E1048" s="89" t="s">
        <v>153</v>
      </c>
      <c r="F1048" s="89">
        <f>IF(E1048="AM",1,(IF(E1048="BE",2,(IF(E1048="GV",3,(IF(E1048="RA",4,(IF(E1048="RM",5,(IF(E1048="AC",1,(IF(E1048="AT",2,(IF(E1048="DS",3,(IF(E1048="IP",4,(IF(E1048="MA",5,(IF(E1048="PT",6,(IF(E1048="AE",1,(IF(E1048="CM",2,(IF(E1048="DP",3,(IF(E1048="AN",1,(IF(E1048="CO",2,(IF(E1048="IM",3,(IF(E1048="MI",4,(IF(E1048="RP",5,(IF(E1048="SC",6,0)))))))))))))))))))))))))))))))))))))))</f>
        <v>1</v>
      </c>
      <c r="G1048" s="52">
        <v>1</v>
      </c>
      <c r="H1048" s="90" t="s">
        <v>112</v>
      </c>
      <c r="I1048" s="93" t="s">
        <v>64</v>
      </c>
      <c r="J1048" s="87" t="s">
        <v>1187</v>
      </c>
      <c r="K1048" s="102" t="s">
        <v>2216</v>
      </c>
      <c r="L1048" s="117">
        <f>IF(O1048="","",N1048*O1048*M1048)</f>
        <v>0</v>
      </c>
      <c r="M1048" s="108">
        <v>1</v>
      </c>
      <c r="N1048" s="95">
        <v>1</v>
      </c>
      <c r="O1048" s="109">
        <f>IF(Key!D$1="ON",P1048,IF(SUM(Q1048:DL1048)&lt;1,"",SUM(Q1048:DL1048)/COUNTIF(Q1048:DL1048,"&gt;0")))</f>
        <v>0</v>
      </c>
      <c r="P1048" s="109">
        <f>SUMIFS(Q1048:DK1048,Q$1:DK$1,Dashboard!$K$31)</f>
        <v>0</v>
      </c>
      <c r="U1048" s="95">
        <v>33</v>
      </c>
      <c r="AA1048" s="95">
        <v>25</v>
      </c>
      <c r="AH1048" s="95">
        <v>75</v>
      </c>
    </row>
    <row r="1049" spans="1:34" x14ac:dyDescent="0.3">
      <c r="A1049" s="89" t="str">
        <f>CONCATENATE(D1049,".",F1049,"-",G1049,".",H1049,"")</f>
        <v>2.1-1.2</v>
      </c>
      <c r="B1049" s="89" t="str">
        <f>IF(CONCATENATE(I1049,Key!F$2)=CONCATENATE(INDEX(Dashboard!J:J,MATCH(I1049,Dashboard!J:J,0),1),INDEX(Dashboard!J:K,MATCH(I1049,Dashboard!J:J,0),2)),"ON",IF(Dashboard!K$32="ALL","ON","-"))</f>
        <v>-</v>
      </c>
      <c r="C1049" s="88" t="s">
        <v>152</v>
      </c>
      <c r="D1049" s="89">
        <f>IF(C1049="ID",1,(IF(C1049="PR",2,(IF(C1049="DE",3,(IF(C1049="RS",4,(IF(C1049="RC",5,0)))))))))</f>
        <v>2</v>
      </c>
      <c r="E1049" s="89" t="s">
        <v>153</v>
      </c>
      <c r="F1049" s="89">
        <f>IF(E1049="AM",1,(IF(E1049="BE",2,(IF(E1049="GV",3,(IF(E1049="RA",4,(IF(E1049="RM",5,(IF(E1049="AC",1,(IF(E1049="AT",2,(IF(E1049="DS",3,(IF(E1049="IP",4,(IF(E1049="MA",5,(IF(E1049="PT",6,(IF(E1049="AE",1,(IF(E1049="CM",2,(IF(E1049="DP",3,(IF(E1049="AN",1,(IF(E1049="CO",2,(IF(E1049="IM",3,(IF(E1049="MI",4,(IF(E1049="RP",5,(IF(E1049="SC",6,0)))))))))))))))))))))))))))))))))))))))</f>
        <v>1</v>
      </c>
      <c r="G1049" s="52">
        <v>1</v>
      </c>
      <c r="H1049" s="90" t="s">
        <v>112</v>
      </c>
      <c r="I1049" s="93" t="s">
        <v>64</v>
      </c>
      <c r="J1049" s="87" t="s">
        <v>1188</v>
      </c>
      <c r="K1049" s="102" t="s">
        <v>2217</v>
      </c>
      <c r="L1049" s="117">
        <f>IF(O1049="","",N1049*O1049*M1049)</f>
        <v>0</v>
      </c>
      <c r="M1049" s="108">
        <v>1</v>
      </c>
      <c r="N1049" s="95">
        <v>1</v>
      </c>
      <c r="O1049" s="109">
        <f>IF(Key!D$1="ON",P1049,IF(SUM(Q1049:DL1049)&lt;1,"",SUM(Q1049:DL1049)/COUNTIF(Q1049:DL1049,"&gt;0")))</f>
        <v>0</v>
      </c>
      <c r="P1049" s="109">
        <f>SUMIFS(Q1049:DK1049,Q$1:DK$1,Dashboard!$K$31)</f>
        <v>0</v>
      </c>
      <c r="U1049" s="95">
        <v>33</v>
      </c>
      <c r="AA1049" s="95">
        <v>25</v>
      </c>
      <c r="AH1049" s="95">
        <v>75</v>
      </c>
    </row>
    <row r="1050" spans="1:34" x14ac:dyDescent="0.3">
      <c r="A1050" s="89" t="str">
        <f>CONCATENATE(D1050,".",F1050,"-",G1050,".",H1050,"")</f>
        <v>2.1-1.2</v>
      </c>
      <c r="B1050" s="89" t="str">
        <f>IF(CONCATENATE(I1050,Key!F$2)=CONCATENATE(INDEX(Dashboard!J:J,MATCH(I1050,Dashboard!J:J,0),1),INDEX(Dashboard!J:K,MATCH(I1050,Dashboard!J:J,0),2)),"ON",IF(Dashboard!K$32="ALL","ON","-"))</f>
        <v>-</v>
      </c>
      <c r="C1050" s="88" t="s">
        <v>152</v>
      </c>
      <c r="D1050" s="89">
        <f>IF(C1050="ID",1,(IF(C1050="PR",2,(IF(C1050="DE",3,(IF(C1050="RS",4,(IF(C1050="RC",5,0)))))))))</f>
        <v>2</v>
      </c>
      <c r="E1050" s="89" t="s">
        <v>153</v>
      </c>
      <c r="F1050" s="89">
        <f>IF(E1050="AM",1,(IF(E1050="BE",2,(IF(E1050="GV",3,(IF(E1050="RA",4,(IF(E1050="RM",5,(IF(E1050="AC",1,(IF(E1050="AT",2,(IF(E1050="DS",3,(IF(E1050="IP",4,(IF(E1050="MA",5,(IF(E1050="PT",6,(IF(E1050="AE",1,(IF(E1050="CM",2,(IF(E1050="DP",3,(IF(E1050="AN",1,(IF(E1050="CO",2,(IF(E1050="IM",3,(IF(E1050="MI",4,(IF(E1050="RP",5,(IF(E1050="SC",6,0)))))))))))))))))))))))))))))))))))))))</f>
        <v>1</v>
      </c>
      <c r="G1050" s="52">
        <v>1</v>
      </c>
      <c r="H1050" s="90" t="s">
        <v>112</v>
      </c>
      <c r="I1050" s="93" t="s">
        <v>77</v>
      </c>
      <c r="J1050" s="87" t="s">
        <v>1185</v>
      </c>
      <c r="K1050" s="102" t="s">
        <v>2214</v>
      </c>
      <c r="L1050" s="117">
        <f>IF(O1050="","",N1050*O1050*M1050)</f>
        <v>0</v>
      </c>
      <c r="M1050" s="108">
        <v>1</v>
      </c>
      <c r="N1050" s="95">
        <v>1</v>
      </c>
      <c r="O1050" s="109">
        <f>IF(Key!D$1="ON",P1050,IF(SUM(Q1050:DL1050)&lt;1,"",SUM(Q1050:DL1050)/COUNTIF(Q1050:DL1050,"&gt;0")))</f>
        <v>0</v>
      </c>
      <c r="P1050" s="109">
        <f>SUMIFS(Q1050:DK1050,Q$1:DK$1,Dashboard!$K$31)</f>
        <v>0</v>
      </c>
      <c r="U1050" s="95">
        <v>33</v>
      </c>
      <c r="AA1050" s="95">
        <v>25</v>
      </c>
      <c r="AH1050" s="95">
        <v>75</v>
      </c>
    </row>
    <row r="1051" spans="1:34" x14ac:dyDescent="0.3">
      <c r="A1051" s="89" t="str">
        <f>CONCATENATE(D1051,".",F1051,"-",G1051,".",H1051,"")</f>
        <v>2.1-1.2</v>
      </c>
      <c r="B1051" s="89" t="str">
        <f>IF(CONCATENATE(I1051,Key!F$2)=CONCATENATE(INDEX(Dashboard!J:J,MATCH(I1051,Dashboard!J:J,0),1),INDEX(Dashboard!J:K,MATCH(I1051,Dashboard!J:J,0),2)),"ON",IF(Dashboard!K$32="ALL","ON","-"))</f>
        <v>-</v>
      </c>
      <c r="C1051" s="88" t="s">
        <v>152</v>
      </c>
      <c r="D1051" s="89">
        <f>IF(C1051="ID",1,(IF(C1051="PR",2,(IF(C1051="DE",3,(IF(C1051="RS",4,(IF(C1051="RC",5,0)))))))))</f>
        <v>2</v>
      </c>
      <c r="E1051" s="89" t="s">
        <v>153</v>
      </c>
      <c r="F1051" s="89">
        <f>IF(E1051="AM",1,(IF(E1051="BE",2,(IF(E1051="GV",3,(IF(E1051="RA",4,(IF(E1051="RM",5,(IF(E1051="AC",1,(IF(E1051="AT",2,(IF(E1051="DS",3,(IF(E1051="IP",4,(IF(E1051="MA",5,(IF(E1051="PT",6,(IF(E1051="AE",1,(IF(E1051="CM",2,(IF(E1051="DP",3,(IF(E1051="AN",1,(IF(E1051="CO",2,(IF(E1051="IM",3,(IF(E1051="MI",4,(IF(E1051="RP",5,(IF(E1051="SC",6,0)))))))))))))))))))))))))))))))))))))))</f>
        <v>1</v>
      </c>
      <c r="G1051" s="52">
        <v>1</v>
      </c>
      <c r="H1051" s="90" t="s">
        <v>112</v>
      </c>
      <c r="I1051" s="93" t="s">
        <v>77</v>
      </c>
      <c r="J1051" s="87" t="s">
        <v>1186</v>
      </c>
      <c r="K1051" s="102" t="s">
        <v>2215</v>
      </c>
      <c r="L1051" s="117">
        <f>IF(O1051="","",N1051*O1051*M1051)</f>
        <v>0</v>
      </c>
      <c r="M1051" s="108">
        <v>1</v>
      </c>
      <c r="N1051" s="95">
        <v>1</v>
      </c>
      <c r="O1051" s="109">
        <f>IF(Key!D$1="ON",P1051,IF(SUM(Q1051:DL1051)&lt;1,"",SUM(Q1051:DL1051)/COUNTIF(Q1051:DL1051,"&gt;0")))</f>
        <v>0</v>
      </c>
      <c r="P1051" s="109">
        <f>SUMIFS(Q1051:DK1051,Q$1:DK$1,Dashboard!$K$31)</f>
        <v>0</v>
      </c>
      <c r="U1051" s="95">
        <v>33</v>
      </c>
      <c r="AA1051" s="95">
        <v>25</v>
      </c>
      <c r="AH1051" s="95">
        <v>75</v>
      </c>
    </row>
    <row r="1052" spans="1:34" x14ac:dyDescent="0.3">
      <c r="A1052" s="89" t="str">
        <f>CONCATENATE(D1052,".",F1052,"-",G1052,".",H1052,"")</f>
        <v>2.1-1.2</v>
      </c>
      <c r="B1052" s="89" t="str">
        <f>IF(CONCATENATE(I1052,Key!F$2)=CONCATENATE(INDEX(Dashboard!J:J,MATCH(I1052,Dashboard!J:J,0),1),INDEX(Dashboard!J:K,MATCH(I1052,Dashboard!J:J,0),2)),"ON",IF(Dashboard!K$32="ALL","ON","-"))</f>
        <v>-</v>
      </c>
      <c r="C1052" s="88" t="s">
        <v>152</v>
      </c>
      <c r="D1052" s="89">
        <f>IF(C1052="ID",1,(IF(C1052="PR",2,(IF(C1052="DE",3,(IF(C1052="RS",4,(IF(C1052="RC",5,0)))))))))</f>
        <v>2</v>
      </c>
      <c r="E1052" s="89" t="s">
        <v>153</v>
      </c>
      <c r="F1052" s="89">
        <f>IF(E1052="AM",1,(IF(E1052="BE",2,(IF(E1052="GV",3,(IF(E1052="RA",4,(IF(E1052="RM",5,(IF(E1052="AC",1,(IF(E1052="AT",2,(IF(E1052="DS",3,(IF(E1052="IP",4,(IF(E1052="MA",5,(IF(E1052="PT",6,(IF(E1052="AE",1,(IF(E1052="CM",2,(IF(E1052="DP",3,(IF(E1052="AN",1,(IF(E1052="CO",2,(IF(E1052="IM",3,(IF(E1052="MI",4,(IF(E1052="RP",5,(IF(E1052="SC",6,0)))))))))))))))))))))))))))))))))))))))</f>
        <v>1</v>
      </c>
      <c r="G1052" s="52">
        <v>1</v>
      </c>
      <c r="H1052" s="90" t="s">
        <v>112</v>
      </c>
      <c r="I1052" s="93" t="s">
        <v>77</v>
      </c>
      <c r="J1052" s="87" t="s">
        <v>1187</v>
      </c>
      <c r="K1052" s="102" t="s">
        <v>2216</v>
      </c>
      <c r="L1052" s="117">
        <f>IF(O1052="","",N1052*O1052*M1052)</f>
        <v>0</v>
      </c>
      <c r="M1052" s="108">
        <v>1</v>
      </c>
      <c r="N1052" s="95">
        <v>1</v>
      </c>
      <c r="O1052" s="109">
        <f>IF(Key!D$1="ON",P1052,IF(SUM(Q1052:DL1052)&lt;1,"",SUM(Q1052:DL1052)/COUNTIF(Q1052:DL1052,"&gt;0")))</f>
        <v>0</v>
      </c>
      <c r="P1052" s="109">
        <f>SUMIFS(Q1052:DK1052,Q$1:DK$1,Dashboard!$K$31)</f>
        <v>0</v>
      </c>
      <c r="U1052" s="95">
        <v>33</v>
      </c>
      <c r="AA1052" s="95">
        <v>25</v>
      </c>
      <c r="AH1052" s="95">
        <v>75</v>
      </c>
    </row>
    <row r="1053" spans="1:34" x14ac:dyDescent="0.3">
      <c r="A1053" s="89" t="str">
        <f>CONCATENATE(D1053,".",F1053,"-",G1053,".",H1053,"")</f>
        <v>2.1-1.2</v>
      </c>
      <c r="B1053" s="89" t="str">
        <f>IF(CONCATENATE(I1053,Key!F$2)=CONCATENATE(INDEX(Dashboard!J:J,MATCH(I1053,Dashboard!J:J,0),1),INDEX(Dashboard!J:K,MATCH(I1053,Dashboard!J:J,0),2)),"ON",IF(Dashboard!K$32="ALL","ON","-"))</f>
        <v>-</v>
      </c>
      <c r="C1053" s="88" t="s">
        <v>152</v>
      </c>
      <c r="D1053" s="89">
        <f>IF(C1053="ID",1,(IF(C1053="PR",2,(IF(C1053="DE",3,(IF(C1053="RS",4,(IF(C1053="RC",5,0)))))))))</f>
        <v>2</v>
      </c>
      <c r="E1053" s="89" t="s">
        <v>153</v>
      </c>
      <c r="F1053" s="89">
        <f>IF(E1053="AM",1,(IF(E1053="BE",2,(IF(E1053="GV",3,(IF(E1053="RA",4,(IF(E1053="RM",5,(IF(E1053="AC",1,(IF(E1053="AT",2,(IF(E1053="DS",3,(IF(E1053="IP",4,(IF(E1053="MA",5,(IF(E1053="PT",6,(IF(E1053="AE",1,(IF(E1053="CM",2,(IF(E1053="DP",3,(IF(E1053="AN",1,(IF(E1053="CO",2,(IF(E1053="IM",3,(IF(E1053="MI",4,(IF(E1053="RP",5,(IF(E1053="SC",6,0)))))))))))))))))))))))))))))))))))))))</f>
        <v>1</v>
      </c>
      <c r="G1053" s="52">
        <v>1</v>
      </c>
      <c r="H1053" s="90" t="s">
        <v>112</v>
      </c>
      <c r="I1053" s="93" t="s">
        <v>77</v>
      </c>
      <c r="J1053" s="87" t="s">
        <v>1188</v>
      </c>
      <c r="K1053" s="102" t="s">
        <v>2217</v>
      </c>
      <c r="L1053" s="117">
        <f>IF(O1053="","",N1053*O1053*M1053)</f>
        <v>0</v>
      </c>
      <c r="M1053" s="108">
        <v>1</v>
      </c>
      <c r="N1053" s="95">
        <v>1</v>
      </c>
      <c r="O1053" s="109">
        <f>IF(Key!D$1="ON",P1053,IF(SUM(Q1053:DL1053)&lt;1,"",SUM(Q1053:DL1053)/COUNTIF(Q1053:DL1053,"&gt;0")))</f>
        <v>0</v>
      </c>
      <c r="P1053" s="109">
        <f>SUMIFS(Q1053:DK1053,Q$1:DK$1,Dashboard!$K$31)</f>
        <v>0</v>
      </c>
      <c r="U1053" s="95">
        <v>33</v>
      </c>
      <c r="AA1053" s="95">
        <v>25</v>
      </c>
      <c r="AH1053" s="95">
        <v>75</v>
      </c>
    </row>
    <row r="1054" spans="1:34" ht="15.6" x14ac:dyDescent="0.3">
      <c r="A1054" s="89" t="str">
        <f>CONCATENATE(D1054,".",F1054,"-",G1054,".",H1054,"")</f>
        <v>2.1-1.2</v>
      </c>
      <c r="B1054" s="89" t="str">
        <f>IF(CONCATENATE(I1054,Key!F$2)=CONCATENATE(INDEX(Dashboard!J:J,MATCH(I1054,Dashboard!J:J,0),1),INDEX(Dashboard!J:K,MATCH(I1054,Dashboard!J:J,0),2)),"ON",IF(Dashboard!K$32="ALL","ON","-"))</f>
        <v>-</v>
      </c>
      <c r="C1054" s="88" t="s">
        <v>152</v>
      </c>
      <c r="D1054" s="89">
        <f>IF(C1054="ID",1,(IF(C1054="PR",2,(IF(C1054="DE",3,(IF(C1054="RS",4,(IF(C1054="RC",5,0)))))))))</f>
        <v>2</v>
      </c>
      <c r="E1054" s="89" t="s">
        <v>153</v>
      </c>
      <c r="F1054" s="89">
        <f>IF(E1054="AM",1,(IF(E1054="BE",2,(IF(E1054="GV",3,(IF(E1054="RA",4,(IF(E1054="RM",5,(IF(E1054="AC",1,(IF(E1054="AT",2,(IF(E1054="DS",3,(IF(E1054="IP",4,(IF(E1054="MA",5,(IF(E1054="PT",6,(IF(E1054="AE",1,(IF(E1054="CM",2,(IF(E1054="DP",3,(IF(E1054="AN",1,(IF(E1054="CO",2,(IF(E1054="IM",3,(IF(E1054="MI",4,(IF(E1054="RP",5,(IF(E1054="SC",6,0)))))))))))))))))))))))))))))))))))))))</f>
        <v>1</v>
      </c>
      <c r="G1054" s="52">
        <v>1</v>
      </c>
      <c r="H1054" s="90" t="s">
        <v>112</v>
      </c>
      <c r="I1054" s="93" t="s">
        <v>85</v>
      </c>
      <c r="J1054" s="87" t="s">
        <v>1185</v>
      </c>
      <c r="K1054" s="119" t="s">
        <v>4488</v>
      </c>
      <c r="L1054" s="117">
        <f>IF(O1054="","",N1054*O1054*M1054)</f>
        <v>0</v>
      </c>
      <c r="M1054" s="108">
        <v>1</v>
      </c>
      <c r="N1054" s="95">
        <v>1</v>
      </c>
      <c r="O1054" s="109">
        <f>IF(Key!D$1="ON",P1054,IF(SUM(Q1054:DL1054)&lt;1,"",SUM(Q1054:DL1054)/COUNTIF(Q1054:DL1054,"&gt;0")))</f>
        <v>0</v>
      </c>
      <c r="P1054" s="109">
        <f>SUMIFS(Q1054:DK1054,Q$1:DK$1,Dashboard!$K$31)</f>
        <v>0</v>
      </c>
      <c r="U1054" s="95">
        <v>33</v>
      </c>
      <c r="AA1054" s="95">
        <v>25</v>
      </c>
      <c r="AH1054" s="95">
        <v>75</v>
      </c>
    </row>
    <row r="1055" spans="1:34" ht="15.6" x14ac:dyDescent="0.3">
      <c r="A1055" s="89" t="str">
        <f>CONCATENATE(D1055,".",F1055,"-",G1055,".",H1055,"")</f>
        <v>2.1-1.2</v>
      </c>
      <c r="B1055" s="89" t="str">
        <f>IF(CONCATENATE(I1055,Key!F$2)=CONCATENATE(INDEX(Dashboard!J:J,MATCH(I1055,Dashboard!J:J,0),1),INDEX(Dashboard!J:K,MATCH(I1055,Dashboard!J:J,0),2)),"ON",IF(Dashboard!K$32="ALL","ON","-"))</f>
        <v>-</v>
      </c>
      <c r="C1055" s="88" t="s">
        <v>152</v>
      </c>
      <c r="D1055" s="89">
        <f>IF(C1055="ID",1,(IF(C1055="PR",2,(IF(C1055="DE",3,(IF(C1055="RS",4,(IF(C1055="RC",5,0)))))))))</f>
        <v>2</v>
      </c>
      <c r="E1055" s="89" t="s">
        <v>153</v>
      </c>
      <c r="F1055" s="89">
        <f>IF(E1055="AM",1,(IF(E1055="BE",2,(IF(E1055="GV",3,(IF(E1055="RA",4,(IF(E1055="RM",5,(IF(E1055="AC",1,(IF(E1055="AT",2,(IF(E1055="DS",3,(IF(E1055="IP",4,(IF(E1055="MA",5,(IF(E1055="PT",6,(IF(E1055="AE",1,(IF(E1055="CM",2,(IF(E1055="DP",3,(IF(E1055="AN",1,(IF(E1055="CO",2,(IF(E1055="IM",3,(IF(E1055="MI",4,(IF(E1055="RP",5,(IF(E1055="SC",6,0)))))))))))))))))))))))))))))))))))))))</f>
        <v>1</v>
      </c>
      <c r="G1055" s="52">
        <v>1</v>
      </c>
      <c r="H1055" s="90" t="s">
        <v>112</v>
      </c>
      <c r="I1055" s="93" t="s">
        <v>85</v>
      </c>
      <c r="J1055" s="87" t="s">
        <v>1186</v>
      </c>
      <c r="K1055" s="119" t="s">
        <v>4489</v>
      </c>
      <c r="L1055" s="117">
        <f>IF(O1055="","",N1055*O1055*M1055)</f>
        <v>0</v>
      </c>
      <c r="M1055" s="108">
        <v>1</v>
      </c>
      <c r="N1055" s="95">
        <v>1</v>
      </c>
      <c r="O1055" s="109">
        <f>IF(Key!D$1="ON",P1055,IF(SUM(Q1055:DL1055)&lt;1,"",SUM(Q1055:DL1055)/COUNTIF(Q1055:DL1055,"&gt;0")))</f>
        <v>0</v>
      </c>
      <c r="P1055" s="109">
        <f>SUMIFS(Q1055:DK1055,Q$1:DK$1,Dashboard!$K$31)</f>
        <v>0</v>
      </c>
      <c r="U1055" s="95">
        <v>33</v>
      </c>
      <c r="AA1055" s="95">
        <v>25</v>
      </c>
      <c r="AH1055" s="95">
        <v>75</v>
      </c>
    </row>
    <row r="1056" spans="1:34" x14ac:dyDescent="0.3">
      <c r="A1056" s="89" t="str">
        <f>CONCATENATE(D1056,".",F1056,"-",G1056,".",H1056,"")</f>
        <v>2.1-1.2</v>
      </c>
      <c r="B1056" s="89" t="str">
        <f>IF(CONCATENATE(I1056,Key!F$2)=CONCATENATE(INDEX(Dashboard!J:J,MATCH(I1056,Dashboard!J:J,0),1),INDEX(Dashboard!J:K,MATCH(I1056,Dashboard!J:J,0),2)),"ON",IF(Dashboard!K$32="ALL","ON","-"))</f>
        <v>-</v>
      </c>
      <c r="C1056" s="88" t="s">
        <v>152</v>
      </c>
      <c r="D1056" s="89">
        <f>IF(C1056="ID",1,(IF(C1056="PR",2,(IF(C1056="DE",3,(IF(C1056="RS",4,(IF(C1056="RC",5,0)))))))))</f>
        <v>2</v>
      </c>
      <c r="E1056" s="89" t="s">
        <v>153</v>
      </c>
      <c r="F1056" s="89">
        <f>IF(E1056="AM",1,(IF(E1056="BE",2,(IF(E1056="GV",3,(IF(E1056="RA",4,(IF(E1056="RM",5,(IF(E1056="AC",1,(IF(E1056="AT",2,(IF(E1056="DS",3,(IF(E1056="IP",4,(IF(E1056="MA",5,(IF(E1056="PT",6,(IF(E1056="AE",1,(IF(E1056="CM",2,(IF(E1056="DP",3,(IF(E1056="AN",1,(IF(E1056="CO",2,(IF(E1056="IM",3,(IF(E1056="MI",4,(IF(E1056="RP",5,(IF(E1056="SC",6,0)))))))))))))))))))))))))))))))))))))))</f>
        <v>1</v>
      </c>
      <c r="G1056" s="52">
        <v>1</v>
      </c>
      <c r="H1056" s="90" t="s">
        <v>112</v>
      </c>
      <c r="I1056" s="93" t="s">
        <v>85</v>
      </c>
      <c r="J1056" s="87" t="s">
        <v>1187</v>
      </c>
      <c r="K1056" s="119" t="s">
        <v>4490</v>
      </c>
      <c r="L1056" s="117">
        <f>IF(O1056="","",N1056*O1056*M1056)</f>
        <v>0</v>
      </c>
      <c r="M1056" s="108">
        <v>1</v>
      </c>
      <c r="N1056" s="95">
        <v>1</v>
      </c>
      <c r="O1056" s="109">
        <f>IF(Key!D$1="ON",P1056,IF(SUM(Q1056:DL1056)&lt;1,"",SUM(Q1056:DL1056)/COUNTIF(Q1056:DL1056,"&gt;0")))</f>
        <v>0</v>
      </c>
      <c r="P1056" s="109">
        <f>SUMIFS(Q1056:DK1056,Q$1:DK$1,Dashboard!$K$31)</f>
        <v>0</v>
      </c>
      <c r="U1056" s="95">
        <v>33</v>
      </c>
      <c r="AA1056" s="95">
        <v>25</v>
      </c>
      <c r="AH1056" s="95">
        <v>75</v>
      </c>
    </row>
    <row r="1057" spans="1:34" ht="15.6" x14ac:dyDescent="0.3">
      <c r="A1057" s="89" t="str">
        <f>CONCATENATE(D1057,".",F1057,"-",G1057,".",H1057,"")</f>
        <v>2.1-1.2</v>
      </c>
      <c r="B1057" s="89" t="str">
        <f>IF(CONCATENATE(I1057,Key!F$2)=CONCATENATE(INDEX(Dashboard!J:J,MATCH(I1057,Dashboard!J:J,0),1),INDEX(Dashboard!J:K,MATCH(I1057,Dashboard!J:J,0),2)),"ON",IF(Dashboard!K$32="ALL","ON","-"))</f>
        <v>-</v>
      </c>
      <c r="C1057" s="88" t="s">
        <v>152</v>
      </c>
      <c r="D1057" s="89">
        <f>IF(C1057="ID",1,(IF(C1057="PR",2,(IF(C1057="DE",3,(IF(C1057="RS",4,(IF(C1057="RC",5,0)))))))))</f>
        <v>2</v>
      </c>
      <c r="E1057" s="89" t="s">
        <v>153</v>
      </c>
      <c r="F1057" s="89">
        <f>IF(E1057="AM",1,(IF(E1057="BE",2,(IF(E1057="GV",3,(IF(E1057="RA",4,(IF(E1057="RM",5,(IF(E1057="AC",1,(IF(E1057="AT",2,(IF(E1057="DS",3,(IF(E1057="IP",4,(IF(E1057="MA",5,(IF(E1057="PT",6,(IF(E1057="AE",1,(IF(E1057="CM",2,(IF(E1057="DP",3,(IF(E1057="AN",1,(IF(E1057="CO",2,(IF(E1057="IM",3,(IF(E1057="MI",4,(IF(E1057="RP",5,(IF(E1057="SC",6,0)))))))))))))))))))))))))))))))))))))))</f>
        <v>1</v>
      </c>
      <c r="G1057" s="52">
        <v>1</v>
      </c>
      <c r="H1057" s="90" t="s">
        <v>112</v>
      </c>
      <c r="I1057" s="93" t="s">
        <v>85</v>
      </c>
      <c r="J1057" s="87" t="s">
        <v>1188</v>
      </c>
      <c r="K1057" s="119" t="s">
        <v>4495</v>
      </c>
      <c r="L1057" s="117">
        <f>IF(O1057="","",N1057*O1057*M1057)</f>
        <v>0</v>
      </c>
      <c r="M1057" s="108">
        <v>1</v>
      </c>
      <c r="N1057" s="95">
        <v>1</v>
      </c>
      <c r="O1057" s="109">
        <f>IF(Key!D$1="ON",P1057,IF(SUM(Q1057:DL1057)&lt;1,"",SUM(Q1057:DL1057)/COUNTIF(Q1057:DL1057,"&gt;0")))</f>
        <v>0</v>
      </c>
      <c r="P1057" s="109">
        <f>SUMIFS(Q1057:DK1057,Q$1:DK$1,Dashboard!$K$31)</f>
        <v>0</v>
      </c>
      <c r="U1057" s="95">
        <v>33</v>
      </c>
      <c r="AA1057" s="95">
        <v>25</v>
      </c>
      <c r="AH1057" s="95">
        <v>75</v>
      </c>
    </row>
    <row r="1058" spans="1:34" ht="15.6" x14ac:dyDescent="0.3">
      <c r="A1058" s="89" t="str">
        <f>CONCATENATE(D1058,".",F1058,"-",G1058,".",H1058,"")</f>
        <v>2.1-1.3</v>
      </c>
      <c r="B1058" s="89" t="str">
        <f>IF(CONCATENATE(I1058,Key!F$2)=CONCATENATE(INDEX(Dashboard!J:J,MATCH(I1058,Dashboard!J:J,0),1),INDEX(Dashboard!J:K,MATCH(I1058,Dashboard!J:J,0),2)),"ON",IF(Dashboard!K$32="ALL","ON","-"))</f>
        <v>-</v>
      </c>
      <c r="C1058" s="88" t="s">
        <v>152</v>
      </c>
      <c r="D1058" s="89">
        <f>IF(C1058="ID",1,(IF(C1058="PR",2,(IF(C1058="DE",3,(IF(C1058="RS",4,(IF(C1058="RC",5,0)))))))))</f>
        <v>2</v>
      </c>
      <c r="E1058" s="89" t="s">
        <v>153</v>
      </c>
      <c r="F1058" s="89">
        <f>IF(E1058="AM",1,(IF(E1058="BE",2,(IF(E1058="GV",3,(IF(E1058="RA",4,(IF(E1058="RM",5,(IF(E1058="AC",1,(IF(E1058="AT",2,(IF(E1058="DS",3,(IF(E1058="IP",4,(IF(E1058="MA",5,(IF(E1058="PT",6,(IF(E1058="AE",1,(IF(E1058="CM",2,(IF(E1058="DP",3,(IF(E1058="AN",1,(IF(E1058="CO",2,(IF(E1058="IM",3,(IF(E1058="MI",4,(IF(E1058="RP",5,(IF(E1058="SC",6,0)))))))))))))))))))))))))))))))))))))))</f>
        <v>1</v>
      </c>
      <c r="G1058" s="52">
        <v>1</v>
      </c>
      <c r="H1058" s="90" t="s">
        <v>280</v>
      </c>
      <c r="I1058" s="93" t="s">
        <v>77</v>
      </c>
      <c r="J1058" s="87" t="s">
        <v>1189</v>
      </c>
      <c r="K1058" s="102" t="s">
        <v>2218</v>
      </c>
      <c r="L1058" s="117">
        <f>IF(O1058="","",N1058*O1058*M1058)</f>
        <v>0</v>
      </c>
      <c r="M1058" s="108">
        <v>1</v>
      </c>
      <c r="N1058" s="95">
        <v>1</v>
      </c>
      <c r="O1058" s="109">
        <f>IF(Key!D$1="ON",P1058,IF(SUM(Q1058:DL1058)&lt;1,"",SUM(Q1058:DL1058)/COUNTIF(Q1058:DL1058,"&gt;0")))</f>
        <v>0</v>
      </c>
      <c r="P1058" s="109">
        <f>SUMIFS(Q1058:DK1058,Q$1:DK$1,Dashboard!$K$31)</f>
        <v>0</v>
      </c>
      <c r="U1058" s="95">
        <v>33</v>
      </c>
      <c r="AA1058" s="95">
        <v>25</v>
      </c>
      <c r="AH1058" s="95">
        <v>75</v>
      </c>
    </row>
    <row r="1059" spans="1:34" x14ac:dyDescent="0.3">
      <c r="A1059" s="89" t="str">
        <f>CONCATENATE(D1059,".",F1059,"-",G1059,".",H1059,"")</f>
        <v>2.1-1.3</v>
      </c>
      <c r="B1059" s="89" t="str">
        <f>IF(CONCATENATE(I1059,Key!F$2)=CONCATENATE(INDEX(Dashboard!J:J,MATCH(I1059,Dashboard!J:J,0),1),INDEX(Dashboard!J:K,MATCH(I1059,Dashboard!J:J,0),2)),"ON",IF(Dashboard!K$32="ALL","ON","-"))</f>
        <v>-</v>
      </c>
      <c r="C1059" s="88" t="s">
        <v>152</v>
      </c>
      <c r="D1059" s="89">
        <f>IF(C1059="ID",1,(IF(C1059="PR",2,(IF(C1059="DE",3,(IF(C1059="RS",4,(IF(C1059="RC",5,0)))))))))</f>
        <v>2</v>
      </c>
      <c r="E1059" s="89" t="s">
        <v>153</v>
      </c>
      <c r="F1059" s="89">
        <f>IF(E1059="AM",1,(IF(E1059="BE",2,(IF(E1059="GV",3,(IF(E1059="RA",4,(IF(E1059="RM",5,(IF(E1059="AC",1,(IF(E1059="AT",2,(IF(E1059="DS",3,(IF(E1059="IP",4,(IF(E1059="MA",5,(IF(E1059="PT",6,(IF(E1059="AE",1,(IF(E1059="CM",2,(IF(E1059="DP",3,(IF(E1059="AN",1,(IF(E1059="CO",2,(IF(E1059="IM",3,(IF(E1059="MI",4,(IF(E1059="RP",5,(IF(E1059="SC",6,0)))))))))))))))))))))))))))))))))))))))</f>
        <v>1</v>
      </c>
      <c r="G1059" s="52">
        <v>1</v>
      </c>
      <c r="H1059" s="90" t="s">
        <v>280</v>
      </c>
      <c r="I1059" s="93" t="s">
        <v>85</v>
      </c>
      <c r="J1059" s="87" t="s">
        <v>1189</v>
      </c>
      <c r="K1059" s="119" t="s">
        <v>1190</v>
      </c>
      <c r="L1059" s="117">
        <f>IF(O1059="","",N1059*O1059*M1059)</f>
        <v>0</v>
      </c>
      <c r="M1059" s="108">
        <v>1</v>
      </c>
      <c r="N1059" s="95">
        <v>1</v>
      </c>
      <c r="O1059" s="109">
        <f>IF(Key!D$1="ON",P1059,IF(SUM(Q1059:DL1059)&lt;1,"",SUM(Q1059:DL1059)/COUNTIF(Q1059:DL1059,"&gt;0")))</f>
        <v>0</v>
      </c>
      <c r="P1059" s="109">
        <f>SUMIFS(Q1059:DK1059,Q$1:DK$1,Dashboard!$K$31)</f>
        <v>0</v>
      </c>
      <c r="U1059" s="95">
        <v>33</v>
      </c>
      <c r="AA1059" s="95">
        <v>25</v>
      </c>
      <c r="AH1059" s="95">
        <v>75</v>
      </c>
    </row>
    <row r="1060" spans="1:34" x14ac:dyDescent="0.3">
      <c r="A1060" s="89" t="str">
        <f>CONCATENATE(D1060,".",F1060,"-",G1060,".",H1060,"")</f>
        <v>2.1-1.5</v>
      </c>
      <c r="B1060" s="89" t="str">
        <f>IF(CONCATENATE(I1060,Key!F$2)=CONCATENATE(INDEX(Dashboard!J:J,MATCH(I1060,Dashboard!J:J,0),1),INDEX(Dashboard!J:K,MATCH(I1060,Dashboard!J:J,0),2)),"ON",IF(Dashboard!K$32="ALL","ON","-"))</f>
        <v>-</v>
      </c>
      <c r="C1060" s="88" t="s">
        <v>152</v>
      </c>
      <c r="D1060" s="89">
        <f>IF(C1060="ID",1,(IF(C1060="PR",2,(IF(C1060="DE",3,(IF(C1060="RS",4,(IF(C1060="RC",5,0)))))))))</f>
        <v>2</v>
      </c>
      <c r="E1060" s="89" t="s">
        <v>153</v>
      </c>
      <c r="F1060" s="89">
        <f>IF(E1060="AM",1,(IF(E1060="BE",2,(IF(E1060="GV",3,(IF(E1060="RA",4,(IF(E1060="RM",5,(IF(E1060="AC",1,(IF(E1060="AT",2,(IF(E1060="DS",3,(IF(E1060="IP",4,(IF(E1060="MA",5,(IF(E1060="PT",6,(IF(E1060="AE",1,(IF(E1060="CM",2,(IF(E1060="DP",3,(IF(E1060="AN",1,(IF(E1060="CO",2,(IF(E1060="IM",3,(IF(E1060="MI",4,(IF(E1060="RP",5,(IF(E1060="SC",6,0)))))))))))))))))))))))))))))))))))))))</f>
        <v>1</v>
      </c>
      <c r="G1060" s="52">
        <v>1</v>
      </c>
      <c r="H1060" s="90" t="s">
        <v>123</v>
      </c>
      <c r="I1060" s="93" t="s">
        <v>77</v>
      </c>
      <c r="J1060" s="87" t="s">
        <v>1191</v>
      </c>
      <c r="K1060" s="102" t="s">
        <v>2219</v>
      </c>
      <c r="L1060" s="117">
        <f>IF(O1060="","",N1060*O1060*M1060)</f>
        <v>0</v>
      </c>
      <c r="M1060" s="108">
        <v>1</v>
      </c>
      <c r="N1060" s="95">
        <v>1</v>
      </c>
      <c r="O1060" s="109">
        <f>IF(Key!D$1="ON",P1060,IF(SUM(Q1060:DL1060)&lt;1,"",SUM(Q1060:DL1060)/COUNTIF(Q1060:DL1060,"&gt;0")))</f>
        <v>0</v>
      </c>
      <c r="P1060" s="109">
        <f>SUMIFS(Q1060:DK1060,Q$1:DK$1,Dashboard!$K$31)</f>
        <v>0</v>
      </c>
      <c r="U1060" s="95">
        <v>33</v>
      </c>
      <c r="AA1060" s="95">
        <v>25</v>
      </c>
      <c r="AH1060" s="95">
        <v>75</v>
      </c>
    </row>
    <row r="1061" spans="1:34" x14ac:dyDescent="0.3">
      <c r="A1061" s="89" t="str">
        <f>CONCATENATE(D1061,".",F1061,"-",G1061,".",H1061,"")</f>
        <v>2.1-2.0</v>
      </c>
      <c r="B1061" s="89" t="str">
        <f>IF(CONCATENATE(I1061,Key!F$2)=CONCATENATE(INDEX(Dashboard!J:J,MATCH(I1061,Dashboard!J:J,0),1),INDEX(Dashboard!J:K,MATCH(I1061,Dashboard!J:J,0),2)),"ON",IF(Dashboard!K$32="ALL","ON","-"))</f>
        <v>-</v>
      </c>
      <c r="C1061" s="88" t="s">
        <v>152</v>
      </c>
      <c r="D1061" s="89">
        <f>IF(C1061="ID",1,(IF(C1061="PR",2,(IF(C1061="DE",3,(IF(C1061="RS",4,(IF(C1061="RC",5,0)))))))))</f>
        <v>2</v>
      </c>
      <c r="E1061" s="89" t="s">
        <v>153</v>
      </c>
      <c r="F1061" s="89">
        <f>IF(E1061="AM",1,(IF(E1061="BE",2,(IF(E1061="GV",3,(IF(E1061="RA",4,(IF(E1061="RM",5,(IF(E1061="AC",1,(IF(E1061="AT",2,(IF(E1061="DS",3,(IF(E1061="IP",4,(IF(E1061="MA",5,(IF(E1061="PT",6,(IF(E1061="AE",1,(IF(E1061="CM",2,(IF(E1061="DP",3,(IF(E1061="AN",1,(IF(E1061="CO",2,(IF(E1061="IM",3,(IF(E1061="MI",4,(IF(E1061="RP",5,(IF(E1061="SC",6,0)))))))))))))))))))))))))))))))))))))))</f>
        <v>1</v>
      </c>
      <c r="G1061" s="52">
        <v>2</v>
      </c>
      <c r="H1061" s="90" t="s">
        <v>347</v>
      </c>
      <c r="I1061" s="93" t="s">
        <v>2835</v>
      </c>
      <c r="J1061" s="53" t="s">
        <v>2917</v>
      </c>
      <c r="K1061" s="150" t="s">
        <v>2918</v>
      </c>
      <c r="L1061" s="117">
        <f>IF(O1061="","",N1061*O1061*M1061)</f>
        <v>0</v>
      </c>
      <c r="M1061" s="108">
        <v>1</v>
      </c>
      <c r="N1061" s="95">
        <v>1</v>
      </c>
      <c r="O1061" s="109">
        <f>IF(Key!D$1="ON",P1061,IF(SUM(Q1061:DL1061)&lt;1,"",SUM(Q1061:DL1061)/COUNTIF(Q1061:DL1061,"&gt;0")))</f>
        <v>0</v>
      </c>
      <c r="P1061" s="109">
        <f>SUMIFS(Q1061:DK1061,Q$1:DK$1,Dashboard!$K$31)</f>
        <v>0</v>
      </c>
      <c r="U1061" s="95">
        <v>33</v>
      </c>
    </row>
    <row r="1062" spans="1:34" x14ac:dyDescent="0.3">
      <c r="A1062" s="89" t="str">
        <f>CONCATENATE(D1062,".",F1062,"-",G1062,".",H1062,"")</f>
        <v>2.1-2.1</v>
      </c>
      <c r="B1062" s="89" t="str">
        <f>IF(CONCATENATE(I1062,Key!F$2)=CONCATENATE(INDEX(Dashboard!J:J,MATCH(I1062,Dashboard!J:J,0),1),INDEX(Dashboard!J:K,MATCH(I1062,Dashboard!J:J,0),2)),"ON",IF(Dashboard!K$32="ALL","ON","-"))</f>
        <v>ON</v>
      </c>
      <c r="C1062" s="130" t="s">
        <v>152</v>
      </c>
      <c r="D1062" s="89">
        <f>IF(C1062="ID",1,(IF(C1062="PR",2,(IF(C1062="DE",3,(IF(C1062="RS",4,(IF(C1062="RC",5,0)))))))))</f>
        <v>2</v>
      </c>
      <c r="E1062" s="95" t="s">
        <v>153</v>
      </c>
      <c r="F1062" s="89">
        <f>IF(E1062="AM",1,(IF(E1062="BE",2,(IF(E1062="GV",3,(IF(E1062="RA",4,(IF(E1062="RM",5,(IF(E1062="AC",1,(IF(E1062="AT",2,(IF(E1062="DS",3,(IF(E1062="IP",4,(IF(E1062="MA",5,(IF(E1062="PT",6,(IF(E1062="AE",1,(IF(E1062="CM",2,(IF(E1062="DP",3,(IF(E1062="AN",1,(IF(E1062="CO",2,(IF(E1062="IM",3,(IF(E1062="MI",4,(IF(E1062="RP",5,(IF(E1062="SC",6,0)))))))))))))))))))))))))))))))))))))))</f>
        <v>1</v>
      </c>
      <c r="G1062" s="52">
        <v>2</v>
      </c>
      <c r="H1062" s="90" t="s">
        <v>115</v>
      </c>
      <c r="I1062" s="93" t="s">
        <v>4107</v>
      </c>
      <c r="J1062" s="86" t="s">
        <v>4034</v>
      </c>
      <c r="K1062" s="101" t="s">
        <v>4457</v>
      </c>
      <c r="L1062" s="117">
        <f>IF(O1062="","",N1062*O1062*M1062)</f>
        <v>0</v>
      </c>
      <c r="M1062" s="108">
        <v>1</v>
      </c>
      <c r="N1062" s="95">
        <v>1</v>
      </c>
      <c r="O1062" s="109">
        <f>IF(Key!D$1="ON",P1062,IF(SUM(Q1062:DL1062)&lt;1,"",SUM(Q1062:DL1062)/COUNTIF(Q1062:DL1062,"&gt;0")))</f>
        <v>0</v>
      </c>
      <c r="P1062" s="109">
        <f>SUMIFS(Q1062:DK1062,Q$1:DK$1,Dashboard!$K$31)</f>
        <v>0</v>
      </c>
      <c r="U1062" s="95">
        <v>33</v>
      </c>
      <c r="AA1062" s="95">
        <v>25</v>
      </c>
      <c r="AH1062" s="95">
        <v>75</v>
      </c>
    </row>
    <row r="1063" spans="1:34" x14ac:dyDescent="0.3">
      <c r="A1063" s="89" t="str">
        <f>CONCATENATE(D1063,".",F1063,"-",G1063,".",H1063,"")</f>
        <v>2.1-2.1</v>
      </c>
      <c r="B1063" s="89" t="str">
        <f>IF(CONCATENATE(I1063,Key!F$2)=CONCATENATE(INDEX(Dashboard!J:J,MATCH(I1063,Dashboard!J:J,0),1),INDEX(Dashboard!J:K,MATCH(I1063,Dashboard!J:J,0),2)),"ON",IF(Dashboard!K$32="ALL","ON","-"))</f>
        <v>ON</v>
      </c>
      <c r="C1063" s="96" t="s">
        <v>152</v>
      </c>
      <c r="D1063" s="89">
        <f>IF(C1063="ID",1,(IF(C1063="PR",2,(IF(C1063="DE",3,(IF(C1063="RS",4,(IF(C1063="RC",5,0)))))))))</f>
        <v>2</v>
      </c>
      <c r="E1063" s="89" t="s">
        <v>153</v>
      </c>
      <c r="F1063" s="89">
        <f>IF(E1063="AM",1,(IF(E1063="BE",2,(IF(E1063="GV",3,(IF(E1063="RA",4,(IF(E1063="RM",5,(IF(E1063="AC",1,(IF(E1063="AT",2,(IF(E1063="DS",3,(IF(E1063="IP",4,(IF(E1063="MA",5,(IF(E1063="PT",6,(IF(E1063="AE",1,(IF(E1063="CM",2,(IF(E1063="DP",3,(IF(E1063="AN",1,(IF(E1063="CO",2,(IF(E1063="IM",3,(IF(E1063="MI",4,(IF(E1063="RP",5,(IF(E1063="SC",6,0)))))))))))))))))))))))))))))))))))))))</f>
        <v>1</v>
      </c>
      <c r="G1063" s="98">
        <v>2</v>
      </c>
      <c r="H1063" s="89">
        <v>1</v>
      </c>
      <c r="I1063" s="93" t="s">
        <v>4107</v>
      </c>
      <c r="J1063" s="86" t="s">
        <v>4035</v>
      </c>
      <c r="K1063" s="101" t="s">
        <v>4204</v>
      </c>
      <c r="L1063" s="117">
        <f>IF(O1063="","",N1063*O1063*M1063)</f>
        <v>0</v>
      </c>
      <c r="M1063" s="108">
        <v>1</v>
      </c>
      <c r="N1063" s="95">
        <v>1</v>
      </c>
      <c r="O1063" s="109">
        <f>IF(Key!D$1="ON",P1063,IF(SUM(Q1063:DL1063)&lt;1,"",SUM(Q1063:DL1063)/COUNTIF(Q1063:DL1063,"&gt;0")))</f>
        <v>0</v>
      </c>
      <c r="P1063" s="109">
        <f>SUMIFS(Q1063:DK1063,Q$1:DK$1,Dashboard!$K$31)</f>
        <v>0</v>
      </c>
      <c r="U1063" s="95">
        <v>33</v>
      </c>
      <c r="AA1063" s="95">
        <v>25</v>
      </c>
      <c r="AH1063" s="95">
        <v>75</v>
      </c>
    </row>
    <row r="1064" spans="1:34" x14ac:dyDescent="0.3">
      <c r="A1064" s="89" t="str">
        <f>CONCATENATE(D1064,".",F1064,"-",G1064,".",H1064,"")</f>
        <v>2.1-2.1</v>
      </c>
      <c r="B1064" s="89" t="str">
        <f>IF(CONCATENATE(I1064,Key!F$2)=CONCATENATE(INDEX(Dashboard!J:J,MATCH(I1064,Dashboard!J:J,0),1),INDEX(Dashboard!J:K,MATCH(I1064,Dashboard!J:J,0),2)),"ON",IF(Dashboard!K$32="ALL","ON","-"))</f>
        <v>ON</v>
      </c>
      <c r="C1064" s="96" t="s">
        <v>152</v>
      </c>
      <c r="D1064" s="89">
        <f>IF(C1064="ID",1,(IF(C1064="PR",2,(IF(C1064="DE",3,(IF(C1064="RS",4,(IF(C1064="RC",5,0)))))))))</f>
        <v>2</v>
      </c>
      <c r="E1064" s="89" t="s">
        <v>153</v>
      </c>
      <c r="F1064" s="89">
        <f>IF(E1064="AM",1,(IF(E1064="BE",2,(IF(E1064="GV",3,(IF(E1064="RA",4,(IF(E1064="RM",5,(IF(E1064="AC",1,(IF(E1064="AT",2,(IF(E1064="DS",3,(IF(E1064="IP",4,(IF(E1064="MA",5,(IF(E1064="PT",6,(IF(E1064="AE",1,(IF(E1064="CM",2,(IF(E1064="DP",3,(IF(E1064="AN",1,(IF(E1064="CO",2,(IF(E1064="IM",3,(IF(E1064="MI",4,(IF(E1064="RP",5,(IF(E1064="SC",6,0)))))))))))))))))))))))))))))))))))))))</f>
        <v>1</v>
      </c>
      <c r="G1064" s="98">
        <v>2</v>
      </c>
      <c r="H1064" s="89">
        <v>1</v>
      </c>
      <c r="I1064" s="93" t="s">
        <v>4107</v>
      </c>
      <c r="J1064" s="86" t="s">
        <v>4036</v>
      </c>
      <c r="K1064" s="101" t="s">
        <v>4206</v>
      </c>
      <c r="L1064" s="117">
        <f>IF(O1064="","",N1064*O1064*M1064)</f>
        <v>0</v>
      </c>
      <c r="M1064" s="108">
        <v>1</v>
      </c>
      <c r="N1064" s="95">
        <v>1</v>
      </c>
      <c r="O1064" s="109">
        <f>IF(Key!D$1="ON",P1064,IF(SUM(Q1064:DL1064)&lt;1,"",SUM(Q1064:DL1064)/COUNTIF(Q1064:DL1064,"&gt;0")))</f>
        <v>0</v>
      </c>
      <c r="P1064" s="109">
        <f>SUMIFS(Q1064:DK1064,Q$1:DK$1,Dashboard!$K$31)</f>
        <v>0</v>
      </c>
      <c r="U1064" s="95">
        <v>33</v>
      </c>
      <c r="AA1064" s="95">
        <v>25</v>
      </c>
      <c r="AH1064" s="95">
        <v>75</v>
      </c>
    </row>
    <row r="1065" spans="1:34" x14ac:dyDescent="0.3">
      <c r="A1065" s="89" t="str">
        <f>CONCATENATE(D1065,".",F1065,"-",G1065,".",H1065,"")</f>
        <v>2.1-2.1</v>
      </c>
      <c r="B1065" s="89" t="str">
        <f>IF(CONCATENATE(I1065,Key!F$2)=CONCATENATE(INDEX(Dashboard!J:J,MATCH(I1065,Dashboard!J:J,0),1),INDEX(Dashboard!J:K,MATCH(I1065,Dashboard!J:J,0),2)),"ON",IF(Dashboard!K$32="ALL","ON","-"))</f>
        <v>ON</v>
      </c>
      <c r="C1065" s="96" t="s">
        <v>152</v>
      </c>
      <c r="D1065" s="89">
        <f>IF(C1065="ID",1,(IF(C1065="PR",2,(IF(C1065="DE",3,(IF(C1065="RS",4,(IF(C1065="RC",5,0)))))))))</f>
        <v>2</v>
      </c>
      <c r="E1065" s="89" t="s">
        <v>153</v>
      </c>
      <c r="F1065" s="89">
        <f>IF(E1065="AM",1,(IF(E1065="BE",2,(IF(E1065="GV",3,(IF(E1065="RA",4,(IF(E1065="RM",5,(IF(E1065="AC",1,(IF(E1065="AT",2,(IF(E1065="DS",3,(IF(E1065="IP",4,(IF(E1065="MA",5,(IF(E1065="PT",6,(IF(E1065="AE",1,(IF(E1065="CM",2,(IF(E1065="DP",3,(IF(E1065="AN",1,(IF(E1065="CO",2,(IF(E1065="IM",3,(IF(E1065="MI",4,(IF(E1065="RP",5,(IF(E1065="SC",6,0)))))))))))))))))))))))))))))))))))))))</f>
        <v>1</v>
      </c>
      <c r="G1065" s="98">
        <v>2</v>
      </c>
      <c r="H1065" s="89">
        <v>1</v>
      </c>
      <c r="I1065" s="93" t="s">
        <v>4107</v>
      </c>
      <c r="J1065" s="86" t="s">
        <v>4037</v>
      </c>
      <c r="K1065" s="101" t="s">
        <v>4208</v>
      </c>
      <c r="L1065" s="117">
        <f>IF(O1065="","",N1065*O1065*M1065)</f>
        <v>0</v>
      </c>
      <c r="M1065" s="108">
        <v>1</v>
      </c>
      <c r="N1065" s="95">
        <v>1</v>
      </c>
      <c r="O1065" s="109">
        <f>IF(Key!D$1="ON",P1065,IF(SUM(Q1065:DL1065)&lt;1,"",SUM(Q1065:DL1065)/COUNTIF(Q1065:DL1065,"&gt;0")))</f>
        <v>0</v>
      </c>
      <c r="P1065" s="109">
        <f>SUMIFS(Q1065:DK1065,Q$1:DK$1,Dashboard!$K$31)</f>
        <v>0</v>
      </c>
      <c r="U1065" s="95">
        <v>33</v>
      </c>
      <c r="AA1065" s="95">
        <v>25</v>
      </c>
      <c r="AH1065" s="95">
        <v>75</v>
      </c>
    </row>
    <row r="1066" spans="1:34" x14ac:dyDescent="0.3">
      <c r="A1066" s="89" t="str">
        <f>CONCATENATE(D1066,".",F1066,"-",G1066,".",H1066,"")</f>
        <v>2.1-2.1</v>
      </c>
      <c r="B1066" s="89" t="str">
        <f>IF(CONCATENATE(I1066,Key!F$2)=CONCATENATE(INDEX(Dashboard!J:J,MATCH(I1066,Dashboard!J:J,0),1),INDEX(Dashboard!J:K,MATCH(I1066,Dashboard!J:J,0),2)),"ON",IF(Dashboard!K$32="ALL","ON","-"))</f>
        <v>ON</v>
      </c>
      <c r="C1066" s="130" t="s">
        <v>152</v>
      </c>
      <c r="D1066" s="89">
        <f>IF(C1066="ID",1,(IF(C1066="PR",2,(IF(C1066="DE",3,(IF(C1066="RS",4,(IF(C1066="RC",5,0)))))))))</f>
        <v>2</v>
      </c>
      <c r="E1066" s="95" t="s">
        <v>153</v>
      </c>
      <c r="F1066" s="89">
        <f>IF(E1066="AM",1,(IF(E1066="BE",2,(IF(E1066="GV",3,(IF(E1066="RA",4,(IF(E1066="RM",5,(IF(E1066="AC",1,(IF(E1066="AT",2,(IF(E1066="DS",3,(IF(E1066="IP",4,(IF(E1066="MA",5,(IF(E1066="PT",6,(IF(E1066="AE",1,(IF(E1066="CM",2,(IF(E1066="DP",3,(IF(E1066="AN",1,(IF(E1066="CO",2,(IF(E1066="IM",3,(IF(E1066="MI",4,(IF(E1066="RP",5,(IF(E1066="SC",6,0)))))))))))))))))))))))))))))))))))))))</f>
        <v>1</v>
      </c>
      <c r="G1066" s="52">
        <v>2</v>
      </c>
      <c r="H1066" s="90" t="s">
        <v>115</v>
      </c>
      <c r="I1066" s="93" t="s">
        <v>4107</v>
      </c>
      <c r="J1066" s="86" t="s">
        <v>4038</v>
      </c>
      <c r="K1066" s="101" t="s">
        <v>4392</v>
      </c>
      <c r="L1066" s="117">
        <f>IF(O1066="","",N1066*O1066*M1066)</f>
        <v>0</v>
      </c>
      <c r="M1066" s="108">
        <v>1</v>
      </c>
      <c r="N1066" s="95">
        <v>1</v>
      </c>
      <c r="O1066" s="109">
        <f>IF(Key!D$1="ON",P1066,IF(SUM(Q1066:DL1066)&lt;1,"",SUM(Q1066:DL1066)/COUNTIF(Q1066:DL1066,"&gt;0")))</f>
        <v>0</v>
      </c>
      <c r="P1066" s="109">
        <f>SUMIFS(Q1066:DK1066,Q$1:DK$1,Dashboard!$K$31)</f>
        <v>0</v>
      </c>
      <c r="U1066" s="95">
        <v>33</v>
      </c>
      <c r="AA1066" s="95">
        <v>25</v>
      </c>
      <c r="AH1066" s="95">
        <v>75</v>
      </c>
    </row>
    <row r="1067" spans="1:34" x14ac:dyDescent="0.3">
      <c r="A1067" s="89" t="str">
        <f>CONCATENATE(D1067,".",F1067,"-",G1067,".",H1067,"")</f>
        <v>2.1-2.1</v>
      </c>
      <c r="B1067" s="89" t="str">
        <f>IF(CONCATENATE(I1067,Key!F$2)=CONCATENATE(INDEX(Dashboard!J:J,MATCH(I1067,Dashboard!J:J,0),1),INDEX(Dashboard!J:K,MATCH(I1067,Dashboard!J:J,0),2)),"ON",IF(Dashboard!K$32="ALL","ON","-"))</f>
        <v>ON</v>
      </c>
      <c r="C1067" s="130" t="s">
        <v>152</v>
      </c>
      <c r="D1067" s="89">
        <f>IF(C1067="ID",1,(IF(C1067="PR",2,(IF(C1067="DE",3,(IF(C1067="RS",4,(IF(C1067="RC",5,0)))))))))</f>
        <v>2</v>
      </c>
      <c r="E1067" s="95" t="s">
        <v>153</v>
      </c>
      <c r="F1067" s="89">
        <f>IF(E1067="AM",1,(IF(E1067="BE",2,(IF(E1067="GV",3,(IF(E1067="RA",4,(IF(E1067="RM",5,(IF(E1067="AC",1,(IF(E1067="AT",2,(IF(E1067="DS",3,(IF(E1067="IP",4,(IF(E1067="MA",5,(IF(E1067="PT",6,(IF(E1067="AE",1,(IF(E1067="CM",2,(IF(E1067="DP",3,(IF(E1067="AN",1,(IF(E1067="CO",2,(IF(E1067="IM",3,(IF(E1067="MI",4,(IF(E1067="RP",5,(IF(E1067="SC",6,0)))))))))))))))))))))))))))))))))))))))</f>
        <v>1</v>
      </c>
      <c r="G1067" s="52">
        <v>2</v>
      </c>
      <c r="H1067" s="90" t="s">
        <v>115</v>
      </c>
      <c r="I1067" s="93" t="s">
        <v>4107</v>
      </c>
      <c r="J1067" s="86" t="s">
        <v>4077</v>
      </c>
      <c r="K1067" s="101" t="s">
        <v>4226</v>
      </c>
      <c r="L1067" s="117">
        <f>IF(O1067="","",N1067*O1067*M1067)</f>
        <v>0</v>
      </c>
      <c r="M1067" s="108">
        <v>1</v>
      </c>
      <c r="N1067" s="95">
        <v>1</v>
      </c>
      <c r="O1067" s="109">
        <f>IF(Key!D$1="ON",P1067,IF(SUM(Q1067:DL1067)&lt;1,"",SUM(Q1067:DL1067)/COUNTIF(Q1067:DL1067,"&gt;0")))</f>
        <v>0</v>
      </c>
      <c r="P1067" s="109">
        <f>SUMIFS(Q1067:DK1067,Q$1:DK$1,Dashboard!$K$31)</f>
        <v>0</v>
      </c>
      <c r="U1067" s="95">
        <v>33</v>
      </c>
      <c r="AA1067" s="95">
        <v>25</v>
      </c>
      <c r="AH1067" s="95">
        <v>75</v>
      </c>
    </row>
    <row r="1068" spans="1:34" x14ac:dyDescent="0.3">
      <c r="A1068" s="89" t="str">
        <f>CONCATENATE(D1068,".",F1068,"-",G1068,".",H1068,"")</f>
        <v>2.1-2.1</v>
      </c>
      <c r="B1068" s="89" t="str">
        <f>IF(CONCATENATE(I1068,Key!F$2)=CONCATENATE(INDEX(Dashboard!J:J,MATCH(I1068,Dashboard!J:J,0),1),INDEX(Dashboard!J:K,MATCH(I1068,Dashboard!J:J,0),2)),"ON",IF(Dashboard!K$32="ALL","ON","-"))</f>
        <v>-</v>
      </c>
      <c r="C1068" s="88" t="s">
        <v>152</v>
      </c>
      <c r="D1068" s="89">
        <f>IF(C1068="ID",1,(IF(C1068="PR",2,(IF(C1068="DE",3,(IF(C1068="RS",4,(IF(C1068="RC",5,0)))))))))</f>
        <v>2</v>
      </c>
      <c r="E1068" s="89" t="s">
        <v>153</v>
      </c>
      <c r="F1068" s="89">
        <f>IF(E1068="AM",1,(IF(E1068="BE",2,(IF(E1068="GV",3,(IF(E1068="RA",4,(IF(E1068="RM",5,(IF(E1068="AC",1,(IF(E1068="AT",2,(IF(E1068="DS",3,(IF(E1068="IP",4,(IF(E1068="MA",5,(IF(E1068="PT",6,(IF(E1068="AE",1,(IF(E1068="CM",2,(IF(E1068="DP",3,(IF(E1068="AN",1,(IF(E1068="CO",2,(IF(E1068="IM",3,(IF(E1068="MI",4,(IF(E1068="RP",5,(IF(E1068="SC",6,0)))))))))))))))))))))))))))))))))))))))</f>
        <v>1</v>
      </c>
      <c r="G1068" s="52">
        <v>2</v>
      </c>
      <c r="H1068" s="99">
        <v>1</v>
      </c>
      <c r="I1068" s="93" t="s">
        <v>37</v>
      </c>
      <c r="J1068" s="86">
        <v>15.4</v>
      </c>
      <c r="K1068" s="102" t="s">
        <v>3705</v>
      </c>
      <c r="L1068" s="117">
        <f>IF(O1068="","",N1068*O1068*M1068)</f>
        <v>0</v>
      </c>
      <c r="M1068" s="108">
        <v>1</v>
      </c>
      <c r="N1068" s="95">
        <v>1</v>
      </c>
      <c r="O1068" s="109">
        <f>IF(Key!D$1="ON",P1068,IF(SUM(Q1068:DL1068)&lt;1,"",SUM(Q1068:DL1068)/COUNTIF(Q1068:DL1068,"&gt;0")))</f>
        <v>0</v>
      </c>
      <c r="P1068" s="109">
        <f>SUMIFS(Q1068:DK1068,Q$1:DK$1,Dashboard!$K$31)</f>
        <v>0</v>
      </c>
      <c r="U1068" s="95">
        <v>33</v>
      </c>
      <c r="AA1068" s="95">
        <v>25</v>
      </c>
      <c r="AH1068" s="95">
        <v>75</v>
      </c>
    </row>
    <row r="1069" spans="1:34" x14ac:dyDescent="0.3">
      <c r="A1069" s="89" t="str">
        <f>CONCATENATE(D1069,".",F1069,"-",G1069,".",H1069,"")</f>
        <v>2.1-2.1</v>
      </c>
      <c r="B1069" s="89" t="str">
        <f>IF(CONCATENATE(I1069,Key!F$2)=CONCATENATE(INDEX(Dashboard!J:J,MATCH(I1069,Dashboard!J:J,0),1),INDEX(Dashboard!J:K,MATCH(I1069,Dashboard!J:J,0),2)),"ON",IF(Dashboard!K$32="ALL","ON","-"))</f>
        <v>-</v>
      </c>
      <c r="C1069" s="88" t="s">
        <v>152</v>
      </c>
      <c r="D1069" s="89">
        <f>IF(C1069="ID",1,(IF(C1069="PR",2,(IF(C1069="DE",3,(IF(C1069="RS",4,(IF(C1069="RC",5,0)))))))))</f>
        <v>2</v>
      </c>
      <c r="E1069" s="89" t="s">
        <v>153</v>
      </c>
      <c r="F1069" s="89">
        <f>IF(E1069="AM",1,(IF(E1069="BE",2,(IF(E1069="GV",3,(IF(E1069="RA",4,(IF(E1069="RM",5,(IF(E1069="AC",1,(IF(E1069="AT",2,(IF(E1069="DS",3,(IF(E1069="IP",4,(IF(E1069="MA",5,(IF(E1069="PT",6,(IF(E1069="AE",1,(IF(E1069="CM",2,(IF(E1069="DP",3,(IF(E1069="AN",1,(IF(E1069="CO",2,(IF(E1069="IM",3,(IF(E1069="MI",4,(IF(E1069="RP",5,(IF(E1069="SC",6,0)))))))))))))))))))))))))))))))))))))))</f>
        <v>1</v>
      </c>
      <c r="G1069" s="52">
        <v>2</v>
      </c>
      <c r="H1069" s="99">
        <v>1</v>
      </c>
      <c r="I1069" s="93" t="s">
        <v>37</v>
      </c>
      <c r="J1069" s="86">
        <v>5.3</v>
      </c>
      <c r="K1069" s="102" t="s">
        <v>3704</v>
      </c>
      <c r="L1069" s="117">
        <f>IF(O1069="","",N1069*O1069*M1069)</f>
        <v>0</v>
      </c>
      <c r="M1069" s="108">
        <v>1</v>
      </c>
      <c r="N1069" s="95">
        <v>1</v>
      </c>
      <c r="O1069" s="109">
        <f>IF(Key!D$1="ON",P1069,IF(SUM(Q1069:DL1069)&lt;1,"",SUM(Q1069:DL1069)/COUNTIF(Q1069:DL1069,"&gt;0")))</f>
        <v>0</v>
      </c>
      <c r="P1069" s="109">
        <f>SUMIFS(Q1069:DK1069,Q$1:DK$1,Dashboard!$K$31)</f>
        <v>0</v>
      </c>
      <c r="U1069" s="95">
        <v>33</v>
      </c>
      <c r="AA1069" s="95">
        <v>25</v>
      </c>
      <c r="AH1069" s="95">
        <v>75</v>
      </c>
    </row>
    <row r="1070" spans="1:34" x14ac:dyDescent="0.3">
      <c r="A1070" s="89" t="str">
        <f>CONCATENATE(D1070,".",F1070,"-",G1070,".",H1070,"")</f>
        <v>2.1-2.1</v>
      </c>
      <c r="B1070" s="89" t="str">
        <f>IF(CONCATENATE(I1070,Key!F$2)=CONCATENATE(INDEX(Dashboard!J:J,MATCH(I1070,Dashboard!J:J,0),1),INDEX(Dashboard!J:K,MATCH(I1070,Dashboard!J:J,0),2)),"ON",IF(Dashboard!K$32="ALL","ON","-"))</f>
        <v>-</v>
      </c>
      <c r="C1070" s="88" t="s">
        <v>152</v>
      </c>
      <c r="D1070" s="89">
        <f>IF(C1070="ID",1,(IF(C1070="PR",2,(IF(C1070="DE",3,(IF(C1070="RS",4,(IF(C1070="RC",5,0)))))))))</f>
        <v>2</v>
      </c>
      <c r="E1070" s="89" t="s">
        <v>153</v>
      </c>
      <c r="F1070" s="89">
        <f>IF(E1070="AM",1,(IF(E1070="BE",2,(IF(E1070="GV",3,(IF(E1070="RA",4,(IF(E1070="RM",5,(IF(E1070="AC",1,(IF(E1070="AT",2,(IF(E1070="DS",3,(IF(E1070="IP",4,(IF(E1070="MA",5,(IF(E1070="PT",6,(IF(E1070="AE",1,(IF(E1070="CM",2,(IF(E1070="DP",3,(IF(E1070="AN",1,(IF(E1070="CO",2,(IF(E1070="IM",3,(IF(E1070="MI",4,(IF(E1070="RP",5,(IF(E1070="SC",6,0)))))))))))))))))))))))))))))))))))))))</f>
        <v>1</v>
      </c>
      <c r="G1070" s="52">
        <v>2</v>
      </c>
      <c r="H1070" s="99">
        <v>1</v>
      </c>
      <c r="I1070" s="93" t="s">
        <v>41</v>
      </c>
      <c r="J1070" s="86">
        <v>15.5</v>
      </c>
      <c r="K1070" s="103" t="s">
        <v>3577</v>
      </c>
      <c r="L1070" s="117">
        <f>IF(O1070="","",N1070*O1070*M1070)</f>
        <v>0</v>
      </c>
      <c r="M1070" s="108">
        <v>1</v>
      </c>
      <c r="N1070" s="95">
        <v>1</v>
      </c>
      <c r="O1070" s="109">
        <f>IF(Key!D$1="ON",P1070,IF(SUM(Q1070:DL1070)&lt;1,"",SUM(Q1070:DL1070)/COUNTIF(Q1070:DL1070,"&gt;0")))</f>
        <v>0</v>
      </c>
      <c r="P1070" s="109">
        <f>SUMIFS(Q1070:DK1070,Q$1:DK$1,Dashboard!$K$31)</f>
        <v>0</v>
      </c>
      <c r="U1070" s="95">
        <v>33</v>
      </c>
    </row>
    <row r="1071" spans="1:34" x14ac:dyDescent="0.3">
      <c r="A1071" s="89" t="str">
        <f>CONCATENATE(D1071,".",F1071,"-",G1071,".",H1071,"")</f>
        <v>2.1-2.1</v>
      </c>
      <c r="B1071" s="89" t="str">
        <f>IF(CONCATENATE(I1071,Key!F$2)=CONCATENATE(INDEX(Dashboard!J:J,MATCH(I1071,Dashboard!J:J,0),1),INDEX(Dashboard!J:K,MATCH(I1071,Dashboard!J:J,0),2)),"ON",IF(Dashboard!K$32="ALL","ON","-"))</f>
        <v>-</v>
      </c>
      <c r="C1071" s="96" t="s">
        <v>152</v>
      </c>
      <c r="D1071" s="89">
        <f>IF(C1071="ID",1,(IF(C1071="PR",2,(IF(C1071="DE",3,(IF(C1071="RS",4,(IF(C1071="RC",5,0)))))))))</f>
        <v>2</v>
      </c>
      <c r="E1071" s="89" t="s">
        <v>153</v>
      </c>
      <c r="F1071" s="89">
        <f>IF(E1071="AM",1,(IF(E1071="BE",2,(IF(E1071="GV",3,(IF(E1071="RA",4,(IF(E1071="RM",5,(IF(E1071="AC",1,(IF(E1071="AT",2,(IF(E1071="DS",3,(IF(E1071="IP",4,(IF(E1071="MA",5,(IF(E1071="PT",6,(IF(E1071="AE",1,(IF(E1071="CM",2,(IF(E1071="DP",3,(IF(E1071="AN",1,(IF(E1071="CO",2,(IF(E1071="IM",3,(IF(E1071="MI",4,(IF(E1071="RP",5,(IF(E1071="SC",6,0)))))))))))))))))))))))))))))))))))))))</f>
        <v>1</v>
      </c>
      <c r="G1071" s="98">
        <v>2</v>
      </c>
      <c r="H1071" s="90" t="s">
        <v>115</v>
      </c>
      <c r="I1071" s="93" t="s">
        <v>52</v>
      </c>
      <c r="J1071" s="88" t="s">
        <v>3365</v>
      </c>
      <c r="K1071" s="102" t="s">
        <v>3366</v>
      </c>
      <c r="L1071" s="117">
        <f>IF(O1071="","",N1071*O1071*M1071)</f>
        <v>0</v>
      </c>
      <c r="M1071" s="108">
        <v>1</v>
      </c>
      <c r="N1071" s="95">
        <v>1</v>
      </c>
      <c r="O1071" s="109">
        <f>IF(Key!D$1="ON",P1071,IF(SUM(Q1071:DL1071)&lt;1,"",SUM(Q1071:DL1071)/COUNTIF(Q1071:DL1071,"&gt;0")))</f>
        <v>0</v>
      </c>
      <c r="P1071" s="109">
        <f>SUMIFS(Q1071:DK1071,Q$1:DK$1,Dashboard!$K$31)</f>
        <v>0</v>
      </c>
      <c r="U1071" s="95">
        <v>33</v>
      </c>
      <c r="AA1071" s="95">
        <v>25</v>
      </c>
      <c r="AH1071" s="95">
        <v>75</v>
      </c>
    </row>
    <row r="1072" spans="1:34" x14ac:dyDescent="0.3">
      <c r="A1072" s="89" t="str">
        <f>CONCATENATE(D1072,".",F1072,"-",G1072,".",H1072,"")</f>
        <v>2.1-2.1</v>
      </c>
      <c r="B1072" s="89" t="str">
        <f>IF(CONCATENATE(I1072,Key!F$2)=CONCATENATE(INDEX(Dashboard!J:J,MATCH(I1072,Dashboard!J:J,0),1),INDEX(Dashboard!J:K,MATCH(I1072,Dashboard!J:J,0),2)),"ON",IF(Dashboard!K$32="ALL","ON","-"))</f>
        <v>-</v>
      </c>
      <c r="C1072" s="96" t="s">
        <v>152</v>
      </c>
      <c r="D1072" s="89">
        <f>IF(C1072="ID",1,(IF(C1072="PR",2,(IF(C1072="DE",3,(IF(C1072="RS",4,(IF(C1072="RC",5,0)))))))))</f>
        <v>2</v>
      </c>
      <c r="E1072" s="89" t="s">
        <v>153</v>
      </c>
      <c r="F1072" s="89">
        <f>IF(E1072="AM",1,(IF(E1072="BE",2,(IF(E1072="GV",3,(IF(E1072="RA",4,(IF(E1072="RM",5,(IF(E1072="AC",1,(IF(E1072="AT",2,(IF(E1072="DS",3,(IF(E1072="IP",4,(IF(E1072="MA",5,(IF(E1072="PT",6,(IF(E1072="AE",1,(IF(E1072="CM",2,(IF(E1072="DP",3,(IF(E1072="AN",1,(IF(E1072="CO",2,(IF(E1072="IM",3,(IF(E1072="MI",4,(IF(E1072="RP",5,(IF(E1072="SC",6,0)))))))))))))))))))))))))))))))))))))))</f>
        <v>1</v>
      </c>
      <c r="G1072" s="98">
        <v>2</v>
      </c>
      <c r="H1072" s="90" t="s">
        <v>115</v>
      </c>
      <c r="I1072" s="93" t="s">
        <v>52</v>
      </c>
      <c r="J1072" s="88" t="s">
        <v>3301</v>
      </c>
      <c r="K1072" s="103" t="s">
        <v>3302</v>
      </c>
      <c r="L1072" s="117">
        <f>IF(O1072="","",N1072*O1072*M1072)</f>
        <v>0</v>
      </c>
      <c r="M1072" s="108">
        <v>1</v>
      </c>
      <c r="N1072" s="95">
        <v>1</v>
      </c>
      <c r="O1072" s="109">
        <f>IF(Key!D$1="ON",P1072,IF(SUM(Q1072:DL1072)&lt;1,"",SUM(Q1072:DL1072)/COUNTIF(Q1072:DL1072,"&gt;0")))</f>
        <v>0</v>
      </c>
      <c r="P1072" s="109">
        <f>SUMIFS(Q1072:DK1072,Q$1:DK$1,Dashboard!$K$31)</f>
        <v>0</v>
      </c>
      <c r="U1072" s="95">
        <v>33</v>
      </c>
      <c r="AA1072" s="95">
        <v>25</v>
      </c>
      <c r="AH1072" s="95">
        <v>75</v>
      </c>
    </row>
    <row r="1073" spans="1:34" x14ac:dyDescent="0.3">
      <c r="A1073" s="89" t="str">
        <f>CONCATENATE(D1073,".",F1073,"-",G1073,".",H1073,"")</f>
        <v>2.1-2.1</v>
      </c>
      <c r="B1073" s="89" t="str">
        <f>IF(CONCATENATE(I1073,Key!F$2)=CONCATENATE(INDEX(Dashboard!J:J,MATCH(I1073,Dashboard!J:J,0),1),INDEX(Dashboard!J:K,MATCH(I1073,Dashboard!J:J,0),2)),"ON",IF(Dashboard!K$32="ALL","ON","-"))</f>
        <v>-</v>
      </c>
      <c r="C1073" s="96" t="s">
        <v>152</v>
      </c>
      <c r="D1073" s="89">
        <f>IF(C1073="ID",1,(IF(C1073="PR",2,(IF(C1073="DE",3,(IF(C1073="RS",4,(IF(C1073="RC",5,0)))))))))</f>
        <v>2</v>
      </c>
      <c r="E1073" s="89" t="s">
        <v>153</v>
      </c>
      <c r="F1073" s="89">
        <f>IF(E1073="AM",1,(IF(E1073="BE",2,(IF(E1073="GV",3,(IF(E1073="RA",4,(IF(E1073="RM",5,(IF(E1073="AC",1,(IF(E1073="AT",2,(IF(E1073="DS",3,(IF(E1073="IP",4,(IF(E1073="MA",5,(IF(E1073="PT",6,(IF(E1073="AE",1,(IF(E1073="CM",2,(IF(E1073="DP",3,(IF(E1073="AN",1,(IF(E1073="CO",2,(IF(E1073="IM",3,(IF(E1073="MI",4,(IF(E1073="RP",5,(IF(E1073="SC",6,0)))))))))))))))))))))))))))))))))))))))</f>
        <v>1</v>
      </c>
      <c r="G1073" s="98">
        <v>2</v>
      </c>
      <c r="H1073" s="90" t="s">
        <v>115</v>
      </c>
      <c r="I1073" s="93" t="s">
        <v>52</v>
      </c>
      <c r="J1073" s="88" t="s">
        <v>3367</v>
      </c>
      <c r="K1073" s="103" t="s">
        <v>3368</v>
      </c>
      <c r="L1073" s="117">
        <f>IF(O1073="","",N1073*O1073*M1073)</f>
        <v>0</v>
      </c>
      <c r="M1073" s="108">
        <v>1</v>
      </c>
      <c r="N1073" s="95">
        <v>1</v>
      </c>
      <c r="O1073" s="109">
        <f>IF(Key!D$1="ON",P1073,IF(SUM(Q1073:DL1073)&lt;1,"",SUM(Q1073:DL1073)/COUNTIF(Q1073:DL1073,"&gt;0")))</f>
        <v>0</v>
      </c>
      <c r="P1073" s="109">
        <f>SUMIFS(Q1073:DK1073,Q$1:DK$1,Dashboard!$K$31)</f>
        <v>0</v>
      </c>
      <c r="U1073" s="95">
        <v>33</v>
      </c>
      <c r="AA1073" s="95">
        <v>25</v>
      </c>
      <c r="AH1073" s="95">
        <v>75</v>
      </c>
    </row>
    <row r="1074" spans="1:34" x14ac:dyDescent="0.3">
      <c r="A1074" s="89" t="str">
        <f>CONCATENATE(D1074,".",F1074,"-",G1074,".",H1074,"")</f>
        <v>2.1-2.1</v>
      </c>
      <c r="B1074" s="89" t="str">
        <f>IF(CONCATENATE(I1074,Key!F$2)=CONCATENATE(INDEX(Dashboard!J:J,MATCH(I1074,Dashboard!J:J,0),1),INDEX(Dashboard!J:K,MATCH(I1074,Dashboard!J:J,0),2)),"ON",IF(Dashboard!K$32="ALL","ON","-"))</f>
        <v>-</v>
      </c>
      <c r="C1074" s="96" t="s">
        <v>152</v>
      </c>
      <c r="D1074" s="89">
        <f>IF(C1074="ID",1,(IF(C1074="PR",2,(IF(C1074="DE",3,(IF(C1074="RS",4,(IF(C1074="RC",5,0)))))))))</f>
        <v>2</v>
      </c>
      <c r="E1074" s="89" t="s">
        <v>153</v>
      </c>
      <c r="F1074" s="89">
        <f>IF(E1074="AM",1,(IF(E1074="BE",2,(IF(E1074="GV",3,(IF(E1074="RA",4,(IF(E1074="RM",5,(IF(E1074="AC",1,(IF(E1074="AT",2,(IF(E1074="DS",3,(IF(E1074="IP",4,(IF(E1074="MA",5,(IF(E1074="PT",6,(IF(E1074="AE",1,(IF(E1074="CM",2,(IF(E1074="DP",3,(IF(E1074="AN",1,(IF(E1074="CO",2,(IF(E1074="IM",3,(IF(E1074="MI",4,(IF(E1074="RP",5,(IF(E1074="SC",6,0)))))))))))))))))))))))))))))))))))))))</f>
        <v>1</v>
      </c>
      <c r="G1074" s="98">
        <v>2</v>
      </c>
      <c r="H1074" s="90" t="s">
        <v>115</v>
      </c>
      <c r="I1074" s="93" t="s">
        <v>52</v>
      </c>
      <c r="J1074" s="88" t="s">
        <v>3369</v>
      </c>
      <c r="K1074" s="103" t="s">
        <v>3370</v>
      </c>
      <c r="L1074" s="117">
        <f>IF(O1074="","",N1074*O1074*M1074)</f>
        <v>0</v>
      </c>
      <c r="M1074" s="108">
        <v>1</v>
      </c>
      <c r="N1074" s="95">
        <v>1</v>
      </c>
      <c r="O1074" s="109">
        <f>IF(Key!D$1="ON",P1074,IF(SUM(Q1074:DL1074)&lt;1,"",SUM(Q1074:DL1074)/COUNTIF(Q1074:DL1074,"&gt;0")))</f>
        <v>0</v>
      </c>
      <c r="P1074" s="109">
        <f>SUMIFS(Q1074:DK1074,Q$1:DK$1,Dashboard!$K$31)</f>
        <v>0</v>
      </c>
      <c r="U1074" s="95">
        <v>33</v>
      </c>
      <c r="AA1074" s="95">
        <v>25</v>
      </c>
      <c r="AH1074" s="95">
        <v>75</v>
      </c>
    </row>
    <row r="1075" spans="1:34" x14ac:dyDescent="0.3">
      <c r="A1075" s="89" t="str">
        <f>CONCATENATE(D1075,".",F1075,"-",G1075,".",H1075,"")</f>
        <v>2.1-2.1</v>
      </c>
      <c r="B1075" s="89" t="str">
        <f>IF(CONCATENATE(I1075,Key!F$2)=CONCATENATE(INDEX(Dashboard!J:J,MATCH(I1075,Dashboard!J:J,0),1),INDEX(Dashboard!J:K,MATCH(I1075,Dashboard!J:J,0),2)),"ON",IF(Dashboard!K$32="ALL","ON","-"))</f>
        <v>-</v>
      </c>
      <c r="C1075" s="96" t="s">
        <v>152</v>
      </c>
      <c r="D1075" s="89">
        <f>IF(C1075="ID",1,(IF(C1075="PR",2,(IF(C1075="DE",3,(IF(C1075="RS",4,(IF(C1075="RC",5,0)))))))))</f>
        <v>2</v>
      </c>
      <c r="E1075" s="89" t="s">
        <v>153</v>
      </c>
      <c r="F1075" s="89">
        <f>IF(E1075="AM",1,(IF(E1075="BE",2,(IF(E1075="GV",3,(IF(E1075="RA",4,(IF(E1075="RM",5,(IF(E1075="AC",1,(IF(E1075="AT",2,(IF(E1075="DS",3,(IF(E1075="IP",4,(IF(E1075="MA",5,(IF(E1075="PT",6,(IF(E1075="AE",1,(IF(E1075="CM",2,(IF(E1075="DP",3,(IF(E1075="AN",1,(IF(E1075="CO",2,(IF(E1075="IM",3,(IF(E1075="MI",4,(IF(E1075="RP",5,(IF(E1075="SC",6,0)))))))))))))))))))))))))))))))))))))))</f>
        <v>1</v>
      </c>
      <c r="G1075" s="98">
        <v>2</v>
      </c>
      <c r="H1075" s="90" t="s">
        <v>115</v>
      </c>
      <c r="I1075" s="93" t="s">
        <v>52</v>
      </c>
      <c r="J1075" s="88" t="s">
        <v>3307</v>
      </c>
      <c r="K1075" s="103" t="s">
        <v>3308</v>
      </c>
      <c r="L1075" s="117">
        <f>IF(O1075="","",N1075*O1075*M1075)</f>
        <v>0</v>
      </c>
      <c r="M1075" s="108">
        <v>1</v>
      </c>
      <c r="N1075" s="95">
        <v>1</v>
      </c>
      <c r="O1075" s="109">
        <f>IF(Key!D$1="ON",P1075,IF(SUM(Q1075:DL1075)&lt;1,"",SUM(Q1075:DL1075)/COUNTIF(Q1075:DL1075,"&gt;0")))</f>
        <v>0</v>
      </c>
      <c r="P1075" s="109">
        <f>SUMIFS(Q1075:DK1075,Q$1:DK$1,Dashboard!$K$31)</f>
        <v>0</v>
      </c>
      <c r="U1075" s="95">
        <v>33</v>
      </c>
      <c r="AA1075" s="95">
        <v>25</v>
      </c>
      <c r="AH1075" s="95">
        <v>75</v>
      </c>
    </row>
    <row r="1076" spans="1:34" x14ac:dyDescent="0.3">
      <c r="A1076" s="89" t="str">
        <f>CONCATENATE(D1076,".",F1076,"-",G1076,".",H1076,"")</f>
        <v>2.1-2.1</v>
      </c>
      <c r="B1076" s="89" t="str">
        <f>IF(CONCATENATE(I1076,Key!F$2)=CONCATENATE(INDEX(Dashboard!J:J,MATCH(I1076,Dashboard!J:J,0),1),INDEX(Dashboard!J:K,MATCH(I1076,Dashboard!J:J,0),2)),"ON",IF(Dashboard!K$32="ALL","ON","-"))</f>
        <v>-</v>
      </c>
      <c r="C1076" s="96" t="s">
        <v>152</v>
      </c>
      <c r="D1076" s="89">
        <f>IF(C1076="ID",1,(IF(C1076="PR",2,(IF(C1076="DE",3,(IF(C1076="RS",4,(IF(C1076="RC",5,0)))))))))</f>
        <v>2</v>
      </c>
      <c r="E1076" s="89" t="s">
        <v>153</v>
      </c>
      <c r="F1076" s="89">
        <f>IF(E1076="AM",1,(IF(E1076="BE",2,(IF(E1076="GV",3,(IF(E1076="RA",4,(IF(E1076="RM",5,(IF(E1076="AC",1,(IF(E1076="AT",2,(IF(E1076="DS",3,(IF(E1076="IP",4,(IF(E1076="MA",5,(IF(E1076="PT",6,(IF(E1076="AE",1,(IF(E1076="CM",2,(IF(E1076="DP",3,(IF(E1076="AN",1,(IF(E1076="CO",2,(IF(E1076="IM",3,(IF(E1076="MI",4,(IF(E1076="RP",5,(IF(E1076="SC",6,0)))))))))))))))))))))))))))))))))))))))</f>
        <v>1</v>
      </c>
      <c r="G1076" s="98">
        <v>2</v>
      </c>
      <c r="H1076" s="90" t="s">
        <v>115</v>
      </c>
      <c r="I1076" s="93" t="s">
        <v>52</v>
      </c>
      <c r="J1076" s="88" t="s">
        <v>3371</v>
      </c>
      <c r="K1076" s="103" t="s">
        <v>3372</v>
      </c>
      <c r="L1076" s="117">
        <f>IF(O1076="","",N1076*O1076*M1076)</f>
        <v>0</v>
      </c>
      <c r="M1076" s="108">
        <v>1</v>
      </c>
      <c r="N1076" s="95">
        <v>1</v>
      </c>
      <c r="O1076" s="109">
        <f>IF(Key!D$1="ON",P1076,IF(SUM(Q1076:DL1076)&lt;1,"",SUM(Q1076:DL1076)/COUNTIF(Q1076:DL1076,"&gt;0")))</f>
        <v>0</v>
      </c>
      <c r="P1076" s="109">
        <f>SUMIFS(Q1076:DK1076,Q$1:DK$1,Dashboard!$K$31)</f>
        <v>0</v>
      </c>
      <c r="U1076" s="95">
        <v>33</v>
      </c>
      <c r="AA1076" s="95">
        <v>25</v>
      </c>
      <c r="AH1076" s="95">
        <v>75</v>
      </c>
    </row>
    <row r="1077" spans="1:34" x14ac:dyDescent="0.3">
      <c r="A1077" s="89" t="str">
        <f>CONCATENATE(D1077,".",F1077,"-",G1077,".",H1077,"")</f>
        <v>2.1-2.1</v>
      </c>
      <c r="B1077" s="89" t="str">
        <f>IF(CONCATENATE(I1077,Key!F$2)=CONCATENATE(INDEX(Dashboard!J:J,MATCH(I1077,Dashboard!J:J,0),1),INDEX(Dashboard!J:K,MATCH(I1077,Dashboard!J:J,0),2)),"ON",IF(Dashboard!K$32="ALL","ON","-"))</f>
        <v>-</v>
      </c>
      <c r="C1077" s="96" t="s">
        <v>152</v>
      </c>
      <c r="D1077" s="89">
        <f>IF(C1077="ID",1,(IF(C1077="PR",2,(IF(C1077="DE",3,(IF(C1077="RS",4,(IF(C1077="RC",5,0)))))))))</f>
        <v>2</v>
      </c>
      <c r="E1077" s="89" t="s">
        <v>153</v>
      </c>
      <c r="F1077" s="89">
        <f>IF(E1077="AM",1,(IF(E1077="BE",2,(IF(E1077="GV",3,(IF(E1077="RA",4,(IF(E1077="RM",5,(IF(E1077="AC",1,(IF(E1077="AT",2,(IF(E1077="DS",3,(IF(E1077="IP",4,(IF(E1077="MA",5,(IF(E1077="PT",6,(IF(E1077="AE",1,(IF(E1077="CM",2,(IF(E1077="DP",3,(IF(E1077="AN",1,(IF(E1077="CO",2,(IF(E1077="IM",3,(IF(E1077="MI",4,(IF(E1077="RP",5,(IF(E1077="SC",6,0)))))))))))))))))))))))))))))))))))))))</f>
        <v>1</v>
      </c>
      <c r="G1077" s="98">
        <v>2</v>
      </c>
      <c r="H1077" s="90" t="s">
        <v>115</v>
      </c>
      <c r="I1077" s="93" t="s">
        <v>52</v>
      </c>
      <c r="J1077" s="88" t="s">
        <v>3373</v>
      </c>
      <c r="K1077" s="103" t="s">
        <v>3374</v>
      </c>
      <c r="L1077" s="117">
        <f>IF(O1077="","",N1077*O1077*M1077)</f>
        <v>0</v>
      </c>
      <c r="M1077" s="108">
        <v>1</v>
      </c>
      <c r="N1077" s="95">
        <v>1</v>
      </c>
      <c r="O1077" s="109">
        <f>IF(Key!D$1="ON",P1077,IF(SUM(Q1077:DL1077)&lt;1,"",SUM(Q1077:DL1077)/COUNTIF(Q1077:DL1077,"&gt;0")))</f>
        <v>0</v>
      </c>
      <c r="P1077" s="109">
        <f>SUMIFS(Q1077:DK1077,Q$1:DK$1,Dashboard!$K$31)</f>
        <v>0</v>
      </c>
      <c r="U1077" s="95">
        <v>33</v>
      </c>
      <c r="AA1077" s="95">
        <v>25</v>
      </c>
      <c r="AH1077" s="95">
        <v>75</v>
      </c>
    </row>
    <row r="1078" spans="1:34" x14ac:dyDescent="0.3">
      <c r="A1078" s="89" t="str">
        <f>CONCATENATE(D1078,".",F1078,"-",G1078,".",H1078,"")</f>
        <v>2.1-2.1</v>
      </c>
      <c r="B1078" s="89" t="str">
        <f>IF(CONCATENATE(I1078,Key!F$2)=CONCATENATE(INDEX(Dashboard!J:J,MATCH(I1078,Dashboard!J:J,0),1),INDEX(Dashboard!J:K,MATCH(I1078,Dashboard!J:J,0),2)),"ON",IF(Dashboard!K$32="ALL","ON","-"))</f>
        <v>-</v>
      </c>
      <c r="C1078" s="96" t="s">
        <v>152</v>
      </c>
      <c r="D1078" s="89">
        <f>IF(C1078="ID",1,(IF(C1078="PR",2,(IF(C1078="DE",3,(IF(C1078="RS",4,(IF(C1078="RC",5,0)))))))))</f>
        <v>2</v>
      </c>
      <c r="E1078" s="89" t="s">
        <v>153</v>
      </c>
      <c r="F1078" s="89">
        <f>IF(E1078="AM",1,(IF(E1078="BE",2,(IF(E1078="GV",3,(IF(E1078="RA",4,(IF(E1078="RM",5,(IF(E1078="AC",1,(IF(E1078="AT",2,(IF(E1078="DS",3,(IF(E1078="IP",4,(IF(E1078="MA",5,(IF(E1078="PT",6,(IF(E1078="AE",1,(IF(E1078="CM",2,(IF(E1078="DP",3,(IF(E1078="AN",1,(IF(E1078="CO",2,(IF(E1078="IM",3,(IF(E1078="MI",4,(IF(E1078="RP",5,(IF(E1078="SC",6,0)))))))))))))))))))))))))))))))))))))))</f>
        <v>1</v>
      </c>
      <c r="G1078" s="98">
        <v>2</v>
      </c>
      <c r="H1078" s="90" t="s">
        <v>115</v>
      </c>
      <c r="I1078" s="93" t="s">
        <v>52</v>
      </c>
      <c r="J1078" s="88" t="s">
        <v>3375</v>
      </c>
      <c r="K1078" s="103" t="s">
        <v>3376</v>
      </c>
      <c r="L1078" s="117">
        <f>IF(O1078="","",N1078*O1078*M1078)</f>
        <v>0</v>
      </c>
      <c r="M1078" s="108">
        <v>1</v>
      </c>
      <c r="N1078" s="95">
        <v>1</v>
      </c>
      <c r="O1078" s="109">
        <f>IF(Key!D$1="ON",P1078,IF(SUM(Q1078:DL1078)&lt;1,"",SUM(Q1078:DL1078)/COUNTIF(Q1078:DL1078,"&gt;0")))</f>
        <v>0</v>
      </c>
      <c r="P1078" s="109">
        <f>SUMIFS(Q1078:DK1078,Q$1:DK$1,Dashboard!$K$31)</f>
        <v>0</v>
      </c>
      <c r="U1078" s="95">
        <v>33</v>
      </c>
      <c r="AA1078" s="95">
        <v>25</v>
      </c>
      <c r="AH1078" s="95">
        <v>75</v>
      </c>
    </row>
    <row r="1079" spans="1:34" x14ac:dyDescent="0.3">
      <c r="A1079" s="89" t="str">
        <f>CONCATENATE(D1079,".",F1079,"-",G1079,".",H1079,"")</f>
        <v>2.1-2.1</v>
      </c>
      <c r="B1079" s="89" t="str">
        <f>IF(CONCATENATE(I1079,Key!F$2)=CONCATENATE(INDEX(Dashboard!J:J,MATCH(I1079,Dashboard!J:J,0),1),INDEX(Dashboard!J:K,MATCH(I1079,Dashboard!J:J,0),2)),"ON",IF(Dashboard!K$32="ALL","ON","-"))</f>
        <v>-</v>
      </c>
      <c r="C1079" s="96" t="s">
        <v>152</v>
      </c>
      <c r="D1079" s="89">
        <f>IF(C1079="ID",1,(IF(C1079="PR",2,(IF(C1079="DE",3,(IF(C1079="RS",4,(IF(C1079="RC",5,0)))))))))</f>
        <v>2</v>
      </c>
      <c r="E1079" s="89" t="s">
        <v>153</v>
      </c>
      <c r="F1079" s="89">
        <f>IF(E1079="AM",1,(IF(E1079="BE",2,(IF(E1079="GV",3,(IF(E1079="RA",4,(IF(E1079="RM",5,(IF(E1079="AC",1,(IF(E1079="AT",2,(IF(E1079="DS",3,(IF(E1079="IP",4,(IF(E1079="MA",5,(IF(E1079="PT",6,(IF(E1079="AE",1,(IF(E1079="CM",2,(IF(E1079="DP",3,(IF(E1079="AN",1,(IF(E1079="CO",2,(IF(E1079="IM",3,(IF(E1079="MI",4,(IF(E1079="RP",5,(IF(E1079="SC",6,0)))))))))))))))))))))))))))))))))))))))</f>
        <v>1</v>
      </c>
      <c r="G1079" s="98">
        <v>2</v>
      </c>
      <c r="H1079" s="90" t="s">
        <v>115</v>
      </c>
      <c r="I1079" s="93" t="s">
        <v>52</v>
      </c>
      <c r="J1079" s="88" t="s">
        <v>3377</v>
      </c>
      <c r="K1079" s="103" t="s">
        <v>3378</v>
      </c>
      <c r="L1079" s="117">
        <f>IF(O1079="","",N1079*O1079*M1079)</f>
        <v>0</v>
      </c>
      <c r="M1079" s="108">
        <v>1</v>
      </c>
      <c r="N1079" s="95">
        <v>1</v>
      </c>
      <c r="O1079" s="109">
        <f>IF(Key!D$1="ON",P1079,IF(SUM(Q1079:DL1079)&lt;1,"",SUM(Q1079:DL1079)/COUNTIF(Q1079:DL1079,"&gt;0")))</f>
        <v>0</v>
      </c>
      <c r="P1079" s="109">
        <f>SUMIFS(Q1079:DK1079,Q$1:DK$1,Dashboard!$K$31)</f>
        <v>0</v>
      </c>
      <c r="U1079" s="95">
        <v>33</v>
      </c>
      <c r="AA1079" s="95">
        <v>25</v>
      </c>
      <c r="AH1079" s="95">
        <v>75</v>
      </c>
    </row>
    <row r="1080" spans="1:34" x14ac:dyDescent="0.3">
      <c r="A1080" s="89" t="str">
        <f>CONCATENATE(D1080,".",F1080,"-",G1080,".",H1080,"")</f>
        <v>2.1-2.1</v>
      </c>
      <c r="B1080" s="89" t="str">
        <f>IF(CONCATENATE(I1080,Key!F$2)=CONCATENATE(INDEX(Dashboard!J:J,MATCH(I1080,Dashboard!J:J,0),1),INDEX(Dashboard!J:K,MATCH(I1080,Dashboard!J:J,0),2)),"ON",IF(Dashboard!K$32="ALL","ON","-"))</f>
        <v>-</v>
      </c>
      <c r="C1080" s="96" t="s">
        <v>152</v>
      </c>
      <c r="D1080" s="89">
        <f>IF(C1080="ID",1,(IF(C1080="PR",2,(IF(C1080="DE",3,(IF(C1080="RS",4,(IF(C1080="RC",5,0)))))))))</f>
        <v>2</v>
      </c>
      <c r="E1080" s="89" t="s">
        <v>153</v>
      </c>
      <c r="F1080" s="89">
        <f>IF(E1080="AM",1,(IF(E1080="BE",2,(IF(E1080="GV",3,(IF(E1080="RA",4,(IF(E1080="RM",5,(IF(E1080="AC",1,(IF(E1080="AT",2,(IF(E1080="DS",3,(IF(E1080="IP",4,(IF(E1080="MA",5,(IF(E1080="PT",6,(IF(E1080="AE",1,(IF(E1080="CM",2,(IF(E1080="DP",3,(IF(E1080="AN",1,(IF(E1080="CO",2,(IF(E1080="IM",3,(IF(E1080="MI",4,(IF(E1080="RP",5,(IF(E1080="SC",6,0)))))))))))))))))))))))))))))))))))))))</f>
        <v>1</v>
      </c>
      <c r="G1080" s="98">
        <v>2</v>
      </c>
      <c r="H1080" s="90" t="s">
        <v>115</v>
      </c>
      <c r="I1080" s="93" t="s">
        <v>52</v>
      </c>
      <c r="J1080" s="88" t="s">
        <v>3379</v>
      </c>
      <c r="K1080" s="103" t="s">
        <v>3380</v>
      </c>
      <c r="L1080" s="117">
        <f>IF(O1080="","",N1080*O1080*M1080)</f>
        <v>0</v>
      </c>
      <c r="M1080" s="108">
        <v>1</v>
      </c>
      <c r="N1080" s="95">
        <v>1</v>
      </c>
      <c r="O1080" s="109">
        <f>IF(Key!D$1="ON",P1080,IF(SUM(Q1080:DL1080)&lt;1,"",SUM(Q1080:DL1080)/COUNTIF(Q1080:DL1080,"&gt;0")))</f>
        <v>0</v>
      </c>
      <c r="P1080" s="109">
        <f>SUMIFS(Q1080:DK1080,Q$1:DK$1,Dashboard!$K$31)</f>
        <v>0</v>
      </c>
      <c r="U1080" s="95">
        <v>33</v>
      </c>
      <c r="AA1080" s="95">
        <v>25</v>
      </c>
      <c r="AH1080" s="95">
        <v>75</v>
      </c>
    </row>
    <row r="1081" spans="1:34" x14ac:dyDescent="0.3">
      <c r="A1081" s="89" t="str">
        <f>CONCATENATE(D1081,".",F1081,"-",G1081,".",H1081,"")</f>
        <v>2.1-2.1</v>
      </c>
      <c r="B1081" s="89" t="str">
        <f>IF(CONCATENATE(I1081,Key!F$2)=CONCATENATE(INDEX(Dashboard!J:J,MATCH(I1081,Dashboard!J:J,0),1),INDEX(Dashboard!J:K,MATCH(I1081,Dashboard!J:J,0),2)),"ON",IF(Dashboard!K$32="ALL","ON","-"))</f>
        <v>-</v>
      </c>
      <c r="C1081" s="96" t="s">
        <v>152</v>
      </c>
      <c r="D1081" s="89">
        <f>IF(C1081="ID",1,(IF(C1081="PR",2,(IF(C1081="DE",3,(IF(C1081="RS",4,(IF(C1081="RC",5,0)))))))))</f>
        <v>2</v>
      </c>
      <c r="E1081" s="89" t="s">
        <v>153</v>
      </c>
      <c r="F1081" s="89">
        <f>IF(E1081="AM",1,(IF(E1081="BE",2,(IF(E1081="GV",3,(IF(E1081="RA",4,(IF(E1081="RM",5,(IF(E1081="AC",1,(IF(E1081="AT",2,(IF(E1081="DS",3,(IF(E1081="IP",4,(IF(E1081="MA",5,(IF(E1081="PT",6,(IF(E1081="AE",1,(IF(E1081="CM",2,(IF(E1081="DP",3,(IF(E1081="AN",1,(IF(E1081="CO",2,(IF(E1081="IM",3,(IF(E1081="MI",4,(IF(E1081="RP",5,(IF(E1081="SC",6,0)))))))))))))))))))))))))))))))))))))))</f>
        <v>1</v>
      </c>
      <c r="G1081" s="98">
        <v>2</v>
      </c>
      <c r="H1081" s="90" t="s">
        <v>115</v>
      </c>
      <c r="I1081" s="93" t="s">
        <v>52</v>
      </c>
      <c r="J1081" s="88" t="s">
        <v>3381</v>
      </c>
      <c r="K1081" s="103" t="s">
        <v>3382</v>
      </c>
      <c r="L1081" s="117">
        <f>IF(O1081="","",N1081*O1081*M1081)</f>
        <v>0</v>
      </c>
      <c r="M1081" s="108">
        <v>1</v>
      </c>
      <c r="N1081" s="95">
        <v>1</v>
      </c>
      <c r="O1081" s="109">
        <f>IF(Key!D$1="ON",P1081,IF(SUM(Q1081:DL1081)&lt;1,"",SUM(Q1081:DL1081)/COUNTIF(Q1081:DL1081,"&gt;0")))</f>
        <v>0</v>
      </c>
      <c r="P1081" s="109">
        <f>SUMIFS(Q1081:DK1081,Q$1:DK$1,Dashboard!$K$31)</f>
        <v>0</v>
      </c>
      <c r="U1081" s="95">
        <v>33</v>
      </c>
      <c r="AA1081" s="95">
        <v>25</v>
      </c>
      <c r="AH1081" s="95">
        <v>75</v>
      </c>
    </row>
    <row r="1082" spans="1:34" x14ac:dyDescent="0.3">
      <c r="A1082" s="89" t="str">
        <f>CONCATENATE(D1082,".",F1082,"-",G1082,".",H1082,"")</f>
        <v>2.1-2.1</v>
      </c>
      <c r="B1082" s="89" t="str">
        <f>IF(CONCATENATE(I1082,Key!F$2)=CONCATENATE(INDEX(Dashboard!J:J,MATCH(I1082,Dashboard!J:J,0),1),INDEX(Dashboard!J:K,MATCH(I1082,Dashboard!J:J,0),2)),"ON",IF(Dashboard!K$32="ALL","ON","-"))</f>
        <v>-</v>
      </c>
      <c r="C1082" s="88" t="s">
        <v>152</v>
      </c>
      <c r="D1082" s="89">
        <f>IF(C1082="ID",1,(IF(C1082="PR",2,(IF(C1082="DE",3,(IF(C1082="RS",4,(IF(C1082="RC",5,0)))))))))</f>
        <v>2</v>
      </c>
      <c r="E1082" s="89" t="s">
        <v>153</v>
      </c>
      <c r="F1082" s="89">
        <f>IF(E1082="AM",1,(IF(E1082="BE",2,(IF(E1082="GV",3,(IF(E1082="RA",4,(IF(E1082="RM",5,(IF(E1082="AC",1,(IF(E1082="AT",2,(IF(E1082="DS",3,(IF(E1082="IP",4,(IF(E1082="MA",5,(IF(E1082="PT",6,(IF(E1082="AE",1,(IF(E1082="CM",2,(IF(E1082="DP",3,(IF(E1082="AN",1,(IF(E1082="CO",2,(IF(E1082="IM",3,(IF(E1082="MI",4,(IF(E1082="RP",5,(IF(E1082="SC",6,0)))))))))))))))))))))))))))))))))))))))</f>
        <v>1</v>
      </c>
      <c r="G1082" s="52">
        <v>2</v>
      </c>
      <c r="H1082" s="90" t="s">
        <v>115</v>
      </c>
      <c r="I1082" s="93" t="s">
        <v>60</v>
      </c>
      <c r="J1082" s="87" t="s">
        <v>3171</v>
      </c>
      <c r="K1082" s="51" t="s">
        <v>5284</v>
      </c>
      <c r="L1082" s="117">
        <f>IF(O1082="","",N1082*O1082*M1082)</f>
        <v>0</v>
      </c>
      <c r="M1082" s="108">
        <v>1</v>
      </c>
      <c r="N1082" s="95">
        <v>1</v>
      </c>
      <c r="O1082" s="109">
        <f>IF(Key!D$1="ON",P1082,IF(SUM(Q1082:DL1082)&lt;1,"",SUM(Q1082:DL1082)/COUNTIF(Q1082:DL1082,"&gt;0")))</f>
        <v>0</v>
      </c>
      <c r="P1082" s="109">
        <f>SUMIFS(Q1082:DK1082,Q$1:DK$1,Dashboard!$K$31)</f>
        <v>0</v>
      </c>
      <c r="U1082" s="95">
        <v>33</v>
      </c>
      <c r="AA1082" s="95">
        <v>25</v>
      </c>
      <c r="AH1082" s="95">
        <v>75</v>
      </c>
    </row>
    <row r="1083" spans="1:34" x14ac:dyDescent="0.3">
      <c r="A1083" s="89" t="str">
        <f>CONCATENATE(D1083,".",F1083,"-",G1083,".",H1083,"")</f>
        <v>2.1-2.1</v>
      </c>
      <c r="B1083" s="89" t="str">
        <f>IF(CONCATENATE(I1083,Key!F$2)=CONCATENATE(INDEX(Dashboard!J:J,MATCH(I1083,Dashboard!J:J,0),1),INDEX(Dashboard!J:K,MATCH(I1083,Dashboard!J:J,0),2)),"ON",IF(Dashboard!K$32="ALL","ON","-"))</f>
        <v>-</v>
      </c>
      <c r="C1083" s="88" t="s">
        <v>152</v>
      </c>
      <c r="D1083" s="89">
        <f>IF(C1083="ID",1,(IF(C1083="PR",2,(IF(C1083="DE",3,(IF(C1083="RS",4,(IF(C1083="RC",5,0)))))))))</f>
        <v>2</v>
      </c>
      <c r="E1083" s="89" t="s">
        <v>153</v>
      </c>
      <c r="F1083" s="89">
        <f>IF(E1083="AM",1,(IF(E1083="BE",2,(IF(E1083="GV",3,(IF(E1083="RA",4,(IF(E1083="RM",5,(IF(E1083="AC",1,(IF(E1083="AT",2,(IF(E1083="DS",3,(IF(E1083="IP",4,(IF(E1083="MA",5,(IF(E1083="PT",6,(IF(E1083="AE",1,(IF(E1083="CM",2,(IF(E1083="DP",3,(IF(E1083="AN",1,(IF(E1083="CO",2,(IF(E1083="IM",3,(IF(E1083="MI",4,(IF(E1083="RP",5,(IF(E1083="SC",6,0)))))))))))))))))))))))))))))))))))))))</f>
        <v>1</v>
      </c>
      <c r="G1083" s="98">
        <v>2</v>
      </c>
      <c r="H1083" s="99">
        <v>1</v>
      </c>
      <c r="I1083" s="93" t="s">
        <v>73</v>
      </c>
      <c r="J1083" s="86" t="s">
        <v>4201</v>
      </c>
      <c r="K1083" s="107" t="s">
        <v>4322</v>
      </c>
      <c r="L1083" s="117">
        <f>IF(O1083="","",N1083*O1083*M1083)</f>
        <v>0</v>
      </c>
      <c r="M1083" s="108">
        <v>1</v>
      </c>
      <c r="N1083" s="95">
        <v>1</v>
      </c>
      <c r="O1083" s="109">
        <f>IF(Key!D$1="ON",P1083,IF(SUM(Q1083:DL1083)&lt;1,"",SUM(Q1083:DL1083)/COUNTIF(Q1083:DL1083,"&gt;0")))</f>
        <v>0</v>
      </c>
      <c r="P1083" s="109">
        <f>SUMIFS(Q1083:DK1083,Q$1:DK$1,Dashboard!$K$31)</f>
        <v>0</v>
      </c>
      <c r="U1083" s="95">
        <v>33</v>
      </c>
      <c r="AA1083" s="95">
        <v>25</v>
      </c>
      <c r="AH1083" s="95">
        <v>75</v>
      </c>
    </row>
    <row r="1084" spans="1:34" x14ac:dyDescent="0.3">
      <c r="A1084" s="89" t="str">
        <f>CONCATENATE(D1084,".",F1084,"-",G1084,".",H1084,"")</f>
        <v>2.1-2.1</v>
      </c>
      <c r="B1084" s="89" t="str">
        <f>IF(CONCATENATE(I1084,Key!F$2)=CONCATENATE(INDEX(Dashboard!J:J,MATCH(I1084,Dashboard!J:J,0),1),INDEX(Dashboard!J:K,MATCH(I1084,Dashboard!J:J,0),2)),"ON",IF(Dashboard!K$32="ALL","ON","-"))</f>
        <v>-</v>
      </c>
      <c r="C1084" s="88" t="s">
        <v>152</v>
      </c>
      <c r="D1084" s="89">
        <f>IF(C1084="ID",1,(IF(C1084="PR",2,(IF(C1084="DE",3,(IF(C1084="RS",4,(IF(C1084="RC",5,0)))))))))</f>
        <v>2</v>
      </c>
      <c r="E1084" s="89" t="s">
        <v>153</v>
      </c>
      <c r="F1084" s="89">
        <f>IF(E1084="AM",1,(IF(E1084="BE",2,(IF(E1084="GV",3,(IF(E1084="RA",4,(IF(E1084="RM",5,(IF(E1084="AC",1,(IF(E1084="AT",2,(IF(E1084="DS",3,(IF(E1084="IP",4,(IF(E1084="MA",5,(IF(E1084="PT",6,(IF(E1084="AE",1,(IF(E1084="CM",2,(IF(E1084="DP",3,(IF(E1084="AN",1,(IF(E1084="CO",2,(IF(E1084="IM",3,(IF(E1084="MI",4,(IF(E1084="RP",5,(IF(E1084="SC",6,0)))))))))))))))))))))))))))))))))))))))</f>
        <v>1</v>
      </c>
      <c r="G1084" s="98">
        <v>2</v>
      </c>
      <c r="H1084" s="99">
        <v>1</v>
      </c>
      <c r="I1084" s="93" t="s">
        <v>73</v>
      </c>
      <c r="J1084" s="86" t="s">
        <v>4202</v>
      </c>
      <c r="K1084" s="107" t="s">
        <v>4323</v>
      </c>
      <c r="L1084" s="117">
        <f>IF(O1084="","",N1084*O1084*M1084)</f>
        <v>0</v>
      </c>
      <c r="M1084" s="108">
        <v>1</v>
      </c>
      <c r="N1084" s="95">
        <v>1</v>
      </c>
      <c r="O1084" s="109">
        <f>IF(Key!D$1="ON",P1084,IF(SUM(Q1084:DL1084)&lt;1,"",SUM(Q1084:DL1084)/COUNTIF(Q1084:DL1084,"&gt;0")))</f>
        <v>0</v>
      </c>
      <c r="P1084" s="109">
        <f>SUMIFS(Q1084:DK1084,Q$1:DK$1,Dashboard!$K$31)</f>
        <v>0</v>
      </c>
      <c r="U1084" s="95">
        <v>33</v>
      </c>
      <c r="AA1084" s="95">
        <v>25</v>
      </c>
      <c r="AH1084" s="95">
        <v>75</v>
      </c>
    </row>
    <row r="1085" spans="1:34" ht="15.6" x14ac:dyDescent="0.3">
      <c r="A1085" s="89" t="str">
        <f>CONCATENATE(D1085,".",F1085,"-",G1085,".",H1085,"")</f>
        <v>2.1-2.1</v>
      </c>
      <c r="B1085" s="89" t="str">
        <f>IF(CONCATENATE(I1085,Key!F$2)=CONCATENATE(INDEX(Dashboard!J:J,MATCH(I1085,Dashboard!J:J,0),1),INDEX(Dashboard!J:K,MATCH(I1085,Dashboard!J:J,0),2)),"ON",IF(Dashboard!K$32="ALL","ON","-"))</f>
        <v>-</v>
      </c>
      <c r="C1085" s="88" t="s">
        <v>152</v>
      </c>
      <c r="D1085" s="89">
        <f>IF(C1085="ID",1,(IF(C1085="PR",2,(IF(C1085="DE",3,(IF(C1085="RS",4,(IF(C1085="RC",5,0)))))))))</f>
        <v>2</v>
      </c>
      <c r="E1085" s="89" t="s">
        <v>153</v>
      </c>
      <c r="F1085" s="89">
        <f>IF(E1085="AM",1,(IF(E1085="BE",2,(IF(E1085="GV",3,(IF(E1085="RA",4,(IF(E1085="RM",5,(IF(E1085="AC",1,(IF(E1085="AT",2,(IF(E1085="DS",3,(IF(E1085="IP",4,(IF(E1085="MA",5,(IF(E1085="PT",6,(IF(E1085="AE",1,(IF(E1085="CM",2,(IF(E1085="DP",3,(IF(E1085="AN",1,(IF(E1085="CO",2,(IF(E1085="IM",3,(IF(E1085="MI",4,(IF(E1085="RP",5,(IF(E1085="SC",6,0)))))))))))))))))))))))))))))))))))))))</f>
        <v>1</v>
      </c>
      <c r="G1085" s="98">
        <v>2</v>
      </c>
      <c r="H1085" s="99">
        <v>1</v>
      </c>
      <c r="I1085" s="93" t="s">
        <v>73</v>
      </c>
      <c r="J1085" s="86" t="s">
        <v>4203</v>
      </c>
      <c r="K1085" s="107" t="s">
        <v>4324</v>
      </c>
      <c r="L1085" s="117">
        <f>IF(O1085="","",N1085*O1085*M1085)</f>
        <v>0</v>
      </c>
      <c r="M1085" s="108">
        <v>1</v>
      </c>
      <c r="N1085" s="95">
        <v>1</v>
      </c>
      <c r="O1085" s="109">
        <f>IF(Key!D$1="ON",P1085,IF(SUM(Q1085:DL1085)&lt;1,"",SUM(Q1085:DL1085)/COUNTIF(Q1085:DL1085,"&gt;0")))</f>
        <v>0</v>
      </c>
      <c r="P1085" s="109">
        <f>SUMIFS(Q1085:DK1085,Q$1:DK$1,Dashboard!$K$31)</f>
        <v>0</v>
      </c>
      <c r="U1085" s="95">
        <v>33</v>
      </c>
      <c r="AA1085" s="95">
        <v>25</v>
      </c>
      <c r="AH1085" s="95">
        <v>75</v>
      </c>
    </row>
    <row r="1086" spans="1:34" x14ac:dyDescent="0.3">
      <c r="A1086" s="89" t="str">
        <f>CONCATENATE(D1086,".",F1086,"-",G1086,".",H1086,"")</f>
        <v>2.1-2.1</v>
      </c>
      <c r="B1086" s="89" t="str">
        <f>IF(CONCATENATE(I1086,Key!F$2)=CONCATENATE(INDEX(Dashboard!J:J,MATCH(I1086,Dashboard!J:J,0),1),INDEX(Dashboard!J:K,MATCH(I1086,Dashboard!J:J,0),2)),"ON",IF(Dashboard!K$32="ALL","ON","-"))</f>
        <v>-</v>
      </c>
      <c r="C1086" s="88" t="s">
        <v>152</v>
      </c>
      <c r="D1086" s="89">
        <f>IF(C1086="ID",1,(IF(C1086="PR",2,(IF(C1086="DE",3,(IF(C1086="RS",4,(IF(C1086="RC",5,0)))))))))</f>
        <v>2</v>
      </c>
      <c r="E1086" s="89" t="s">
        <v>153</v>
      </c>
      <c r="F1086" s="89">
        <f>IF(E1086="AM",1,(IF(E1086="BE",2,(IF(E1086="GV",3,(IF(E1086="RA",4,(IF(E1086="RM",5,(IF(E1086="AC",1,(IF(E1086="AT",2,(IF(E1086="DS",3,(IF(E1086="IP",4,(IF(E1086="MA",5,(IF(E1086="PT",6,(IF(E1086="AE",1,(IF(E1086="CM",2,(IF(E1086="DP",3,(IF(E1086="AN",1,(IF(E1086="CO",2,(IF(E1086="IM",3,(IF(E1086="MI",4,(IF(E1086="RP",5,(IF(E1086="SC",6,0)))))))))))))))))))))))))))))))))))))))</f>
        <v>1</v>
      </c>
      <c r="G1086" s="98">
        <v>2</v>
      </c>
      <c r="H1086" s="99">
        <v>1</v>
      </c>
      <c r="I1086" s="93" t="s">
        <v>73</v>
      </c>
      <c r="J1086" s="86" t="s">
        <v>4205</v>
      </c>
      <c r="K1086" s="107" t="s">
        <v>4325</v>
      </c>
      <c r="L1086" s="117">
        <f>IF(O1086="","",N1086*O1086*M1086)</f>
        <v>0</v>
      </c>
      <c r="M1086" s="108">
        <v>1</v>
      </c>
      <c r="N1086" s="95">
        <v>1</v>
      </c>
      <c r="O1086" s="109">
        <f>IF(Key!D$1="ON",P1086,IF(SUM(Q1086:DL1086)&lt;1,"",SUM(Q1086:DL1086)/COUNTIF(Q1086:DL1086,"&gt;0")))</f>
        <v>0</v>
      </c>
      <c r="P1086" s="109">
        <f>SUMIFS(Q1086:DK1086,Q$1:DK$1,Dashboard!$K$31)</f>
        <v>0</v>
      </c>
      <c r="U1086" s="95">
        <v>33</v>
      </c>
      <c r="AA1086" s="95">
        <v>25</v>
      </c>
      <c r="AH1086" s="95">
        <v>75</v>
      </c>
    </row>
    <row r="1087" spans="1:34" x14ac:dyDescent="0.3">
      <c r="A1087" s="89" t="str">
        <f>CONCATENATE(D1087,".",F1087,"-",G1087,".",H1087,"")</f>
        <v>2.1-2.1</v>
      </c>
      <c r="B1087" s="89" t="str">
        <f>IF(CONCATENATE(I1087,Key!F$2)=CONCATENATE(INDEX(Dashboard!J:J,MATCH(I1087,Dashboard!J:J,0),1),INDEX(Dashboard!J:K,MATCH(I1087,Dashboard!J:J,0),2)),"ON",IF(Dashboard!K$32="ALL","ON","-"))</f>
        <v>-</v>
      </c>
      <c r="C1087" s="88" t="s">
        <v>152</v>
      </c>
      <c r="D1087" s="89">
        <f>IF(C1087="ID",1,(IF(C1087="PR",2,(IF(C1087="DE",3,(IF(C1087="RS",4,(IF(C1087="RC",5,0)))))))))</f>
        <v>2</v>
      </c>
      <c r="E1087" s="89" t="s">
        <v>153</v>
      </c>
      <c r="F1087" s="89">
        <f>IF(E1087="AM",1,(IF(E1087="BE",2,(IF(E1087="GV",3,(IF(E1087="RA",4,(IF(E1087="RM",5,(IF(E1087="AC",1,(IF(E1087="AT",2,(IF(E1087="DS",3,(IF(E1087="IP",4,(IF(E1087="MA",5,(IF(E1087="PT",6,(IF(E1087="AE",1,(IF(E1087="CM",2,(IF(E1087="DP",3,(IF(E1087="AN",1,(IF(E1087="CO",2,(IF(E1087="IM",3,(IF(E1087="MI",4,(IF(E1087="RP",5,(IF(E1087="SC",6,0)))))))))))))))))))))))))))))))))))))))</f>
        <v>1</v>
      </c>
      <c r="G1087" s="98">
        <v>2</v>
      </c>
      <c r="H1087" s="99">
        <v>1</v>
      </c>
      <c r="I1087" s="93" t="s">
        <v>73</v>
      </c>
      <c r="J1087" s="86" t="s">
        <v>4207</v>
      </c>
      <c r="K1087" s="107" t="s">
        <v>4326</v>
      </c>
      <c r="L1087" s="117">
        <f>IF(O1087="","",N1087*O1087*M1087)</f>
        <v>0</v>
      </c>
      <c r="M1087" s="108">
        <v>1</v>
      </c>
      <c r="N1087" s="95">
        <v>1</v>
      </c>
      <c r="O1087" s="109">
        <f>IF(Key!D$1="ON",P1087,IF(SUM(Q1087:DL1087)&lt;1,"",SUM(Q1087:DL1087)/COUNTIF(Q1087:DL1087,"&gt;0")))</f>
        <v>0</v>
      </c>
      <c r="P1087" s="109">
        <f>SUMIFS(Q1087:DK1087,Q$1:DK$1,Dashboard!$K$31)</f>
        <v>0</v>
      </c>
      <c r="U1087" s="95">
        <v>33</v>
      </c>
      <c r="AA1087" s="95">
        <v>25</v>
      </c>
      <c r="AH1087" s="95">
        <v>75</v>
      </c>
    </row>
    <row r="1088" spans="1:34" x14ac:dyDescent="0.3">
      <c r="A1088" s="89" t="str">
        <f>CONCATENATE(D1088,".",F1088,"-",G1088,".",H1088,"")</f>
        <v>2.1-2.1</v>
      </c>
      <c r="B1088" s="89" t="str">
        <f>IF(CONCATENATE(I1088,Key!F$2)=CONCATENATE(INDEX(Dashboard!J:J,MATCH(I1088,Dashboard!J:J,0),1),INDEX(Dashboard!J:K,MATCH(I1088,Dashboard!J:J,0),2)),"ON",IF(Dashboard!K$32="ALL","ON","-"))</f>
        <v>-</v>
      </c>
      <c r="C1088" s="88" t="s">
        <v>152</v>
      </c>
      <c r="D1088" s="89">
        <f>IF(C1088="ID",1,(IF(C1088="PR",2,(IF(C1088="DE",3,(IF(C1088="RS",4,(IF(C1088="RC",5,0)))))))))</f>
        <v>2</v>
      </c>
      <c r="E1088" s="89" t="s">
        <v>153</v>
      </c>
      <c r="F1088" s="89">
        <f>IF(E1088="AM",1,(IF(E1088="BE",2,(IF(E1088="GV",3,(IF(E1088="RA",4,(IF(E1088="RM",5,(IF(E1088="AC",1,(IF(E1088="AT",2,(IF(E1088="DS",3,(IF(E1088="IP",4,(IF(E1088="MA",5,(IF(E1088="PT",6,(IF(E1088="AE",1,(IF(E1088="CM",2,(IF(E1088="DP",3,(IF(E1088="AN",1,(IF(E1088="CO",2,(IF(E1088="IM",3,(IF(E1088="MI",4,(IF(E1088="RP",5,(IF(E1088="SC",6,0)))))))))))))))))))))))))))))))))))))))</f>
        <v>1</v>
      </c>
      <c r="G1088" s="52">
        <v>2</v>
      </c>
      <c r="H1088" s="90" t="s">
        <v>115</v>
      </c>
      <c r="I1088" s="93" t="s">
        <v>77</v>
      </c>
      <c r="J1088" s="87" t="s">
        <v>1192</v>
      </c>
      <c r="K1088" s="102" t="s">
        <v>2220</v>
      </c>
      <c r="L1088" s="117">
        <f>IF(O1088="","",N1088*O1088*M1088)</f>
        <v>0</v>
      </c>
      <c r="M1088" s="108">
        <v>1</v>
      </c>
      <c r="N1088" s="95">
        <v>1</v>
      </c>
      <c r="O1088" s="109">
        <f>IF(Key!D$1="ON",P1088,IF(SUM(Q1088:DL1088)&lt;1,"",SUM(Q1088:DL1088)/COUNTIF(Q1088:DL1088,"&gt;0")))</f>
        <v>0</v>
      </c>
      <c r="P1088" s="109">
        <f>SUMIFS(Q1088:DK1088,Q$1:DK$1,Dashboard!$K$31)</f>
        <v>0</v>
      </c>
      <c r="U1088" s="95">
        <v>33</v>
      </c>
      <c r="AA1088" s="95">
        <v>25</v>
      </c>
      <c r="AH1088" s="95">
        <v>75</v>
      </c>
    </row>
    <row r="1089" spans="1:34" x14ac:dyDescent="0.3">
      <c r="A1089" s="89" t="str">
        <f>CONCATENATE(D1089,".",F1089,"-",G1089,".",H1089,"")</f>
        <v>2.1-2.1</v>
      </c>
      <c r="B1089" s="89" t="str">
        <f>IF(CONCATENATE(I1089,Key!F$2)=CONCATENATE(INDEX(Dashboard!J:J,MATCH(I1089,Dashboard!J:J,0),1),INDEX(Dashboard!J:K,MATCH(I1089,Dashboard!J:J,0),2)),"ON",IF(Dashboard!K$32="ALL","ON","-"))</f>
        <v>-</v>
      </c>
      <c r="C1089" s="96" t="s">
        <v>152</v>
      </c>
      <c r="D1089" s="89">
        <f>IF(C1089="ID",1,(IF(C1089="PR",2,(IF(C1089="DE",3,(IF(C1089="RS",4,(IF(C1089="RC",5,0)))))))))</f>
        <v>2</v>
      </c>
      <c r="E1089" s="89" t="s">
        <v>153</v>
      </c>
      <c r="F1089" s="89">
        <f>IF(E1089="AM",1,(IF(E1089="BE",2,(IF(E1089="GV",3,(IF(E1089="RA",4,(IF(E1089="RM",5,(IF(E1089="AC",1,(IF(E1089="AT",2,(IF(E1089="DS",3,(IF(E1089="IP",4,(IF(E1089="MA",5,(IF(E1089="PT",6,(IF(E1089="AE",1,(IF(E1089="CM",2,(IF(E1089="DP",3,(IF(E1089="AN",1,(IF(E1089="CO",2,(IF(E1089="IM",3,(IF(E1089="MI",4,(IF(E1089="RP",5,(IF(E1089="SC",6,0)))))))))))))))))))))))))))))))))))))))</f>
        <v>1</v>
      </c>
      <c r="G1089" s="98">
        <v>2</v>
      </c>
      <c r="H1089" s="90" t="s">
        <v>115</v>
      </c>
      <c r="I1089" s="93" t="s">
        <v>77</v>
      </c>
      <c r="J1089" s="87" t="s">
        <v>1193</v>
      </c>
      <c r="K1089" s="102" t="s">
        <v>2221</v>
      </c>
      <c r="L1089" s="117">
        <f>IF(O1089="","",N1089*O1089*M1089)</f>
        <v>0</v>
      </c>
      <c r="M1089" s="108">
        <v>1</v>
      </c>
      <c r="N1089" s="95">
        <v>1</v>
      </c>
      <c r="O1089" s="109">
        <f>IF(Key!D$1="ON",P1089,IF(SUM(Q1089:DL1089)&lt;1,"",SUM(Q1089:DL1089)/COUNTIF(Q1089:DL1089,"&gt;0")))</f>
        <v>0</v>
      </c>
      <c r="P1089" s="109">
        <f>SUMIFS(Q1089:DK1089,Q$1:DK$1,Dashboard!$K$31)</f>
        <v>0</v>
      </c>
      <c r="U1089" s="95">
        <v>33</v>
      </c>
      <c r="AA1089" s="95">
        <v>25</v>
      </c>
      <c r="AH1089" s="95">
        <v>75</v>
      </c>
    </row>
    <row r="1090" spans="1:34" ht="15.6" x14ac:dyDescent="0.3">
      <c r="A1090" s="89" t="str">
        <f>CONCATENATE(D1090,".",F1090,"-",G1090,".",H1090,"")</f>
        <v>2.1-2.1</v>
      </c>
      <c r="B1090" s="89" t="str">
        <f>IF(CONCATENATE(I1090,Key!F$2)=CONCATENATE(INDEX(Dashboard!J:J,MATCH(I1090,Dashboard!J:J,0),1),INDEX(Dashboard!J:K,MATCH(I1090,Dashboard!J:J,0),2)),"ON",IF(Dashboard!K$32="ALL","ON","-"))</f>
        <v>-</v>
      </c>
      <c r="C1090" s="88" t="s">
        <v>152</v>
      </c>
      <c r="D1090" s="89">
        <f>IF(C1090="ID",1,(IF(C1090="PR",2,(IF(C1090="DE",3,(IF(C1090="RS",4,(IF(C1090="RC",5,0)))))))))</f>
        <v>2</v>
      </c>
      <c r="E1090" s="89" t="s">
        <v>153</v>
      </c>
      <c r="F1090" s="89">
        <f>IF(E1090="AM",1,(IF(E1090="BE",2,(IF(E1090="GV",3,(IF(E1090="RA",4,(IF(E1090="RM",5,(IF(E1090="AC",1,(IF(E1090="AT",2,(IF(E1090="DS",3,(IF(E1090="IP",4,(IF(E1090="MA",5,(IF(E1090="PT",6,(IF(E1090="AE",1,(IF(E1090="CM",2,(IF(E1090="DP",3,(IF(E1090="AN",1,(IF(E1090="CO",2,(IF(E1090="IM",3,(IF(E1090="MI",4,(IF(E1090="RP",5,(IF(E1090="SC",6,0)))))))))))))))))))))))))))))))))))))))</f>
        <v>1</v>
      </c>
      <c r="G1090" s="52">
        <v>2</v>
      </c>
      <c r="H1090" s="90" t="s">
        <v>115</v>
      </c>
      <c r="I1090" s="93" t="s">
        <v>77</v>
      </c>
      <c r="J1090" s="87" t="s">
        <v>1195</v>
      </c>
      <c r="K1090" s="102" t="s">
        <v>2222</v>
      </c>
      <c r="L1090" s="117">
        <f>IF(O1090="","",N1090*O1090*M1090)</f>
        <v>0</v>
      </c>
      <c r="M1090" s="108">
        <v>1</v>
      </c>
      <c r="N1090" s="95">
        <v>1</v>
      </c>
      <c r="O1090" s="109">
        <f>IF(Key!D$1="ON",P1090,IF(SUM(Q1090:DL1090)&lt;1,"",SUM(Q1090:DL1090)/COUNTIF(Q1090:DL1090,"&gt;0")))</f>
        <v>0</v>
      </c>
      <c r="P1090" s="109">
        <f>SUMIFS(Q1090:DK1090,Q$1:DK$1,Dashboard!$K$31)</f>
        <v>0</v>
      </c>
      <c r="U1090" s="95">
        <v>33</v>
      </c>
      <c r="AA1090" s="95">
        <v>25</v>
      </c>
      <c r="AH1090" s="95">
        <v>75</v>
      </c>
    </row>
    <row r="1091" spans="1:34" x14ac:dyDescent="0.3">
      <c r="A1091" s="89" t="str">
        <f>CONCATENATE(D1091,".",F1091,"-",G1091,".",H1091,"")</f>
        <v>2.1-2.1</v>
      </c>
      <c r="B1091" s="89" t="str">
        <f>IF(CONCATENATE(I1091,Key!F$2)=CONCATENATE(INDEX(Dashboard!J:J,MATCH(I1091,Dashboard!J:J,0),1),INDEX(Dashboard!J:K,MATCH(I1091,Dashboard!J:J,0),2)),"ON",IF(Dashboard!K$32="ALL","ON","-"))</f>
        <v>-</v>
      </c>
      <c r="C1091" s="88" t="s">
        <v>152</v>
      </c>
      <c r="D1091" s="89">
        <f>IF(C1091="ID",1,(IF(C1091="PR",2,(IF(C1091="DE",3,(IF(C1091="RS",4,(IF(C1091="RC",5,0)))))))))</f>
        <v>2</v>
      </c>
      <c r="E1091" s="89" t="s">
        <v>153</v>
      </c>
      <c r="F1091" s="89">
        <f>IF(E1091="AM",1,(IF(E1091="BE",2,(IF(E1091="GV",3,(IF(E1091="RA",4,(IF(E1091="RM",5,(IF(E1091="AC",1,(IF(E1091="AT",2,(IF(E1091="DS",3,(IF(E1091="IP",4,(IF(E1091="MA",5,(IF(E1091="PT",6,(IF(E1091="AE",1,(IF(E1091="CM",2,(IF(E1091="DP",3,(IF(E1091="AN",1,(IF(E1091="CO",2,(IF(E1091="IM",3,(IF(E1091="MI",4,(IF(E1091="RP",5,(IF(E1091="SC",6,0)))))))))))))))))))))))))))))))))))))))</f>
        <v>1</v>
      </c>
      <c r="G1091" s="52">
        <v>2</v>
      </c>
      <c r="H1091" s="90" t="s">
        <v>115</v>
      </c>
      <c r="I1091" s="93" t="s">
        <v>77</v>
      </c>
      <c r="J1091" s="87" t="s">
        <v>1196</v>
      </c>
      <c r="K1091" s="102" t="s">
        <v>2223</v>
      </c>
      <c r="L1091" s="117">
        <f>IF(O1091="","",N1091*O1091*M1091)</f>
        <v>0</v>
      </c>
      <c r="M1091" s="108">
        <v>1</v>
      </c>
      <c r="N1091" s="95">
        <v>1</v>
      </c>
      <c r="O1091" s="109">
        <f>IF(Key!D$1="ON",P1091,IF(SUM(Q1091:DL1091)&lt;1,"",SUM(Q1091:DL1091)/COUNTIF(Q1091:DL1091,"&gt;0")))</f>
        <v>0</v>
      </c>
      <c r="P1091" s="109">
        <f>SUMIFS(Q1091:DK1091,Q$1:DK$1,Dashboard!$K$31)</f>
        <v>0</v>
      </c>
      <c r="U1091" s="95">
        <v>33</v>
      </c>
      <c r="AA1091" s="95">
        <v>25</v>
      </c>
      <c r="AH1091" s="95">
        <v>75</v>
      </c>
    </row>
    <row r="1092" spans="1:34" x14ac:dyDescent="0.3">
      <c r="A1092" s="89" t="str">
        <f>CONCATENATE(D1092,".",F1092,"-",G1092,".",H1092,"")</f>
        <v>2.1-2.1</v>
      </c>
      <c r="B1092" s="89" t="str">
        <f>IF(CONCATENATE(I1092,Key!F$2)=CONCATENATE(INDEX(Dashboard!J:J,MATCH(I1092,Dashboard!J:J,0),1),INDEX(Dashboard!J:K,MATCH(I1092,Dashboard!J:J,0),2)),"ON",IF(Dashboard!K$32="ALL","ON","-"))</f>
        <v>-</v>
      </c>
      <c r="C1092" s="88" t="s">
        <v>152</v>
      </c>
      <c r="D1092" s="89">
        <f>IF(C1092="ID",1,(IF(C1092="PR",2,(IF(C1092="DE",3,(IF(C1092="RS",4,(IF(C1092="RC",5,0)))))))))</f>
        <v>2</v>
      </c>
      <c r="E1092" s="89" t="s">
        <v>153</v>
      </c>
      <c r="F1092" s="89">
        <f>IF(E1092="AM",1,(IF(E1092="BE",2,(IF(E1092="GV",3,(IF(E1092="RA",4,(IF(E1092="RM",5,(IF(E1092="AC",1,(IF(E1092="AT",2,(IF(E1092="DS",3,(IF(E1092="IP",4,(IF(E1092="MA",5,(IF(E1092="PT",6,(IF(E1092="AE",1,(IF(E1092="CM",2,(IF(E1092="DP",3,(IF(E1092="AN",1,(IF(E1092="CO",2,(IF(E1092="IM",3,(IF(E1092="MI",4,(IF(E1092="RP",5,(IF(E1092="SC",6,0)))))))))))))))))))))))))))))))))))))))</f>
        <v>1</v>
      </c>
      <c r="G1092" s="52">
        <v>2</v>
      </c>
      <c r="H1092" s="90" t="s">
        <v>115</v>
      </c>
      <c r="I1092" s="93" t="s">
        <v>77</v>
      </c>
      <c r="J1092" s="87" t="s">
        <v>1197</v>
      </c>
      <c r="K1092" s="102" t="s">
        <v>2224</v>
      </c>
      <c r="L1092" s="117">
        <f>IF(O1092="","",N1092*O1092*M1092)</f>
        <v>0</v>
      </c>
      <c r="M1092" s="108">
        <v>1</v>
      </c>
      <c r="N1092" s="95">
        <v>1</v>
      </c>
      <c r="O1092" s="109">
        <f>IF(Key!D$1="ON",P1092,IF(SUM(Q1092:DL1092)&lt;1,"",SUM(Q1092:DL1092)/COUNTIF(Q1092:DL1092,"&gt;0")))</f>
        <v>0</v>
      </c>
      <c r="P1092" s="109">
        <f>SUMIFS(Q1092:DK1092,Q$1:DK$1,Dashboard!$K$31)</f>
        <v>0</v>
      </c>
      <c r="U1092" s="95">
        <v>33</v>
      </c>
      <c r="AA1092" s="95">
        <v>25</v>
      </c>
      <c r="AH1092" s="95">
        <v>75</v>
      </c>
    </row>
    <row r="1093" spans="1:34" ht="15.6" x14ac:dyDescent="0.3">
      <c r="A1093" s="89" t="str">
        <f>CONCATENATE(D1093,".",F1093,"-",G1093,".",H1093,"")</f>
        <v>2.1-2.1</v>
      </c>
      <c r="B1093" s="89" t="str">
        <f>IF(CONCATENATE(I1093,Key!F$2)=CONCATENATE(INDEX(Dashboard!J:J,MATCH(I1093,Dashboard!J:J,0),1),INDEX(Dashboard!J:K,MATCH(I1093,Dashboard!J:J,0),2)),"ON",IF(Dashboard!K$32="ALL","ON","-"))</f>
        <v>-</v>
      </c>
      <c r="C1093" s="96" t="s">
        <v>152</v>
      </c>
      <c r="D1093" s="89">
        <f>IF(C1093="ID",1,(IF(C1093="PR",2,(IF(C1093="DE",3,(IF(C1093="RS",4,(IF(C1093="RC",5,0)))))))))</f>
        <v>2</v>
      </c>
      <c r="E1093" s="89" t="s">
        <v>153</v>
      </c>
      <c r="F1093" s="89">
        <f>IF(E1093="AM",1,(IF(E1093="BE",2,(IF(E1093="GV",3,(IF(E1093="RA",4,(IF(E1093="RM",5,(IF(E1093="AC",1,(IF(E1093="AT",2,(IF(E1093="DS",3,(IF(E1093="IP",4,(IF(E1093="MA",5,(IF(E1093="PT",6,(IF(E1093="AE",1,(IF(E1093="CM",2,(IF(E1093="DP",3,(IF(E1093="AN",1,(IF(E1093="CO",2,(IF(E1093="IM",3,(IF(E1093="MI",4,(IF(E1093="RP",5,(IF(E1093="SC",6,0)))))))))))))))))))))))))))))))))))))))</f>
        <v>1</v>
      </c>
      <c r="G1093" s="98">
        <v>2</v>
      </c>
      <c r="H1093" s="90" t="s">
        <v>115</v>
      </c>
      <c r="I1093" s="93" t="s">
        <v>77</v>
      </c>
      <c r="J1093" s="87" t="s">
        <v>1198</v>
      </c>
      <c r="K1093" s="102" t="s">
        <v>2225</v>
      </c>
      <c r="L1093" s="117">
        <f>IF(O1093="","",N1093*O1093*M1093)</f>
        <v>0</v>
      </c>
      <c r="M1093" s="108">
        <v>1</v>
      </c>
      <c r="N1093" s="95">
        <v>1</v>
      </c>
      <c r="O1093" s="109">
        <f>IF(Key!D$1="ON",P1093,IF(SUM(Q1093:DL1093)&lt;1,"",SUM(Q1093:DL1093)/COUNTIF(Q1093:DL1093,"&gt;0")))</f>
        <v>0</v>
      </c>
      <c r="P1093" s="109">
        <f>SUMIFS(Q1093:DK1093,Q$1:DK$1,Dashboard!$K$31)</f>
        <v>0</v>
      </c>
      <c r="U1093" s="95">
        <v>33</v>
      </c>
      <c r="AA1093" s="95">
        <v>25</v>
      </c>
      <c r="AH1093" s="95">
        <v>75</v>
      </c>
    </row>
    <row r="1094" spans="1:34" x14ac:dyDescent="0.3">
      <c r="A1094" s="89" t="str">
        <f>CONCATENATE(D1094,".",F1094,"-",G1094,".",H1094,"")</f>
        <v>2.1-2.1</v>
      </c>
      <c r="B1094" s="89" t="str">
        <f>IF(CONCATENATE(I1094,Key!F$2)=CONCATENATE(INDEX(Dashboard!J:J,MATCH(I1094,Dashboard!J:J,0),1),INDEX(Dashboard!J:K,MATCH(I1094,Dashboard!J:J,0),2)),"ON",IF(Dashboard!K$32="ALL","ON","-"))</f>
        <v>-</v>
      </c>
      <c r="C1094" s="88" t="s">
        <v>152</v>
      </c>
      <c r="D1094" s="89">
        <f>IF(C1094="ID",1,(IF(C1094="PR",2,(IF(C1094="DE",3,(IF(C1094="RS",4,(IF(C1094="RC",5,0)))))))))</f>
        <v>2</v>
      </c>
      <c r="E1094" s="89" t="s">
        <v>153</v>
      </c>
      <c r="F1094" s="89">
        <f>IF(E1094="AM",1,(IF(E1094="BE",2,(IF(E1094="GV",3,(IF(E1094="RA",4,(IF(E1094="RM",5,(IF(E1094="AC",1,(IF(E1094="AT",2,(IF(E1094="DS",3,(IF(E1094="IP",4,(IF(E1094="MA",5,(IF(E1094="PT",6,(IF(E1094="AE",1,(IF(E1094="CM",2,(IF(E1094="DP",3,(IF(E1094="AN",1,(IF(E1094="CO",2,(IF(E1094="IM",3,(IF(E1094="MI",4,(IF(E1094="RP",5,(IF(E1094="SC",6,0)))))))))))))))))))))))))))))))))))))))</f>
        <v>1</v>
      </c>
      <c r="G1094" s="52">
        <v>2</v>
      </c>
      <c r="H1094" s="90" t="s">
        <v>115</v>
      </c>
      <c r="I1094" s="93" t="s">
        <v>77</v>
      </c>
      <c r="J1094" s="87" t="s">
        <v>1200</v>
      </c>
      <c r="K1094" s="102" t="s">
        <v>2226</v>
      </c>
      <c r="L1094" s="117">
        <f>IF(O1094="","",N1094*O1094*M1094)</f>
        <v>0</v>
      </c>
      <c r="M1094" s="108">
        <v>1</v>
      </c>
      <c r="N1094" s="95">
        <v>1</v>
      </c>
      <c r="O1094" s="109">
        <f>IF(Key!D$1="ON",P1094,IF(SUM(Q1094:DL1094)&lt;1,"",SUM(Q1094:DL1094)/COUNTIF(Q1094:DL1094,"&gt;0")))</f>
        <v>0</v>
      </c>
      <c r="P1094" s="109">
        <f>SUMIFS(Q1094:DK1094,Q$1:DK$1,Dashboard!$K$31)</f>
        <v>0</v>
      </c>
      <c r="U1094" s="95">
        <v>33</v>
      </c>
      <c r="AA1094" s="95">
        <v>25</v>
      </c>
      <c r="AH1094" s="95">
        <v>75</v>
      </c>
    </row>
    <row r="1095" spans="1:34" x14ac:dyDescent="0.3">
      <c r="A1095" s="89" t="str">
        <f>CONCATENATE(D1095,".",F1095,"-",G1095,".",H1095,"")</f>
        <v>2.1-2.1</v>
      </c>
      <c r="B1095" s="89" t="str">
        <f>IF(CONCATENATE(I1095,Key!F$2)=CONCATENATE(INDEX(Dashboard!J:J,MATCH(I1095,Dashboard!J:J,0),1),INDEX(Dashboard!J:K,MATCH(I1095,Dashboard!J:J,0),2)),"ON",IF(Dashboard!K$32="ALL","ON","-"))</f>
        <v>-</v>
      </c>
      <c r="C1095" s="88" t="s">
        <v>152</v>
      </c>
      <c r="D1095" s="89">
        <f>IF(C1095="ID",1,(IF(C1095="PR",2,(IF(C1095="DE",3,(IF(C1095="RS",4,(IF(C1095="RC",5,0)))))))))</f>
        <v>2</v>
      </c>
      <c r="E1095" s="89" t="s">
        <v>153</v>
      </c>
      <c r="F1095" s="89">
        <f>IF(E1095="AM",1,(IF(E1095="BE",2,(IF(E1095="GV",3,(IF(E1095="RA",4,(IF(E1095="RM",5,(IF(E1095="AC",1,(IF(E1095="AT",2,(IF(E1095="DS",3,(IF(E1095="IP",4,(IF(E1095="MA",5,(IF(E1095="PT",6,(IF(E1095="AE",1,(IF(E1095="CM",2,(IF(E1095="DP",3,(IF(E1095="AN",1,(IF(E1095="CO",2,(IF(E1095="IM",3,(IF(E1095="MI",4,(IF(E1095="RP",5,(IF(E1095="SC",6,0)))))))))))))))))))))))))))))))))))))))</f>
        <v>1</v>
      </c>
      <c r="G1095" s="52">
        <v>2</v>
      </c>
      <c r="H1095" s="90" t="s">
        <v>115</v>
      </c>
      <c r="I1095" s="93" t="s">
        <v>77</v>
      </c>
      <c r="J1095" s="87" t="s">
        <v>1201</v>
      </c>
      <c r="K1095" s="102" t="s">
        <v>2227</v>
      </c>
      <c r="L1095" s="117">
        <f>IF(O1095="","",N1095*O1095*M1095)</f>
        <v>0</v>
      </c>
      <c r="M1095" s="108">
        <v>1</v>
      </c>
      <c r="N1095" s="95">
        <v>1</v>
      </c>
      <c r="O1095" s="109">
        <f>IF(Key!D$1="ON",P1095,IF(SUM(Q1095:DL1095)&lt;1,"",SUM(Q1095:DL1095)/COUNTIF(Q1095:DL1095,"&gt;0")))</f>
        <v>0</v>
      </c>
      <c r="P1095" s="109">
        <f>SUMIFS(Q1095:DK1095,Q$1:DK$1,Dashboard!$K$31)</f>
        <v>0</v>
      </c>
      <c r="U1095" s="95">
        <v>33</v>
      </c>
      <c r="AA1095" s="95">
        <v>25</v>
      </c>
      <c r="AH1095" s="95">
        <v>75</v>
      </c>
    </row>
    <row r="1096" spans="1:34" x14ac:dyDescent="0.3">
      <c r="A1096" s="89" t="str">
        <f>CONCATENATE(D1096,".",F1096,"-",G1096,".",H1096,"")</f>
        <v>2.1-2.1</v>
      </c>
      <c r="B1096" s="89" t="str">
        <f>IF(CONCATENATE(I1096,Key!F$2)=CONCATENATE(INDEX(Dashboard!J:J,MATCH(I1096,Dashboard!J:J,0),1),INDEX(Dashboard!J:K,MATCH(I1096,Dashboard!J:J,0),2)),"ON",IF(Dashboard!K$32="ALL","ON","-"))</f>
        <v>-</v>
      </c>
      <c r="C1096" s="88" t="s">
        <v>152</v>
      </c>
      <c r="D1096" s="89">
        <f>IF(C1096="ID",1,(IF(C1096="PR",2,(IF(C1096="DE",3,(IF(C1096="RS",4,(IF(C1096="RC",5,0)))))))))</f>
        <v>2</v>
      </c>
      <c r="E1096" s="89" t="s">
        <v>153</v>
      </c>
      <c r="F1096" s="89">
        <f>IF(E1096="AM",1,(IF(E1096="BE",2,(IF(E1096="GV",3,(IF(E1096="RA",4,(IF(E1096="RM",5,(IF(E1096="AC",1,(IF(E1096="AT",2,(IF(E1096="DS",3,(IF(E1096="IP",4,(IF(E1096="MA",5,(IF(E1096="PT",6,(IF(E1096="AE",1,(IF(E1096="CM",2,(IF(E1096="DP",3,(IF(E1096="AN",1,(IF(E1096="CO",2,(IF(E1096="IM",3,(IF(E1096="MI",4,(IF(E1096="RP",5,(IF(E1096="SC",6,0)))))))))))))))))))))))))))))))))))))))</f>
        <v>1</v>
      </c>
      <c r="G1096" s="52">
        <v>2</v>
      </c>
      <c r="H1096" s="90" t="s">
        <v>115</v>
      </c>
      <c r="I1096" s="93" t="s">
        <v>77</v>
      </c>
      <c r="J1096" s="87" t="s">
        <v>1202</v>
      </c>
      <c r="K1096" s="102" t="s">
        <v>2228</v>
      </c>
      <c r="L1096" s="117">
        <f>IF(O1096="","",N1096*O1096*M1096)</f>
        <v>0</v>
      </c>
      <c r="M1096" s="108">
        <v>1</v>
      </c>
      <c r="N1096" s="95">
        <v>1</v>
      </c>
      <c r="O1096" s="109">
        <f>IF(Key!D$1="ON",P1096,IF(SUM(Q1096:DL1096)&lt;1,"",SUM(Q1096:DL1096)/COUNTIF(Q1096:DL1096,"&gt;0")))</f>
        <v>0</v>
      </c>
      <c r="P1096" s="109">
        <f>SUMIFS(Q1096:DK1096,Q$1:DK$1,Dashboard!$K$31)</f>
        <v>0</v>
      </c>
      <c r="U1096" s="95">
        <v>33</v>
      </c>
      <c r="AA1096" s="95">
        <v>25</v>
      </c>
      <c r="AH1096" s="95">
        <v>75</v>
      </c>
    </row>
    <row r="1097" spans="1:34" x14ac:dyDescent="0.3">
      <c r="A1097" s="89" t="str">
        <f>CONCATENATE(D1097,".",F1097,"-",G1097,".",H1097,"")</f>
        <v>2.1-2.1</v>
      </c>
      <c r="B1097" s="89" t="str">
        <f>IF(CONCATENATE(I1097,Key!F$2)=CONCATENATE(INDEX(Dashboard!J:J,MATCH(I1097,Dashboard!J:J,0),1),INDEX(Dashboard!J:K,MATCH(I1097,Dashboard!J:J,0),2)),"ON",IF(Dashboard!K$32="ALL","ON","-"))</f>
        <v>-</v>
      </c>
      <c r="C1097" s="88" t="s">
        <v>152</v>
      </c>
      <c r="D1097" s="89">
        <f>IF(C1097="ID",1,(IF(C1097="PR",2,(IF(C1097="DE",3,(IF(C1097="RS",4,(IF(C1097="RC",5,0)))))))))</f>
        <v>2</v>
      </c>
      <c r="E1097" s="89" t="s">
        <v>153</v>
      </c>
      <c r="F1097" s="89">
        <f>IF(E1097="AM",1,(IF(E1097="BE",2,(IF(E1097="GV",3,(IF(E1097="RA",4,(IF(E1097="RM",5,(IF(E1097="AC",1,(IF(E1097="AT",2,(IF(E1097="DS",3,(IF(E1097="IP",4,(IF(E1097="MA",5,(IF(E1097="PT",6,(IF(E1097="AE",1,(IF(E1097="CM",2,(IF(E1097="DP",3,(IF(E1097="AN",1,(IF(E1097="CO",2,(IF(E1097="IM",3,(IF(E1097="MI",4,(IF(E1097="RP",5,(IF(E1097="SC",6,0)))))))))))))))))))))))))))))))))))))))</f>
        <v>1</v>
      </c>
      <c r="G1097" s="52">
        <v>2</v>
      </c>
      <c r="H1097" s="90" t="s">
        <v>115</v>
      </c>
      <c r="I1097" s="93" t="s">
        <v>77</v>
      </c>
      <c r="J1097" s="87" t="s">
        <v>1203</v>
      </c>
      <c r="K1097" s="102" t="s">
        <v>2229</v>
      </c>
      <c r="L1097" s="117">
        <f>IF(O1097="","",N1097*O1097*M1097)</f>
        <v>0</v>
      </c>
      <c r="M1097" s="108">
        <v>1</v>
      </c>
      <c r="N1097" s="95">
        <v>1</v>
      </c>
      <c r="O1097" s="109">
        <f>IF(Key!D$1="ON",P1097,IF(SUM(Q1097:DL1097)&lt;1,"",SUM(Q1097:DL1097)/COUNTIF(Q1097:DL1097,"&gt;0")))</f>
        <v>0</v>
      </c>
      <c r="P1097" s="109">
        <f>SUMIFS(Q1097:DK1097,Q$1:DK$1,Dashboard!$K$31)</f>
        <v>0</v>
      </c>
      <c r="U1097" s="95">
        <v>33</v>
      </c>
      <c r="AA1097" s="95">
        <v>25</v>
      </c>
      <c r="AH1097" s="95">
        <v>75</v>
      </c>
    </row>
    <row r="1098" spans="1:34" x14ac:dyDescent="0.3">
      <c r="A1098" s="89" t="str">
        <f>CONCATENATE(D1098,".",F1098,"-",G1098,".",H1098,"")</f>
        <v>2.1-2.1</v>
      </c>
      <c r="B1098" s="89" t="str">
        <f>IF(CONCATENATE(I1098,Key!F$2)=CONCATENATE(INDEX(Dashboard!J:J,MATCH(I1098,Dashboard!J:J,0),1),INDEX(Dashboard!J:K,MATCH(I1098,Dashboard!J:J,0),2)),"ON",IF(Dashboard!K$32="ALL","ON","-"))</f>
        <v>-</v>
      </c>
      <c r="C1098" s="88" t="s">
        <v>152</v>
      </c>
      <c r="D1098" s="89">
        <f>IF(C1098="ID",1,(IF(C1098="PR",2,(IF(C1098="DE",3,(IF(C1098="RS",4,(IF(C1098="RC",5,0)))))))))</f>
        <v>2</v>
      </c>
      <c r="E1098" s="89" t="s">
        <v>153</v>
      </c>
      <c r="F1098" s="89">
        <f>IF(E1098="AM",1,(IF(E1098="BE",2,(IF(E1098="GV",3,(IF(E1098="RA",4,(IF(E1098="RM",5,(IF(E1098="AC",1,(IF(E1098="AT",2,(IF(E1098="DS",3,(IF(E1098="IP",4,(IF(E1098="MA",5,(IF(E1098="PT",6,(IF(E1098="AE",1,(IF(E1098="CM",2,(IF(E1098="DP",3,(IF(E1098="AN",1,(IF(E1098="CO",2,(IF(E1098="IM",3,(IF(E1098="MI",4,(IF(E1098="RP",5,(IF(E1098="SC",6,0)))))))))))))))))))))))))))))))))))))))</f>
        <v>1</v>
      </c>
      <c r="G1098" s="52">
        <v>2</v>
      </c>
      <c r="H1098" s="90" t="s">
        <v>115</v>
      </c>
      <c r="I1098" s="93" t="s">
        <v>77</v>
      </c>
      <c r="J1098" s="87" t="s">
        <v>1204</v>
      </c>
      <c r="K1098" s="102" t="s">
        <v>2230</v>
      </c>
      <c r="L1098" s="117">
        <f>IF(O1098="","",N1098*O1098*M1098)</f>
        <v>0</v>
      </c>
      <c r="M1098" s="108">
        <v>1</v>
      </c>
      <c r="N1098" s="95">
        <v>1</v>
      </c>
      <c r="O1098" s="109">
        <f>IF(Key!D$1="ON",P1098,IF(SUM(Q1098:DL1098)&lt;1,"",SUM(Q1098:DL1098)/COUNTIF(Q1098:DL1098,"&gt;0")))</f>
        <v>0</v>
      </c>
      <c r="P1098" s="109">
        <f>SUMIFS(Q1098:DK1098,Q$1:DK$1,Dashboard!$K$31)</f>
        <v>0</v>
      </c>
      <c r="U1098" s="95">
        <v>33</v>
      </c>
      <c r="AA1098" s="95">
        <v>25</v>
      </c>
      <c r="AH1098" s="95">
        <v>75</v>
      </c>
    </row>
    <row r="1099" spans="1:34" x14ac:dyDescent="0.3">
      <c r="A1099" s="89" t="str">
        <f>CONCATENATE(D1099,".",F1099,"-",G1099,".",H1099,"")</f>
        <v>2.1-2.1</v>
      </c>
      <c r="B1099" s="89" t="str">
        <f>IF(CONCATENATE(I1099,Key!F$2)=CONCATENATE(INDEX(Dashboard!J:J,MATCH(I1099,Dashboard!J:J,0),1),INDEX(Dashboard!J:K,MATCH(I1099,Dashboard!J:J,0),2)),"ON",IF(Dashboard!K$32="ALL","ON","-"))</f>
        <v>-</v>
      </c>
      <c r="C1099" s="88" t="s">
        <v>152</v>
      </c>
      <c r="D1099" s="89">
        <f>IF(C1099="ID",1,(IF(C1099="PR",2,(IF(C1099="DE",3,(IF(C1099="RS",4,(IF(C1099="RC",5,0)))))))))</f>
        <v>2</v>
      </c>
      <c r="E1099" s="89" t="s">
        <v>153</v>
      </c>
      <c r="F1099" s="89">
        <f>IF(E1099="AM",1,(IF(E1099="BE",2,(IF(E1099="GV",3,(IF(E1099="RA",4,(IF(E1099="RM",5,(IF(E1099="AC",1,(IF(E1099="AT",2,(IF(E1099="DS",3,(IF(E1099="IP",4,(IF(E1099="MA",5,(IF(E1099="PT",6,(IF(E1099="AE",1,(IF(E1099="CM",2,(IF(E1099="DP",3,(IF(E1099="AN",1,(IF(E1099="CO",2,(IF(E1099="IM",3,(IF(E1099="MI",4,(IF(E1099="RP",5,(IF(E1099="SC",6,0)))))))))))))))))))))))))))))))))))))))</f>
        <v>1</v>
      </c>
      <c r="G1099" s="52">
        <v>2</v>
      </c>
      <c r="H1099" s="90" t="s">
        <v>115</v>
      </c>
      <c r="I1099" s="93" t="s">
        <v>77</v>
      </c>
      <c r="J1099" s="87" t="s">
        <v>1205</v>
      </c>
      <c r="K1099" s="102" t="s">
        <v>2231</v>
      </c>
      <c r="L1099" s="117">
        <f>IF(O1099="","",N1099*O1099*M1099)</f>
        <v>0</v>
      </c>
      <c r="M1099" s="108">
        <v>1</v>
      </c>
      <c r="N1099" s="95">
        <v>1</v>
      </c>
      <c r="O1099" s="109">
        <f>IF(Key!D$1="ON",P1099,IF(SUM(Q1099:DL1099)&lt;1,"",SUM(Q1099:DL1099)/COUNTIF(Q1099:DL1099,"&gt;0")))</f>
        <v>0</v>
      </c>
      <c r="P1099" s="109">
        <f>SUMIFS(Q1099:DK1099,Q$1:DK$1,Dashboard!$K$31)</f>
        <v>0</v>
      </c>
      <c r="U1099" s="95">
        <v>33</v>
      </c>
      <c r="AA1099" s="95">
        <v>25</v>
      </c>
      <c r="AH1099" s="95">
        <v>75</v>
      </c>
    </row>
    <row r="1100" spans="1:34" x14ac:dyDescent="0.3">
      <c r="A1100" s="89" t="str">
        <f>CONCATENATE(D1100,".",F1100,"-",G1100,".",H1100,"")</f>
        <v>2.1-2.1</v>
      </c>
      <c r="B1100" s="89" t="str">
        <f>IF(CONCATENATE(I1100,Key!F$2)=CONCATENATE(INDEX(Dashboard!J:J,MATCH(I1100,Dashboard!J:J,0),1),INDEX(Dashboard!J:K,MATCH(I1100,Dashboard!J:J,0),2)),"ON",IF(Dashboard!K$32="ALL","ON","-"))</f>
        <v>-</v>
      </c>
      <c r="C1100" s="96" t="s">
        <v>152</v>
      </c>
      <c r="D1100" s="89">
        <f>IF(C1100="ID",1,(IF(C1100="PR",2,(IF(C1100="DE",3,(IF(C1100="RS",4,(IF(C1100="RC",5,0)))))))))</f>
        <v>2</v>
      </c>
      <c r="E1100" s="89" t="s">
        <v>153</v>
      </c>
      <c r="F1100" s="89">
        <f>IF(E1100="AM",1,(IF(E1100="BE",2,(IF(E1100="GV",3,(IF(E1100="RA",4,(IF(E1100="RM",5,(IF(E1100="AC",1,(IF(E1100="AT",2,(IF(E1100="DS",3,(IF(E1100="IP",4,(IF(E1100="MA",5,(IF(E1100="PT",6,(IF(E1100="AE",1,(IF(E1100="CM",2,(IF(E1100="DP",3,(IF(E1100="AN",1,(IF(E1100="CO",2,(IF(E1100="IM",3,(IF(E1100="MI",4,(IF(E1100="RP",5,(IF(E1100="SC",6,0)))))))))))))))))))))))))))))))))))))))</f>
        <v>1</v>
      </c>
      <c r="G1100" s="98">
        <v>2</v>
      </c>
      <c r="H1100" s="90" t="s">
        <v>115</v>
      </c>
      <c r="I1100" s="93" t="s">
        <v>77</v>
      </c>
      <c r="J1100" s="87" t="s">
        <v>1206</v>
      </c>
      <c r="K1100" s="102" t="s">
        <v>2232</v>
      </c>
      <c r="L1100" s="117">
        <f>IF(O1100="","",N1100*O1100*M1100)</f>
        <v>0</v>
      </c>
      <c r="M1100" s="108">
        <v>1</v>
      </c>
      <c r="N1100" s="95">
        <v>1</v>
      </c>
      <c r="O1100" s="109">
        <f>IF(Key!D$1="ON",P1100,IF(SUM(Q1100:DL1100)&lt;1,"",SUM(Q1100:DL1100)/COUNTIF(Q1100:DL1100,"&gt;0")))</f>
        <v>0</v>
      </c>
      <c r="P1100" s="109">
        <f>SUMIFS(Q1100:DK1100,Q$1:DK$1,Dashboard!$K$31)</f>
        <v>0</v>
      </c>
      <c r="U1100" s="95">
        <v>33</v>
      </c>
      <c r="AA1100" s="95">
        <v>25</v>
      </c>
      <c r="AH1100" s="95">
        <v>75</v>
      </c>
    </row>
    <row r="1101" spans="1:34" x14ac:dyDescent="0.3">
      <c r="A1101" s="89" t="str">
        <f>CONCATENATE(D1101,".",F1101,"-",G1101,".",H1101,"")</f>
        <v>2.1-2.1</v>
      </c>
      <c r="B1101" s="89" t="str">
        <f>IF(CONCATENATE(I1101,Key!F$2)=CONCATENATE(INDEX(Dashboard!J:J,MATCH(I1101,Dashboard!J:J,0),1),INDEX(Dashboard!J:K,MATCH(I1101,Dashboard!J:J,0),2)),"ON",IF(Dashboard!K$32="ALL","ON","-"))</f>
        <v>-</v>
      </c>
      <c r="C1101" s="96" t="s">
        <v>152</v>
      </c>
      <c r="D1101" s="89">
        <f>IF(C1101="ID",1,(IF(C1101="PR",2,(IF(C1101="DE",3,(IF(C1101="RS",4,(IF(C1101="RC",5,0)))))))))</f>
        <v>2</v>
      </c>
      <c r="E1101" s="89" t="s">
        <v>153</v>
      </c>
      <c r="F1101" s="89">
        <f>IF(E1101="AM",1,(IF(E1101="BE",2,(IF(E1101="GV",3,(IF(E1101="RA",4,(IF(E1101="RM",5,(IF(E1101="AC",1,(IF(E1101="AT",2,(IF(E1101="DS",3,(IF(E1101="IP",4,(IF(E1101="MA",5,(IF(E1101="PT",6,(IF(E1101="AE",1,(IF(E1101="CM",2,(IF(E1101="DP",3,(IF(E1101="AN",1,(IF(E1101="CO",2,(IF(E1101="IM",3,(IF(E1101="MI",4,(IF(E1101="RP",5,(IF(E1101="SC",6,0)))))))))))))))))))))))))))))))))))))))</f>
        <v>1</v>
      </c>
      <c r="G1101" s="98">
        <v>2</v>
      </c>
      <c r="H1101" s="90" t="s">
        <v>115</v>
      </c>
      <c r="I1101" s="93" t="s">
        <v>77</v>
      </c>
      <c r="J1101" s="87" t="s">
        <v>1208</v>
      </c>
      <c r="K1101" s="102" t="s">
        <v>2233</v>
      </c>
      <c r="L1101" s="117">
        <f>IF(O1101="","",N1101*O1101*M1101)</f>
        <v>0</v>
      </c>
      <c r="M1101" s="108">
        <v>1</v>
      </c>
      <c r="N1101" s="95">
        <v>1</v>
      </c>
      <c r="O1101" s="109">
        <f>IF(Key!D$1="ON",P1101,IF(SUM(Q1101:DL1101)&lt;1,"",SUM(Q1101:DL1101)/COUNTIF(Q1101:DL1101,"&gt;0")))</f>
        <v>0</v>
      </c>
      <c r="P1101" s="109">
        <f>SUMIFS(Q1101:DK1101,Q$1:DK$1,Dashboard!$K$31)</f>
        <v>0</v>
      </c>
      <c r="U1101" s="95">
        <v>33</v>
      </c>
      <c r="AA1101" s="95">
        <v>25</v>
      </c>
      <c r="AH1101" s="95">
        <v>75</v>
      </c>
    </row>
    <row r="1102" spans="1:34" x14ac:dyDescent="0.3">
      <c r="A1102" s="89" t="str">
        <f>CONCATENATE(D1102,".",F1102,"-",G1102,".",H1102,"")</f>
        <v>2.1-2.1</v>
      </c>
      <c r="B1102" s="89" t="str">
        <f>IF(CONCATENATE(I1102,Key!F$2)=CONCATENATE(INDEX(Dashboard!J:J,MATCH(I1102,Dashboard!J:J,0),1),INDEX(Dashboard!J:K,MATCH(I1102,Dashboard!J:J,0),2)),"ON",IF(Dashboard!K$32="ALL","ON","-"))</f>
        <v>-</v>
      </c>
      <c r="C1102" s="88" t="s">
        <v>152</v>
      </c>
      <c r="D1102" s="89">
        <f>IF(C1102="ID",1,(IF(C1102="PR",2,(IF(C1102="DE",3,(IF(C1102="RS",4,(IF(C1102="RC",5,0)))))))))</f>
        <v>2</v>
      </c>
      <c r="E1102" s="89" t="s">
        <v>153</v>
      </c>
      <c r="F1102" s="89">
        <f>IF(E1102="AM",1,(IF(E1102="BE",2,(IF(E1102="GV",3,(IF(E1102="RA",4,(IF(E1102="RM",5,(IF(E1102="AC",1,(IF(E1102="AT",2,(IF(E1102="DS",3,(IF(E1102="IP",4,(IF(E1102="MA",5,(IF(E1102="PT",6,(IF(E1102="AE",1,(IF(E1102="CM",2,(IF(E1102="DP",3,(IF(E1102="AN",1,(IF(E1102="CO",2,(IF(E1102="IM",3,(IF(E1102="MI",4,(IF(E1102="RP",5,(IF(E1102="SC",6,0)))))))))))))))))))))))))))))))))))))))</f>
        <v>1</v>
      </c>
      <c r="G1102" s="52">
        <v>2</v>
      </c>
      <c r="H1102" s="90" t="s">
        <v>115</v>
      </c>
      <c r="I1102" s="93" t="s">
        <v>77</v>
      </c>
      <c r="J1102" s="87" t="s">
        <v>1210</v>
      </c>
      <c r="K1102" s="102" t="s">
        <v>2234</v>
      </c>
      <c r="L1102" s="117">
        <f>IF(O1102="","",N1102*O1102*M1102)</f>
        <v>0</v>
      </c>
      <c r="M1102" s="108">
        <v>1</v>
      </c>
      <c r="N1102" s="95">
        <v>1</v>
      </c>
      <c r="O1102" s="109">
        <f>IF(Key!D$1="ON",P1102,IF(SUM(Q1102:DL1102)&lt;1,"",SUM(Q1102:DL1102)/COUNTIF(Q1102:DL1102,"&gt;0")))</f>
        <v>0</v>
      </c>
      <c r="P1102" s="109">
        <f>SUMIFS(Q1102:DK1102,Q$1:DK$1,Dashboard!$K$31)</f>
        <v>0</v>
      </c>
      <c r="U1102" s="95">
        <v>33</v>
      </c>
      <c r="AA1102" s="95">
        <v>25</v>
      </c>
      <c r="AH1102" s="95">
        <v>75</v>
      </c>
    </row>
    <row r="1103" spans="1:34" x14ac:dyDescent="0.3">
      <c r="A1103" s="89" t="str">
        <f>CONCATENATE(D1103,".",F1103,"-",G1103,".",H1103,"")</f>
        <v>2.1-2.1</v>
      </c>
      <c r="B1103" s="89" t="str">
        <f>IF(CONCATENATE(I1103,Key!F$2)=CONCATENATE(INDEX(Dashboard!J:J,MATCH(I1103,Dashboard!J:J,0),1),INDEX(Dashboard!J:K,MATCH(I1103,Dashboard!J:J,0),2)),"ON",IF(Dashboard!K$32="ALL","ON","-"))</f>
        <v>-</v>
      </c>
      <c r="C1103" s="88" t="s">
        <v>152</v>
      </c>
      <c r="D1103" s="89">
        <f>IF(C1103="ID",1,(IF(C1103="PR",2,(IF(C1103="DE",3,(IF(C1103="RS",4,(IF(C1103="RC",5,0)))))))))</f>
        <v>2</v>
      </c>
      <c r="E1103" s="89" t="s">
        <v>153</v>
      </c>
      <c r="F1103" s="89">
        <f>IF(E1103="AM",1,(IF(E1103="BE",2,(IF(E1103="GV",3,(IF(E1103="RA",4,(IF(E1103="RM",5,(IF(E1103="AC",1,(IF(E1103="AT",2,(IF(E1103="DS",3,(IF(E1103="IP",4,(IF(E1103="MA",5,(IF(E1103="PT",6,(IF(E1103="AE",1,(IF(E1103="CM",2,(IF(E1103="DP",3,(IF(E1103="AN",1,(IF(E1103="CO",2,(IF(E1103="IM",3,(IF(E1103="MI",4,(IF(E1103="RP",5,(IF(E1103="SC",6,0)))))))))))))))))))))))))))))))))))))))</f>
        <v>1</v>
      </c>
      <c r="G1103" s="52">
        <v>2</v>
      </c>
      <c r="H1103" s="90" t="s">
        <v>115</v>
      </c>
      <c r="I1103" s="93" t="s">
        <v>77</v>
      </c>
      <c r="J1103" s="87" t="s">
        <v>1211</v>
      </c>
      <c r="K1103" s="102" t="s">
        <v>2235</v>
      </c>
      <c r="L1103" s="117">
        <f>IF(O1103="","",N1103*O1103*M1103)</f>
        <v>0</v>
      </c>
      <c r="M1103" s="108">
        <v>1</v>
      </c>
      <c r="N1103" s="95">
        <v>1</v>
      </c>
      <c r="O1103" s="109">
        <f>IF(Key!D$1="ON",P1103,IF(SUM(Q1103:DL1103)&lt;1,"",SUM(Q1103:DL1103)/COUNTIF(Q1103:DL1103,"&gt;0")))</f>
        <v>0</v>
      </c>
      <c r="P1103" s="109">
        <f>SUMIFS(Q1103:DK1103,Q$1:DK$1,Dashboard!$K$31)</f>
        <v>0</v>
      </c>
      <c r="U1103" s="95">
        <v>33</v>
      </c>
      <c r="AA1103" s="95">
        <v>25</v>
      </c>
      <c r="AH1103" s="95">
        <v>75</v>
      </c>
    </row>
    <row r="1104" spans="1:34" x14ac:dyDescent="0.3">
      <c r="A1104" s="89" t="str">
        <f>CONCATENATE(D1104,".",F1104,"-",G1104,".",H1104,"")</f>
        <v>2.1-2.1</v>
      </c>
      <c r="B1104" s="89" t="str">
        <f>IF(CONCATENATE(I1104,Key!F$2)=CONCATENATE(INDEX(Dashboard!J:J,MATCH(I1104,Dashboard!J:J,0),1),INDEX(Dashboard!J:K,MATCH(I1104,Dashboard!J:J,0),2)),"ON",IF(Dashboard!K$32="ALL","ON","-"))</f>
        <v>-</v>
      </c>
      <c r="C1104" s="88" t="s">
        <v>152</v>
      </c>
      <c r="D1104" s="89">
        <f>IF(C1104="ID",1,(IF(C1104="PR",2,(IF(C1104="DE",3,(IF(C1104="RS",4,(IF(C1104="RC",5,0)))))))))</f>
        <v>2</v>
      </c>
      <c r="E1104" s="89" t="s">
        <v>153</v>
      </c>
      <c r="F1104" s="89">
        <f>IF(E1104="AM",1,(IF(E1104="BE",2,(IF(E1104="GV",3,(IF(E1104="RA",4,(IF(E1104="RM",5,(IF(E1104="AC",1,(IF(E1104="AT",2,(IF(E1104="DS",3,(IF(E1104="IP",4,(IF(E1104="MA",5,(IF(E1104="PT",6,(IF(E1104="AE",1,(IF(E1104="CM",2,(IF(E1104="DP",3,(IF(E1104="AN",1,(IF(E1104="CO",2,(IF(E1104="IM",3,(IF(E1104="MI",4,(IF(E1104="RP",5,(IF(E1104="SC",6,0)))))))))))))))))))))))))))))))))))))))</f>
        <v>1</v>
      </c>
      <c r="G1104" s="52">
        <v>2</v>
      </c>
      <c r="H1104" s="90" t="s">
        <v>115</v>
      </c>
      <c r="I1104" s="93" t="s">
        <v>77</v>
      </c>
      <c r="J1104" s="87" t="s">
        <v>1212</v>
      </c>
      <c r="K1104" s="102" t="s">
        <v>2236</v>
      </c>
      <c r="L1104" s="117">
        <f>IF(O1104="","",N1104*O1104*M1104)</f>
        <v>0</v>
      </c>
      <c r="M1104" s="108">
        <v>1</v>
      </c>
      <c r="N1104" s="95">
        <v>1</v>
      </c>
      <c r="O1104" s="109">
        <f>IF(Key!D$1="ON",P1104,IF(SUM(Q1104:DL1104)&lt;1,"",SUM(Q1104:DL1104)/COUNTIF(Q1104:DL1104,"&gt;0")))</f>
        <v>0</v>
      </c>
      <c r="P1104" s="109">
        <f>SUMIFS(Q1104:DK1104,Q$1:DK$1,Dashboard!$K$31)</f>
        <v>0</v>
      </c>
      <c r="U1104" s="95">
        <v>33</v>
      </c>
      <c r="AA1104" s="95">
        <v>25</v>
      </c>
      <c r="AH1104" s="95">
        <v>75</v>
      </c>
    </row>
    <row r="1105" spans="1:34" ht="15.6" x14ac:dyDescent="0.3">
      <c r="A1105" s="89" t="str">
        <f>CONCATENATE(D1105,".",F1105,"-",G1105,".",H1105,"")</f>
        <v>2.1-2.1</v>
      </c>
      <c r="B1105" s="89" t="str">
        <f>IF(CONCATENATE(I1105,Key!F$2)=CONCATENATE(INDEX(Dashboard!J:J,MATCH(I1105,Dashboard!J:J,0),1),INDEX(Dashboard!J:K,MATCH(I1105,Dashboard!J:J,0),2)),"ON",IF(Dashboard!K$32="ALL","ON","-"))</f>
        <v>-</v>
      </c>
      <c r="C1105" s="96" t="s">
        <v>152</v>
      </c>
      <c r="D1105" s="89">
        <f>IF(C1105="ID",1,(IF(C1105="PR",2,(IF(C1105="DE",3,(IF(C1105="RS",4,(IF(C1105="RC",5,0)))))))))</f>
        <v>2</v>
      </c>
      <c r="E1105" s="89" t="s">
        <v>153</v>
      </c>
      <c r="F1105" s="89">
        <f>IF(E1105="AM",1,(IF(E1105="BE",2,(IF(E1105="GV",3,(IF(E1105="RA",4,(IF(E1105="RM",5,(IF(E1105="AC",1,(IF(E1105="AT",2,(IF(E1105="DS",3,(IF(E1105="IP",4,(IF(E1105="MA",5,(IF(E1105="PT",6,(IF(E1105="AE",1,(IF(E1105="CM",2,(IF(E1105="DP",3,(IF(E1105="AN",1,(IF(E1105="CO",2,(IF(E1105="IM",3,(IF(E1105="MI",4,(IF(E1105="RP",5,(IF(E1105="SC",6,0)))))))))))))))))))))))))))))))))))))))</f>
        <v>1</v>
      </c>
      <c r="G1105" s="98">
        <v>2</v>
      </c>
      <c r="H1105" s="90" t="s">
        <v>115</v>
      </c>
      <c r="I1105" s="93" t="s">
        <v>77</v>
      </c>
      <c r="J1105" s="87" t="s">
        <v>1213</v>
      </c>
      <c r="K1105" s="102" t="s">
        <v>2237</v>
      </c>
      <c r="L1105" s="117">
        <f>IF(O1105="","",N1105*O1105*M1105)</f>
        <v>0</v>
      </c>
      <c r="M1105" s="108">
        <v>1</v>
      </c>
      <c r="N1105" s="95">
        <v>1</v>
      </c>
      <c r="O1105" s="109">
        <f>IF(Key!D$1="ON",P1105,IF(SUM(Q1105:DL1105)&lt;1,"",SUM(Q1105:DL1105)/COUNTIF(Q1105:DL1105,"&gt;0")))</f>
        <v>0</v>
      </c>
      <c r="P1105" s="109">
        <f>SUMIFS(Q1105:DK1105,Q$1:DK$1,Dashboard!$K$31)</f>
        <v>0</v>
      </c>
      <c r="U1105" s="95">
        <v>33</v>
      </c>
      <c r="AA1105" s="95">
        <v>25</v>
      </c>
      <c r="AH1105" s="95">
        <v>75</v>
      </c>
    </row>
    <row r="1106" spans="1:34" ht="15.6" x14ac:dyDescent="0.3">
      <c r="A1106" s="89" t="str">
        <f>CONCATENATE(D1106,".",F1106,"-",G1106,".",H1106,"")</f>
        <v>2.1-2.1</v>
      </c>
      <c r="B1106" s="89" t="str">
        <f>IF(CONCATENATE(I1106,Key!F$2)=CONCATENATE(INDEX(Dashboard!J:J,MATCH(I1106,Dashboard!J:J,0),1),INDEX(Dashboard!J:K,MATCH(I1106,Dashboard!J:J,0),2)),"ON",IF(Dashboard!K$32="ALL","ON","-"))</f>
        <v>-</v>
      </c>
      <c r="C1106" s="88" t="s">
        <v>152</v>
      </c>
      <c r="D1106" s="89">
        <f>IF(C1106="ID",1,(IF(C1106="PR",2,(IF(C1106="DE",3,(IF(C1106="RS",4,(IF(C1106="RC",5,0)))))))))</f>
        <v>2</v>
      </c>
      <c r="E1106" s="89" t="s">
        <v>153</v>
      </c>
      <c r="F1106" s="89">
        <f>IF(E1106="AM",1,(IF(E1106="BE",2,(IF(E1106="GV",3,(IF(E1106="RA",4,(IF(E1106="RM",5,(IF(E1106="AC",1,(IF(E1106="AT",2,(IF(E1106="DS",3,(IF(E1106="IP",4,(IF(E1106="MA",5,(IF(E1106="PT",6,(IF(E1106="AE",1,(IF(E1106="CM",2,(IF(E1106="DP",3,(IF(E1106="AN",1,(IF(E1106="CO",2,(IF(E1106="IM",3,(IF(E1106="MI",4,(IF(E1106="RP",5,(IF(E1106="SC",6,0)))))))))))))))))))))))))))))))))))))))</f>
        <v>1</v>
      </c>
      <c r="G1106" s="52">
        <v>2</v>
      </c>
      <c r="H1106" s="90" t="s">
        <v>115</v>
      </c>
      <c r="I1106" s="93" t="s">
        <v>77</v>
      </c>
      <c r="J1106" s="87" t="s">
        <v>1215</v>
      </c>
      <c r="K1106" s="102" t="s">
        <v>2238</v>
      </c>
      <c r="L1106" s="117">
        <f>IF(O1106="","",N1106*O1106*M1106)</f>
        <v>0</v>
      </c>
      <c r="M1106" s="108">
        <v>1</v>
      </c>
      <c r="N1106" s="95">
        <v>1</v>
      </c>
      <c r="O1106" s="109">
        <f>IF(Key!D$1="ON",P1106,IF(SUM(Q1106:DL1106)&lt;1,"",SUM(Q1106:DL1106)/COUNTIF(Q1106:DL1106,"&gt;0")))</f>
        <v>0</v>
      </c>
      <c r="P1106" s="109">
        <f>SUMIFS(Q1106:DK1106,Q$1:DK$1,Dashboard!$K$31)</f>
        <v>0</v>
      </c>
      <c r="U1106" s="95">
        <v>33</v>
      </c>
      <c r="AA1106" s="95">
        <v>25</v>
      </c>
      <c r="AH1106" s="95">
        <v>75</v>
      </c>
    </row>
    <row r="1107" spans="1:34" x14ac:dyDescent="0.3">
      <c r="A1107" s="89" t="str">
        <f>CONCATENATE(D1107,".",F1107,"-",G1107,".",H1107,"")</f>
        <v>2.1-2.1</v>
      </c>
      <c r="B1107" s="89" t="str">
        <f>IF(CONCATENATE(I1107,Key!F$2)=CONCATENATE(INDEX(Dashboard!J:J,MATCH(I1107,Dashboard!J:J,0),1),INDEX(Dashboard!J:K,MATCH(I1107,Dashboard!J:J,0),2)),"ON",IF(Dashboard!K$32="ALL","ON","-"))</f>
        <v>-</v>
      </c>
      <c r="C1107" s="88" t="s">
        <v>152</v>
      </c>
      <c r="D1107" s="89">
        <f>IF(C1107="ID",1,(IF(C1107="PR",2,(IF(C1107="DE",3,(IF(C1107="RS",4,(IF(C1107="RC",5,0)))))))))</f>
        <v>2</v>
      </c>
      <c r="E1107" s="89" t="s">
        <v>153</v>
      </c>
      <c r="F1107" s="89">
        <f>IF(E1107="AM",1,(IF(E1107="BE",2,(IF(E1107="GV",3,(IF(E1107="RA",4,(IF(E1107="RM",5,(IF(E1107="AC",1,(IF(E1107="AT",2,(IF(E1107="DS",3,(IF(E1107="IP",4,(IF(E1107="MA",5,(IF(E1107="PT",6,(IF(E1107="AE",1,(IF(E1107="CM",2,(IF(E1107="DP",3,(IF(E1107="AN",1,(IF(E1107="CO",2,(IF(E1107="IM",3,(IF(E1107="MI",4,(IF(E1107="RP",5,(IF(E1107="SC",6,0)))))))))))))))))))))))))))))))))))))))</f>
        <v>1</v>
      </c>
      <c r="G1107" s="52">
        <v>2</v>
      </c>
      <c r="H1107" s="90" t="s">
        <v>115</v>
      </c>
      <c r="I1107" s="93" t="s">
        <v>77</v>
      </c>
      <c r="J1107" s="87" t="s">
        <v>1216</v>
      </c>
      <c r="K1107" s="102" t="s">
        <v>2239</v>
      </c>
      <c r="L1107" s="117">
        <f>IF(O1107="","",N1107*O1107*M1107)</f>
        <v>0</v>
      </c>
      <c r="M1107" s="108">
        <v>1</v>
      </c>
      <c r="N1107" s="95">
        <v>1</v>
      </c>
      <c r="O1107" s="109">
        <f>IF(Key!D$1="ON",P1107,IF(SUM(Q1107:DL1107)&lt;1,"",SUM(Q1107:DL1107)/COUNTIF(Q1107:DL1107,"&gt;0")))</f>
        <v>0</v>
      </c>
      <c r="P1107" s="109">
        <f>SUMIFS(Q1107:DK1107,Q$1:DK$1,Dashboard!$K$31)</f>
        <v>0</v>
      </c>
      <c r="U1107" s="95">
        <v>33</v>
      </c>
      <c r="AA1107" s="95">
        <v>25</v>
      </c>
      <c r="AH1107" s="95">
        <v>75</v>
      </c>
    </row>
    <row r="1108" spans="1:34" x14ac:dyDescent="0.3">
      <c r="A1108" s="89" t="str">
        <f>CONCATENATE(D1108,".",F1108,"-",G1108,".",H1108,"")</f>
        <v>2.1-2.1</v>
      </c>
      <c r="B1108" s="89" t="str">
        <f>IF(CONCATENATE(I1108,Key!F$2)=CONCATENATE(INDEX(Dashboard!J:J,MATCH(I1108,Dashboard!J:J,0),1),INDEX(Dashboard!J:K,MATCH(I1108,Dashboard!J:J,0),2)),"ON",IF(Dashboard!K$32="ALL","ON","-"))</f>
        <v>-</v>
      </c>
      <c r="C1108" s="88" t="s">
        <v>152</v>
      </c>
      <c r="D1108" s="89">
        <f>IF(C1108="ID",1,(IF(C1108="PR",2,(IF(C1108="DE",3,(IF(C1108="RS",4,(IF(C1108="RC",5,0)))))))))</f>
        <v>2</v>
      </c>
      <c r="E1108" s="89" t="s">
        <v>153</v>
      </c>
      <c r="F1108" s="89">
        <f>IF(E1108="AM",1,(IF(E1108="BE",2,(IF(E1108="GV",3,(IF(E1108="RA",4,(IF(E1108="RM",5,(IF(E1108="AC",1,(IF(E1108="AT",2,(IF(E1108="DS",3,(IF(E1108="IP",4,(IF(E1108="MA",5,(IF(E1108="PT",6,(IF(E1108="AE",1,(IF(E1108="CM",2,(IF(E1108="DP",3,(IF(E1108="AN",1,(IF(E1108="CO",2,(IF(E1108="IM",3,(IF(E1108="MI",4,(IF(E1108="RP",5,(IF(E1108="SC",6,0)))))))))))))))))))))))))))))))))))))))</f>
        <v>1</v>
      </c>
      <c r="G1108" s="52">
        <v>2</v>
      </c>
      <c r="H1108" s="90" t="s">
        <v>115</v>
      </c>
      <c r="I1108" s="93" t="s">
        <v>77</v>
      </c>
      <c r="J1108" s="87" t="s">
        <v>1217</v>
      </c>
      <c r="K1108" s="102" t="s">
        <v>2240</v>
      </c>
      <c r="L1108" s="117">
        <f>IF(O1108="","",N1108*O1108*M1108)</f>
        <v>0</v>
      </c>
      <c r="M1108" s="108">
        <v>1</v>
      </c>
      <c r="N1108" s="95">
        <v>1</v>
      </c>
      <c r="O1108" s="109">
        <f>IF(Key!D$1="ON",P1108,IF(SUM(Q1108:DL1108)&lt;1,"",SUM(Q1108:DL1108)/COUNTIF(Q1108:DL1108,"&gt;0")))</f>
        <v>0</v>
      </c>
      <c r="P1108" s="109">
        <f>SUMIFS(Q1108:DK1108,Q$1:DK$1,Dashboard!$K$31)</f>
        <v>0</v>
      </c>
      <c r="U1108" s="95">
        <v>33</v>
      </c>
      <c r="AA1108" s="95">
        <v>25</v>
      </c>
      <c r="AH1108" s="95">
        <v>75</v>
      </c>
    </row>
    <row r="1109" spans="1:34" ht="15.6" x14ac:dyDescent="0.3">
      <c r="A1109" s="89" t="str">
        <f>CONCATENATE(D1109,".",F1109,"-",G1109,".",H1109,"")</f>
        <v>2.1-2.1</v>
      </c>
      <c r="B1109" s="89" t="str">
        <f>IF(CONCATENATE(I1109,Key!F$2)=CONCATENATE(INDEX(Dashboard!J:J,MATCH(I1109,Dashboard!J:J,0),1),INDEX(Dashboard!J:K,MATCH(I1109,Dashboard!J:J,0),2)),"ON",IF(Dashboard!K$32="ALL","ON","-"))</f>
        <v>-</v>
      </c>
      <c r="C1109" s="96" t="s">
        <v>152</v>
      </c>
      <c r="D1109" s="89">
        <f>IF(C1109="ID",1,(IF(C1109="PR",2,(IF(C1109="DE",3,(IF(C1109="RS",4,(IF(C1109="RC",5,0)))))))))</f>
        <v>2</v>
      </c>
      <c r="E1109" s="89" t="s">
        <v>153</v>
      </c>
      <c r="F1109" s="89">
        <f>IF(E1109="AM",1,(IF(E1109="BE",2,(IF(E1109="GV",3,(IF(E1109="RA",4,(IF(E1109="RM",5,(IF(E1109="AC",1,(IF(E1109="AT",2,(IF(E1109="DS",3,(IF(E1109="IP",4,(IF(E1109="MA",5,(IF(E1109="PT",6,(IF(E1109="AE",1,(IF(E1109="CM",2,(IF(E1109="DP",3,(IF(E1109="AN",1,(IF(E1109="CO",2,(IF(E1109="IM",3,(IF(E1109="MI",4,(IF(E1109="RP",5,(IF(E1109="SC",6,0)))))))))))))))))))))))))))))))))))))))</f>
        <v>1</v>
      </c>
      <c r="G1109" s="98">
        <v>2</v>
      </c>
      <c r="H1109" s="90" t="s">
        <v>115</v>
      </c>
      <c r="I1109" s="93" t="s">
        <v>77</v>
      </c>
      <c r="J1109" s="87" t="s">
        <v>1218</v>
      </c>
      <c r="K1109" s="102" t="s">
        <v>2241</v>
      </c>
      <c r="L1109" s="117">
        <f>IF(O1109="","",N1109*O1109*M1109)</f>
        <v>0</v>
      </c>
      <c r="M1109" s="108">
        <v>1</v>
      </c>
      <c r="N1109" s="95">
        <v>1</v>
      </c>
      <c r="O1109" s="109">
        <f>IF(Key!D$1="ON",P1109,IF(SUM(Q1109:DL1109)&lt;1,"",SUM(Q1109:DL1109)/COUNTIF(Q1109:DL1109,"&gt;0")))</f>
        <v>0</v>
      </c>
      <c r="P1109" s="109">
        <f>SUMIFS(Q1109:DK1109,Q$1:DK$1,Dashboard!$K$31)</f>
        <v>0</v>
      </c>
      <c r="U1109" s="95">
        <v>33</v>
      </c>
      <c r="AA1109" s="95">
        <v>25</v>
      </c>
      <c r="AH1109" s="95">
        <v>75</v>
      </c>
    </row>
    <row r="1110" spans="1:34" x14ac:dyDescent="0.3">
      <c r="A1110" s="89" t="str">
        <f>CONCATENATE(D1110,".",F1110,"-",G1110,".",H1110,"")</f>
        <v>2.1-2.1</v>
      </c>
      <c r="B1110" s="89" t="str">
        <f>IF(CONCATENATE(I1110,Key!F$2)=CONCATENATE(INDEX(Dashboard!J:J,MATCH(I1110,Dashboard!J:J,0),1),INDEX(Dashboard!J:K,MATCH(I1110,Dashboard!J:J,0),2)),"ON",IF(Dashboard!K$32="ALL","ON","-"))</f>
        <v>-</v>
      </c>
      <c r="C1110" s="96" t="s">
        <v>152</v>
      </c>
      <c r="D1110" s="89">
        <f>IF(C1110="ID",1,(IF(C1110="PR",2,(IF(C1110="DE",3,(IF(C1110="RS",4,(IF(C1110="RC",5,0)))))))))</f>
        <v>2</v>
      </c>
      <c r="E1110" s="89" t="s">
        <v>153</v>
      </c>
      <c r="F1110" s="89">
        <f>IF(E1110="AM",1,(IF(E1110="BE",2,(IF(E1110="GV",3,(IF(E1110="RA",4,(IF(E1110="RM",5,(IF(E1110="AC",1,(IF(E1110="AT",2,(IF(E1110="DS",3,(IF(E1110="IP",4,(IF(E1110="MA",5,(IF(E1110="PT",6,(IF(E1110="AE",1,(IF(E1110="CM",2,(IF(E1110="DP",3,(IF(E1110="AN",1,(IF(E1110="CO",2,(IF(E1110="IM",3,(IF(E1110="MI",4,(IF(E1110="RP",5,(IF(E1110="SC",6,0)))))))))))))))))))))))))))))))))))))))</f>
        <v>1</v>
      </c>
      <c r="G1110" s="98">
        <v>2</v>
      </c>
      <c r="H1110" s="90" t="s">
        <v>115</v>
      </c>
      <c r="I1110" s="93" t="s">
        <v>77</v>
      </c>
      <c r="J1110" s="87" t="s">
        <v>1220</v>
      </c>
      <c r="K1110" s="102" t="s">
        <v>2242</v>
      </c>
      <c r="L1110" s="117">
        <f>IF(O1110="","",N1110*O1110*M1110)</f>
        <v>0</v>
      </c>
      <c r="M1110" s="108">
        <v>1</v>
      </c>
      <c r="N1110" s="95">
        <v>1</v>
      </c>
      <c r="O1110" s="109">
        <f>IF(Key!D$1="ON",P1110,IF(SUM(Q1110:DL1110)&lt;1,"",SUM(Q1110:DL1110)/COUNTIF(Q1110:DL1110,"&gt;0")))</f>
        <v>0</v>
      </c>
      <c r="P1110" s="109">
        <f>SUMIFS(Q1110:DK1110,Q$1:DK$1,Dashboard!$K$31)</f>
        <v>0</v>
      </c>
      <c r="U1110" s="95">
        <v>33</v>
      </c>
      <c r="AA1110" s="95">
        <v>25</v>
      </c>
      <c r="AH1110" s="95">
        <v>75</v>
      </c>
    </row>
    <row r="1111" spans="1:34" x14ac:dyDescent="0.3">
      <c r="A1111" s="89" t="str">
        <f>CONCATENATE(D1111,".",F1111,"-",G1111,".",H1111,"")</f>
        <v>2.1-2.1</v>
      </c>
      <c r="B1111" s="89" t="str">
        <f>IF(CONCATENATE(I1111,Key!F$2)=CONCATENATE(INDEX(Dashboard!J:J,MATCH(I1111,Dashboard!J:J,0),1),INDEX(Dashboard!J:K,MATCH(I1111,Dashboard!J:J,0),2)),"ON",IF(Dashboard!K$32="ALL","ON","-"))</f>
        <v>-</v>
      </c>
      <c r="C1111" s="88" t="s">
        <v>152</v>
      </c>
      <c r="D1111" s="89">
        <f>IF(C1111="ID",1,(IF(C1111="PR",2,(IF(C1111="DE",3,(IF(C1111="RS",4,(IF(C1111="RC",5,0)))))))))</f>
        <v>2</v>
      </c>
      <c r="E1111" s="89" t="s">
        <v>153</v>
      </c>
      <c r="F1111" s="89">
        <f>IF(E1111="AM",1,(IF(E1111="BE",2,(IF(E1111="GV",3,(IF(E1111="RA",4,(IF(E1111="RM",5,(IF(E1111="AC",1,(IF(E1111="AT",2,(IF(E1111="DS",3,(IF(E1111="IP",4,(IF(E1111="MA",5,(IF(E1111="PT",6,(IF(E1111="AE",1,(IF(E1111="CM",2,(IF(E1111="DP",3,(IF(E1111="AN",1,(IF(E1111="CO",2,(IF(E1111="IM",3,(IF(E1111="MI",4,(IF(E1111="RP",5,(IF(E1111="SC",6,0)))))))))))))))))))))))))))))))))))))))</f>
        <v>1</v>
      </c>
      <c r="G1111" s="52">
        <v>2</v>
      </c>
      <c r="H1111" s="90" t="s">
        <v>115</v>
      </c>
      <c r="I1111" s="93" t="s">
        <v>85</v>
      </c>
      <c r="J1111" s="87" t="s">
        <v>1195</v>
      </c>
      <c r="K1111" s="119" t="s">
        <v>4844</v>
      </c>
      <c r="L1111" s="117">
        <f>IF(O1111="","",N1111*O1111*M1111)</f>
        <v>0</v>
      </c>
      <c r="M1111" s="108">
        <v>1</v>
      </c>
      <c r="N1111" s="95">
        <v>1</v>
      </c>
      <c r="O1111" s="109">
        <f>IF(Key!D$1="ON",P1111,IF(SUM(Q1111:DL1111)&lt;1,"",SUM(Q1111:DL1111)/COUNTIF(Q1111:DL1111,"&gt;0")))</f>
        <v>0</v>
      </c>
      <c r="P1111" s="109">
        <f>SUMIFS(Q1111:DK1111,Q$1:DK$1,Dashboard!$K$31)</f>
        <v>0</v>
      </c>
      <c r="U1111" s="95">
        <v>33</v>
      </c>
      <c r="AA1111" s="95">
        <v>25</v>
      </c>
      <c r="AH1111" s="95">
        <v>75</v>
      </c>
    </row>
    <row r="1112" spans="1:34" x14ac:dyDescent="0.3">
      <c r="A1112" s="89" t="str">
        <f>CONCATENATE(D1112,".",F1112,"-",G1112,".",H1112,"")</f>
        <v>2.1-2.1</v>
      </c>
      <c r="B1112" s="89" t="str">
        <f>IF(CONCATENATE(I1112,Key!F$2)=CONCATENATE(INDEX(Dashboard!J:J,MATCH(I1112,Dashboard!J:J,0),1),INDEX(Dashboard!J:K,MATCH(I1112,Dashboard!J:J,0),2)),"ON",IF(Dashboard!K$32="ALL","ON","-"))</f>
        <v>-</v>
      </c>
      <c r="C1112" s="96" t="s">
        <v>152</v>
      </c>
      <c r="D1112" s="89">
        <f>IF(C1112="ID",1,(IF(C1112="PR",2,(IF(C1112="DE",3,(IF(C1112="RS",4,(IF(C1112="RC",5,0)))))))))</f>
        <v>2</v>
      </c>
      <c r="E1112" s="89" t="s">
        <v>153</v>
      </c>
      <c r="F1112" s="89">
        <f>IF(E1112="AM",1,(IF(E1112="BE",2,(IF(E1112="GV",3,(IF(E1112="RA",4,(IF(E1112="RM",5,(IF(E1112="AC",1,(IF(E1112="AT",2,(IF(E1112="DS",3,(IF(E1112="IP",4,(IF(E1112="MA",5,(IF(E1112="PT",6,(IF(E1112="AE",1,(IF(E1112="CM",2,(IF(E1112="DP",3,(IF(E1112="AN",1,(IF(E1112="CO",2,(IF(E1112="IM",3,(IF(E1112="MI",4,(IF(E1112="RP",5,(IF(E1112="SC",6,0)))))))))))))))))))))))))))))))))))))))</f>
        <v>1</v>
      </c>
      <c r="G1112" s="98">
        <v>2</v>
      </c>
      <c r="H1112" s="90" t="s">
        <v>115</v>
      </c>
      <c r="I1112" s="93" t="s">
        <v>85</v>
      </c>
      <c r="J1112" s="87" t="s">
        <v>1208</v>
      </c>
      <c r="K1112" s="119" t="s">
        <v>1209</v>
      </c>
      <c r="L1112" s="117">
        <f>IF(O1112="","",N1112*O1112*M1112)</f>
        <v>0</v>
      </c>
      <c r="M1112" s="108">
        <v>1</v>
      </c>
      <c r="N1112" s="95">
        <v>1</v>
      </c>
      <c r="O1112" s="109">
        <f>IF(Key!D$1="ON",P1112,IF(SUM(Q1112:DL1112)&lt;1,"",SUM(Q1112:DL1112)/COUNTIF(Q1112:DL1112,"&gt;0")))</f>
        <v>0</v>
      </c>
      <c r="P1112" s="109">
        <f>SUMIFS(Q1112:DK1112,Q$1:DK$1,Dashboard!$K$31)</f>
        <v>0</v>
      </c>
      <c r="U1112" s="95">
        <v>33</v>
      </c>
      <c r="AA1112" s="95">
        <v>25</v>
      </c>
      <c r="AH1112" s="95">
        <v>75</v>
      </c>
    </row>
    <row r="1113" spans="1:34" x14ac:dyDescent="0.3">
      <c r="A1113" s="89" t="str">
        <f>CONCATENATE(D1113,".",F1113,"-",G1113,".",H1113,"")</f>
        <v>2.1-2.1</v>
      </c>
      <c r="B1113" s="89" t="str">
        <f>IF(CONCATENATE(I1113,Key!F$2)=CONCATENATE(INDEX(Dashboard!J:J,MATCH(I1113,Dashboard!J:J,0),1),INDEX(Dashboard!J:K,MATCH(I1113,Dashboard!J:J,0),2)),"ON",IF(Dashboard!K$32="ALL","ON","-"))</f>
        <v>-</v>
      </c>
      <c r="C1113" s="96" t="s">
        <v>152</v>
      </c>
      <c r="D1113" s="89">
        <f>IF(C1113="ID",1,(IF(C1113="PR",2,(IF(C1113="DE",3,(IF(C1113="RS",4,(IF(C1113="RC",5,0)))))))))</f>
        <v>2</v>
      </c>
      <c r="E1113" s="89" t="s">
        <v>153</v>
      </c>
      <c r="F1113" s="89">
        <f>IF(E1113="AM",1,(IF(E1113="BE",2,(IF(E1113="GV",3,(IF(E1113="RA",4,(IF(E1113="RM",5,(IF(E1113="AC",1,(IF(E1113="AT",2,(IF(E1113="DS",3,(IF(E1113="IP",4,(IF(E1113="MA",5,(IF(E1113="PT",6,(IF(E1113="AE",1,(IF(E1113="CM",2,(IF(E1113="DP",3,(IF(E1113="AN",1,(IF(E1113="CO",2,(IF(E1113="IM",3,(IF(E1113="MI",4,(IF(E1113="RP",5,(IF(E1113="SC",6,0)))))))))))))))))))))))))))))))))))))))</f>
        <v>1</v>
      </c>
      <c r="G1113" s="98">
        <v>2</v>
      </c>
      <c r="H1113" s="90" t="s">
        <v>115</v>
      </c>
      <c r="I1113" s="93" t="s">
        <v>85</v>
      </c>
      <c r="J1113" s="87" t="s">
        <v>1206</v>
      </c>
      <c r="K1113" s="119" t="s">
        <v>1207</v>
      </c>
      <c r="L1113" s="117">
        <f>IF(O1113="","",N1113*O1113*M1113)</f>
        <v>0</v>
      </c>
      <c r="M1113" s="108">
        <v>1</v>
      </c>
      <c r="N1113" s="95">
        <v>1</v>
      </c>
      <c r="O1113" s="109">
        <f>IF(Key!D$1="ON",P1113,IF(SUM(Q1113:DL1113)&lt;1,"",SUM(Q1113:DL1113)/COUNTIF(Q1113:DL1113,"&gt;0")))</f>
        <v>0</v>
      </c>
      <c r="P1113" s="109">
        <f>SUMIFS(Q1113:DK1113,Q$1:DK$1,Dashboard!$K$31)</f>
        <v>0</v>
      </c>
      <c r="U1113" s="95">
        <v>33</v>
      </c>
      <c r="AA1113" s="95">
        <v>25</v>
      </c>
      <c r="AH1113" s="95">
        <v>75</v>
      </c>
    </row>
    <row r="1114" spans="1:34" x14ac:dyDescent="0.3">
      <c r="A1114" s="89" t="str">
        <f>CONCATENATE(D1114,".",F1114,"-",G1114,".",H1114,"")</f>
        <v>2.1-2.1</v>
      </c>
      <c r="B1114" s="89" t="str">
        <f>IF(CONCATENATE(I1114,Key!F$2)=CONCATENATE(INDEX(Dashboard!J:J,MATCH(I1114,Dashboard!J:J,0),1),INDEX(Dashboard!J:K,MATCH(I1114,Dashboard!J:J,0),2)),"ON",IF(Dashboard!K$32="ALL","ON","-"))</f>
        <v>-</v>
      </c>
      <c r="C1114" s="88" t="s">
        <v>152</v>
      </c>
      <c r="D1114" s="89">
        <f>IF(C1114="ID",1,(IF(C1114="PR",2,(IF(C1114="DE",3,(IF(C1114="RS",4,(IF(C1114="RC",5,0)))))))))</f>
        <v>2</v>
      </c>
      <c r="E1114" s="89" t="s">
        <v>153</v>
      </c>
      <c r="F1114" s="89">
        <f>IF(E1114="AM",1,(IF(E1114="BE",2,(IF(E1114="GV",3,(IF(E1114="RA",4,(IF(E1114="RM",5,(IF(E1114="AC",1,(IF(E1114="AT",2,(IF(E1114="DS",3,(IF(E1114="IP",4,(IF(E1114="MA",5,(IF(E1114="PT",6,(IF(E1114="AE",1,(IF(E1114="CM",2,(IF(E1114="DP",3,(IF(E1114="AN",1,(IF(E1114="CO",2,(IF(E1114="IM",3,(IF(E1114="MI",4,(IF(E1114="RP",5,(IF(E1114="SC",6,0)))))))))))))))))))))))))))))))))))))))</f>
        <v>1</v>
      </c>
      <c r="G1114" s="52">
        <v>2</v>
      </c>
      <c r="H1114" s="90" t="s">
        <v>115</v>
      </c>
      <c r="I1114" s="93" t="s">
        <v>85</v>
      </c>
      <c r="J1114" s="87" t="s">
        <v>1192</v>
      </c>
      <c r="K1114" s="119" t="s">
        <v>4584</v>
      </c>
      <c r="L1114" s="117">
        <f>IF(O1114="","",N1114*O1114*M1114)</f>
        <v>0</v>
      </c>
      <c r="M1114" s="108">
        <v>1</v>
      </c>
      <c r="N1114" s="95">
        <v>1</v>
      </c>
      <c r="O1114" s="109">
        <f>IF(Key!D$1="ON",P1114,IF(SUM(Q1114:DL1114)&lt;1,"",SUM(Q1114:DL1114)/COUNTIF(Q1114:DL1114,"&gt;0")))</f>
        <v>0</v>
      </c>
      <c r="P1114" s="109">
        <f>SUMIFS(Q1114:DK1114,Q$1:DK$1,Dashboard!$K$31)</f>
        <v>0</v>
      </c>
      <c r="U1114" s="95">
        <v>33</v>
      </c>
      <c r="AA1114" s="95">
        <v>25</v>
      </c>
      <c r="AH1114" s="95">
        <v>75</v>
      </c>
    </row>
    <row r="1115" spans="1:34" ht="15.6" x14ac:dyDescent="0.3">
      <c r="A1115" s="89" t="str">
        <f>CONCATENATE(D1115,".",F1115,"-",G1115,".",H1115,"")</f>
        <v>2.1-2.1</v>
      </c>
      <c r="B1115" s="89" t="str">
        <f>IF(CONCATENATE(I1115,Key!F$2)=CONCATENATE(INDEX(Dashboard!J:J,MATCH(I1115,Dashboard!J:J,0),1),INDEX(Dashboard!J:K,MATCH(I1115,Dashboard!J:J,0),2)),"ON",IF(Dashboard!K$32="ALL","ON","-"))</f>
        <v>-</v>
      </c>
      <c r="C1115" s="96" t="s">
        <v>152</v>
      </c>
      <c r="D1115" s="89">
        <f>IF(C1115="ID",1,(IF(C1115="PR",2,(IF(C1115="DE",3,(IF(C1115="RS",4,(IF(C1115="RC",5,0)))))))))</f>
        <v>2</v>
      </c>
      <c r="E1115" s="89" t="s">
        <v>153</v>
      </c>
      <c r="F1115" s="89">
        <f>IF(E1115="AM",1,(IF(E1115="BE",2,(IF(E1115="GV",3,(IF(E1115="RA",4,(IF(E1115="RM",5,(IF(E1115="AC",1,(IF(E1115="AT",2,(IF(E1115="DS",3,(IF(E1115="IP",4,(IF(E1115="MA",5,(IF(E1115="PT",6,(IF(E1115="AE",1,(IF(E1115="CM",2,(IF(E1115="DP",3,(IF(E1115="AN",1,(IF(E1115="CO",2,(IF(E1115="IM",3,(IF(E1115="MI",4,(IF(E1115="RP",5,(IF(E1115="SC",6,0)))))))))))))))))))))))))))))))))))))))</f>
        <v>1</v>
      </c>
      <c r="G1115" s="98">
        <v>2</v>
      </c>
      <c r="H1115" s="90" t="s">
        <v>115</v>
      </c>
      <c r="I1115" s="93" t="s">
        <v>85</v>
      </c>
      <c r="J1115" s="87" t="s">
        <v>1220</v>
      </c>
      <c r="K1115" s="119" t="s">
        <v>4859</v>
      </c>
      <c r="L1115" s="117">
        <f>IF(O1115="","",N1115*O1115*M1115)</f>
        <v>0</v>
      </c>
      <c r="M1115" s="108">
        <v>1</v>
      </c>
      <c r="N1115" s="95">
        <v>1</v>
      </c>
      <c r="O1115" s="109">
        <f>IF(Key!D$1="ON",P1115,IF(SUM(Q1115:DL1115)&lt;1,"",SUM(Q1115:DL1115)/COUNTIF(Q1115:DL1115,"&gt;0")))</f>
        <v>0</v>
      </c>
      <c r="P1115" s="109">
        <f>SUMIFS(Q1115:DK1115,Q$1:DK$1,Dashboard!$K$31)</f>
        <v>0</v>
      </c>
      <c r="U1115" s="95">
        <v>33</v>
      </c>
      <c r="AA1115" s="95">
        <v>25</v>
      </c>
      <c r="AH1115" s="95">
        <v>75</v>
      </c>
    </row>
    <row r="1116" spans="1:34" x14ac:dyDescent="0.3">
      <c r="A1116" s="89" t="str">
        <f>CONCATENATE(D1116,".",F1116,"-",G1116,".",H1116,"")</f>
        <v>2.1-2.1</v>
      </c>
      <c r="B1116" s="89" t="str">
        <f>IF(CONCATENATE(I1116,Key!F$2)=CONCATENATE(INDEX(Dashboard!J:J,MATCH(I1116,Dashboard!J:J,0),1),INDEX(Dashboard!J:K,MATCH(I1116,Dashboard!J:J,0),2)),"ON",IF(Dashboard!K$32="ALL","ON","-"))</f>
        <v>-</v>
      </c>
      <c r="C1116" s="88" t="s">
        <v>152</v>
      </c>
      <c r="D1116" s="89">
        <f>IF(C1116="ID",1,(IF(C1116="PR",2,(IF(C1116="DE",3,(IF(C1116="RS",4,(IF(C1116="RC",5,0)))))))))</f>
        <v>2</v>
      </c>
      <c r="E1116" s="89" t="s">
        <v>153</v>
      </c>
      <c r="F1116" s="89">
        <f>IF(E1116="AM",1,(IF(E1116="BE",2,(IF(E1116="GV",3,(IF(E1116="RA",4,(IF(E1116="RM",5,(IF(E1116="AC",1,(IF(E1116="AT",2,(IF(E1116="DS",3,(IF(E1116="IP",4,(IF(E1116="MA",5,(IF(E1116="PT",6,(IF(E1116="AE",1,(IF(E1116="CM",2,(IF(E1116="DP",3,(IF(E1116="AN",1,(IF(E1116="CO",2,(IF(E1116="IM",3,(IF(E1116="MI",4,(IF(E1116="RP",5,(IF(E1116="SC",6,0)))))))))))))))))))))))))))))))))))))))</f>
        <v>1</v>
      </c>
      <c r="G1116" s="52">
        <v>2</v>
      </c>
      <c r="H1116" s="90" t="s">
        <v>115</v>
      </c>
      <c r="I1116" s="93" t="s">
        <v>85</v>
      </c>
      <c r="J1116" s="87" t="s">
        <v>1202</v>
      </c>
      <c r="K1116" s="119" t="s">
        <v>4849</v>
      </c>
      <c r="L1116" s="117">
        <f>IF(O1116="","",N1116*O1116*M1116)</f>
        <v>0</v>
      </c>
      <c r="M1116" s="108">
        <v>1</v>
      </c>
      <c r="N1116" s="95">
        <v>1</v>
      </c>
      <c r="O1116" s="109">
        <f>IF(Key!D$1="ON",P1116,IF(SUM(Q1116:DL1116)&lt;1,"",SUM(Q1116:DL1116)/COUNTIF(Q1116:DL1116,"&gt;0")))</f>
        <v>0</v>
      </c>
      <c r="P1116" s="109">
        <f>SUMIFS(Q1116:DK1116,Q$1:DK$1,Dashboard!$K$31)</f>
        <v>0</v>
      </c>
      <c r="U1116" s="95">
        <v>33</v>
      </c>
      <c r="AA1116" s="95">
        <v>25</v>
      </c>
      <c r="AH1116" s="95">
        <v>75</v>
      </c>
    </row>
    <row r="1117" spans="1:34" x14ac:dyDescent="0.3">
      <c r="A1117" s="89" t="str">
        <f>CONCATENATE(D1117,".",F1117,"-",G1117,".",H1117,"")</f>
        <v>2.1-2.1</v>
      </c>
      <c r="B1117" s="89" t="str">
        <f>IF(CONCATENATE(I1117,Key!F$2)=CONCATENATE(INDEX(Dashboard!J:J,MATCH(I1117,Dashboard!J:J,0),1),INDEX(Dashboard!J:K,MATCH(I1117,Dashboard!J:J,0),2)),"ON",IF(Dashboard!K$32="ALL","ON","-"))</f>
        <v>-</v>
      </c>
      <c r="C1117" s="88" t="s">
        <v>152</v>
      </c>
      <c r="D1117" s="89">
        <f>IF(C1117="ID",1,(IF(C1117="PR",2,(IF(C1117="DE",3,(IF(C1117="RS",4,(IF(C1117="RC",5,0)))))))))</f>
        <v>2</v>
      </c>
      <c r="E1117" s="89" t="s">
        <v>153</v>
      </c>
      <c r="F1117" s="89">
        <f>IF(E1117="AM",1,(IF(E1117="BE",2,(IF(E1117="GV",3,(IF(E1117="RA",4,(IF(E1117="RM",5,(IF(E1117="AC",1,(IF(E1117="AT",2,(IF(E1117="DS",3,(IF(E1117="IP",4,(IF(E1117="MA",5,(IF(E1117="PT",6,(IF(E1117="AE",1,(IF(E1117="CM",2,(IF(E1117="DP",3,(IF(E1117="AN",1,(IF(E1117="CO",2,(IF(E1117="IM",3,(IF(E1117="MI",4,(IF(E1117="RP",5,(IF(E1117="SC",6,0)))))))))))))))))))))))))))))))))))))))</f>
        <v>1</v>
      </c>
      <c r="G1117" s="52">
        <v>2</v>
      </c>
      <c r="H1117" s="90" t="s">
        <v>115</v>
      </c>
      <c r="I1117" s="93" t="s">
        <v>85</v>
      </c>
      <c r="J1117" s="87" t="s">
        <v>1201</v>
      </c>
      <c r="K1117" s="119" t="s">
        <v>4848</v>
      </c>
      <c r="L1117" s="117">
        <f>IF(O1117="","",N1117*O1117*M1117)</f>
        <v>0</v>
      </c>
      <c r="M1117" s="108">
        <v>1</v>
      </c>
      <c r="N1117" s="95">
        <v>1</v>
      </c>
      <c r="O1117" s="109">
        <f>IF(Key!D$1="ON",P1117,IF(SUM(Q1117:DL1117)&lt;1,"",SUM(Q1117:DL1117)/COUNTIF(Q1117:DL1117,"&gt;0")))</f>
        <v>0</v>
      </c>
      <c r="P1117" s="109">
        <f>SUMIFS(Q1117:DK1117,Q$1:DK$1,Dashboard!$K$31)</f>
        <v>0</v>
      </c>
      <c r="U1117" s="95">
        <v>33</v>
      </c>
      <c r="AA1117" s="95">
        <v>25</v>
      </c>
      <c r="AH1117" s="95">
        <v>75</v>
      </c>
    </row>
    <row r="1118" spans="1:34" ht="15.6" x14ac:dyDescent="0.3">
      <c r="A1118" s="89" t="str">
        <f>CONCATENATE(D1118,".",F1118,"-",G1118,".",H1118,"")</f>
        <v>2.1-2.1</v>
      </c>
      <c r="B1118" s="89" t="str">
        <f>IF(CONCATENATE(I1118,Key!F$2)=CONCATENATE(INDEX(Dashboard!J:J,MATCH(I1118,Dashboard!J:J,0),1),INDEX(Dashboard!J:K,MATCH(I1118,Dashboard!J:J,0),2)),"ON",IF(Dashboard!K$32="ALL","ON","-"))</f>
        <v>-</v>
      </c>
      <c r="C1118" s="88" t="s">
        <v>152</v>
      </c>
      <c r="D1118" s="89">
        <f>IF(C1118="ID",1,(IF(C1118="PR",2,(IF(C1118="DE",3,(IF(C1118="RS",4,(IF(C1118="RC",5,0)))))))))</f>
        <v>2</v>
      </c>
      <c r="E1118" s="89" t="s">
        <v>153</v>
      </c>
      <c r="F1118" s="89">
        <f>IF(E1118="AM",1,(IF(E1118="BE",2,(IF(E1118="GV",3,(IF(E1118="RA",4,(IF(E1118="RM",5,(IF(E1118="AC",1,(IF(E1118="AT",2,(IF(E1118="DS",3,(IF(E1118="IP",4,(IF(E1118="MA",5,(IF(E1118="PT",6,(IF(E1118="AE",1,(IF(E1118="CM",2,(IF(E1118="DP",3,(IF(E1118="AN",1,(IF(E1118="CO",2,(IF(E1118="IM",3,(IF(E1118="MI",4,(IF(E1118="RP",5,(IF(E1118="SC",6,0)))))))))))))))))))))))))))))))))))))))</f>
        <v>1</v>
      </c>
      <c r="G1118" s="52">
        <v>2</v>
      </c>
      <c r="H1118" s="90" t="s">
        <v>115</v>
      </c>
      <c r="I1118" s="93" t="s">
        <v>85</v>
      </c>
      <c r="J1118" s="87" t="s">
        <v>1215</v>
      </c>
      <c r="K1118" s="119" t="s">
        <v>4855</v>
      </c>
      <c r="L1118" s="117">
        <f>IF(O1118="","",N1118*O1118*M1118)</f>
        <v>0</v>
      </c>
      <c r="M1118" s="108">
        <v>1</v>
      </c>
      <c r="N1118" s="95">
        <v>1</v>
      </c>
      <c r="O1118" s="109">
        <f>IF(Key!D$1="ON",P1118,IF(SUM(Q1118:DL1118)&lt;1,"",SUM(Q1118:DL1118)/COUNTIF(Q1118:DL1118,"&gt;0")))</f>
        <v>0</v>
      </c>
      <c r="P1118" s="109">
        <f>SUMIFS(Q1118:DK1118,Q$1:DK$1,Dashboard!$K$31)</f>
        <v>0</v>
      </c>
      <c r="U1118" s="95">
        <v>33</v>
      </c>
      <c r="AA1118" s="95">
        <v>25</v>
      </c>
      <c r="AH1118" s="95">
        <v>75</v>
      </c>
    </row>
    <row r="1119" spans="1:34" ht="15.6" x14ac:dyDescent="0.3">
      <c r="A1119" s="89" t="str">
        <f>CONCATENATE(D1119,".",F1119,"-",G1119,".",H1119,"")</f>
        <v>2.1-2.1</v>
      </c>
      <c r="B1119" s="89" t="str">
        <f>IF(CONCATENATE(I1119,Key!F$2)=CONCATENATE(INDEX(Dashboard!J:J,MATCH(I1119,Dashboard!J:J,0),1),INDEX(Dashboard!J:K,MATCH(I1119,Dashboard!J:J,0),2)),"ON",IF(Dashboard!K$32="ALL","ON","-"))</f>
        <v>-</v>
      </c>
      <c r="C1119" s="88" t="s">
        <v>152</v>
      </c>
      <c r="D1119" s="89">
        <f>IF(C1119="ID",1,(IF(C1119="PR",2,(IF(C1119="DE",3,(IF(C1119="RS",4,(IF(C1119="RC",5,0)))))))))</f>
        <v>2</v>
      </c>
      <c r="E1119" s="89" t="s">
        <v>153</v>
      </c>
      <c r="F1119" s="89">
        <f>IF(E1119="AM",1,(IF(E1119="BE",2,(IF(E1119="GV",3,(IF(E1119="RA",4,(IF(E1119="RM",5,(IF(E1119="AC",1,(IF(E1119="AT",2,(IF(E1119="DS",3,(IF(E1119="IP",4,(IF(E1119="MA",5,(IF(E1119="PT",6,(IF(E1119="AE",1,(IF(E1119="CM",2,(IF(E1119="DP",3,(IF(E1119="AN",1,(IF(E1119="CO",2,(IF(E1119="IM",3,(IF(E1119="MI",4,(IF(E1119="RP",5,(IF(E1119="SC",6,0)))))))))))))))))))))))))))))))))))))))</f>
        <v>1</v>
      </c>
      <c r="G1119" s="52">
        <v>2</v>
      </c>
      <c r="H1119" s="90" t="s">
        <v>115</v>
      </c>
      <c r="I1119" s="93" t="s">
        <v>85</v>
      </c>
      <c r="J1119" s="87" t="s">
        <v>1211</v>
      </c>
      <c r="K1119" s="119" t="s">
        <v>4854</v>
      </c>
      <c r="L1119" s="117">
        <f>IF(O1119="","",N1119*O1119*M1119)</f>
        <v>0</v>
      </c>
      <c r="M1119" s="108">
        <v>1</v>
      </c>
      <c r="N1119" s="95">
        <v>1</v>
      </c>
      <c r="O1119" s="109">
        <f>IF(Key!D$1="ON",P1119,IF(SUM(Q1119:DL1119)&lt;1,"",SUM(Q1119:DL1119)/COUNTIF(Q1119:DL1119,"&gt;0")))</f>
        <v>0</v>
      </c>
      <c r="P1119" s="109">
        <f>SUMIFS(Q1119:DK1119,Q$1:DK$1,Dashboard!$K$31)</f>
        <v>0</v>
      </c>
      <c r="U1119" s="95">
        <v>33</v>
      </c>
      <c r="AA1119" s="95">
        <v>25</v>
      </c>
      <c r="AH1119" s="95">
        <v>75</v>
      </c>
    </row>
    <row r="1120" spans="1:34" ht="15.6" x14ac:dyDescent="0.3">
      <c r="A1120" s="89" t="str">
        <f>CONCATENATE(D1120,".",F1120,"-",G1120,".",H1120,"")</f>
        <v>2.1-2.1</v>
      </c>
      <c r="B1120" s="89" t="str">
        <f>IF(CONCATENATE(I1120,Key!F$2)=CONCATENATE(INDEX(Dashboard!J:J,MATCH(I1120,Dashboard!J:J,0),1),INDEX(Dashboard!J:K,MATCH(I1120,Dashboard!J:J,0),2)),"ON",IF(Dashboard!K$32="ALL","ON","-"))</f>
        <v>-</v>
      </c>
      <c r="C1120" s="88" t="s">
        <v>152</v>
      </c>
      <c r="D1120" s="89">
        <f>IF(C1120="ID",1,(IF(C1120="PR",2,(IF(C1120="DE",3,(IF(C1120="RS",4,(IF(C1120="RC",5,0)))))))))</f>
        <v>2</v>
      </c>
      <c r="E1120" s="89" t="s">
        <v>153</v>
      </c>
      <c r="F1120" s="89">
        <f>IF(E1120="AM",1,(IF(E1120="BE",2,(IF(E1120="GV",3,(IF(E1120="RA",4,(IF(E1120="RM",5,(IF(E1120="AC",1,(IF(E1120="AT",2,(IF(E1120="DS",3,(IF(E1120="IP",4,(IF(E1120="MA",5,(IF(E1120="PT",6,(IF(E1120="AE",1,(IF(E1120="CM",2,(IF(E1120="DP",3,(IF(E1120="AN",1,(IF(E1120="CO",2,(IF(E1120="IM",3,(IF(E1120="MI",4,(IF(E1120="RP",5,(IF(E1120="SC",6,0)))))))))))))))))))))))))))))))))))))))</f>
        <v>1</v>
      </c>
      <c r="G1120" s="52">
        <v>2</v>
      </c>
      <c r="H1120" s="90" t="s">
        <v>115</v>
      </c>
      <c r="I1120" s="93" t="s">
        <v>85</v>
      </c>
      <c r="J1120" s="87" t="s">
        <v>1203</v>
      </c>
      <c r="K1120" s="119" t="s">
        <v>4850</v>
      </c>
      <c r="L1120" s="117">
        <f>IF(O1120="","",N1120*O1120*M1120)</f>
        <v>0</v>
      </c>
      <c r="M1120" s="108">
        <v>1</v>
      </c>
      <c r="N1120" s="95">
        <v>1</v>
      </c>
      <c r="O1120" s="109">
        <f>IF(Key!D$1="ON",P1120,IF(SUM(Q1120:DL1120)&lt;1,"",SUM(Q1120:DL1120)/COUNTIF(Q1120:DL1120,"&gt;0")))</f>
        <v>0</v>
      </c>
      <c r="P1120" s="109">
        <f>SUMIFS(Q1120:DK1120,Q$1:DK$1,Dashboard!$K$31)</f>
        <v>0</v>
      </c>
      <c r="U1120" s="95">
        <v>33</v>
      </c>
      <c r="AA1120" s="95">
        <v>25</v>
      </c>
      <c r="AH1120" s="95">
        <v>75</v>
      </c>
    </row>
    <row r="1121" spans="1:34" x14ac:dyDescent="0.3">
      <c r="A1121" s="89" t="str">
        <f>CONCATENATE(D1121,".",F1121,"-",G1121,".",H1121,"")</f>
        <v>2.1-2.1</v>
      </c>
      <c r="B1121" s="89" t="str">
        <f>IF(CONCATENATE(I1121,Key!F$2)=CONCATENATE(INDEX(Dashboard!J:J,MATCH(I1121,Dashboard!J:J,0),1),INDEX(Dashboard!J:K,MATCH(I1121,Dashboard!J:J,0),2)),"ON",IF(Dashboard!K$32="ALL","ON","-"))</f>
        <v>-</v>
      </c>
      <c r="C1121" s="96" t="s">
        <v>152</v>
      </c>
      <c r="D1121" s="89">
        <f>IF(C1121="ID",1,(IF(C1121="PR",2,(IF(C1121="DE",3,(IF(C1121="RS",4,(IF(C1121="RC",5,0)))))))))</f>
        <v>2</v>
      </c>
      <c r="E1121" s="89" t="s">
        <v>153</v>
      </c>
      <c r="F1121" s="89">
        <f>IF(E1121="AM",1,(IF(E1121="BE",2,(IF(E1121="GV",3,(IF(E1121="RA",4,(IF(E1121="RM",5,(IF(E1121="AC",1,(IF(E1121="AT",2,(IF(E1121="DS",3,(IF(E1121="IP",4,(IF(E1121="MA",5,(IF(E1121="PT",6,(IF(E1121="AE",1,(IF(E1121="CM",2,(IF(E1121="DP",3,(IF(E1121="AN",1,(IF(E1121="CO",2,(IF(E1121="IM",3,(IF(E1121="MI",4,(IF(E1121="RP",5,(IF(E1121="SC",6,0)))))))))))))))))))))))))))))))))))))))</f>
        <v>1</v>
      </c>
      <c r="G1121" s="98">
        <v>2</v>
      </c>
      <c r="H1121" s="90" t="s">
        <v>115</v>
      </c>
      <c r="I1121" s="93" t="s">
        <v>85</v>
      </c>
      <c r="J1121" s="87" t="s">
        <v>1213</v>
      </c>
      <c r="K1121" s="119" t="s">
        <v>1214</v>
      </c>
      <c r="L1121" s="117">
        <f>IF(O1121="","",N1121*O1121*M1121)</f>
        <v>0</v>
      </c>
      <c r="M1121" s="108">
        <v>1</v>
      </c>
      <c r="N1121" s="95">
        <v>1</v>
      </c>
      <c r="O1121" s="109">
        <f>IF(Key!D$1="ON",P1121,IF(SUM(Q1121:DL1121)&lt;1,"",SUM(Q1121:DL1121)/COUNTIF(Q1121:DL1121,"&gt;0")))</f>
        <v>0</v>
      </c>
      <c r="P1121" s="109">
        <f>SUMIFS(Q1121:DK1121,Q$1:DK$1,Dashboard!$K$31)</f>
        <v>0</v>
      </c>
      <c r="U1121" s="95">
        <v>33</v>
      </c>
      <c r="AA1121" s="95">
        <v>25</v>
      </c>
      <c r="AH1121" s="95">
        <v>75</v>
      </c>
    </row>
    <row r="1122" spans="1:34" ht="15.6" x14ac:dyDescent="0.3">
      <c r="A1122" s="89" t="str">
        <f>CONCATENATE(D1122,".",F1122,"-",G1122,".",H1122,"")</f>
        <v>2.1-2.1</v>
      </c>
      <c r="B1122" s="89" t="str">
        <f>IF(CONCATENATE(I1122,Key!F$2)=CONCATENATE(INDEX(Dashboard!J:J,MATCH(I1122,Dashboard!J:J,0),1),INDEX(Dashboard!J:K,MATCH(I1122,Dashboard!J:J,0),2)),"ON",IF(Dashboard!K$32="ALL","ON","-"))</f>
        <v>-</v>
      </c>
      <c r="C1122" s="88" t="s">
        <v>152</v>
      </c>
      <c r="D1122" s="89">
        <f>IF(C1122="ID",1,(IF(C1122="PR",2,(IF(C1122="DE",3,(IF(C1122="RS",4,(IF(C1122="RC",5,0)))))))))</f>
        <v>2</v>
      </c>
      <c r="E1122" s="89" t="s">
        <v>153</v>
      </c>
      <c r="F1122" s="89">
        <f>IF(E1122="AM",1,(IF(E1122="BE",2,(IF(E1122="GV",3,(IF(E1122="RA",4,(IF(E1122="RM",5,(IF(E1122="AC",1,(IF(E1122="AT",2,(IF(E1122="DS",3,(IF(E1122="IP",4,(IF(E1122="MA",5,(IF(E1122="PT",6,(IF(E1122="AE",1,(IF(E1122="CM",2,(IF(E1122="DP",3,(IF(E1122="AN",1,(IF(E1122="CO",2,(IF(E1122="IM",3,(IF(E1122="MI",4,(IF(E1122="RP",5,(IF(E1122="SC",6,0)))))))))))))))))))))))))))))))))))))))</f>
        <v>1</v>
      </c>
      <c r="G1122" s="52">
        <v>2</v>
      </c>
      <c r="H1122" s="90" t="s">
        <v>115</v>
      </c>
      <c r="I1122" s="93" t="s">
        <v>85</v>
      </c>
      <c r="J1122" s="87" t="s">
        <v>1217</v>
      </c>
      <c r="K1122" s="119" t="s">
        <v>4858</v>
      </c>
      <c r="L1122" s="117">
        <f>IF(O1122="","",N1122*O1122*M1122)</f>
        <v>0</v>
      </c>
      <c r="M1122" s="108">
        <v>1</v>
      </c>
      <c r="N1122" s="95">
        <v>1</v>
      </c>
      <c r="O1122" s="109">
        <f>IF(Key!D$1="ON",P1122,IF(SUM(Q1122:DL1122)&lt;1,"",SUM(Q1122:DL1122)/COUNTIF(Q1122:DL1122,"&gt;0")))</f>
        <v>0</v>
      </c>
      <c r="P1122" s="109">
        <f>SUMIFS(Q1122:DK1122,Q$1:DK$1,Dashboard!$K$31)</f>
        <v>0</v>
      </c>
      <c r="U1122" s="95">
        <v>33</v>
      </c>
      <c r="AA1122" s="95">
        <v>25</v>
      </c>
      <c r="AH1122" s="95">
        <v>75</v>
      </c>
    </row>
    <row r="1123" spans="1:34" x14ac:dyDescent="0.3">
      <c r="A1123" s="89" t="str">
        <f>CONCATENATE(D1123,".",F1123,"-",G1123,".",H1123,"")</f>
        <v>2.1-2.1</v>
      </c>
      <c r="B1123" s="89" t="str">
        <f>IF(CONCATENATE(I1123,Key!F$2)=CONCATENATE(INDEX(Dashboard!J:J,MATCH(I1123,Dashboard!J:J,0),1),INDEX(Dashboard!J:K,MATCH(I1123,Dashboard!J:J,0),2)),"ON",IF(Dashboard!K$32="ALL","ON","-"))</f>
        <v>-</v>
      </c>
      <c r="C1123" s="96" t="s">
        <v>152</v>
      </c>
      <c r="D1123" s="89">
        <f>IF(C1123="ID",1,(IF(C1123="PR",2,(IF(C1123="DE",3,(IF(C1123="RS",4,(IF(C1123="RC",5,0)))))))))</f>
        <v>2</v>
      </c>
      <c r="E1123" s="89" t="s">
        <v>153</v>
      </c>
      <c r="F1123" s="89">
        <f>IF(E1123="AM",1,(IF(E1123="BE",2,(IF(E1123="GV",3,(IF(E1123="RA",4,(IF(E1123="RM",5,(IF(E1123="AC",1,(IF(E1123="AT",2,(IF(E1123="DS",3,(IF(E1123="IP",4,(IF(E1123="MA",5,(IF(E1123="PT",6,(IF(E1123="AE",1,(IF(E1123="CM",2,(IF(E1123="DP",3,(IF(E1123="AN",1,(IF(E1123="CO",2,(IF(E1123="IM",3,(IF(E1123="MI",4,(IF(E1123="RP",5,(IF(E1123="SC",6,0)))))))))))))))))))))))))))))))))))))))</f>
        <v>1</v>
      </c>
      <c r="G1123" s="98">
        <v>2</v>
      </c>
      <c r="H1123" s="90" t="s">
        <v>115</v>
      </c>
      <c r="I1123" s="93" t="s">
        <v>85</v>
      </c>
      <c r="J1123" s="87" t="s">
        <v>1193</v>
      </c>
      <c r="K1123" s="119" t="s">
        <v>1194</v>
      </c>
      <c r="L1123" s="117">
        <f>IF(O1123="","",N1123*O1123*M1123)</f>
        <v>0</v>
      </c>
      <c r="M1123" s="108">
        <v>1</v>
      </c>
      <c r="N1123" s="95">
        <v>1</v>
      </c>
      <c r="O1123" s="109">
        <f>IF(Key!D$1="ON",P1123,IF(SUM(Q1123:DL1123)&lt;1,"",SUM(Q1123:DL1123)/COUNTIF(Q1123:DL1123,"&gt;0")))</f>
        <v>0</v>
      </c>
      <c r="P1123" s="109">
        <f>SUMIFS(Q1123:DK1123,Q$1:DK$1,Dashboard!$K$31)</f>
        <v>0</v>
      </c>
      <c r="U1123" s="95">
        <v>33</v>
      </c>
      <c r="AA1123" s="95">
        <v>25</v>
      </c>
      <c r="AH1123" s="95">
        <v>75</v>
      </c>
    </row>
    <row r="1124" spans="1:34" x14ac:dyDescent="0.3">
      <c r="A1124" s="89" t="str">
        <f>CONCATENATE(D1124,".",F1124,"-",G1124,".",H1124,"")</f>
        <v>2.1-2.1</v>
      </c>
      <c r="B1124" s="89" t="str">
        <f>IF(CONCATENATE(I1124,Key!F$2)=CONCATENATE(INDEX(Dashboard!J:J,MATCH(I1124,Dashboard!J:J,0),1),INDEX(Dashboard!J:K,MATCH(I1124,Dashboard!J:J,0),2)),"ON",IF(Dashboard!K$32="ALL","ON","-"))</f>
        <v>-</v>
      </c>
      <c r="C1124" s="96" t="s">
        <v>152</v>
      </c>
      <c r="D1124" s="89">
        <f>IF(C1124="ID",1,(IF(C1124="PR",2,(IF(C1124="DE",3,(IF(C1124="RS",4,(IF(C1124="RC",5,0)))))))))</f>
        <v>2</v>
      </c>
      <c r="E1124" s="89" t="s">
        <v>153</v>
      </c>
      <c r="F1124" s="89">
        <f>IF(E1124="AM",1,(IF(E1124="BE",2,(IF(E1124="GV",3,(IF(E1124="RA",4,(IF(E1124="RM",5,(IF(E1124="AC",1,(IF(E1124="AT",2,(IF(E1124="DS",3,(IF(E1124="IP",4,(IF(E1124="MA",5,(IF(E1124="PT",6,(IF(E1124="AE",1,(IF(E1124="CM",2,(IF(E1124="DP",3,(IF(E1124="AN",1,(IF(E1124="CO",2,(IF(E1124="IM",3,(IF(E1124="MI",4,(IF(E1124="RP",5,(IF(E1124="SC",6,0)))))))))))))))))))))))))))))))))))))))</f>
        <v>1</v>
      </c>
      <c r="G1124" s="98">
        <v>2</v>
      </c>
      <c r="H1124" s="90" t="s">
        <v>115</v>
      </c>
      <c r="I1124" s="93" t="s">
        <v>85</v>
      </c>
      <c r="J1124" s="87" t="s">
        <v>1198</v>
      </c>
      <c r="K1124" s="119" t="s">
        <v>1199</v>
      </c>
      <c r="L1124" s="117">
        <f>IF(O1124="","",N1124*O1124*M1124)</f>
        <v>0</v>
      </c>
      <c r="M1124" s="108">
        <v>1</v>
      </c>
      <c r="N1124" s="95">
        <v>1</v>
      </c>
      <c r="O1124" s="109">
        <f>IF(Key!D$1="ON",P1124,IF(SUM(Q1124:DL1124)&lt;1,"",SUM(Q1124:DL1124)/COUNTIF(Q1124:DL1124,"&gt;0")))</f>
        <v>0</v>
      </c>
      <c r="P1124" s="109">
        <f>SUMIFS(Q1124:DK1124,Q$1:DK$1,Dashboard!$K$31)</f>
        <v>0</v>
      </c>
      <c r="U1124" s="95">
        <v>33</v>
      </c>
      <c r="AA1124" s="95">
        <v>25</v>
      </c>
      <c r="AH1124" s="95">
        <v>75</v>
      </c>
    </row>
    <row r="1125" spans="1:34" x14ac:dyDescent="0.3">
      <c r="A1125" s="89" t="str">
        <f>CONCATENATE(D1125,".",F1125,"-",G1125,".",H1125,"")</f>
        <v>2.1-2.1</v>
      </c>
      <c r="B1125" s="89" t="str">
        <f>IF(CONCATENATE(I1125,Key!F$2)=CONCATENATE(INDEX(Dashboard!J:J,MATCH(I1125,Dashboard!J:J,0),1),INDEX(Dashboard!J:K,MATCH(I1125,Dashboard!J:J,0),2)),"ON",IF(Dashboard!K$32="ALL","ON","-"))</f>
        <v>-</v>
      </c>
      <c r="C1125" s="88" t="s">
        <v>152</v>
      </c>
      <c r="D1125" s="89">
        <f>IF(C1125="ID",1,(IF(C1125="PR",2,(IF(C1125="DE",3,(IF(C1125="RS",4,(IF(C1125="RC",5,0)))))))))</f>
        <v>2</v>
      </c>
      <c r="E1125" s="89" t="s">
        <v>153</v>
      </c>
      <c r="F1125" s="89">
        <f>IF(E1125="AM",1,(IF(E1125="BE",2,(IF(E1125="GV",3,(IF(E1125="RA",4,(IF(E1125="RM",5,(IF(E1125="AC",1,(IF(E1125="AT",2,(IF(E1125="DS",3,(IF(E1125="IP",4,(IF(E1125="MA",5,(IF(E1125="PT",6,(IF(E1125="AE",1,(IF(E1125="CM",2,(IF(E1125="DP",3,(IF(E1125="AN",1,(IF(E1125="CO",2,(IF(E1125="IM",3,(IF(E1125="MI",4,(IF(E1125="RP",5,(IF(E1125="SC",6,0)))))))))))))))))))))))))))))))))))))))</f>
        <v>1</v>
      </c>
      <c r="G1125" s="52">
        <v>2</v>
      </c>
      <c r="H1125" s="90" t="s">
        <v>115</v>
      </c>
      <c r="I1125" s="93" t="s">
        <v>85</v>
      </c>
      <c r="J1125" s="87" t="s">
        <v>1197</v>
      </c>
      <c r="K1125" s="119" t="s">
        <v>4846</v>
      </c>
      <c r="L1125" s="117">
        <f>IF(O1125="","",N1125*O1125*M1125)</f>
        <v>0</v>
      </c>
      <c r="M1125" s="108">
        <v>1</v>
      </c>
      <c r="N1125" s="95">
        <v>1</v>
      </c>
      <c r="O1125" s="109">
        <f>IF(Key!D$1="ON",P1125,IF(SUM(Q1125:DL1125)&lt;1,"",SUM(Q1125:DL1125)/COUNTIF(Q1125:DL1125,"&gt;0")))</f>
        <v>0</v>
      </c>
      <c r="P1125" s="109">
        <f>SUMIFS(Q1125:DK1125,Q$1:DK$1,Dashboard!$K$31)</f>
        <v>0</v>
      </c>
      <c r="U1125" s="95">
        <v>33</v>
      </c>
      <c r="AA1125" s="95">
        <v>25</v>
      </c>
      <c r="AH1125" s="95">
        <v>75</v>
      </c>
    </row>
    <row r="1126" spans="1:34" x14ac:dyDescent="0.3">
      <c r="A1126" s="89" t="str">
        <f>CONCATENATE(D1126,".",F1126,"-",G1126,".",H1126,"")</f>
        <v>2.1-2.1</v>
      </c>
      <c r="B1126" s="89" t="str">
        <f>IF(CONCATENATE(I1126,Key!F$2)=CONCATENATE(INDEX(Dashboard!J:J,MATCH(I1126,Dashboard!J:J,0),1),INDEX(Dashboard!J:K,MATCH(I1126,Dashboard!J:J,0),2)),"ON",IF(Dashboard!K$32="ALL","ON","-"))</f>
        <v>-</v>
      </c>
      <c r="C1126" s="88" t="s">
        <v>152</v>
      </c>
      <c r="D1126" s="89">
        <f>IF(C1126="ID",1,(IF(C1126="PR",2,(IF(C1126="DE",3,(IF(C1126="RS",4,(IF(C1126="RC",5,0)))))))))</f>
        <v>2</v>
      </c>
      <c r="E1126" s="89" t="s">
        <v>153</v>
      </c>
      <c r="F1126" s="89">
        <f>IF(E1126="AM",1,(IF(E1126="BE",2,(IF(E1126="GV",3,(IF(E1126="RA",4,(IF(E1126="RM",5,(IF(E1126="AC",1,(IF(E1126="AT",2,(IF(E1126="DS",3,(IF(E1126="IP",4,(IF(E1126="MA",5,(IF(E1126="PT",6,(IF(E1126="AE",1,(IF(E1126="CM",2,(IF(E1126="DP",3,(IF(E1126="AN",1,(IF(E1126="CO",2,(IF(E1126="IM",3,(IF(E1126="MI",4,(IF(E1126="RP",5,(IF(E1126="SC",6,0)))))))))))))))))))))))))))))))))))))))</f>
        <v>1</v>
      </c>
      <c r="G1126" s="52">
        <v>2</v>
      </c>
      <c r="H1126" s="90" t="s">
        <v>115</v>
      </c>
      <c r="I1126" s="93" t="s">
        <v>85</v>
      </c>
      <c r="J1126" s="87" t="s">
        <v>1200</v>
      </c>
      <c r="K1126" s="119" t="s">
        <v>4847</v>
      </c>
      <c r="L1126" s="117">
        <f>IF(O1126="","",N1126*O1126*M1126)</f>
        <v>0</v>
      </c>
      <c r="M1126" s="108">
        <v>1</v>
      </c>
      <c r="N1126" s="95">
        <v>1</v>
      </c>
      <c r="O1126" s="109">
        <f>IF(Key!D$1="ON",P1126,IF(SUM(Q1126:DL1126)&lt;1,"",SUM(Q1126:DL1126)/COUNTIF(Q1126:DL1126,"&gt;0")))</f>
        <v>0</v>
      </c>
      <c r="P1126" s="109">
        <f>SUMIFS(Q1126:DK1126,Q$1:DK$1,Dashboard!$K$31)</f>
        <v>0</v>
      </c>
      <c r="U1126" s="95">
        <v>33</v>
      </c>
      <c r="AA1126" s="95">
        <v>25</v>
      </c>
      <c r="AH1126" s="95">
        <v>75</v>
      </c>
    </row>
    <row r="1127" spans="1:34" x14ac:dyDescent="0.3">
      <c r="A1127" s="89" t="str">
        <f>CONCATENATE(D1127,".",F1127,"-",G1127,".",H1127,"")</f>
        <v>2.1-2.1</v>
      </c>
      <c r="B1127" s="89" t="str">
        <f>IF(CONCATENATE(I1127,Key!F$2)=CONCATENATE(INDEX(Dashboard!J:J,MATCH(I1127,Dashboard!J:J,0),1),INDEX(Dashboard!J:K,MATCH(I1127,Dashboard!J:J,0),2)),"ON",IF(Dashboard!K$32="ALL","ON","-"))</f>
        <v>-</v>
      </c>
      <c r="C1127" s="88" t="s">
        <v>152</v>
      </c>
      <c r="D1127" s="89">
        <f>IF(C1127="ID",1,(IF(C1127="PR",2,(IF(C1127="DE",3,(IF(C1127="RS",4,(IF(C1127="RC",5,0)))))))))</f>
        <v>2</v>
      </c>
      <c r="E1127" s="89" t="s">
        <v>153</v>
      </c>
      <c r="F1127" s="89">
        <f>IF(E1127="AM",1,(IF(E1127="BE",2,(IF(E1127="GV",3,(IF(E1127="RA",4,(IF(E1127="RM",5,(IF(E1127="AC",1,(IF(E1127="AT",2,(IF(E1127="DS",3,(IF(E1127="IP",4,(IF(E1127="MA",5,(IF(E1127="PT",6,(IF(E1127="AE",1,(IF(E1127="CM",2,(IF(E1127="DP",3,(IF(E1127="AN",1,(IF(E1127="CO",2,(IF(E1127="IM",3,(IF(E1127="MI",4,(IF(E1127="RP",5,(IF(E1127="SC",6,0)))))))))))))))))))))))))))))))))))))))</f>
        <v>1</v>
      </c>
      <c r="G1127" s="52">
        <v>2</v>
      </c>
      <c r="H1127" s="90" t="s">
        <v>115</v>
      </c>
      <c r="I1127" s="93" t="s">
        <v>85</v>
      </c>
      <c r="J1127" s="87" t="s">
        <v>1204</v>
      </c>
      <c r="K1127" s="119" t="s">
        <v>4851</v>
      </c>
      <c r="L1127" s="117">
        <f>IF(O1127="","",N1127*O1127*M1127)</f>
        <v>0</v>
      </c>
      <c r="M1127" s="108">
        <v>1</v>
      </c>
      <c r="N1127" s="95">
        <v>1</v>
      </c>
      <c r="O1127" s="109">
        <f>IF(Key!D$1="ON",P1127,IF(SUM(Q1127:DL1127)&lt;1,"",SUM(Q1127:DL1127)/COUNTIF(Q1127:DL1127,"&gt;0")))</f>
        <v>0</v>
      </c>
      <c r="P1127" s="109">
        <f>SUMIFS(Q1127:DK1127,Q$1:DK$1,Dashboard!$K$31)</f>
        <v>0</v>
      </c>
      <c r="U1127" s="95">
        <v>33</v>
      </c>
      <c r="AA1127" s="95">
        <v>25</v>
      </c>
      <c r="AH1127" s="95">
        <v>75</v>
      </c>
    </row>
    <row r="1128" spans="1:34" x14ac:dyDescent="0.3">
      <c r="A1128" s="89" t="str">
        <f>CONCATENATE(D1128,".",F1128,"-",G1128,".",H1128,"")</f>
        <v>2.1-2.1</v>
      </c>
      <c r="B1128" s="89" t="str">
        <f>IF(CONCATENATE(I1128,Key!F$2)=CONCATENATE(INDEX(Dashboard!J:J,MATCH(I1128,Dashboard!J:J,0),1),INDEX(Dashboard!J:K,MATCH(I1128,Dashboard!J:J,0),2)),"ON",IF(Dashboard!K$32="ALL","ON","-"))</f>
        <v>-</v>
      </c>
      <c r="C1128" s="88" t="s">
        <v>152</v>
      </c>
      <c r="D1128" s="89">
        <f>IF(C1128="ID",1,(IF(C1128="PR",2,(IF(C1128="DE",3,(IF(C1128="RS",4,(IF(C1128="RC",5,0)))))))))</f>
        <v>2</v>
      </c>
      <c r="E1128" s="89" t="s">
        <v>153</v>
      </c>
      <c r="F1128" s="89">
        <f>IF(E1128="AM",1,(IF(E1128="BE",2,(IF(E1128="GV",3,(IF(E1128="RA",4,(IF(E1128="RM",5,(IF(E1128="AC",1,(IF(E1128="AT",2,(IF(E1128="DS",3,(IF(E1128="IP",4,(IF(E1128="MA",5,(IF(E1128="PT",6,(IF(E1128="AE",1,(IF(E1128="CM",2,(IF(E1128="DP",3,(IF(E1128="AN",1,(IF(E1128="CO",2,(IF(E1128="IM",3,(IF(E1128="MI",4,(IF(E1128="RP",5,(IF(E1128="SC",6,0)))))))))))))))))))))))))))))))))))))))</f>
        <v>1</v>
      </c>
      <c r="G1128" s="52">
        <v>2</v>
      </c>
      <c r="H1128" s="90" t="s">
        <v>115</v>
      </c>
      <c r="I1128" s="93" t="s">
        <v>85</v>
      </c>
      <c r="J1128" s="87" t="s">
        <v>1196</v>
      </c>
      <c r="K1128" s="119" t="s">
        <v>4845</v>
      </c>
      <c r="L1128" s="117">
        <f>IF(O1128="","",N1128*O1128*M1128)</f>
        <v>0</v>
      </c>
      <c r="M1128" s="108">
        <v>1</v>
      </c>
      <c r="N1128" s="95">
        <v>1</v>
      </c>
      <c r="O1128" s="109">
        <f>IF(Key!D$1="ON",P1128,IF(SUM(Q1128:DL1128)&lt;1,"",SUM(Q1128:DL1128)/COUNTIF(Q1128:DL1128,"&gt;0")))</f>
        <v>0</v>
      </c>
      <c r="P1128" s="109">
        <f>SUMIFS(Q1128:DK1128,Q$1:DK$1,Dashboard!$K$31)</f>
        <v>0</v>
      </c>
      <c r="U1128" s="95">
        <v>33</v>
      </c>
      <c r="AA1128" s="95">
        <v>25</v>
      </c>
      <c r="AH1128" s="95">
        <v>75</v>
      </c>
    </row>
    <row r="1129" spans="1:34" x14ac:dyDescent="0.3">
      <c r="A1129" s="89" t="str">
        <f>CONCATENATE(D1129,".",F1129,"-",G1129,".",H1129,"")</f>
        <v>2.1-2.1</v>
      </c>
      <c r="B1129" s="89" t="str">
        <f>IF(CONCATENATE(I1129,Key!F$2)=CONCATENATE(INDEX(Dashboard!J:J,MATCH(I1129,Dashboard!J:J,0),1),INDEX(Dashboard!J:K,MATCH(I1129,Dashboard!J:J,0),2)),"ON",IF(Dashboard!K$32="ALL","ON","-"))</f>
        <v>-</v>
      </c>
      <c r="C1129" s="88" t="s">
        <v>152</v>
      </c>
      <c r="D1129" s="89">
        <f>IF(C1129="ID",1,(IF(C1129="PR",2,(IF(C1129="DE",3,(IF(C1129="RS",4,(IF(C1129="RC",5,0)))))))))</f>
        <v>2</v>
      </c>
      <c r="E1129" s="89" t="s">
        <v>153</v>
      </c>
      <c r="F1129" s="89">
        <f>IF(E1129="AM",1,(IF(E1129="BE",2,(IF(E1129="GV",3,(IF(E1129="RA",4,(IF(E1129="RM",5,(IF(E1129="AC",1,(IF(E1129="AT",2,(IF(E1129="DS",3,(IF(E1129="IP",4,(IF(E1129="MA",5,(IF(E1129="PT",6,(IF(E1129="AE",1,(IF(E1129="CM",2,(IF(E1129="DP",3,(IF(E1129="AN",1,(IF(E1129="CO",2,(IF(E1129="IM",3,(IF(E1129="MI",4,(IF(E1129="RP",5,(IF(E1129="SC",6,0)))))))))))))))))))))))))))))))))))))))</f>
        <v>1</v>
      </c>
      <c r="G1129" s="52">
        <v>2</v>
      </c>
      <c r="H1129" s="90" t="s">
        <v>115</v>
      </c>
      <c r="I1129" s="93" t="s">
        <v>85</v>
      </c>
      <c r="J1129" s="87" t="s">
        <v>1216</v>
      </c>
      <c r="K1129" s="119" t="s">
        <v>4857</v>
      </c>
      <c r="L1129" s="117">
        <f>IF(O1129="","",N1129*O1129*M1129)</f>
        <v>0</v>
      </c>
      <c r="M1129" s="108">
        <v>1</v>
      </c>
      <c r="N1129" s="95">
        <v>1</v>
      </c>
      <c r="O1129" s="109">
        <f>IF(Key!D$1="ON",P1129,IF(SUM(Q1129:DL1129)&lt;1,"",SUM(Q1129:DL1129)/COUNTIF(Q1129:DL1129,"&gt;0")))</f>
        <v>0</v>
      </c>
      <c r="P1129" s="109">
        <f>SUMIFS(Q1129:DK1129,Q$1:DK$1,Dashboard!$K$31)</f>
        <v>0</v>
      </c>
      <c r="U1129" s="95">
        <v>33</v>
      </c>
      <c r="AA1129" s="95">
        <v>25</v>
      </c>
      <c r="AH1129" s="95">
        <v>75</v>
      </c>
    </row>
    <row r="1130" spans="1:34" x14ac:dyDescent="0.3">
      <c r="A1130" s="89" t="str">
        <f>CONCATENATE(D1130,".",F1130,"-",G1130,".",H1130,"")</f>
        <v>2.1-2.1</v>
      </c>
      <c r="B1130" s="89" t="str">
        <f>IF(CONCATENATE(I1130,Key!F$2)=CONCATENATE(INDEX(Dashboard!J:J,MATCH(I1130,Dashboard!J:J,0),1),INDEX(Dashboard!J:K,MATCH(I1130,Dashboard!J:J,0),2)),"ON",IF(Dashboard!K$32="ALL","ON","-"))</f>
        <v>-</v>
      </c>
      <c r="C1130" s="96" t="s">
        <v>152</v>
      </c>
      <c r="D1130" s="89">
        <f>IF(C1130="ID",1,(IF(C1130="PR",2,(IF(C1130="DE",3,(IF(C1130="RS",4,(IF(C1130="RC",5,0)))))))))</f>
        <v>2</v>
      </c>
      <c r="E1130" s="89" t="s">
        <v>153</v>
      </c>
      <c r="F1130" s="89">
        <f>IF(E1130="AM",1,(IF(E1130="BE",2,(IF(E1130="GV",3,(IF(E1130="RA",4,(IF(E1130="RM",5,(IF(E1130="AC",1,(IF(E1130="AT",2,(IF(E1130="DS",3,(IF(E1130="IP",4,(IF(E1130="MA",5,(IF(E1130="PT",6,(IF(E1130="AE",1,(IF(E1130="CM",2,(IF(E1130="DP",3,(IF(E1130="AN",1,(IF(E1130="CO",2,(IF(E1130="IM",3,(IF(E1130="MI",4,(IF(E1130="RP",5,(IF(E1130="SC",6,0)))))))))))))))))))))))))))))))))))))))</f>
        <v>1</v>
      </c>
      <c r="G1130" s="98">
        <v>2</v>
      </c>
      <c r="H1130" s="90" t="s">
        <v>115</v>
      </c>
      <c r="I1130" s="93" t="s">
        <v>85</v>
      </c>
      <c r="J1130" s="87" t="s">
        <v>1218</v>
      </c>
      <c r="K1130" s="119" t="s">
        <v>1219</v>
      </c>
      <c r="L1130" s="117">
        <f>IF(O1130="","",N1130*O1130*M1130)</f>
        <v>0</v>
      </c>
      <c r="M1130" s="108">
        <v>1</v>
      </c>
      <c r="N1130" s="95">
        <v>1</v>
      </c>
      <c r="O1130" s="109">
        <f>IF(Key!D$1="ON",P1130,IF(SUM(Q1130:DL1130)&lt;1,"",SUM(Q1130:DL1130)/COUNTIF(Q1130:DL1130,"&gt;0")))</f>
        <v>0</v>
      </c>
      <c r="P1130" s="109">
        <f>SUMIFS(Q1130:DK1130,Q$1:DK$1,Dashboard!$K$31)</f>
        <v>0</v>
      </c>
      <c r="U1130" s="95">
        <v>33</v>
      </c>
      <c r="AA1130" s="95">
        <v>25</v>
      </c>
      <c r="AH1130" s="95">
        <v>75</v>
      </c>
    </row>
    <row r="1131" spans="1:34" x14ac:dyDescent="0.3">
      <c r="A1131" s="89" t="str">
        <f>CONCATENATE(D1131,".",F1131,"-",G1131,".",H1131,"")</f>
        <v>2.1-2.1</v>
      </c>
      <c r="B1131" s="89" t="str">
        <f>IF(CONCATENATE(I1131,Key!F$2)=CONCATENATE(INDEX(Dashboard!J:J,MATCH(I1131,Dashboard!J:J,0),1),INDEX(Dashboard!J:K,MATCH(I1131,Dashboard!J:J,0),2)),"ON",IF(Dashboard!K$32="ALL","ON","-"))</f>
        <v>-</v>
      </c>
      <c r="C1131" s="88" t="s">
        <v>152</v>
      </c>
      <c r="D1131" s="89">
        <f>IF(C1131="ID",1,(IF(C1131="PR",2,(IF(C1131="DE",3,(IF(C1131="RS",4,(IF(C1131="RC",5,0)))))))))</f>
        <v>2</v>
      </c>
      <c r="E1131" s="89" t="s">
        <v>153</v>
      </c>
      <c r="F1131" s="89">
        <f>IF(E1131="AM",1,(IF(E1131="BE",2,(IF(E1131="GV",3,(IF(E1131="RA",4,(IF(E1131="RM",5,(IF(E1131="AC",1,(IF(E1131="AT",2,(IF(E1131="DS",3,(IF(E1131="IP",4,(IF(E1131="MA",5,(IF(E1131="PT",6,(IF(E1131="AE",1,(IF(E1131="CM",2,(IF(E1131="DP",3,(IF(E1131="AN",1,(IF(E1131="CO",2,(IF(E1131="IM",3,(IF(E1131="MI",4,(IF(E1131="RP",5,(IF(E1131="SC",6,0)))))))))))))))))))))))))))))))))))))))</f>
        <v>1</v>
      </c>
      <c r="G1131" s="52">
        <v>2</v>
      </c>
      <c r="H1131" s="90" t="s">
        <v>115</v>
      </c>
      <c r="I1131" s="93" t="s">
        <v>85</v>
      </c>
      <c r="J1131" s="135" t="s">
        <v>714</v>
      </c>
      <c r="K1131" s="143" t="s">
        <v>4852</v>
      </c>
      <c r="L1131" s="117">
        <f>IF(O1131="","",N1131*O1131*M1131)</f>
        <v>0</v>
      </c>
      <c r="M1131" s="108">
        <v>1</v>
      </c>
      <c r="N1131" s="95">
        <v>1</v>
      </c>
      <c r="O1131" s="109">
        <f>IF(Key!D$1="ON",P1131,IF(SUM(Q1131:DL1131)&lt;1,"",SUM(Q1131:DL1131)/COUNTIF(Q1131:DL1131,"&gt;0")))</f>
        <v>0</v>
      </c>
      <c r="P1131" s="109">
        <f>SUMIFS(Q1131:DK1131,Q$1:DK$1,Dashboard!$K$31)</f>
        <v>0</v>
      </c>
      <c r="U1131" s="95">
        <v>33</v>
      </c>
      <c r="AA1131" s="95">
        <v>25</v>
      </c>
      <c r="AH1131" s="95">
        <v>75</v>
      </c>
    </row>
    <row r="1132" spans="1:34" ht="15.6" x14ac:dyDescent="0.3">
      <c r="A1132" s="89" t="str">
        <f>CONCATENATE(D1132,".",F1132,"-",G1132,".",H1132,"")</f>
        <v>2.1-2.1</v>
      </c>
      <c r="B1132" s="89" t="str">
        <f>IF(CONCATENATE(I1132,Key!F$2)=CONCATENATE(INDEX(Dashboard!J:J,MATCH(I1132,Dashboard!J:J,0),1),INDEX(Dashboard!J:K,MATCH(I1132,Dashboard!J:J,0),2)),"ON",IF(Dashboard!K$32="ALL","ON","-"))</f>
        <v>-</v>
      </c>
      <c r="C1132" s="88" t="s">
        <v>152</v>
      </c>
      <c r="D1132" s="89">
        <f>IF(C1132="ID",1,(IF(C1132="PR",2,(IF(C1132="DE",3,(IF(C1132="RS",4,(IF(C1132="RC",5,0)))))))))</f>
        <v>2</v>
      </c>
      <c r="E1132" s="89" t="s">
        <v>153</v>
      </c>
      <c r="F1132" s="89">
        <f>IF(E1132="AM",1,(IF(E1132="BE",2,(IF(E1132="GV",3,(IF(E1132="RA",4,(IF(E1132="RM",5,(IF(E1132="AC",1,(IF(E1132="AT",2,(IF(E1132="DS",3,(IF(E1132="IP",4,(IF(E1132="MA",5,(IF(E1132="PT",6,(IF(E1132="AE",1,(IF(E1132="CM",2,(IF(E1132="DP",3,(IF(E1132="AN",1,(IF(E1132="CO",2,(IF(E1132="IM",3,(IF(E1132="MI",4,(IF(E1132="RP",5,(IF(E1132="SC",6,0)))))))))))))))))))))))))))))))))))))))</f>
        <v>1</v>
      </c>
      <c r="G1132" s="52">
        <v>2</v>
      </c>
      <c r="H1132" s="90" t="s">
        <v>115</v>
      </c>
      <c r="I1132" s="93" t="s">
        <v>85</v>
      </c>
      <c r="J1132" s="135" t="s">
        <v>715</v>
      </c>
      <c r="K1132" s="143" t="s">
        <v>4853</v>
      </c>
      <c r="L1132" s="117">
        <f>IF(O1132="","",N1132*O1132*M1132)</f>
        <v>0</v>
      </c>
      <c r="M1132" s="108">
        <v>1</v>
      </c>
      <c r="N1132" s="95">
        <v>1</v>
      </c>
      <c r="O1132" s="109">
        <f>IF(Key!D$1="ON",P1132,IF(SUM(Q1132:DL1132)&lt;1,"",SUM(Q1132:DL1132)/COUNTIF(Q1132:DL1132,"&gt;0")))</f>
        <v>0</v>
      </c>
      <c r="P1132" s="109">
        <f>SUMIFS(Q1132:DK1132,Q$1:DK$1,Dashboard!$K$31)</f>
        <v>0</v>
      </c>
      <c r="U1132" s="95">
        <v>33</v>
      </c>
      <c r="AA1132" s="95">
        <v>25</v>
      </c>
      <c r="AH1132" s="95">
        <v>75</v>
      </c>
    </row>
    <row r="1133" spans="1:34" ht="15.6" x14ac:dyDescent="0.3">
      <c r="A1133" s="89" t="str">
        <f>CONCATENATE(D1133,".",F1133,"-",G1133,".",H1133,"")</f>
        <v>2.1-2.1</v>
      </c>
      <c r="B1133" s="89" t="str">
        <f>IF(CONCATENATE(I1133,Key!F$2)=CONCATENATE(INDEX(Dashboard!J:J,MATCH(I1133,Dashboard!J:J,0),1),INDEX(Dashboard!J:K,MATCH(I1133,Dashboard!J:J,0),2)),"ON",IF(Dashboard!K$32="ALL","ON","-"))</f>
        <v>-</v>
      </c>
      <c r="C1133" s="88" t="s">
        <v>152</v>
      </c>
      <c r="D1133" s="89">
        <f>IF(C1133="ID",1,(IF(C1133="PR",2,(IF(C1133="DE",3,(IF(C1133="RS",4,(IF(C1133="RC",5,0)))))))))</f>
        <v>2</v>
      </c>
      <c r="E1133" s="89" t="s">
        <v>153</v>
      </c>
      <c r="F1133" s="89">
        <f>IF(E1133="AM",1,(IF(E1133="BE",2,(IF(E1133="GV",3,(IF(E1133="RA",4,(IF(E1133="RM",5,(IF(E1133="AC",1,(IF(E1133="AT",2,(IF(E1133="DS",3,(IF(E1133="IP",4,(IF(E1133="MA",5,(IF(E1133="PT",6,(IF(E1133="AE",1,(IF(E1133="CM",2,(IF(E1133="DP",3,(IF(E1133="AN",1,(IF(E1133="CO",2,(IF(E1133="IM",3,(IF(E1133="MI",4,(IF(E1133="RP",5,(IF(E1133="SC",6,0)))))))))))))))))))))))))))))))))))))))</f>
        <v>1</v>
      </c>
      <c r="G1133" s="52">
        <v>2</v>
      </c>
      <c r="H1133" s="89">
        <v>1</v>
      </c>
      <c r="I1133" s="93" t="s">
        <v>85</v>
      </c>
      <c r="J1133" s="135" t="s">
        <v>712</v>
      </c>
      <c r="K1133" s="143" t="s">
        <v>713</v>
      </c>
      <c r="L1133" s="117">
        <f>IF(O1133="","",N1133*O1133*M1133)</f>
        <v>0</v>
      </c>
      <c r="M1133" s="108">
        <v>1</v>
      </c>
      <c r="N1133" s="95">
        <v>1</v>
      </c>
      <c r="O1133" s="109">
        <f>IF(Key!D$1="ON",P1133,IF(SUM(Q1133:DL1133)&lt;1,"",SUM(Q1133:DL1133)/COUNTIF(Q1133:DL1133,"&gt;0")))</f>
        <v>0</v>
      </c>
      <c r="P1133" s="109">
        <f>SUMIFS(Q1133:DK1133,Q$1:DK$1,Dashboard!$K$31)</f>
        <v>0</v>
      </c>
      <c r="U1133" s="95">
        <v>33</v>
      </c>
      <c r="AA1133" s="95">
        <v>25</v>
      </c>
      <c r="AH1133" s="95">
        <v>75</v>
      </c>
    </row>
    <row r="1134" spans="1:34" x14ac:dyDescent="0.3">
      <c r="A1134" s="89" t="str">
        <f>CONCATENATE(D1134,".",F1134,"-",G1134,".",H1134,"")</f>
        <v>2.1-2.1</v>
      </c>
      <c r="B1134" s="89" t="str">
        <f>IF(CONCATENATE(I1134,Key!F$2)=CONCATENATE(INDEX(Dashboard!J:J,MATCH(I1134,Dashboard!J:J,0),1),INDEX(Dashboard!J:K,MATCH(I1134,Dashboard!J:J,0),2)),"ON",IF(Dashboard!K$32="ALL","ON","-"))</f>
        <v>-</v>
      </c>
      <c r="C1134" s="88" t="s">
        <v>152</v>
      </c>
      <c r="D1134" s="89">
        <f>IF(C1134="ID",1,(IF(C1134="PR",2,(IF(C1134="DE",3,(IF(C1134="RS",4,(IF(C1134="RC",5,0)))))))))</f>
        <v>2</v>
      </c>
      <c r="E1134" s="89" t="s">
        <v>153</v>
      </c>
      <c r="F1134" s="89">
        <f>IF(E1134="AM",1,(IF(E1134="BE",2,(IF(E1134="GV",3,(IF(E1134="RA",4,(IF(E1134="RM",5,(IF(E1134="AC",1,(IF(E1134="AT",2,(IF(E1134="DS",3,(IF(E1134="IP",4,(IF(E1134="MA",5,(IF(E1134="PT",6,(IF(E1134="AE",1,(IF(E1134="CM",2,(IF(E1134="DP",3,(IF(E1134="AN",1,(IF(E1134="CO",2,(IF(E1134="IM",3,(IF(E1134="MI",4,(IF(E1134="RP",5,(IF(E1134="SC",6,0)))))))))))))))))))))))))))))))))))))))</f>
        <v>1</v>
      </c>
      <c r="G1134" s="52">
        <v>2</v>
      </c>
      <c r="H1134" s="89">
        <v>1</v>
      </c>
      <c r="I1134" s="93" t="s">
        <v>85</v>
      </c>
      <c r="J1134" s="135" t="s">
        <v>836</v>
      </c>
      <c r="K1134" s="143" t="s">
        <v>837</v>
      </c>
      <c r="L1134" s="117">
        <f>IF(O1134="","",N1134*O1134*M1134)</f>
        <v>0</v>
      </c>
      <c r="M1134" s="108">
        <v>1</v>
      </c>
      <c r="N1134" s="95">
        <v>1</v>
      </c>
      <c r="O1134" s="109">
        <f>IF(Key!D$1="ON",P1134,IF(SUM(Q1134:DL1134)&lt;1,"",SUM(Q1134:DL1134)/COUNTIF(Q1134:DL1134,"&gt;0")))</f>
        <v>0</v>
      </c>
      <c r="P1134" s="109">
        <f>SUMIFS(Q1134:DK1134,Q$1:DK$1,Dashboard!$K$31)</f>
        <v>0</v>
      </c>
      <c r="U1134" s="95">
        <v>33</v>
      </c>
      <c r="AA1134" s="95">
        <v>25</v>
      </c>
      <c r="AH1134" s="95">
        <v>75</v>
      </c>
    </row>
    <row r="1135" spans="1:34" x14ac:dyDescent="0.3">
      <c r="A1135" s="89" t="str">
        <f>CONCATENATE(D1135,".",F1135,"-",G1135,".",H1135,"")</f>
        <v>2.1-2.1</v>
      </c>
      <c r="B1135" s="89" t="str">
        <f>IF(CONCATENATE(I1135,Key!F$2)=CONCATENATE(INDEX(Dashboard!J:J,MATCH(I1135,Dashboard!J:J,0),1),INDEX(Dashboard!J:K,MATCH(I1135,Dashboard!J:J,0),2)),"ON",IF(Dashboard!K$32="ALL","ON","-"))</f>
        <v>-</v>
      </c>
      <c r="C1135" s="88" t="s">
        <v>152</v>
      </c>
      <c r="D1135" s="89">
        <f>IF(C1135="ID",1,(IF(C1135="PR",2,(IF(C1135="DE",3,(IF(C1135="RS",4,(IF(C1135="RC",5,0)))))))))</f>
        <v>2</v>
      </c>
      <c r="E1135" s="89" t="s">
        <v>153</v>
      </c>
      <c r="F1135" s="89">
        <f>IF(E1135="AM",1,(IF(E1135="BE",2,(IF(E1135="GV",3,(IF(E1135="RA",4,(IF(E1135="RM",5,(IF(E1135="AC",1,(IF(E1135="AT",2,(IF(E1135="DS",3,(IF(E1135="IP",4,(IF(E1135="MA",5,(IF(E1135="PT",6,(IF(E1135="AE",1,(IF(E1135="CM",2,(IF(E1135="DP",3,(IF(E1135="AN",1,(IF(E1135="CO",2,(IF(E1135="IM",3,(IF(E1135="MI",4,(IF(E1135="RP",5,(IF(E1135="SC",6,0)))))))))))))))))))))))))))))))))))))))</f>
        <v>1</v>
      </c>
      <c r="G1135" s="52">
        <v>2</v>
      </c>
      <c r="H1135" s="90" t="s">
        <v>115</v>
      </c>
      <c r="I1135" s="93" t="s">
        <v>92</v>
      </c>
      <c r="J1135" s="88">
        <v>9</v>
      </c>
      <c r="K1135" s="102" t="s">
        <v>5226</v>
      </c>
      <c r="L1135" s="117">
        <f>IF(O1135="","",N1135*O1135*M1135)</f>
        <v>0</v>
      </c>
      <c r="M1135" s="108">
        <v>1</v>
      </c>
      <c r="N1135" s="95">
        <v>1</v>
      </c>
      <c r="O1135" s="109">
        <f>IF(Key!D$1="ON",P1135,IF(SUM(Q1135:DL1135)&lt;1,"",SUM(Q1135:DL1135)/COUNTIF(Q1135:DL1135,"&gt;0")))</f>
        <v>0</v>
      </c>
      <c r="P1135" s="109">
        <f>SUMIFS(Q1135:DK1135,Q$1:DK$1,Dashboard!$K$31)</f>
        <v>0</v>
      </c>
      <c r="U1135" s="95">
        <v>33</v>
      </c>
      <c r="AA1135" s="95">
        <v>25</v>
      </c>
      <c r="AH1135" s="95">
        <v>75</v>
      </c>
    </row>
    <row r="1136" spans="1:34" x14ac:dyDescent="0.3">
      <c r="A1136" s="89" t="str">
        <f>CONCATENATE(D1136,".",F1136,"-",G1136,".",H1136,"")</f>
        <v>2.1-2.1</v>
      </c>
      <c r="B1136" s="89" t="str">
        <f>IF(CONCATENATE(I1136,Key!F$2)=CONCATENATE(INDEX(Dashboard!J:J,MATCH(I1136,Dashboard!J:J,0),1),INDEX(Dashboard!J:K,MATCH(I1136,Dashboard!J:J,0),2)),"ON",IF(Dashboard!K$32="ALL","ON","-"))</f>
        <v>-</v>
      </c>
      <c r="C1136" s="96" t="s">
        <v>152</v>
      </c>
      <c r="D1136" s="89">
        <f>IF(C1136="ID",1,(IF(C1136="PR",2,(IF(C1136="DE",3,(IF(C1136="RS",4,(IF(C1136="RC",5,0)))))))))</f>
        <v>2</v>
      </c>
      <c r="E1136" s="89" t="s">
        <v>153</v>
      </c>
      <c r="F1136" s="89">
        <f>IF(E1136="AM",1,(IF(E1136="BE",2,(IF(E1136="GV",3,(IF(E1136="RA",4,(IF(E1136="RM",5,(IF(E1136="AC",1,(IF(E1136="AT",2,(IF(E1136="DS",3,(IF(E1136="IP",4,(IF(E1136="MA",5,(IF(E1136="PT",6,(IF(E1136="AE",1,(IF(E1136="CM",2,(IF(E1136="DP",3,(IF(E1136="AN",1,(IF(E1136="CO",2,(IF(E1136="IM",3,(IF(E1136="MI",4,(IF(E1136="RP",5,(IF(E1136="SC",6,0)))))))))))))))))))))))))))))))))))))))</f>
        <v>1</v>
      </c>
      <c r="G1136" s="98">
        <v>2</v>
      </c>
      <c r="H1136" s="90" t="s">
        <v>115</v>
      </c>
      <c r="I1136" s="93" t="s">
        <v>92</v>
      </c>
      <c r="J1136" s="88">
        <v>9.1</v>
      </c>
      <c r="K1136" s="102" t="s">
        <v>5226</v>
      </c>
      <c r="L1136" s="117">
        <f>IF(O1136="","",N1136*O1136*M1136)</f>
        <v>0</v>
      </c>
      <c r="M1136" s="108">
        <v>1</v>
      </c>
      <c r="N1136" s="95">
        <v>1</v>
      </c>
      <c r="O1136" s="109">
        <f>IF(Key!D$1="ON",P1136,IF(SUM(Q1136:DL1136)&lt;1,"",SUM(Q1136:DL1136)/COUNTIF(Q1136:DL1136,"&gt;0")))</f>
        <v>0</v>
      </c>
      <c r="P1136" s="109">
        <f>SUMIFS(Q1136:DK1136,Q$1:DK$1,Dashboard!$K$31)</f>
        <v>0</v>
      </c>
      <c r="U1136" s="95">
        <v>33</v>
      </c>
      <c r="AA1136" s="95">
        <v>25</v>
      </c>
      <c r="AH1136" s="95">
        <v>75</v>
      </c>
    </row>
    <row r="1137" spans="1:34" ht="15.6" x14ac:dyDescent="0.3">
      <c r="A1137" s="89" t="str">
        <f>CONCATENATE(D1137,".",F1137,"-",G1137,".",H1137,"")</f>
        <v>2.1-2.1</v>
      </c>
      <c r="B1137" s="89" t="str">
        <f>IF(CONCATENATE(I1137,Key!F$2)=CONCATENATE(INDEX(Dashboard!J:J,MATCH(I1137,Dashboard!J:J,0),1),INDEX(Dashboard!J:K,MATCH(I1137,Dashboard!J:J,0),2)),"ON",IF(Dashboard!K$32="ALL","ON","-"))</f>
        <v>-</v>
      </c>
      <c r="C1137" s="96" t="s">
        <v>152</v>
      </c>
      <c r="D1137" s="89">
        <f>IF(C1137="ID",1,(IF(C1137="PR",2,(IF(C1137="DE",3,(IF(C1137="RS",4,(IF(C1137="RC",5,0)))))))))</f>
        <v>2</v>
      </c>
      <c r="E1137" s="89" t="s">
        <v>153</v>
      </c>
      <c r="F1137" s="89">
        <f>IF(E1137="AM",1,(IF(E1137="BE",2,(IF(E1137="GV",3,(IF(E1137="RA",4,(IF(E1137="RM",5,(IF(E1137="AC",1,(IF(E1137="AT",2,(IF(E1137="DS",3,(IF(E1137="IP",4,(IF(E1137="MA",5,(IF(E1137="PT",6,(IF(E1137="AE",1,(IF(E1137="CM",2,(IF(E1137="DP",3,(IF(E1137="AN",1,(IF(E1137="CO",2,(IF(E1137="IM",3,(IF(E1137="MI",4,(IF(E1137="RP",5,(IF(E1137="SC",6,0)))))))))))))))))))))))))))))))))))))))</f>
        <v>1</v>
      </c>
      <c r="G1137" s="98">
        <v>2</v>
      </c>
      <c r="H1137" s="90" t="s">
        <v>115</v>
      </c>
      <c r="I1137" s="93" t="s">
        <v>92</v>
      </c>
      <c r="J1137" s="88">
        <v>9.9</v>
      </c>
      <c r="K1137" s="102" t="s">
        <v>5226</v>
      </c>
      <c r="L1137" s="117">
        <f>IF(O1137="","",N1137*O1137*M1137)</f>
        <v>0</v>
      </c>
      <c r="M1137" s="108">
        <v>1</v>
      </c>
      <c r="N1137" s="95">
        <v>1</v>
      </c>
      <c r="O1137" s="109">
        <f>IF(Key!D$1="ON",P1137,IF(SUM(Q1137:DL1137)&lt;1,"",SUM(Q1137:DL1137)/COUNTIF(Q1137:DL1137,"&gt;0")))</f>
        <v>0</v>
      </c>
      <c r="P1137" s="109">
        <f>SUMIFS(Q1137:DK1137,Q$1:DK$1,Dashboard!$K$31)</f>
        <v>0</v>
      </c>
      <c r="U1137" s="95">
        <v>33</v>
      </c>
      <c r="AA1137" s="95">
        <v>25</v>
      </c>
      <c r="AH1137" s="95">
        <v>75</v>
      </c>
    </row>
    <row r="1138" spans="1:34" x14ac:dyDescent="0.3">
      <c r="A1138" s="89" t="str">
        <f>CONCATENATE(D1138,".",F1138,"-",G1138,".",H1138,"")</f>
        <v>2.1-2.1</v>
      </c>
      <c r="B1138" s="89" t="str">
        <f>IF(CONCATENATE(I1138,Key!F$2)=CONCATENATE(INDEX(Dashboard!J:J,MATCH(I1138,Dashboard!J:J,0),1),INDEX(Dashboard!J:K,MATCH(I1138,Dashboard!J:J,0),2)),"ON",IF(Dashboard!K$32="ALL","ON","-"))</f>
        <v>-</v>
      </c>
      <c r="C1138" s="96" t="s">
        <v>152</v>
      </c>
      <c r="D1138" s="89">
        <f>IF(C1138="ID",1,(IF(C1138="PR",2,(IF(C1138="DE",3,(IF(C1138="RS",4,(IF(C1138="RC",5,0)))))))))</f>
        <v>2</v>
      </c>
      <c r="E1138" s="89" t="s">
        <v>153</v>
      </c>
      <c r="F1138" s="89">
        <f>IF(E1138="AM",1,(IF(E1138="BE",2,(IF(E1138="GV",3,(IF(E1138="RA",4,(IF(E1138="RM",5,(IF(E1138="AC",1,(IF(E1138="AT",2,(IF(E1138="DS",3,(IF(E1138="IP",4,(IF(E1138="MA",5,(IF(E1138="PT",6,(IF(E1138="AE",1,(IF(E1138="CM",2,(IF(E1138="DP",3,(IF(E1138="AN",1,(IF(E1138="CO",2,(IF(E1138="IM",3,(IF(E1138="MI",4,(IF(E1138="RP",5,(IF(E1138="SC",6,0)))))))))))))))))))))))))))))))))))))))</f>
        <v>1</v>
      </c>
      <c r="G1138" s="98">
        <v>2</v>
      </c>
      <c r="H1138" s="90" t="s">
        <v>115</v>
      </c>
      <c r="I1138" s="93" t="s">
        <v>92</v>
      </c>
      <c r="J1138" s="87" t="s">
        <v>165</v>
      </c>
      <c r="K1138" s="102" t="s">
        <v>5226</v>
      </c>
      <c r="L1138" s="117">
        <f>IF(O1138="","",N1138*O1138*M1138)</f>
        <v>0</v>
      </c>
      <c r="M1138" s="108">
        <v>1</v>
      </c>
      <c r="N1138" s="95">
        <v>1</v>
      </c>
      <c r="O1138" s="109">
        <f>IF(Key!D$1="ON",P1138,IF(SUM(Q1138:DL1138)&lt;1,"",SUM(Q1138:DL1138)/COUNTIF(Q1138:DL1138,"&gt;0")))</f>
        <v>0</v>
      </c>
      <c r="P1138" s="109">
        <f>SUMIFS(Q1138:DK1138,Q$1:DK$1,Dashboard!$K$31)</f>
        <v>0</v>
      </c>
      <c r="U1138" s="95">
        <v>33</v>
      </c>
      <c r="AA1138" s="95">
        <v>25</v>
      </c>
      <c r="AH1138" s="95">
        <v>75</v>
      </c>
    </row>
    <row r="1139" spans="1:34" x14ac:dyDescent="0.3">
      <c r="A1139" s="89" t="str">
        <f>CONCATENATE(D1139,".",F1139,"-",G1139,".",H1139,"")</f>
        <v>2.1-2.1</v>
      </c>
      <c r="B1139" s="89" t="str">
        <f>IF(CONCATENATE(I1139,Key!F$2)=CONCATENATE(INDEX(Dashboard!J:J,MATCH(I1139,Dashboard!J:J,0),1),INDEX(Dashboard!J:K,MATCH(I1139,Dashboard!J:J,0),2)),"ON",IF(Dashboard!K$32="ALL","ON","-"))</f>
        <v>-</v>
      </c>
      <c r="C1139" s="96" t="s">
        <v>152</v>
      </c>
      <c r="D1139" s="89">
        <f>IF(C1139="ID",1,(IF(C1139="PR",2,(IF(C1139="DE",3,(IF(C1139="RS",4,(IF(C1139="RC",5,0)))))))))</f>
        <v>2</v>
      </c>
      <c r="E1139" s="89" t="s">
        <v>153</v>
      </c>
      <c r="F1139" s="89">
        <f>IF(E1139="AM",1,(IF(E1139="BE",2,(IF(E1139="GV",3,(IF(E1139="RA",4,(IF(E1139="RM",5,(IF(E1139="AC",1,(IF(E1139="AT",2,(IF(E1139="DS",3,(IF(E1139="IP",4,(IF(E1139="MA",5,(IF(E1139="PT",6,(IF(E1139="AE",1,(IF(E1139="CM",2,(IF(E1139="DP",3,(IF(E1139="AN",1,(IF(E1139="CO",2,(IF(E1139="IM",3,(IF(E1139="MI",4,(IF(E1139="RP",5,(IF(E1139="SC",6,0)))))))))))))))))))))))))))))))))))))))</f>
        <v>1</v>
      </c>
      <c r="G1139" s="98">
        <v>2</v>
      </c>
      <c r="H1139" s="90" t="s">
        <v>115</v>
      </c>
      <c r="I1139" s="93" t="s">
        <v>92</v>
      </c>
      <c r="J1139" s="88" t="s">
        <v>166</v>
      </c>
      <c r="K1139" s="102" t="s">
        <v>5226</v>
      </c>
      <c r="L1139" s="117">
        <f>IF(O1139="","",N1139*O1139*M1139)</f>
        <v>0</v>
      </c>
      <c r="M1139" s="108">
        <v>1</v>
      </c>
      <c r="N1139" s="95">
        <v>1</v>
      </c>
      <c r="O1139" s="109">
        <f>IF(Key!D$1="ON",P1139,IF(SUM(Q1139:DL1139)&lt;1,"",SUM(Q1139:DL1139)/COUNTIF(Q1139:DL1139,"&gt;0")))</f>
        <v>0</v>
      </c>
      <c r="P1139" s="109">
        <f>SUMIFS(Q1139:DK1139,Q$1:DK$1,Dashboard!$K$31)</f>
        <v>0</v>
      </c>
      <c r="U1139" s="95">
        <v>33</v>
      </c>
      <c r="AA1139" s="95">
        <v>25</v>
      </c>
      <c r="AH1139" s="95">
        <v>75</v>
      </c>
    </row>
    <row r="1140" spans="1:34" ht="15.6" x14ac:dyDescent="0.3">
      <c r="A1140" s="89" t="str">
        <f>CONCATENATE(D1140,".",F1140,"-",G1140,".",H1140,"")</f>
        <v>2.1-2.1</v>
      </c>
      <c r="B1140" s="89" t="str">
        <f>IF(CONCATENATE(I1140,Key!F$2)=CONCATENATE(INDEX(Dashboard!J:J,MATCH(I1140,Dashboard!J:J,0),1),INDEX(Dashboard!J:K,MATCH(I1140,Dashboard!J:J,0),2)),"ON",IF(Dashboard!K$32="ALL","ON","-"))</f>
        <v>-</v>
      </c>
      <c r="C1140" s="96" t="s">
        <v>152</v>
      </c>
      <c r="D1140" s="89">
        <f>IF(C1140="ID",1,(IF(C1140="PR",2,(IF(C1140="DE",3,(IF(C1140="RS",4,(IF(C1140="RC",5,0)))))))))</f>
        <v>2</v>
      </c>
      <c r="E1140" s="89" t="s">
        <v>153</v>
      </c>
      <c r="F1140" s="89">
        <f>IF(E1140="AM",1,(IF(E1140="BE",2,(IF(E1140="GV",3,(IF(E1140="RA",4,(IF(E1140="RM",5,(IF(E1140="AC",1,(IF(E1140="AT",2,(IF(E1140="DS",3,(IF(E1140="IP",4,(IF(E1140="MA",5,(IF(E1140="PT",6,(IF(E1140="AE",1,(IF(E1140="CM",2,(IF(E1140="DP",3,(IF(E1140="AN",1,(IF(E1140="CO",2,(IF(E1140="IM",3,(IF(E1140="MI",4,(IF(E1140="RP",5,(IF(E1140="SC",6,0)))))))))))))))))))))))))))))))))))))))</f>
        <v>1</v>
      </c>
      <c r="G1140" s="98">
        <v>2</v>
      </c>
      <c r="H1140" s="90" t="s">
        <v>115</v>
      </c>
      <c r="I1140" s="93" t="s">
        <v>92</v>
      </c>
      <c r="J1140" s="88" t="s">
        <v>167</v>
      </c>
      <c r="K1140" s="102" t="s">
        <v>5226</v>
      </c>
      <c r="L1140" s="117">
        <f>IF(O1140="","",N1140*O1140*M1140)</f>
        <v>0</v>
      </c>
      <c r="M1140" s="108">
        <v>1</v>
      </c>
      <c r="N1140" s="95">
        <v>1</v>
      </c>
      <c r="O1140" s="109">
        <f>IF(Key!D$1="ON",P1140,IF(SUM(Q1140:DL1140)&lt;1,"",SUM(Q1140:DL1140)/COUNTIF(Q1140:DL1140,"&gt;0")))</f>
        <v>0</v>
      </c>
      <c r="P1140" s="109">
        <f>SUMIFS(Q1140:DK1140,Q$1:DK$1,Dashboard!$K$31)</f>
        <v>0</v>
      </c>
      <c r="U1140" s="95">
        <v>33</v>
      </c>
      <c r="AA1140" s="95">
        <v>25</v>
      </c>
      <c r="AH1140" s="95">
        <v>75</v>
      </c>
    </row>
    <row r="1141" spans="1:34" ht="15.6" x14ac:dyDescent="0.3">
      <c r="A1141" s="89" t="str">
        <f>CONCATENATE(D1141,".",F1141,"-",G1141,".",H1141,"")</f>
        <v>2.1-2.1</v>
      </c>
      <c r="B1141" s="89" t="str">
        <f>IF(CONCATENATE(I1141,Key!F$2)=CONCATENATE(INDEX(Dashboard!J:J,MATCH(I1141,Dashboard!J:J,0),1),INDEX(Dashboard!J:K,MATCH(I1141,Dashboard!J:J,0),2)),"ON",IF(Dashboard!K$32="ALL","ON","-"))</f>
        <v>-</v>
      </c>
      <c r="C1141" s="88" t="s">
        <v>152</v>
      </c>
      <c r="D1141" s="89">
        <f>IF(C1141="ID",1,(IF(C1141="PR",2,(IF(C1141="DE",3,(IF(C1141="RS",4,(IF(C1141="RC",5,0)))))))))</f>
        <v>2</v>
      </c>
      <c r="E1141" s="89" t="s">
        <v>153</v>
      </c>
      <c r="F1141" s="89">
        <f>IF(E1141="AM",1,(IF(E1141="BE",2,(IF(E1141="GV",3,(IF(E1141="RA",4,(IF(E1141="RM",5,(IF(E1141="AC",1,(IF(E1141="AT",2,(IF(E1141="DS",3,(IF(E1141="IP",4,(IF(E1141="MA",5,(IF(E1141="PT",6,(IF(E1141="AE",1,(IF(E1141="CM",2,(IF(E1141="DP",3,(IF(E1141="AN",1,(IF(E1141="CO",2,(IF(E1141="IM",3,(IF(E1141="MI",4,(IF(E1141="RP",5,(IF(E1141="SC",6,0)))))))))))))))))))))))))))))))))))))))</f>
        <v>1</v>
      </c>
      <c r="G1141" s="52">
        <v>2</v>
      </c>
      <c r="H1141" s="90" t="s">
        <v>115</v>
      </c>
      <c r="I1141" s="93" t="s">
        <v>92</v>
      </c>
      <c r="J1141" s="88" t="s">
        <v>168</v>
      </c>
      <c r="K1141" s="102" t="s">
        <v>5226</v>
      </c>
      <c r="L1141" s="117">
        <f>IF(O1141="","",N1141*O1141*M1141)</f>
        <v>0</v>
      </c>
      <c r="M1141" s="108">
        <v>1</v>
      </c>
      <c r="N1141" s="95">
        <v>1</v>
      </c>
      <c r="O1141" s="109">
        <f>IF(Key!D$1="ON",P1141,IF(SUM(Q1141:DL1141)&lt;1,"",SUM(Q1141:DL1141)/COUNTIF(Q1141:DL1141,"&gt;0")))</f>
        <v>0</v>
      </c>
      <c r="P1141" s="109">
        <f>SUMIFS(Q1141:DK1141,Q$1:DK$1,Dashboard!$K$31)</f>
        <v>0</v>
      </c>
      <c r="U1141" s="95">
        <v>33</v>
      </c>
      <c r="AA1141" s="95">
        <v>25</v>
      </c>
      <c r="AH1141" s="95">
        <v>75</v>
      </c>
    </row>
    <row r="1142" spans="1:34" x14ac:dyDescent="0.3">
      <c r="A1142" s="89" t="str">
        <f>CONCATENATE(D1142,".",F1142,"-",G1142,".",H1142,"")</f>
        <v>2.1-2.2</v>
      </c>
      <c r="B1142" s="89" t="str">
        <f>IF(CONCATENATE(I1142,Key!F$2)=CONCATENATE(INDEX(Dashboard!J:J,MATCH(I1142,Dashboard!J:J,0),1),INDEX(Dashboard!J:K,MATCH(I1142,Dashboard!J:J,0),2)),"ON",IF(Dashboard!K$32="ALL","ON","-"))</f>
        <v>-</v>
      </c>
      <c r="C1142" s="88" t="s">
        <v>152</v>
      </c>
      <c r="D1142" s="89">
        <f>IF(C1142="ID",1,(IF(C1142="PR",2,(IF(C1142="DE",3,(IF(C1142="RS",4,(IF(C1142="RC",5,0)))))))))</f>
        <v>2</v>
      </c>
      <c r="E1142" s="89" t="s">
        <v>153</v>
      </c>
      <c r="F1142" s="89">
        <f>IF(E1142="AM",1,(IF(E1142="BE",2,(IF(E1142="GV",3,(IF(E1142="RA",4,(IF(E1142="RM",5,(IF(E1142="AC",1,(IF(E1142="AT",2,(IF(E1142="DS",3,(IF(E1142="IP",4,(IF(E1142="MA",5,(IF(E1142="PT",6,(IF(E1142="AE",1,(IF(E1142="CM",2,(IF(E1142="DP",3,(IF(E1142="AN",1,(IF(E1142="CO",2,(IF(E1142="IM",3,(IF(E1142="MI",4,(IF(E1142="RP",5,(IF(E1142="SC",6,0)))))))))))))))))))))))))))))))))))))))</f>
        <v>1</v>
      </c>
      <c r="G1142" s="52">
        <v>2</v>
      </c>
      <c r="H1142" s="90" t="s">
        <v>112</v>
      </c>
      <c r="I1142" s="93" t="s">
        <v>60</v>
      </c>
      <c r="J1142" s="87" t="s">
        <v>3172</v>
      </c>
      <c r="K1142" s="51" t="s">
        <v>5285</v>
      </c>
      <c r="L1142" s="117">
        <f>IF(O1142="","",N1142*O1142*M1142)</f>
        <v>0</v>
      </c>
      <c r="M1142" s="108">
        <v>1</v>
      </c>
      <c r="N1142" s="95">
        <v>1</v>
      </c>
      <c r="O1142" s="109">
        <f>IF(Key!D$1="ON",P1142,IF(SUM(Q1142:DL1142)&lt;1,"",SUM(Q1142:DL1142)/COUNTIF(Q1142:DL1142,"&gt;0")))</f>
        <v>0</v>
      </c>
      <c r="P1142" s="109">
        <f>SUMIFS(Q1142:DK1142,Q$1:DK$1,Dashboard!$K$31)</f>
        <v>0</v>
      </c>
      <c r="U1142" s="95">
        <v>33</v>
      </c>
      <c r="AA1142" s="95">
        <v>25</v>
      </c>
      <c r="AH1142" s="95">
        <v>75</v>
      </c>
    </row>
    <row r="1143" spans="1:34" ht="15.6" x14ac:dyDescent="0.3">
      <c r="A1143" s="89" t="str">
        <f>CONCATENATE(D1143,".",F1143,"-",G1143,".",H1143,"")</f>
        <v>2.1-2.2</v>
      </c>
      <c r="B1143" s="89" t="str">
        <f>IF(CONCATENATE(I1143,Key!F$2)=CONCATENATE(INDEX(Dashboard!J:J,MATCH(I1143,Dashboard!J:J,0),1),INDEX(Dashboard!J:K,MATCH(I1143,Dashboard!J:J,0),2)),"ON",IF(Dashboard!K$32="ALL","ON","-"))</f>
        <v>-</v>
      </c>
      <c r="C1143" s="88" t="s">
        <v>152</v>
      </c>
      <c r="D1143" s="89">
        <f>IF(C1143="ID",1,(IF(C1143="PR",2,(IF(C1143="DE",3,(IF(C1143="RS",4,(IF(C1143="RC",5,0)))))))))</f>
        <v>2</v>
      </c>
      <c r="E1143" s="89" t="s">
        <v>153</v>
      </c>
      <c r="F1143" s="89">
        <f>IF(E1143="AM",1,(IF(E1143="BE",2,(IF(E1143="GV",3,(IF(E1143="RA",4,(IF(E1143="RM",5,(IF(E1143="AC",1,(IF(E1143="AT",2,(IF(E1143="DS",3,(IF(E1143="IP",4,(IF(E1143="MA",5,(IF(E1143="PT",6,(IF(E1143="AE",1,(IF(E1143="CM",2,(IF(E1143="DP",3,(IF(E1143="AN",1,(IF(E1143="CO",2,(IF(E1143="IM",3,(IF(E1143="MI",4,(IF(E1143="RP",5,(IF(E1143="SC",6,0)))))))))))))))))))))))))))))))))))))))</f>
        <v>1</v>
      </c>
      <c r="G1143" s="52">
        <v>2</v>
      </c>
      <c r="H1143" s="90" t="s">
        <v>112</v>
      </c>
      <c r="I1143" s="93" t="s">
        <v>60</v>
      </c>
      <c r="J1143" s="87" t="s">
        <v>3173</v>
      </c>
      <c r="K1143" s="51" t="s">
        <v>5286</v>
      </c>
      <c r="L1143" s="117">
        <f>IF(O1143="","",N1143*O1143*M1143)</f>
        <v>0</v>
      </c>
      <c r="M1143" s="108">
        <v>1</v>
      </c>
      <c r="N1143" s="95">
        <v>1</v>
      </c>
      <c r="O1143" s="109">
        <f>IF(Key!D$1="ON",P1143,IF(SUM(Q1143:DL1143)&lt;1,"",SUM(Q1143:DL1143)/COUNTIF(Q1143:DL1143,"&gt;0")))</f>
        <v>0</v>
      </c>
      <c r="P1143" s="109">
        <f>SUMIFS(Q1143:DK1143,Q$1:DK$1,Dashboard!$K$31)</f>
        <v>0</v>
      </c>
      <c r="U1143" s="95">
        <v>33</v>
      </c>
      <c r="AA1143" s="95">
        <v>25</v>
      </c>
      <c r="AH1143" s="95">
        <v>75</v>
      </c>
    </row>
    <row r="1144" spans="1:34" ht="15.6" x14ac:dyDescent="0.3">
      <c r="A1144" s="89" t="str">
        <f>CONCATENATE(D1144,".",F1144,"-",G1144,".",H1144,"")</f>
        <v>2.1-2.2</v>
      </c>
      <c r="B1144" s="89" t="str">
        <f>IF(CONCATENATE(I1144,Key!F$2)=CONCATENATE(INDEX(Dashboard!J:J,MATCH(I1144,Dashboard!J:J,0),1),INDEX(Dashboard!J:K,MATCH(I1144,Dashboard!J:J,0),2)),"ON",IF(Dashboard!K$32="ALL","ON","-"))</f>
        <v>-</v>
      </c>
      <c r="C1144" s="88" t="s">
        <v>152</v>
      </c>
      <c r="D1144" s="89">
        <f>IF(C1144="ID",1,(IF(C1144="PR",2,(IF(C1144="DE",3,(IF(C1144="RS",4,(IF(C1144="RC",5,0)))))))))</f>
        <v>2</v>
      </c>
      <c r="E1144" s="89" t="s">
        <v>153</v>
      </c>
      <c r="F1144" s="89">
        <f>IF(E1144="AM",1,(IF(E1144="BE",2,(IF(E1144="GV",3,(IF(E1144="RA",4,(IF(E1144="RM",5,(IF(E1144="AC",1,(IF(E1144="AT",2,(IF(E1144="DS",3,(IF(E1144="IP",4,(IF(E1144="MA",5,(IF(E1144="PT",6,(IF(E1144="AE",1,(IF(E1144="CM",2,(IF(E1144="DP",3,(IF(E1144="AN",1,(IF(E1144="CO",2,(IF(E1144="IM",3,(IF(E1144="MI",4,(IF(E1144="RP",5,(IF(E1144="SC",6,0)))))))))))))))))))))))))))))))))))))))</f>
        <v>1</v>
      </c>
      <c r="G1144" s="52">
        <v>2</v>
      </c>
      <c r="H1144" s="90" t="s">
        <v>112</v>
      </c>
      <c r="I1144" s="93" t="s">
        <v>60</v>
      </c>
      <c r="J1144" s="87" t="s">
        <v>3174</v>
      </c>
      <c r="K1144" s="51" t="s">
        <v>5287</v>
      </c>
      <c r="L1144" s="117">
        <f>IF(O1144="","",N1144*O1144*M1144)</f>
        <v>0</v>
      </c>
      <c r="M1144" s="108">
        <v>1</v>
      </c>
      <c r="N1144" s="95">
        <v>1</v>
      </c>
      <c r="O1144" s="109">
        <f>IF(Key!D$1="ON",P1144,IF(SUM(Q1144:DL1144)&lt;1,"",SUM(Q1144:DL1144)/COUNTIF(Q1144:DL1144,"&gt;0")))</f>
        <v>0</v>
      </c>
      <c r="P1144" s="109">
        <f>SUMIFS(Q1144:DK1144,Q$1:DK$1,Dashboard!$K$31)</f>
        <v>0</v>
      </c>
      <c r="U1144" s="95">
        <v>33</v>
      </c>
      <c r="AA1144" s="95">
        <v>25</v>
      </c>
      <c r="AH1144" s="95">
        <v>75</v>
      </c>
    </row>
    <row r="1145" spans="1:34" ht="15.6" x14ac:dyDescent="0.3">
      <c r="A1145" s="89" t="str">
        <f>CONCATENATE(D1145,".",F1145,"-",G1145,".",H1145,"")</f>
        <v>2.1-2.2</v>
      </c>
      <c r="B1145" s="89" t="str">
        <f>IF(CONCATENATE(I1145,Key!F$2)=CONCATENATE(INDEX(Dashboard!J:J,MATCH(I1145,Dashboard!J:J,0),1),INDEX(Dashboard!J:K,MATCH(I1145,Dashboard!J:J,0),2)),"ON",IF(Dashboard!K$32="ALL","ON","-"))</f>
        <v>-</v>
      </c>
      <c r="C1145" s="88" t="s">
        <v>152</v>
      </c>
      <c r="D1145" s="89">
        <f>IF(C1145="ID",1,(IF(C1145="PR",2,(IF(C1145="DE",3,(IF(C1145="RS",4,(IF(C1145="RC",5,0)))))))))</f>
        <v>2</v>
      </c>
      <c r="E1145" s="89" t="s">
        <v>153</v>
      </c>
      <c r="F1145" s="89">
        <f>IF(E1145="AM",1,(IF(E1145="BE",2,(IF(E1145="GV",3,(IF(E1145="RA",4,(IF(E1145="RM",5,(IF(E1145="AC",1,(IF(E1145="AT",2,(IF(E1145="DS",3,(IF(E1145="IP",4,(IF(E1145="MA",5,(IF(E1145="PT",6,(IF(E1145="AE",1,(IF(E1145="CM",2,(IF(E1145="DP",3,(IF(E1145="AN",1,(IF(E1145="CO",2,(IF(E1145="IM",3,(IF(E1145="MI",4,(IF(E1145="RP",5,(IF(E1145="SC",6,0)))))))))))))))))))))))))))))))))))))))</f>
        <v>1</v>
      </c>
      <c r="G1145" s="52">
        <v>2</v>
      </c>
      <c r="H1145" s="90" t="s">
        <v>112</v>
      </c>
      <c r="I1145" s="93" t="s">
        <v>60</v>
      </c>
      <c r="J1145" s="87" t="s">
        <v>3175</v>
      </c>
      <c r="K1145" s="51" t="s">
        <v>5288</v>
      </c>
      <c r="L1145" s="117">
        <f>IF(O1145="","",N1145*O1145*M1145)</f>
        <v>0</v>
      </c>
      <c r="M1145" s="108">
        <v>1</v>
      </c>
      <c r="N1145" s="95">
        <v>1</v>
      </c>
      <c r="O1145" s="109">
        <f>IF(Key!D$1="ON",P1145,IF(SUM(Q1145:DL1145)&lt;1,"",SUM(Q1145:DL1145)/COUNTIF(Q1145:DL1145,"&gt;0")))</f>
        <v>0</v>
      </c>
      <c r="P1145" s="109">
        <f>SUMIFS(Q1145:DK1145,Q$1:DK$1,Dashboard!$K$31)</f>
        <v>0</v>
      </c>
      <c r="U1145" s="95">
        <v>33</v>
      </c>
      <c r="AA1145" s="95">
        <v>25</v>
      </c>
      <c r="AH1145" s="95">
        <v>75</v>
      </c>
    </row>
    <row r="1146" spans="1:34" ht="15.6" x14ac:dyDescent="0.3">
      <c r="A1146" s="89" t="str">
        <f>CONCATENATE(D1146,".",F1146,"-",G1146,".",H1146,"")</f>
        <v>2.1-2.2</v>
      </c>
      <c r="B1146" s="89" t="str">
        <f>IF(CONCATENATE(I1146,Key!F$2)=CONCATENATE(INDEX(Dashboard!J:J,MATCH(I1146,Dashboard!J:J,0),1),INDEX(Dashboard!J:K,MATCH(I1146,Dashboard!J:J,0),2)),"ON",IF(Dashboard!K$32="ALL","ON","-"))</f>
        <v>-</v>
      </c>
      <c r="C1146" s="88" t="s">
        <v>152</v>
      </c>
      <c r="D1146" s="89">
        <f>IF(C1146="ID",1,(IF(C1146="PR",2,(IF(C1146="DE",3,(IF(C1146="RS",4,(IF(C1146="RC",5,0)))))))))</f>
        <v>2</v>
      </c>
      <c r="E1146" s="89" t="s">
        <v>153</v>
      </c>
      <c r="F1146" s="89">
        <f>IF(E1146="AM",1,(IF(E1146="BE",2,(IF(E1146="GV",3,(IF(E1146="RA",4,(IF(E1146="RM",5,(IF(E1146="AC",1,(IF(E1146="AT",2,(IF(E1146="DS",3,(IF(E1146="IP",4,(IF(E1146="MA",5,(IF(E1146="PT",6,(IF(E1146="AE",1,(IF(E1146="CM",2,(IF(E1146="DP",3,(IF(E1146="AN",1,(IF(E1146="CO",2,(IF(E1146="IM",3,(IF(E1146="MI",4,(IF(E1146="RP",5,(IF(E1146="SC",6,0)))))))))))))))))))))))))))))))))))))))</f>
        <v>1</v>
      </c>
      <c r="G1146" s="52">
        <v>2</v>
      </c>
      <c r="H1146" s="90" t="s">
        <v>112</v>
      </c>
      <c r="I1146" s="93" t="s">
        <v>60</v>
      </c>
      <c r="J1146" s="87" t="s">
        <v>3176</v>
      </c>
      <c r="K1146" s="51" t="s">
        <v>5289</v>
      </c>
      <c r="L1146" s="117">
        <f>IF(O1146="","",N1146*O1146*M1146)</f>
        <v>0</v>
      </c>
      <c r="M1146" s="108">
        <v>1</v>
      </c>
      <c r="N1146" s="95">
        <v>1</v>
      </c>
      <c r="O1146" s="109">
        <f>IF(Key!D$1="ON",P1146,IF(SUM(Q1146:DL1146)&lt;1,"",SUM(Q1146:DL1146)/COUNTIF(Q1146:DL1146,"&gt;0")))</f>
        <v>0</v>
      </c>
      <c r="P1146" s="109">
        <f>SUMIFS(Q1146:DK1146,Q$1:DK$1,Dashboard!$K$31)</f>
        <v>0</v>
      </c>
      <c r="U1146" s="95">
        <v>33</v>
      </c>
      <c r="AA1146" s="95">
        <v>25</v>
      </c>
      <c r="AH1146" s="95">
        <v>75</v>
      </c>
    </row>
    <row r="1147" spans="1:34" ht="15.6" x14ac:dyDescent="0.3">
      <c r="A1147" s="89" t="str">
        <f>CONCATENATE(D1147,".",F1147,"-",G1147,".",H1147,"")</f>
        <v>2.1-2.2</v>
      </c>
      <c r="B1147" s="89" t="str">
        <f>IF(CONCATENATE(I1147,Key!F$2)=CONCATENATE(INDEX(Dashboard!J:J,MATCH(I1147,Dashboard!J:J,0),1),INDEX(Dashboard!J:K,MATCH(I1147,Dashboard!J:J,0),2)),"ON",IF(Dashboard!K$32="ALL","ON","-"))</f>
        <v>-</v>
      </c>
      <c r="C1147" s="88" t="s">
        <v>152</v>
      </c>
      <c r="D1147" s="89">
        <f>IF(C1147="ID",1,(IF(C1147="PR",2,(IF(C1147="DE",3,(IF(C1147="RS",4,(IF(C1147="RC",5,0)))))))))</f>
        <v>2</v>
      </c>
      <c r="E1147" s="89" t="s">
        <v>153</v>
      </c>
      <c r="F1147" s="89">
        <f>IF(E1147="AM",1,(IF(E1147="BE",2,(IF(E1147="GV",3,(IF(E1147="RA",4,(IF(E1147="RM",5,(IF(E1147="AC",1,(IF(E1147="AT",2,(IF(E1147="DS",3,(IF(E1147="IP",4,(IF(E1147="MA",5,(IF(E1147="PT",6,(IF(E1147="AE",1,(IF(E1147="CM",2,(IF(E1147="DP",3,(IF(E1147="AN",1,(IF(E1147="CO",2,(IF(E1147="IM",3,(IF(E1147="MI",4,(IF(E1147="RP",5,(IF(E1147="SC",6,0)))))))))))))))))))))))))))))))))))))))</f>
        <v>1</v>
      </c>
      <c r="G1147" s="52">
        <v>2</v>
      </c>
      <c r="H1147" s="90" t="s">
        <v>112</v>
      </c>
      <c r="I1147" s="93" t="s">
        <v>60</v>
      </c>
      <c r="J1147" s="87" t="s">
        <v>3177</v>
      </c>
      <c r="K1147" s="51" t="s">
        <v>5290</v>
      </c>
      <c r="L1147" s="117">
        <f>IF(O1147="","",N1147*O1147*M1147)</f>
        <v>0</v>
      </c>
      <c r="M1147" s="108">
        <v>1</v>
      </c>
      <c r="N1147" s="95">
        <v>1</v>
      </c>
      <c r="O1147" s="109">
        <f>IF(Key!D$1="ON",P1147,IF(SUM(Q1147:DL1147)&lt;1,"",SUM(Q1147:DL1147)/COUNTIF(Q1147:DL1147,"&gt;0")))</f>
        <v>0</v>
      </c>
      <c r="P1147" s="109">
        <f>SUMIFS(Q1147:DK1147,Q$1:DK$1,Dashboard!$K$31)</f>
        <v>0</v>
      </c>
      <c r="U1147" s="95">
        <v>33</v>
      </c>
      <c r="AA1147" s="95">
        <v>25</v>
      </c>
      <c r="AH1147" s="95">
        <v>75</v>
      </c>
    </row>
    <row r="1148" spans="1:34" ht="15.6" x14ac:dyDescent="0.3">
      <c r="A1148" s="89" t="str">
        <f>CONCATENATE(D1148,".",F1148,"-",G1148,".",H1148,"")</f>
        <v>2.1-2.2</v>
      </c>
      <c r="B1148" s="89" t="str">
        <f>IF(CONCATENATE(I1148,Key!F$2)=CONCATENATE(INDEX(Dashboard!J:J,MATCH(I1148,Dashboard!J:J,0),1),INDEX(Dashboard!J:K,MATCH(I1148,Dashboard!J:J,0),2)),"ON",IF(Dashboard!K$32="ALL","ON","-"))</f>
        <v>-</v>
      </c>
      <c r="C1148" s="88" t="s">
        <v>152</v>
      </c>
      <c r="D1148" s="89">
        <f>IF(C1148="ID",1,(IF(C1148="PR",2,(IF(C1148="DE",3,(IF(C1148="RS",4,(IF(C1148="RC",5,0)))))))))</f>
        <v>2</v>
      </c>
      <c r="E1148" s="89" t="s">
        <v>153</v>
      </c>
      <c r="F1148" s="89">
        <f>IF(E1148="AM",1,(IF(E1148="BE",2,(IF(E1148="GV",3,(IF(E1148="RA",4,(IF(E1148="RM",5,(IF(E1148="AC",1,(IF(E1148="AT",2,(IF(E1148="DS",3,(IF(E1148="IP",4,(IF(E1148="MA",5,(IF(E1148="PT",6,(IF(E1148="AE",1,(IF(E1148="CM",2,(IF(E1148="DP",3,(IF(E1148="AN",1,(IF(E1148="CO",2,(IF(E1148="IM",3,(IF(E1148="MI",4,(IF(E1148="RP",5,(IF(E1148="SC",6,0)))))))))))))))))))))))))))))))))))))))</f>
        <v>1</v>
      </c>
      <c r="G1148" s="52">
        <v>2</v>
      </c>
      <c r="H1148" s="90" t="s">
        <v>112</v>
      </c>
      <c r="I1148" s="93" t="s">
        <v>60</v>
      </c>
      <c r="J1148" s="87" t="s">
        <v>3178</v>
      </c>
      <c r="K1148" s="51" t="s">
        <v>5291</v>
      </c>
      <c r="L1148" s="117">
        <f>IF(O1148="","",N1148*O1148*M1148)</f>
        <v>0</v>
      </c>
      <c r="M1148" s="108">
        <v>1</v>
      </c>
      <c r="N1148" s="95">
        <v>1</v>
      </c>
      <c r="O1148" s="109">
        <f>IF(Key!D$1="ON",P1148,IF(SUM(Q1148:DL1148)&lt;1,"",SUM(Q1148:DL1148)/COUNTIF(Q1148:DL1148,"&gt;0")))</f>
        <v>0</v>
      </c>
      <c r="P1148" s="109">
        <f>SUMIFS(Q1148:DK1148,Q$1:DK$1,Dashboard!$K$31)</f>
        <v>0</v>
      </c>
      <c r="U1148" s="95">
        <v>33</v>
      </c>
      <c r="AA1148" s="95">
        <v>25</v>
      </c>
      <c r="AH1148" s="95">
        <v>75</v>
      </c>
    </row>
    <row r="1149" spans="1:34" ht="15.6" x14ac:dyDescent="0.3">
      <c r="A1149" s="89" t="str">
        <f>CONCATENATE(D1149,".",F1149,"-",G1149,".",H1149,"")</f>
        <v>2.1-2.2</v>
      </c>
      <c r="B1149" s="89" t="str">
        <f>IF(CONCATENATE(I1149,Key!F$2)=CONCATENATE(INDEX(Dashboard!J:J,MATCH(I1149,Dashboard!J:J,0),1),INDEX(Dashboard!J:K,MATCH(I1149,Dashboard!J:J,0),2)),"ON",IF(Dashboard!K$32="ALL","ON","-"))</f>
        <v>-</v>
      </c>
      <c r="C1149" s="88" t="s">
        <v>152</v>
      </c>
      <c r="D1149" s="89">
        <f>IF(C1149="ID",1,(IF(C1149="PR",2,(IF(C1149="DE",3,(IF(C1149="RS",4,(IF(C1149="RC",5,0)))))))))</f>
        <v>2</v>
      </c>
      <c r="E1149" s="89" t="s">
        <v>153</v>
      </c>
      <c r="F1149" s="89">
        <f>IF(E1149="AM",1,(IF(E1149="BE",2,(IF(E1149="GV",3,(IF(E1149="RA",4,(IF(E1149="RM",5,(IF(E1149="AC",1,(IF(E1149="AT",2,(IF(E1149="DS",3,(IF(E1149="IP",4,(IF(E1149="MA",5,(IF(E1149="PT",6,(IF(E1149="AE",1,(IF(E1149="CM",2,(IF(E1149="DP",3,(IF(E1149="AN",1,(IF(E1149="CO",2,(IF(E1149="IM",3,(IF(E1149="MI",4,(IF(E1149="RP",5,(IF(E1149="SC",6,0)))))))))))))))))))))))))))))))))))))))</f>
        <v>1</v>
      </c>
      <c r="G1149" s="52">
        <v>2</v>
      </c>
      <c r="H1149" s="90" t="s">
        <v>112</v>
      </c>
      <c r="I1149" s="93" t="s">
        <v>64</v>
      </c>
      <c r="J1149" s="87" t="s">
        <v>1221</v>
      </c>
      <c r="K1149" s="102" t="s">
        <v>2243</v>
      </c>
      <c r="L1149" s="117">
        <f>IF(O1149="","",N1149*O1149*M1149)</f>
        <v>0</v>
      </c>
      <c r="M1149" s="108">
        <v>1</v>
      </c>
      <c r="N1149" s="95">
        <v>1</v>
      </c>
      <c r="O1149" s="109">
        <f>IF(Key!D$1="ON",P1149,IF(SUM(Q1149:DL1149)&lt;1,"",SUM(Q1149:DL1149)/COUNTIF(Q1149:DL1149,"&gt;0")))</f>
        <v>0</v>
      </c>
      <c r="P1149" s="109">
        <f>SUMIFS(Q1149:DK1149,Q$1:DK$1,Dashboard!$K$31)</f>
        <v>0</v>
      </c>
      <c r="U1149" s="95">
        <v>33</v>
      </c>
      <c r="AA1149" s="95">
        <v>25</v>
      </c>
      <c r="AH1149" s="95">
        <v>75</v>
      </c>
    </row>
    <row r="1150" spans="1:34" ht="15.6" x14ac:dyDescent="0.3">
      <c r="A1150" s="89" t="str">
        <f>CONCATENATE(D1150,".",F1150,"-",G1150,".",H1150,"")</f>
        <v>2.1-2.2</v>
      </c>
      <c r="B1150" s="89" t="str">
        <f>IF(CONCATENATE(I1150,Key!F$2)=CONCATENATE(INDEX(Dashboard!J:J,MATCH(I1150,Dashboard!J:J,0),1),INDEX(Dashboard!J:K,MATCH(I1150,Dashboard!J:J,0),2)),"ON",IF(Dashboard!K$32="ALL","ON","-"))</f>
        <v>-</v>
      </c>
      <c r="C1150" s="88" t="s">
        <v>152</v>
      </c>
      <c r="D1150" s="89">
        <f>IF(C1150="ID",1,(IF(C1150="PR",2,(IF(C1150="DE",3,(IF(C1150="RS",4,(IF(C1150="RC",5,0)))))))))</f>
        <v>2</v>
      </c>
      <c r="E1150" s="89" t="s">
        <v>153</v>
      </c>
      <c r="F1150" s="89">
        <f>IF(E1150="AM",1,(IF(E1150="BE",2,(IF(E1150="GV",3,(IF(E1150="RA",4,(IF(E1150="RM",5,(IF(E1150="AC",1,(IF(E1150="AT",2,(IF(E1150="DS",3,(IF(E1150="IP",4,(IF(E1150="MA",5,(IF(E1150="PT",6,(IF(E1150="AE",1,(IF(E1150="CM",2,(IF(E1150="DP",3,(IF(E1150="AN",1,(IF(E1150="CO",2,(IF(E1150="IM",3,(IF(E1150="MI",4,(IF(E1150="RP",5,(IF(E1150="SC",6,0)))))))))))))))))))))))))))))))))))))))</f>
        <v>1</v>
      </c>
      <c r="G1150" s="52">
        <v>2</v>
      </c>
      <c r="H1150" s="90" t="s">
        <v>112</v>
      </c>
      <c r="I1150" s="93" t="s">
        <v>64</v>
      </c>
      <c r="J1150" s="86" t="s">
        <v>1128</v>
      </c>
      <c r="K1150" s="103" t="s">
        <v>2161</v>
      </c>
      <c r="L1150" s="117">
        <f>IF(O1150="","",N1150*O1150*M1150)</f>
        <v>0</v>
      </c>
      <c r="M1150" s="108">
        <v>1</v>
      </c>
      <c r="N1150" s="95">
        <v>1</v>
      </c>
      <c r="O1150" s="109">
        <f>IF(Key!D$1="ON",P1150,IF(SUM(Q1150:DL1150)&lt;1,"",SUM(Q1150:DL1150)/COUNTIF(Q1150:DL1150,"&gt;0")))</f>
        <v>0</v>
      </c>
      <c r="P1150" s="109">
        <f>SUMIFS(Q1150:DK1150,Q$1:DK$1,Dashboard!$K$31)</f>
        <v>0</v>
      </c>
      <c r="U1150" s="95">
        <v>33</v>
      </c>
      <c r="AA1150" s="95">
        <v>25</v>
      </c>
      <c r="AH1150" s="95">
        <v>75</v>
      </c>
    </row>
    <row r="1151" spans="1:34" ht="15.6" x14ac:dyDescent="0.3">
      <c r="A1151" s="89" t="str">
        <f>CONCATENATE(D1151,".",F1151,"-",G1151,".",H1151,"")</f>
        <v>2.1-2.2</v>
      </c>
      <c r="B1151" s="89" t="str">
        <f>IF(CONCATENATE(I1151,Key!F$2)=CONCATENATE(INDEX(Dashboard!J:J,MATCH(I1151,Dashboard!J:J,0),1),INDEX(Dashboard!J:K,MATCH(I1151,Dashboard!J:J,0),2)),"ON",IF(Dashboard!K$32="ALL","ON","-"))</f>
        <v>-</v>
      </c>
      <c r="C1151" s="88" t="s">
        <v>152</v>
      </c>
      <c r="D1151" s="89">
        <f>IF(C1151="ID",1,(IF(C1151="PR",2,(IF(C1151="DE",3,(IF(C1151="RS",4,(IF(C1151="RC",5,0)))))))))</f>
        <v>2</v>
      </c>
      <c r="E1151" s="89" t="s">
        <v>153</v>
      </c>
      <c r="F1151" s="89">
        <f>IF(E1151="AM",1,(IF(E1151="BE",2,(IF(E1151="GV",3,(IF(E1151="RA",4,(IF(E1151="RM",5,(IF(E1151="AC",1,(IF(E1151="AT",2,(IF(E1151="DS",3,(IF(E1151="IP",4,(IF(E1151="MA",5,(IF(E1151="PT",6,(IF(E1151="AE",1,(IF(E1151="CM",2,(IF(E1151="DP",3,(IF(E1151="AN",1,(IF(E1151="CO",2,(IF(E1151="IM",3,(IF(E1151="MI",4,(IF(E1151="RP",5,(IF(E1151="SC",6,0)))))))))))))))))))))))))))))))))))))))</f>
        <v>1</v>
      </c>
      <c r="G1151" s="52">
        <v>2</v>
      </c>
      <c r="H1151" s="90" t="s">
        <v>112</v>
      </c>
      <c r="I1151" s="93" t="s">
        <v>64</v>
      </c>
      <c r="J1151" s="86" t="s">
        <v>1147</v>
      </c>
      <c r="K1151" s="103" t="s">
        <v>2179</v>
      </c>
      <c r="L1151" s="117">
        <f>IF(O1151="","",N1151*O1151*M1151)</f>
        <v>0</v>
      </c>
      <c r="M1151" s="108">
        <v>1</v>
      </c>
      <c r="N1151" s="95">
        <v>1</v>
      </c>
      <c r="O1151" s="109">
        <f>IF(Key!D$1="ON",P1151,IF(SUM(Q1151:DL1151)&lt;1,"",SUM(Q1151:DL1151)/COUNTIF(Q1151:DL1151,"&gt;0")))</f>
        <v>0</v>
      </c>
      <c r="P1151" s="109">
        <f>SUMIFS(Q1151:DK1151,Q$1:DK$1,Dashboard!$K$31)</f>
        <v>0</v>
      </c>
      <c r="U1151" s="95">
        <v>33</v>
      </c>
      <c r="AA1151" s="95">
        <v>25</v>
      </c>
      <c r="AH1151" s="95">
        <v>75</v>
      </c>
    </row>
    <row r="1152" spans="1:34" ht="15.6" x14ac:dyDescent="0.3">
      <c r="A1152" s="89" t="str">
        <f>CONCATENATE(D1152,".",F1152,"-",G1152,".",H1152,"")</f>
        <v>2.1-2.2</v>
      </c>
      <c r="B1152" s="89" t="str">
        <f>IF(CONCATENATE(I1152,Key!F$2)=CONCATENATE(INDEX(Dashboard!J:J,MATCH(I1152,Dashboard!J:J,0),1),INDEX(Dashboard!J:K,MATCH(I1152,Dashboard!J:J,0),2)),"ON",IF(Dashboard!K$32="ALL","ON","-"))</f>
        <v>-</v>
      </c>
      <c r="C1152" s="88" t="s">
        <v>152</v>
      </c>
      <c r="D1152" s="89">
        <f>IF(C1152="ID",1,(IF(C1152="PR",2,(IF(C1152="DE",3,(IF(C1152="RS",4,(IF(C1152="RC",5,0)))))))))</f>
        <v>2</v>
      </c>
      <c r="E1152" s="89" t="s">
        <v>153</v>
      </c>
      <c r="F1152" s="89">
        <f>IF(E1152="AM",1,(IF(E1152="BE",2,(IF(E1152="GV",3,(IF(E1152="RA",4,(IF(E1152="RM",5,(IF(E1152="AC",1,(IF(E1152="AT",2,(IF(E1152="DS",3,(IF(E1152="IP",4,(IF(E1152="MA",5,(IF(E1152="PT",6,(IF(E1152="AE",1,(IF(E1152="CM",2,(IF(E1152="DP",3,(IF(E1152="AN",1,(IF(E1152="CO",2,(IF(E1152="IM",3,(IF(E1152="MI",4,(IF(E1152="RP",5,(IF(E1152="SC",6,0)))))))))))))))))))))))))))))))))))))))</f>
        <v>1</v>
      </c>
      <c r="G1152" s="52">
        <v>2</v>
      </c>
      <c r="H1152" s="90" t="s">
        <v>112</v>
      </c>
      <c r="I1152" s="93" t="s">
        <v>64</v>
      </c>
      <c r="J1152" s="86" t="s">
        <v>1156</v>
      </c>
      <c r="K1152" s="103" t="s">
        <v>2187</v>
      </c>
      <c r="L1152" s="117">
        <f>IF(O1152="","",N1152*O1152*M1152)</f>
        <v>0</v>
      </c>
      <c r="M1152" s="108">
        <v>1</v>
      </c>
      <c r="N1152" s="95">
        <v>1</v>
      </c>
      <c r="O1152" s="109">
        <f>IF(Key!D$1="ON",P1152,IF(SUM(Q1152:DL1152)&lt;1,"",SUM(Q1152:DL1152)/COUNTIF(Q1152:DL1152,"&gt;0")))</f>
        <v>0</v>
      </c>
      <c r="P1152" s="109">
        <f>SUMIFS(Q1152:DK1152,Q$1:DK$1,Dashboard!$K$31)</f>
        <v>0</v>
      </c>
      <c r="U1152" s="95">
        <v>33</v>
      </c>
      <c r="AA1152" s="95">
        <v>25</v>
      </c>
      <c r="AH1152" s="95">
        <v>75</v>
      </c>
    </row>
    <row r="1153" spans="1:34" x14ac:dyDescent="0.3">
      <c r="A1153" s="89" t="str">
        <f>CONCATENATE(D1153,".",F1153,"-",G1153,".",H1153,"")</f>
        <v>2.1-2.2</v>
      </c>
      <c r="B1153" s="89" t="str">
        <f>IF(CONCATENATE(I1153,Key!F$2)=CONCATENATE(INDEX(Dashboard!J:J,MATCH(I1153,Dashboard!J:J,0),1),INDEX(Dashboard!J:K,MATCH(I1153,Dashboard!J:J,0),2)),"ON",IF(Dashboard!K$32="ALL","ON","-"))</f>
        <v>-</v>
      </c>
      <c r="C1153" s="88" t="s">
        <v>152</v>
      </c>
      <c r="D1153" s="89">
        <f>IF(C1153="ID",1,(IF(C1153="PR",2,(IF(C1153="DE",3,(IF(C1153="RS",4,(IF(C1153="RC",5,0)))))))))</f>
        <v>2</v>
      </c>
      <c r="E1153" s="89" t="s">
        <v>153</v>
      </c>
      <c r="F1153" s="89">
        <f>IF(E1153="AM",1,(IF(E1153="BE",2,(IF(E1153="GV",3,(IF(E1153="RA",4,(IF(E1153="RM",5,(IF(E1153="AC",1,(IF(E1153="AT",2,(IF(E1153="DS",3,(IF(E1153="IP",4,(IF(E1153="MA",5,(IF(E1153="PT",6,(IF(E1153="AE",1,(IF(E1153="CM",2,(IF(E1153="DP",3,(IF(E1153="AN",1,(IF(E1153="CO",2,(IF(E1153="IM",3,(IF(E1153="MI",4,(IF(E1153="RP",5,(IF(E1153="SC",6,0)))))))))))))))))))))))))))))))))))))))</f>
        <v>1</v>
      </c>
      <c r="G1153" s="52">
        <v>2</v>
      </c>
      <c r="H1153" s="90" t="s">
        <v>112</v>
      </c>
      <c r="I1153" s="93" t="s">
        <v>64</v>
      </c>
      <c r="J1153" s="86" t="s">
        <v>1172</v>
      </c>
      <c r="K1153" s="103" t="s">
        <v>2203</v>
      </c>
      <c r="L1153" s="117">
        <f>IF(O1153="","",N1153*O1153*M1153)</f>
        <v>0</v>
      </c>
      <c r="M1153" s="108">
        <v>1</v>
      </c>
      <c r="N1153" s="95">
        <v>1</v>
      </c>
      <c r="O1153" s="109">
        <f>IF(Key!D$1="ON",P1153,IF(SUM(Q1153:DL1153)&lt;1,"",SUM(Q1153:DL1153)/COUNTIF(Q1153:DL1153,"&gt;0")))</f>
        <v>0</v>
      </c>
      <c r="P1153" s="109">
        <f>SUMIFS(Q1153:DK1153,Q$1:DK$1,Dashboard!$K$31)</f>
        <v>0</v>
      </c>
      <c r="U1153" s="95">
        <v>33</v>
      </c>
      <c r="AA1153" s="95">
        <v>25</v>
      </c>
      <c r="AH1153" s="95">
        <v>75</v>
      </c>
    </row>
    <row r="1154" spans="1:34" x14ac:dyDescent="0.3">
      <c r="A1154" s="89" t="str">
        <f>CONCATENATE(D1154,".",F1154,"-",G1154,".",H1154,"")</f>
        <v>2.1-2.2</v>
      </c>
      <c r="B1154" s="89" t="str">
        <f>IF(CONCATENATE(I1154,Key!F$2)=CONCATENATE(INDEX(Dashboard!J:J,MATCH(I1154,Dashboard!J:J,0),1),INDEX(Dashboard!J:K,MATCH(I1154,Dashboard!J:J,0),2)),"ON",IF(Dashboard!K$32="ALL","ON","-"))</f>
        <v>-</v>
      </c>
      <c r="C1154" s="88" t="s">
        <v>152</v>
      </c>
      <c r="D1154" s="89">
        <f>IF(C1154="ID",1,(IF(C1154="PR",2,(IF(C1154="DE",3,(IF(C1154="RS",4,(IF(C1154="RC",5,0)))))))))</f>
        <v>2</v>
      </c>
      <c r="E1154" s="89" t="s">
        <v>153</v>
      </c>
      <c r="F1154" s="89">
        <f>IF(E1154="AM",1,(IF(E1154="BE",2,(IF(E1154="GV",3,(IF(E1154="RA",4,(IF(E1154="RM",5,(IF(E1154="AC",1,(IF(E1154="AT",2,(IF(E1154="DS",3,(IF(E1154="IP",4,(IF(E1154="MA",5,(IF(E1154="PT",6,(IF(E1154="AE",1,(IF(E1154="CM",2,(IF(E1154="DP",3,(IF(E1154="AN",1,(IF(E1154="CO",2,(IF(E1154="IM",3,(IF(E1154="MI",4,(IF(E1154="RP",5,(IF(E1154="SC",6,0)))))))))))))))))))))))))))))))))))))))</f>
        <v>1</v>
      </c>
      <c r="G1154" s="52">
        <v>2</v>
      </c>
      <c r="H1154" s="90" t="s">
        <v>112</v>
      </c>
      <c r="I1154" s="93" t="s">
        <v>64</v>
      </c>
      <c r="J1154" s="86" t="s">
        <v>1175</v>
      </c>
      <c r="K1154" s="103" t="s">
        <v>2205</v>
      </c>
      <c r="L1154" s="117">
        <f>IF(O1154="","",N1154*O1154*M1154)</f>
        <v>0</v>
      </c>
      <c r="M1154" s="108">
        <v>1</v>
      </c>
      <c r="N1154" s="95">
        <v>1</v>
      </c>
      <c r="O1154" s="109">
        <f>IF(Key!D$1="ON",P1154,IF(SUM(Q1154:DL1154)&lt;1,"",SUM(Q1154:DL1154)/COUNTIF(Q1154:DL1154,"&gt;0")))</f>
        <v>0</v>
      </c>
      <c r="P1154" s="109">
        <f>SUMIFS(Q1154:DK1154,Q$1:DK$1,Dashboard!$K$31)</f>
        <v>0</v>
      </c>
      <c r="U1154" s="95">
        <v>33</v>
      </c>
      <c r="AA1154" s="95">
        <v>25</v>
      </c>
      <c r="AH1154" s="95">
        <v>75</v>
      </c>
    </row>
    <row r="1155" spans="1:34" x14ac:dyDescent="0.3">
      <c r="A1155" s="89" t="str">
        <f>CONCATENATE(D1155,".",F1155,"-",G1155,".",H1155,"")</f>
        <v>2.1-2.2</v>
      </c>
      <c r="B1155" s="89" t="str">
        <f>IF(CONCATENATE(I1155,Key!F$2)=CONCATENATE(INDEX(Dashboard!J:J,MATCH(I1155,Dashboard!J:J,0),1),INDEX(Dashboard!J:K,MATCH(I1155,Dashboard!J:J,0),2)),"ON",IF(Dashboard!K$32="ALL","ON","-"))</f>
        <v>-</v>
      </c>
      <c r="C1155" s="88" t="s">
        <v>152</v>
      </c>
      <c r="D1155" s="89">
        <f>IF(C1155="ID",1,(IF(C1155="PR",2,(IF(C1155="DE",3,(IF(C1155="RS",4,(IF(C1155="RC",5,0)))))))))</f>
        <v>2</v>
      </c>
      <c r="E1155" s="89" t="s">
        <v>153</v>
      </c>
      <c r="F1155" s="89">
        <f>IF(E1155="AM",1,(IF(E1155="BE",2,(IF(E1155="GV",3,(IF(E1155="RA",4,(IF(E1155="RM",5,(IF(E1155="AC",1,(IF(E1155="AT",2,(IF(E1155="DS",3,(IF(E1155="IP",4,(IF(E1155="MA",5,(IF(E1155="PT",6,(IF(E1155="AE",1,(IF(E1155="CM",2,(IF(E1155="DP",3,(IF(E1155="AN",1,(IF(E1155="CO",2,(IF(E1155="IM",3,(IF(E1155="MI",4,(IF(E1155="RP",5,(IF(E1155="SC",6,0)))))))))))))))))))))))))))))))))))))))</f>
        <v>1</v>
      </c>
      <c r="G1155" s="52">
        <v>2</v>
      </c>
      <c r="H1155" s="90" t="s">
        <v>112</v>
      </c>
      <c r="I1155" s="93" t="s">
        <v>77</v>
      </c>
      <c r="J1155" s="87" t="s">
        <v>1221</v>
      </c>
      <c r="K1155" s="102" t="s">
        <v>2243</v>
      </c>
      <c r="L1155" s="117">
        <f>IF(O1155="","",N1155*O1155*M1155)</f>
        <v>0</v>
      </c>
      <c r="M1155" s="108">
        <v>1</v>
      </c>
      <c r="N1155" s="95">
        <v>1</v>
      </c>
      <c r="O1155" s="109">
        <f>IF(Key!D$1="ON",P1155,IF(SUM(Q1155:DL1155)&lt;1,"",SUM(Q1155:DL1155)/COUNTIF(Q1155:DL1155,"&gt;0")))</f>
        <v>0</v>
      </c>
      <c r="P1155" s="109">
        <f>SUMIFS(Q1155:DK1155,Q$1:DK$1,Dashboard!$K$31)</f>
        <v>0</v>
      </c>
      <c r="U1155" s="95">
        <v>33</v>
      </c>
      <c r="AA1155" s="95">
        <v>25</v>
      </c>
      <c r="AH1155" s="95">
        <v>75</v>
      </c>
    </row>
    <row r="1156" spans="1:34" x14ac:dyDescent="0.3">
      <c r="A1156" s="89" t="str">
        <f>CONCATENATE(D1156,".",F1156,"-",G1156,".",H1156,"")</f>
        <v>2.1-2.2</v>
      </c>
      <c r="B1156" s="89" t="str">
        <f>IF(CONCATENATE(I1156,Key!F$2)=CONCATENATE(INDEX(Dashboard!J:J,MATCH(I1156,Dashboard!J:J,0),1),INDEX(Dashboard!J:K,MATCH(I1156,Dashboard!J:J,0),2)),"ON",IF(Dashboard!K$32="ALL","ON","-"))</f>
        <v>-</v>
      </c>
      <c r="C1156" s="88" t="s">
        <v>152</v>
      </c>
      <c r="D1156" s="89">
        <f>IF(C1156="ID",1,(IF(C1156="PR",2,(IF(C1156="DE",3,(IF(C1156="RS",4,(IF(C1156="RC",5,0)))))))))</f>
        <v>2</v>
      </c>
      <c r="E1156" s="89" t="s">
        <v>153</v>
      </c>
      <c r="F1156" s="89">
        <f>IF(E1156="AM",1,(IF(E1156="BE",2,(IF(E1156="GV",3,(IF(E1156="RA",4,(IF(E1156="RM",5,(IF(E1156="AC",1,(IF(E1156="AT",2,(IF(E1156="DS",3,(IF(E1156="IP",4,(IF(E1156="MA",5,(IF(E1156="PT",6,(IF(E1156="AE",1,(IF(E1156="CM",2,(IF(E1156="DP",3,(IF(E1156="AN",1,(IF(E1156="CO",2,(IF(E1156="IM",3,(IF(E1156="MI",4,(IF(E1156="RP",5,(IF(E1156="SC",6,0)))))))))))))))))))))))))))))))))))))))</f>
        <v>1</v>
      </c>
      <c r="G1156" s="52">
        <v>2</v>
      </c>
      <c r="H1156" s="90" t="s">
        <v>112</v>
      </c>
      <c r="I1156" s="93" t="s">
        <v>85</v>
      </c>
      <c r="J1156" s="87" t="s">
        <v>1221</v>
      </c>
      <c r="K1156" s="119" t="s">
        <v>4492</v>
      </c>
      <c r="L1156" s="117">
        <f>IF(O1156="","",N1156*O1156*M1156)</f>
        <v>0</v>
      </c>
      <c r="M1156" s="108">
        <v>1</v>
      </c>
      <c r="N1156" s="95">
        <v>1</v>
      </c>
      <c r="O1156" s="109">
        <f>IF(Key!D$1="ON",P1156,IF(SUM(Q1156:DL1156)&lt;1,"",SUM(Q1156:DL1156)/COUNTIF(Q1156:DL1156,"&gt;0")))</f>
        <v>0</v>
      </c>
      <c r="P1156" s="109">
        <f>SUMIFS(Q1156:DK1156,Q$1:DK$1,Dashboard!$K$31)</f>
        <v>0</v>
      </c>
      <c r="U1156" s="95">
        <v>33</v>
      </c>
      <c r="AA1156" s="95">
        <v>25</v>
      </c>
      <c r="AH1156" s="95">
        <v>75</v>
      </c>
    </row>
    <row r="1157" spans="1:34" x14ac:dyDescent="0.3">
      <c r="A1157" s="89" t="str">
        <f>CONCATENATE(D1157,".",F1157,"-",G1157,".",H1157,"")</f>
        <v>2.1-3.0</v>
      </c>
      <c r="B1157" s="89" t="str">
        <f>IF(CONCATENATE(I1157,Key!F$2)=CONCATENATE(INDEX(Dashboard!J:J,MATCH(I1157,Dashboard!J:J,0),1),INDEX(Dashboard!J:K,MATCH(I1157,Dashboard!J:J,0),2)),"ON",IF(Dashboard!K$32="ALL","ON","-"))</f>
        <v>-</v>
      </c>
      <c r="C1157" s="88" t="s">
        <v>152</v>
      </c>
      <c r="D1157" s="89">
        <f>IF(C1157="ID",1,(IF(C1157="PR",2,(IF(C1157="DE",3,(IF(C1157="RS",4,(IF(C1157="RC",5,0)))))))))</f>
        <v>2</v>
      </c>
      <c r="E1157" s="89" t="s">
        <v>153</v>
      </c>
      <c r="F1157" s="89">
        <f>IF(E1157="AM",1,(IF(E1157="BE",2,(IF(E1157="GV",3,(IF(E1157="RA",4,(IF(E1157="RM",5,(IF(E1157="AC",1,(IF(E1157="AT",2,(IF(E1157="DS",3,(IF(E1157="IP",4,(IF(E1157="MA",5,(IF(E1157="PT",6,(IF(E1157="AE",1,(IF(E1157="CM",2,(IF(E1157="DP",3,(IF(E1157="AN",1,(IF(E1157="CO",2,(IF(E1157="IM",3,(IF(E1157="MI",4,(IF(E1157="RP",5,(IF(E1157="SC",6,0)))))))))))))))))))))))))))))))))))))))</f>
        <v>1</v>
      </c>
      <c r="G1157" s="52">
        <v>3</v>
      </c>
      <c r="H1157" s="90" t="s">
        <v>347</v>
      </c>
      <c r="I1157" s="93" t="s">
        <v>2835</v>
      </c>
      <c r="J1157" s="53" t="s">
        <v>2919</v>
      </c>
      <c r="K1157" s="150" t="s">
        <v>2920</v>
      </c>
      <c r="L1157" s="117">
        <f>IF(O1157="","",N1157*O1157*M1157)</f>
        <v>0</v>
      </c>
      <c r="M1157" s="108">
        <v>1</v>
      </c>
      <c r="N1157" s="95">
        <v>1</v>
      </c>
      <c r="O1157" s="109">
        <f>IF(Key!D$1="ON",P1157,IF(SUM(Q1157:DL1157)&lt;1,"",SUM(Q1157:DL1157)/COUNTIF(Q1157:DL1157,"&gt;0")))</f>
        <v>0</v>
      </c>
      <c r="P1157" s="109">
        <f>SUMIFS(Q1157:DK1157,Q$1:DK$1,Dashboard!$K$31)</f>
        <v>0</v>
      </c>
      <c r="U1157" s="95">
        <v>33</v>
      </c>
    </row>
    <row r="1158" spans="1:34" x14ac:dyDescent="0.3">
      <c r="A1158" s="89" t="str">
        <f>CONCATENATE(D1158,".",F1158,"-",G1158,".",H1158,"")</f>
        <v>2.1-3.1</v>
      </c>
      <c r="B1158" s="89" t="str">
        <f>IF(CONCATENATE(I1158,Key!F$2)=CONCATENATE(INDEX(Dashboard!J:J,MATCH(I1158,Dashboard!J:J,0),1),INDEX(Dashboard!J:K,MATCH(I1158,Dashboard!J:J,0),2)),"ON",IF(Dashboard!K$32="ALL","ON","-"))</f>
        <v>ON</v>
      </c>
      <c r="C1158" s="130" t="s">
        <v>152</v>
      </c>
      <c r="D1158" s="89">
        <f>IF(C1158="ID",1,(IF(C1158="PR",2,(IF(C1158="DE",3,(IF(C1158="RS",4,(IF(C1158="RC",5,0)))))))))</f>
        <v>2</v>
      </c>
      <c r="E1158" s="95" t="s">
        <v>153</v>
      </c>
      <c r="F1158" s="89">
        <f>IF(E1158="AM",1,(IF(E1158="BE",2,(IF(E1158="GV",3,(IF(E1158="RA",4,(IF(E1158="RM",5,(IF(E1158="AC",1,(IF(E1158="AT",2,(IF(E1158="DS",3,(IF(E1158="IP",4,(IF(E1158="MA",5,(IF(E1158="PT",6,(IF(E1158="AE",1,(IF(E1158="CM",2,(IF(E1158="DP",3,(IF(E1158="AN",1,(IF(E1158="CO",2,(IF(E1158="IM",3,(IF(E1158="MI",4,(IF(E1158="RP",5,(IF(E1158="SC",6,0)))))))))))))))))))))))))))))))))))))))</f>
        <v>1</v>
      </c>
      <c r="G1158" s="52">
        <v>3</v>
      </c>
      <c r="H1158" s="90" t="s">
        <v>115</v>
      </c>
      <c r="I1158" s="93" t="s">
        <v>4107</v>
      </c>
      <c r="J1158" s="86" t="s">
        <v>3936</v>
      </c>
      <c r="K1158" s="101" t="s">
        <v>4423</v>
      </c>
      <c r="L1158" s="117">
        <f>IF(O1158="","",N1158*O1158*M1158)</f>
        <v>0</v>
      </c>
      <c r="M1158" s="108">
        <v>1</v>
      </c>
      <c r="N1158" s="95">
        <v>1</v>
      </c>
      <c r="O1158" s="109">
        <f>IF(Key!D$1="ON",P1158,IF(SUM(Q1158:DL1158)&lt;1,"",SUM(Q1158:DL1158)/COUNTIF(Q1158:DL1158,"&gt;0")))</f>
        <v>0</v>
      </c>
      <c r="P1158" s="109">
        <f>SUMIFS(Q1158:DK1158,Q$1:DK$1,Dashboard!$K$31)</f>
        <v>0</v>
      </c>
      <c r="U1158" s="95">
        <v>33</v>
      </c>
      <c r="AA1158" s="95">
        <v>25</v>
      </c>
      <c r="AH1158" s="95">
        <v>75</v>
      </c>
    </row>
    <row r="1159" spans="1:34" x14ac:dyDescent="0.3">
      <c r="A1159" s="89" t="str">
        <f>CONCATENATE(D1159,".",F1159,"-",G1159,".",H1159,"")</f>
        <v>2.1-3.1</v>
      </c>
      <c r="B1159" s="89" t="str">
        <f>IF(CONCATENATE(I1159,Key!F$2)=CONCATENATE(INDEX(Dashboard!J:J,MATCH(I1159,Dashboard!J:J,0),1),INDEX(Dashboard!J:K,MATCH(I1159,Dashboard!J:J,0),2)),"ON",IF(Dashboard!K$32="ALL","ON","-"))</f>
        <v>ON</v>
      </c>
      <c r="C1159" s="130" t="s">
        <v>152</v>
      </c>
      <c r="D1159" s="89">
        <f>IF(C1159="ID",1,(IF(C1159="PR",2,(IF(C1159="DE",3,(IF(C1159="RS",4,(IF(C1159="RC",5,0)))))))))</f>
        <v>2</v>
      </c>
      <c r="E1159" s="95" t="s">
        <v>153</v>
      </c>
      <c r="F1159" s="89">
        <f>IF(E1159="AM",1,(IF(E1159="BE",2,(IF(E1159="GV",3,(IF(E1159="RA",4,(IF(E1159="RM",5,(IF(E1159="AC",1,(IF(E1159="AT",2,(IF(E1159="DS",3,(IF(E1159="IP",4,(IF(E1159="MA",5,(IF(E1159="PT",6,(IF(E1159="AE",1,(IF(E1159="CM",2,(IF(E1159="DP",3,(IF(E1159="AN",1,(IF(E1159="CO",2,(IF(E1159="IM",3,(IF(E1159="MI",4,(IF(E1159="RP",5,(IF(E1159="SC",6,0)))))))))))))))))))))))))))))))))))))))</f>
        <v>1</v>
      </c>
      <c r="G1159" s="52">
        <v>3</v>
      </c>
      <c r="H1159" s="90" t="s">
        <v>115</v>
      </c>
      <c r="I1159" s="93" t="s">
        <v>4107</v>
      </c>
      <c r="J1159" s="86" t="s">
        <v>3938</v>
      </c>
      <c r="K1159" s="101" t="s">
        <v>4142</v>
      </c>
      <c r="L1159" s="117">
        <f>IF(O1159="","",N1159*O1159*M1159)</f>
        <v>0</v>
      </c>
      <c r="M1159" s="108">
        <v>1</v>
      </c>
      <c r="N1159" s="95">
        <v>1</v>
      </c>
      <c r="O1159" s="109">
        <f>IF(Key!D$1="ON",P1159,IF(SUM(Q1159:DL1159)&lt;1,"",SUM(Q1159:DL1159)/COUNTIF(Q1159:DL1159,"&gt;0")))</f>
        <v>0</v>
      </c>
      <c r="P1159" s="109">
        <f>SUMIFS(Q1159:DK1159,Q$1:DK$1,Dashboard!$K$31)</f>
        <v>0</v>
      </c>
      <c r="U1159" s="95">
        <v>33</v>
      </c>
      <c r="AA1159" s="95">
        <v>25</v>
      </c>
      <c r="AH1159" s="95">
        <v>75</v>
      </c>
    </row>
    <row r="1160" spans="1:34" x14ac:dyDescent="0.3">
      <c r="A1160" s="89" t="str">
        <f>CONCATENATE(D1160,".",F1160,"-",G1160,".",H1160,"")</f>
        <v>2.1-3.1</v>
      </c>
      <c r="B1160" s="89" t="str">
        <f>IF(CONCATENATE(I1160,Key!F$2)=CONCATENATE(INDEX(Dashboard!J:J,MATCH(I1160,Dashboard!J:J,0),1),INDEX(Dashboard!J:K,MATCH(I1160,Dashboard!J:J,0),2)),"ON",IF(Dashboard!K$32="ALL","ON","-"))</f>
        <v>ON</v>
      </c>
      <c r="C1160" s="130" t="s">
        <v>152</v>
      </c>
      <c r="D1160" s="89">
        <f>IF(C1160="ID",1,(IF(C1160="PR",2,(IF(C1160="DE",3,(IF(C1160="RS",4,(IF(C1160="RC",5,0)))))))))</f>
        <v>2</v>
      </c>
      <c r="E1160" s="95" t="s">
        <v>153</v>
      </c>
      <c r="F1160" s="89">
        <f>IF(E1160="AM",1,(IF(E1160="BE",2,(IF(E1160="GV",3,(IF(E1160="RA",4,(IF(E1160="RM",5,(IF(E1160="AC",1,(IF(E1160="AT",2,(IF(E1160="DS",3,(IF(E1160="IP",4,(IF(E1160="MA",5,(IF(E1160="PT",6,(IF(E1160="AE",1,(IF(E1160="CM",2,(IF(E1160="DP",3,(IF(E1160="AN",1,(IF(E1160="CO",2,(IF(E1160="IM",3,(IF(E1160="MI",4,(IF(E1160="RP",5,(IF(E1160="SC",6,0)))))))))))))))))))))))))))))))))))))))</f>
        <v>1</v>
      </c>
      <c r="G1160" s="52">
        <v>3</v>
      </c>
      <c r="H1160" s="90" t="s">
        <v>115</v>
      </c>
      <c r="I1160" s="93" t="s">
        <v>4107</v>
      </c>
      <c r="J1160" s="86" t="s">
        <v>3947</v>
      </c>
      <c r="K1160" s="101" t="s">
        <v>4128</v>
      </c>
      <c r="L1160" s="117">
        <f>IF(O1160="","",N1160*O1160*M1160)</f>
        <v>0</v>
      </c>
      <c r="M1160" s="108">
        <v>1</v>
      </c>
      <c r="N1160" s="95">
        <v>1</v>
      </c>
      <c r="O1160" s="109">
        <f>IF(Key!D$1="ON",P1160,IF(SUM(Q1160:DL1160)&lt;1,"",SUM(Q1160:DL1160)/COUNTIF(Q1160:DL1160,"&gt;0")))</f>
        <v>0</v>
      </c>
      <c r="P1160" s="109">
        <f>SUMIFS(Q1160:DK1160,Q$1:DK$1,Dashboard!$K$31)</f>
        <v>0</v>
      </c>
      <c r="U1160" s="95">
        <v>33</v>
      </c>
      <c r="AA1160" s="95">
        <v>25</v>
      </c>
      <c r="AH1160" s="95">
        <v>75</v>
      </c>
    </row>
    <row r="1161" spans="1:34" x14ac:dyDescent="0.3">
      <c r="A1161" s="89" t="str">
        <f>CONCATENATE(D1161,".",F1161,"-",G1161,".",H1161,"")</f>
        <v>2.1-3.1</v>
      </c>
      <c r="B1161" s="89" t="str">
        <f>IF(CONCATENATE(I1161,Key!F$2)=CONCATENATE(INDEX(Dashboard!J:J,MATCH(I1161,Dashboard!J:J,0),1),INDEX(Dashboard!J:K,MATCH(I1161,Dashboard!J:J,0),2)),"ON",IF(Dashboard!K$32="ALL","ON","-"))</f>
        <v>ON</v>
      </c>
      <c r="C1161" s="130" t="s">
        <v>152</v>
      </c>
      <c r="D1161" s="89">
        <f>IF(C1161="ID",1,(IF(C1161="PR",2,(IF(C1161="DE",3,(IF(C1161="RS",4,(IF(C1161="RC",5,0)))))))))</f>
        <v>2</v>
      </c>
      <c r="E1161" s="95" t="s">
        <v>153</v>
      </c>
      <c r="F1161" s="89">
        <f>IF(E1161="AM",1,(IF(E1161="BE",2,(IF(E1161="GV",3,(IF(E1161="RA",4,(IF(E1161="RM",5,(IF(E1161="AC",1,(IF(E1161="AT",2,(IF(E1161="DS",3,(IF(E1161="IP",4,(IF(E1161="MA",5,(IF(E1161="PT",6,(IF(E1161="AE",1,(IF(E1161="CM",2,(IF(E1161="DP",3,(IF(E1161="AN",1,(IF(E1161="CO",2,(IF(E1161="IM",3,(IF(E1161="MI",4,(IF(E1161="RP",5,(IF(E1161="SC",6,0)))))))))))))))))))))))))))))))))))))))</f>
        <v>1</v>
      </c>
      <c r="G1161" s="52">
        <v>3</v>
      </c>
      <c r="H1161" s="90" t="s">
        <v>115</v>
      </c>
      <c r="I1161" s="93" t="s">
        <v>4107</v>
      </c>
      <c r="J1161" s="86" t="s">
        <v>3948</v>
      </c>
      <c r="K1161" s="101" t="s">
        <v>4132</v>
      </c>
      <c r="L1161" s="117">
        <f>IF(O1161="","",N1161*O1161*M1161)</f>
        <v>0</v>
      </c>
      <c r="M1161" s="108">
        <v>1</v>
      </c>
      <c r="N1161" s="95">
        <v>1</v>
      </c>
      <c r="O1161" s="109">
        <f>IF(Key!D$1="ON",P1161,IF(SUM(Q1161:DL1161)&lt;1,"",SUM(Q1161:DL1161)/COUNTIF(Q1161:DL1161,"&gt;0")))</f>
        <v>0</v>
      </c>
      <c r="P1161" s="109">
        <f>SUMIFS(Q1161:DK1161,Q$1:DK$1,Dashboard!$K$31)</f>
        <v>0</v>
      </c>
      <c r="U1161" s="95">
        <v>33</v>
      </c>
      <c r="AA1161" s="95">
        <v>25</v>
      </c>
      <c r="AH1161" s="95">
        <v>75</v>
      </c>
    </row>
    <row r="1162" spans="1:34" x14ac:dyDescent="0.3">
      <c r="A1162" s="89" t="str">
        <f>CONCATENATE(D1162,".",F1162,"-",G1162,".",H1162,"")</f>
        <v>2.1-3.1</v>
      </c>
      <c r="B1162" s="89" t="str">
        <f>IF(CONCATENATE(I1162,Key!F$2)=CONCATENATE(INDEX(Dashboard!J:J,MATCH(I1162,Dashboard!J:J,0),1),INDEX(Dashboard!J:K,MATCH(I1162,Dashboard!J:J,0),2)),"ON",IF(Dashboard!K$32="ALL","ON","-"))</f>
        <v>ON</v>
      </c>
      <c r="C1162" s="130" t="s">
        <v>152</v>
      </c>
      <c r="D1162" s="89">
        <f>IF(C1162="ID",1,(IF(C1162="PR",2,(IF(C1162="DE",3,(IF(C1162="RS",4,(IF(C1162="RC",5,0)))))))))</f>
        <v>2</v>
      </c>
      <c r="E1162" s="95" t="s">
        <v>153</v>
      </c>
      <c r="F1162" s="89">
        <f>IF(E1162="AM",1,(IF(E1162="BE",2,(IF(E1162="GV",3,(IF(E1162="RA",4,(IF(E1162="RM",5,(IF(E1162="AC",1,(IF(E1162="AT",2,(IF(E1162="DS",3,(IF(E1162="IP",4,(IF(E1162="MA",5,(IF(E1162="PT",6,(IF(E1162="AE",1,(IF(E1162="CM",2,(IF(E1162="DP",3,(IF(E1162="AN",1,(IF(E1162="CO",2,(IF(E1162="IM",3,(IF(E1162="MI",4,(IF(E1162="RP",5,(IF(E1162="SC",6,0)))))))))))))))))))))))))))))))))))))))</f>
        <v>1</v>
      </c>
      <c r="G1162" s="52">
        <v>3</v>
      </c>
      <c r="H1162" s="90" t="s">
        <v>115</v>
      </c>
      <c r="I1162" s="93" t="s">
        <v>4107</v>
      </c>
      <c r="J1162" s="86" t="s">
        <v>3955</v>
      </c>
      <c r="K1162" s="101" t="s">
        <v>4130</v>
      </c>
      <c r="L1162" s="117">
        <f>IF(O1162="","",N1162*O1162*M1162)</f>
        <v>0</v>
      </c>
      <c r="M1162" s="108">
        <v>1</v>
      </c>
      <c r="N1162" s="95">
        <v>1</v>
      </c>
      <c r="O1162" s="109">
        <f>IF(Key!D$1="ON",P1162,IF(SUM(Q1162:DL1162)&lt;1,"",SUM(Q1162:DL1162)/COUNTIF(Q1162:DL1162,"&gt;0")))</f>
        <v>0</v>
      </c>
      <c r="P1162" s="109">
        <f>SUMIFS(Q1162:DK1162,Q$1:DK$1,Dashboard!$K$31)</f>
        <v>0</v>
      </c>
      <c r="U1162" s="95">
        <v>33</v>
      </c>
      <c r="AA1162" s="95">
        <v>25</v>
      </c>
      <c r="AH1162" s="95">
        <v>75</v>
      </c>
    </row>
    <row r="1163" spans="1:34" x14ac:dyDescent="0.3">
      <c r="A1163" s="89" t="str">
        <f>CONCATENATE(D1163,".",F1163,"-",G1163,".",H1163,"")</f>
        <v>2.1-3.1</v>
      </c>
      <c r="B1163" s="89" t="str">
        <f>IF(CONCATENATE(I1163,Key!F$2)=CONCATENATE(INDEX(Dashboard!J:J,MATCH(I1163,Dashboard!J:J,0),1),INDEX(Dashboard!J:K,MATCH(I1163,Dashboard!J:J,0),2)),"ON",IF(Dashboard!K$32="ALL","ON","-"))</f>
        <v>ON</v>
      </c>
      <c r="C1163" s="130" t="s">
        <v>152</v>
      </c>
      <c r="D1163" s="89">
        <f>IF(C1163="ID",1,(IF(C1163="PR",2,(IF(C1163="DE",3,(IF(C1163="RS",4,(IF(C1163="RC",5,0)))))))))</f>
        <v>2</v>
      </c>
      <c r="E1163" s="95" t="s">
        <v>153</v>
      </c>
      <c r="F1163" s="89">
        <f>IF(E1163="AM",1,(IF(E1163="BE",2,(IF(E1163="GV",3,(IF(E1163="RA",4,(IF(E1163="RM",5,(IF(E1163="AC",1,(IF(E1163="AT",2,(IF(E1163="DS",3,(IF(E1163="IP",4,(IF(E1163="MA",5,(IF(E1163="PT",6,(IF(E1163="AE",1,(IF(E1163="CM",2,(IF(E1163="DP",3,(IF(E1163="AN",1,(IF(E1163="CO",2,(IF(E1163="IM",3,(IF(E1163="MI",4,(IF(E1163="RP",5,(IF(E1163="SC",6,0)))))))))))))))))))))))))))))))))))))))</f>
        <v>1</v>
      </c>
      <c r="G1163" s="52">
        <v>3</v>
      </c>
      <c r="H1163" s="90" t="s">
        <v>115</v>
      </c>
      <c r="I1163" s="93" t="s">
        <v>4107</v>
      </c>
      <c r="J1163" s="86" t="s">
        <v>3954</v>
      </c>
      <c r="K1163" s="101" t="s">
        <v>4139</v>
      </c>
      <c r="L1163" s="117">
        <f>IF(O1163="","",N1163*O1163*M1163)</f>
        <v>0</v>
      </c>
      <c r="M1163" s="108">
        <v>1</v>
      </c>
      <c r="N1163" s="95">
        <v>1</v>
      </c>
      <c r="O1163" s="109">
        <f>IF(Key!D$1="ON",P1163,IF(SUM(Q1163:DL1163)&lt;1,"",SUM(Q1163:DL1163)/COUNTIF(Q1163:DL1163,"&gt;0")))</f>
        <v>0</v>
      </c>
      <c r="P1163" s="109">
        <f>SUMIFS(Q1163:DK1163,Q$1:DK$1,Dashboard!$K$31)</f>
        <v>0</v>
      </c>
      <c r="U1163" s="95">
        <v>33</v>
      </c>
      <c r="AA1163" s="95">
        <v>25</v>
      </c>
      <c r="AH1163" s="95">
        <v>75</v>
      </c>
    </row>
    <row r="1164" spans="1:34" x14ac:dyDescent="0.3">
      <c r="A1164" s="89" t="str">
        <f>CONCATENATE(D1164,".",F1164,"-",G1164,".",H1164,"")</f>
        <v>2.1-3.1</v>
      </c>
      <c r="B1164" s="89" t="str">
        <f>IF(CONCATENATE(I1164,Key!F$2)=CONCATENATE(INDEX(Dashboard!J:J,MATCH(I1164,Dashboard!J:J,0),1),INDEX(Dashboard!J:K,MATCH(I1164,Dashboard!J:J,0),2)),"ON",IF(Dashboard!K$32="ALL","ON","-"))</f>
        <v>ON</v>
      </c>
      <c r="C1164" s="130" t="s">
        <v>152</v>
      </c>
      <c r="D1164" s="89">
        <f>IF(C1164="ID",1,(IF(C1164="PR",2,(IF(C1164="DE",3,(IF(C1164="RS",4,(IF(C1164="RC",5,0)))))))))</f>
        <v>2</v>
      </c>
      <c r="E1164" s="95" t="s">
        <v>153</v>
      </c>
      <c r="F1164" s="89">
        <f>IF(E1164="AM",1,(IF(E1164="BE",2,(IF(E1164="GV",3,(IF(E1164="RA",4,(IF(E1164="RM",5,(IF(E1164="AC",1,(IF(E1164="AT",2,(IF(E1164="DS",3,(IF(E1164="IP",4,(IF(E1164="MA",5,(IF(E1164="PT",6,(IF(E1164="AE",1,(IF(E1164="CM",2,(IF(E1164="DP",3,(IF(E1164="AN",1,(IF(E1164="CO",2,(IF(E1164="IM",3,(IF(E1164="MI",4,(IF(E1164="RP",5,(IF(E1164="SC",6,0)))))))))))))))))))))))))))))))))))))))</f>
        <v>1</v>
      </c>
      <c r="G1164" s="52">
        <v>3</v>
      </c>
      <c r="H1164" s="90" t="s">
        <v>115</v>
      </c>
      <c r="I1164" s="93" t="s">
        <v>4107</v>
      </c>
      <c r="J1164" s="86" t="s">
        <v>3956</v>
      </c>
      <c r="K1164" s="101" t="s">
        <v>4358</v>
      </c>
      <c r="L1164" s="117">
        <f>IF(O1164="","",N1164*O1164*M1164)</f>
        <v>0</v>
      </c>
      <c r="M1164" s="108">
        <v>1</v>
      </c>
      <c r="N1164" s="95">
        <v>1</v>
      </c>
      <c r="O1164" s="109">
        <f>IF(Key!D$1="ON",P1164,IF(SUM(Q1164:DL1164)&lt;1,"",SUM(Q1164:DL1164)/COUNTIF(Q1164:DL1164,"&gt;0")))</f>
        <v>0</v>
      </c>
      <c r="P1164" s="109">
        <f>SUMIFS(Q1164:DK1164,Q$1:DK$1,Dashboard!$K$31)</f>
        <v>0</v>
      </c>
      <c r="U1164" s="95">
        <v>33</v>
      </c>
      <c r="AA1164" s="95">
        <v>25</v>
      </c>
      <c r="AH1164" s="95">
        <v>75</v>
      </c>
    </row>
    <row r="1165" spans="1:34" x14ac:dyDescent="0.3">
      <c r="A1165" s="89" t="str">
        <f>CONCATENATE(D1165,".",F1165,"-",G1165,".",H1165,"")</f>
        <v>2.1-3.1</v>
      </c>
      <c r="B1165" s="89" t="str">
        <f>IF(CONCATENATE(I1165,Key!F$2)=CONCATENATE(INDEX(Dashboard!J:J,MATCH(I1165,Dashboard!J:J,0),1),INDEX(Dashboard!J:K,MATCH(I1165,Dashboard!J:J,0),2)),"ON",IF(Dashboard!K$32="ALL","ON","-"))</f>
        <v>ON</v>
      </c>
      <c r="C1165" s="130" t="s">
        <v>152</v>
      </c>
      <c r="D1165" s="89">
        <f>IF(C1165="ID",1,(IF(C1165="PR",2,(IF(C1165="DE",3,(IF(C1165="RS",4,(IF(C1165="RC",5,0)))))))))</f>
        <v>2</v>
      </c>
      <c r="E1165" s="95" t="s">
        <v>153</v>
      </c>
      <c r="F1165" s="89">
        <f>IF(E1165="AM",1,(IF(E1165="BE",2,(IF(E1165="GV",3,(IF(E1165="RA",4,(IF(E1165="RM",5,(IF(E1165="AC",1,(IF(E1165="AT",2,(IF(E1165="DS",3,(IF(E1165="IP",4,(IF(E1165="MA",5,(IF(E1165="PT",6,(IF(E1165="AE",1,(IF(E1165="CM",2,(IF(E1165="DP",3,(IF(E1165="AN",1,(IF(E1165="CO",2,(IF(E1165="IM",3,(IF(E1165="MI",4,(IF(E1165="RP",5,(IF(E1165="SC",6,0)))))))))))))))))))))))))))))))))))))))</f>
        <v>1</v>
      </c>
      <c r="G1165" s="52">
        <v>3</v>
      </c>
      <c r="H1165" s="90" t="s">
        <v>115</v>
      </c>
      <c r="I1165" s="93" t="s">
        <v>4107</v>
      </c>
      <c r="J1165" s="86" t="s">
        <v>3957</v>
      </c>
      <c r="K1165" s="101" t="s">
        <v>4359</v>
      </c>
      <c r="L1165" s="117">
        <f>IF(O1165="","",N1165*O1165*M1165)</f>
        <v>0</v>
      </c>
      <c r="M1165" s="108">
        <v>1</v>
      </c>
      <c r="N1165" s="95">
        <v>1</v>
      </c>
      <c r="O1165" s="109">
        <f>IF(Key!D$1="ON",P1165,IF(SUM(Q1165:DL1165)&lt;1,"",SUM(Q1165:DL1165)/COUNTIF(Q1165:DL1165,"&gt;0")))</f>
        <v>0</v>
      </c>
      <c r="P1165" s="109">
        <f>SUMIFS(Q1165:DK1165,Q$1:DK$1,Dashboard!$K$31)</f>
        <v>0</v>
      </c>
      <c r="U1165" s="95">
        <v>33</v>
      </c>
      <c r="AA1165" s="95">
        <v>25</v>
      </c>
      <c r="AH1165" s="95">
        <v>75</v>
      </c>
    </row>
    <row r="1166" spans="1:34" x14ac:dyDescent="0.3">
      <c r="A1166" s="89" t="str">
        <f>CONCATENATE(D1166,".",F1166,"-",G1166,".",H1166,"")</f>
        <v>2.1-3.1</v>
      </c>
      <c r="B1166" s="89" t="str">
        <f>IF(CONCATENATE(I1166,Key!F$2)=CONCATENATE(INDEX(Dashboard!J:J,MATCH(I1166,Dashboard!J:J,0),1),INDEX(Dashboard!J:K,MATCH(I1166,Dashboard!J:J,0),2)),"ON",IF(Dashboard!K$32="ALL","ON","-"))</f>
        <v>ON</v>
      </c>
      <c r="C1166" s="88" t="s">
        <v>152</v>
      </c>
      <c r="D1166" s="89">
        <f>IF(C1166="ID",1,(IF(C1166="PR",2,(IF(C1166="DE",3,(IF(C1166="RS",4,(IF(C1166="RC",5,0)))))))))</f>
        <v>2</v>
      </c>
      <c r="E1166" s="89" t="s">
        <v>153</v>
      </c>
      <c r="F1166" s="89">
        <f>IF(E1166="AM",1,(IF(E1166="BE",2,(IF(E1166="GV",3,(IF(E1166="RA",4,(IF(E1166="RM",5,(IF(E1166="AC",1,(IF(E1166="AT",2,(IF(E1166="DS",3,(IF(E1166="IP",4,(IF(E1166="MA",5,(IF(E1166="PT",6,(IF(E1166="AE",1,(IF(E1166="CM",2,(IF(E1166="DP",3,(IF(E1166="AN",1,(IF(E1166="CO",2,(IF(E1166="IM",3,(IF(E1166="MI",4,(IF(E1166="RP",5,(IF(E1166="SC",6,0)))))))))))))))))))))))))))))))))))))))</f>
        <v>1</v>
      </c>
      <c r="G1166" s="52">
        <v>3</v>
      </c>
      <c r="H1166" s="90" t="s">
        <v>115</v>
      </c>
      <c r="I1166" s="93" t="s">
        <v>4107</v>
      </c>
      <c r="J1166" s="86" t="s">
        <v>3960</v>
      </c>
      <c r="K1166" s="101" t="s">
        <v>4427</v>
      </c>
      <c r="L1166" s="117">
        <f>IF(O1166="","",N1166*O1166*M1166)</f>
        <v>0</v>
      </c>
      <c r="M1166" s="108">
        <v>1</v>
      </c>
      <c r="N1166" s="95">
        <v>1</v>
      </c>
      <c r="O1166" s="109">
        <f>IF(Key!D$1="ON",P1166,IF(SUM(Q1166:DL1166)&lt;1,"",SUM(Q1166:DL1166)/COUNTIF(Q1166:DL1166,"&gt;0")))</f>
        <v>0</v>
      </c>
      <c r="P1166" s="109">
        <f>SUMIFS(Q1166:DK1166,Q$1:DK$1,Dashboard!$K$31)</f>
        <v>0</v>
      </c>
      <c r="U1166" s="95">
        <v>33</v>
      </c>
      <c r="AA1166" s="95">
        <v>25</v>
      </c>
      <c r="AH1166" s="95">
        <v>75</v>
      </c>
    </row>
    <row r="1167" spans="1:34" ht="15.6" x14ac:dyDescent="0.3">
      <c r="A1167" s="89" t="str">
        <f>CONCATENATE(D1167,".",F1167,"-",G1167,".",H1167,"")</f>
        <v>2.1-3.1</v>
      </c>
      <c r="B1167" s="89" t="str">
        <f>IF(CONCATENATE(I1167,Key!F$2)=CONCATENATE(INDEX(Dashboard!J:J,MATCH(I1167,Dashboard!J:J,0),1),INDEX(Dashboard!J:K,MATCH(I1167,Dashboard!J:J,0),2)),"ON",IF(Dashboard!K$32="ALL","ON","-"))</f>
        <v>ON</v>
      </c>
      <c r="C1167" s="130" t="s">
        <v>152</v>
      </c>
      <c r="D1167" s="89">
        <f>IF(C1167="ID",1,(IF(C1167="PR",2,(IF(C1167="DE",3,(IF(C1167="RS",4,(IF(C1167="RC",5,0)))))))))</f>
        <v>2</v>
      </c>
      <c r="E1167" s="95" t="s">
        <v>153</v>
      </c>
      <c r="F1167" s="89">
        <f>IF(E1167="AM",1,(IF(E1167="BE",2,(IF(E1167="GV",3,(IF(E1167="RA",4,(IF(E1167="RM",5,(IF(E1167="AC",1,(IF(E1167="AT",2,(IF(E1167="DS",3,(IF(E1167="IP",4,(IF(E1167="MA",5,(IF(E1167="PT",6,(IF(E1167="AE",1,(IF(E1167="CM",2,(IF(E1167="DP",3,(IF(E1167="AN",1,(IF(E1167="CO",2,(IF(E1167="IM",3,(IF(E1167="MI",4,(IF(E1167="RP",5,(IF(E1167="SC",6,0)))))))))))))))))))))))))))))))))))))))</f>
        <v>1</v>
      </c>
      <c r="G1167" s="52">
        <v>3</v>
      </c>
      <c r="H1167" s="90" t="s">
        <v>115</v>
      </c>
      <c r="I1167" s="93" t="s">
        <v>4107</v>
      </c>
      <c r="J1167" s="86" t="s">
        <v>4069</v>
      </c>
      <c r="K1167" s="101" t="s">
        <v>4232</v>
      </c>
      <c r="L1167" s="117">
        <f>IF(O1167="","",N1167*O1167*M1167)</f>
        <v>0</v>
      </c>
      <c r="M1167" s="108">
        <v>1</v>
      </c>
      <c r="N1167" s="95">
        <v>1</v>
      </c>
      <c r="O1167" s="109">
        <f>IF(Key!D$1="ON",P1167,IF(SUM(Q1167:DL1167)&lt;1,"",SUM(Q1167:DL1167)/COUNTIF(Q1167:DL1167,"&gt;0")))</f>
        <v>0</v>
      </c>
      <c r="P1167" s="109">
        <f>SUMIFS(Q1167:DK1167,Q$1:DK$1,Dashboard!$K$31)</f>
        <v>0</v>
      </c>
      <c r="U1167" s="95">
        <v>33</v>
      </c>
      <c r="AA1167" s="95">
        <v>25</v>
      </c>
      <c r="AH1167" s="95">
        <v>75</v>
      </c>
    </row>
    <row r="1168" spans="1:34" x14ac:dyDescent="0.3">
      <c r="A1168" s="89" t="str">
        <f>CONCATENATE(D1168,".",F1168,"-",G1168,".",H1168,"")</f>
        <v>2.1-3.1</v>
      </c>
      <c r="B1168" s="89" t="str">
        <f>IF(CONCATENATE(I1168,Key!F$2)=CONCATENATE(INDEX(Dashboard!J:J,MATCH(I1168,Dashboard!J:J,0),1),INDEX(Dashboard!J:K,MATCH(I1168,Dashboard!J:J,0),2)),"ON",IF(Dashboard!K$32="ALL","ON","-"))</f>
        <v>ON</v>
      </c>
      <c r="C1168" s="130" t="s">
        <v>152</v>
      </c>
      <c r="D1168" s="89">
        <f>IF(C1168="ID",1,(IF(C1168="PR",2,(IF(C1168="DE",3,(IF(C1168="RS",4,(IF(C1168="RC",5,0)))))))))</f>
        <v>2</v>
      </c>
      <c r="E1168" s="95" t="s">
        <v>153</v>
      </c>
      <c r="F1168" s="89">
        <f>IF(E1168="AM",1,(IF(E1168="BE",2,(IF(E1168="GV",3,(IF(E1168="RA",4,(IF(E1168="RM",5,(IF(E1168="AC",1,(IF(E1168="AT",2,(IF(E1168="DS",3,(IF(E1168="IP",4,(IF(E1168="MA",5,(IF(E1168="PT",6,(IF(E1168="AE",1,(IF(E1168="CM",2,(IF(E1168="DP",3,(IF(E1168="AN",1,(IF(E1168="CO",2,(IF(E1168="IM",3,(IF(E1168="MI",4,(IF(E1168="RP",5,(IF(E1168="SC",6,0)))))))))))))))))))))))))))))))))))))))</f>
        <v>1</v>
      </c>
      <c r="G1168" s="52">
        <v>3</v>
      </c>
      <c r="H1168" s="90" t="s">
        <v>115</v>
      </c>
      <c r="I1168" s="93" t="s">
        <v>4107</v>
      </c>
      <c r="J1168" s="86" t="s">
        <v>4076</v>
      </c>
      <c r="K1168" s="101" t="s">
        <v>4475</v>
      </c>
      <c r="L1168" s="117">
        <f>IF(O1168="","",N1168*O1168*M1168)</f>
        <v>0</v>
      </c>
      <c r="M1168" s="108">
        <v>1</v>
      </c>
      <c r="N1168" s="95">
        <v>1</v>
      </c>
      <c r="O1168" s="109">
        <f>IF(Key!D$1="ON",P1168,IF(SUM(Q1168:DL1168)&lt;1,"",SUM(Q1168:DL1168)/COUNTIF(Q1168:DL1168,"&gt;0")))</f>
        <v>0</v>
      </c>
      <c r="P1168" s="109">
        <f>SUMIFS(Q1168:DK1168,Q$1:DK$1,Dashboard!$K$31)</f>
        <v>0</v>
      </c>
      <c r="U1168" s="95">
        <v>33</v>
      </c>
      <c r="AA1168" s="95">
        <v>25</v>
      </c>
      <c r="AH1168" s="95">
        <v>75</v>
      </c>
    </row>
    <row r="1169" spans="1:34" x14ac:dyDescent="0.3">
      <c r="A1169" s="89" t="str">
        <f>CONCATENATE(D1169,".",F1169,"-",G1169,".",H1169,"")</f>
        <v>2.1-3.1</v>
      </c>
      <c r="B1169" s="89" t="str">
        <f>IF(CONCATENATE(I1169,Key!F$2)=CONCATENATE(INDEX(Dashboard!J:J,MATCH(I1169,Dashboard!J:J,0),1),INDEX(Dashboard!J:K,MATCH(I1169,Dashboard!J:J,0),2)),"ON",IF(Dashboard!K$32="ALL","ON","-"))</f>
        <v>-</v>
      </c>
      <c r="C1169" s="88" t="s">
        <v>152</v>
      </c>
      <c r="D1169" s="89">
        <f>IF(C1169="ID",1,(IF(C1169="PR",2,(IF(C1169="DE",3,(IF(C1169="RS",4,(IF(C1169="RC",5,0)))))))))</f>
        <v>2</v>
      </c>
      <c r="E1169" s="89" t="s">
        <v>153</v>
      </c>
      <c r="F1169" s="89">
        <f>IF(E1169="AM",1,(IF(E1169="BE",2,(IF(E1169="GV",3,(IF(E1169="RA",4,(IF(E1169="RM",5,(IF(E1169="AC",1,(IF(E1169="AT",2,(IF(E1169="DS",3,(IF(E1169="IP",4,(IF(E1169="MA",5,(IF(E1169="PT",6,(IF(E1169="AE",1,(IF(E1169="CM",2,(IF(E1169="DP",3,(IF(E1169="AN",1,(IF(E1169="CO",2,(IF(E1169="IM",3,(IF(E1169="MI",4,(IF(E1169="RP",5,(IF(E1169="SC",6,0)))))))))))))))))))))))))))))))))))))))</f>
        <v>1</v>
      </c>
      <c r="G1169" s="52">
        <v>3</v>
      </c>
      <c r="H1169" s="99">
        <v>1</v>
      </c>
      <c r="I1169" s="93" t="s">
        <v>37</v>
      </c>
      <c r="J1169" s="86">
        <v>11.4</v>
      </c>
      <c r="K1169" s="102" t="s">
        <v>3706</v>
      </c>
      <c r="L1169" s="117">
        <f>IF(O1169="","",N1169*O1169*M1169)</f>
        <v>0</v>
      </c>
      <c r="M1169" s="108">
        <v>1</v>
      </c>
      <c r="N1169" s="95">
        <v>1</v>
      </c>
      <c r="O1169" s="109">
        <f>IF(Key!D$1="ON",P1169,IF(SUM(Q1169:DL1169)&lt;1,"",SUM(Q1169:DL1169)/COUNTIF(Q1169:DL1169,"&gt;0")))</f>
        <v>0</v>
      </c>
      <c r="P1169" s="109">
        <f>SUMIFS(Q1169:DK1169,Q$1:DK$1,Dashboard!$K$31)</f>
        <v>0</v>
      </c>
      <c r="U1169" s="95">
        <v>33</v>
      </c>
      <c r="AA1169" s="95">
        <v>25</v>
      </c>
      <c r="AH1169" s="95">
        <v>75</v>
      </c>
    </row>
    <row r="1170" spans="1:34" x14ac:dyDescent="0.3">
      <c r="A1170" s="89" t="str">
        <f>CONCATENATE(D1170,".",F1170,"-",G1170,".",H1170,"")</f>
        <v>2.1-3.1</v>
      </c>
      <c r="B1170" s="89" t="str">
        <f>IF(CONCATENATE(I1170,Key!F$2)=CONCATENATE(INDEX(Dashboard!J:J,MATCH(I1170,Dashboard!J:J,0),1),INDEX(Dashboard!J:K,MATCH(I1170,Dashboard!J:J,0),2)),"ON",IF(Dashboard!K$32="ALL","ON","-"))</f>
        <v>-</v>
      </c>
      <c r="C1170" s="88" t="s">
        <v>152</v>
      </c>
      <c r="D1170" s="89">
        <f>IF(C1170="ID",1,(IF(C1170="PR",2,(IF(C1170="DE",3,(IF(C1170="RS",4,(IF(C1170="RC",5,0)))))))))</f>
        <v>2</v>
      </c>
      <c r="E1170" s="89" t="s">
        <v>153</v>
      </c>
      <c r="F1170" s="89">
        <f>IF(E1170="AM",1,(IF(E1170="BE",2,(IF(E1170="GV",3,(IF(E1170="RA",4,(IF(E1170="RM",5,(IF(E1170="AC",1,(IF(E1170="AT",2,(IF(E1170="DS",3,(IF(E1170="IP",4,(IF(E1170="MA",5,(IF(E1170="PT",6,(IF(E1170="AE",1,(IF(E1170="CM",2,(IF(E1170="DP",3,(IF(E1170="AN",1,(IF(E1170="CO",2,(IF(E1170="IM",3,(IF(E1170="MI",4,(IF(E1170="RP",5,(IF(E1170="SC",6,0)))))))))))))))))))))))))))))))))))))))</f>
        <v>1</v>
      </c>
      <c r="G1170" s="52">
        <v>3</v>
      </c>
      <c r="H1170" s="99">
        <v>1</v>
      </c>
      <c r="I1170" s="93" t="s">
        <v>37</v>
      </c>
      <c r="J1170" s="86">
        <v>12.6</v>
      </c>
      <c r="K1170" s="102" t="s">
        <v>3707</v>
      </c>
      <c r="L1170" s="117">
        <f>IF(O1170="","",N1170*O1170*M1170)</f>
        <v>0</v>
      </c>
      <c r="M1170" s="108">
        <v>1</v>
      </c>
      <c r="N1170" s="95">
        <v>1</v>
      </c>
      <c r="O1170" s="109">
        <f>IF(Key!D$1="ON",P1170,IF(SUM(Q1170:DL1170)&lt;1,"",SUM(Q1170:DL1170)/COUNTIF(Q1170:DL1170,"&gt;0")))</f>
        <v>0</v>
      </c>
      <c r="P1170" s="109">
        <f>SUMIFS(Q1170:DK1170,Q$1:DK$1,Dashboard!$K$31)</f>
        <v>0</v>
      </c>
      <c r="U1170" s="95">
        <v>33</v>
      </c>
      <c r="AA1170" s="95">
        <v>25</v>
      </c>
      <c r="AH1170" s="95">
        <v>75</v>
      </c>
    </row>
    <row r="1171" spans="1:34" x14ac:dyDescent="0.3">
      <c r="A1171" s="89" t="str">
        <f>CONCATENATE(D1171,".",F1171,"-",G1171,".",H1171,"")</f>
        <v>2.1-3.1</v>
      </c>
      <c r="B1171" s="89" t="str">
        <f>IF(CONCATENATE(I1171,Key!F$2)=CONCATENATE(INDEX(Dashboard!J:J,MATCH(I1171,Dashboard!J:J,0),1),INDEX(Dashboard!J:K,MATCH(I1171,Dashboard!J:J,0),2)),"ON",IF(Dashboard!K$32="ALL","ON","-"))</f>
        <v>-</v>
      </c>
      <c r="C1171" s="88" t="s">
        <v>152</v>
      </c>
      <c r="D1171" s="89">
        <f>IF(C1171="ID",1,(IF(C1171="PR",2,(IF(C1171="DE",3,(IF(C1171="RS",4,(IF(C1171="RC",5,0)))))))))</f>
        <v>2</v>
      </c>
      <c r="E1171" s="89" t="s">
        <v>153</v>
      </c>
      <c r="F1171" s="89">
        <f>IF(E1171="AM",1,(IF(E1171="BE",2,(IF(E1171="GV",3,(IF(E1171="RA",4,(IF(E1171="RM",5,(IF(E1171="AC",1,(IF(E1171="AT",2,(IF(E1171="DS",3,(IF(E1171="IP",4,(IF(E1171="MA",5,(IF(E1171="PT",6,(IF(E1171="AE",1,(IF(E1171="CM",2,(IF(E1171="DP",3,(IF(E1171="AN",1,(IF(E1171="CO",2,(IF(E1171="IM",3,(IF(E1171="MI",4,(IF(E1171="RP",5,(IF(E1171="SC",6,0)))))))))))))))))))))))))))))))))))))))</f>
        <v>1</v>
      </c>
      <c r="G1171" s="52">
        <v>3</v>
      </c>
      <c r="H1171" s="99">
        <v>1</v>
      </c>
      <c r="I1171" s="93" t="s">
        <v>41</v>
      </c>
      <c r="J1171" s="86">
        <v>11.5</v>
      </c>
      <c r="K1171" s="103" t="s">
        <v>3537</v>
      </c>
      <c r="L1171" s="117">
        <f>IF(O1171="","",N1171*O1171*M1171)</f>
        <v>0</v>
      </c>
      <c r="M1171" s="108">
        <v>1</v>
      </c>
      <c r="N1171" s="95">
        <v>1</v>
      </c>
      <c r="O1171" s="109">
        <f>IF(Key!D$1="ON",P1171,IF(SUM(Q1171:DL1171)&lt;1,"",SUM(Q1171:DL1171)/COUNTIF(Q1171:DL1171,"&gt;0")))</f>
        <v>0</v>
      </c>
      <c r="P1171" s="109">
        <f>SUMIFS(Q1171:DK1171,Q$1:DK$1,Dashboard!$K$31)</f>
        <v>0</v>
      </c>
      <c r="U1171" s="95">
        <v>33</v>
      </c>
    </row>
    <row r="1172" spans="1:34" x14ac:dyDescent="0.3">
      <c r="A1172" s="89" t="str">
        <f>CONCATENATE(D1172,".",F1172,"-",G1172,".",H1172,"")</f>
        <v>2.1-3.1</v>
      </c>
      <c r="B1172" s="89" t="str">
        <f>IF(CONCATENATE(I1172,Key!F$2)=CONCATENATE(INDEX(Dashboard!J:J,MATCH(I1172,Dashboard!J:J,0),1),INDEX(Dashboard!J:K,MATCH(I1172,Dashboard!J:J,0),2)),"ON",IF(Dashboard!K$32="ALL","ON","-"))</f>
        <v>-</v>
      </c>
      <c r="C1172" s="88" t="s">
        <v>152</v>
      </c>
      <c r="D1172" s="89">
        <f>IF(C1172="ID",1,(IF(C1172="PR",2,(IF(C1172="DE",3,(IF(C1172="RS",4,(IF(C1172="RC",5,0)))))))))</f>
        <v>2</v>
      </c>
      <c r="E1172" s="89" t="s">
        <v>153</v>
      </c>
      <c r="F1172" s="89">
        <f>IF(E1172="AM",1,(IF(E1172="BE",2,(IF(E1172="GV",3,(IF(E1172="RA",4,(IF(E1172="RM",5,(IF(E1172="AC",1,(IF(E1172="AT",2,(IF(E1172="DS",3,(IF(E1172="IP",4,(IF(E1172="MA",5,(IF(E1172="PT",6,(IF(E1172="AE",1,(IF(E1172="CM",2,(IF(E1172="DP",3,(IF(E1172="AN",1,(IF(E1172="CO",2,(IF(E1172="IM",3,(IF(E1172="MI",4,(IF(E1172="RP",5,(IF(E1172="SC",6,0)))))))))))))))))))))))))))))))))))))))</f>
        <v>1</v>
      </c>
      <c r="G1172" s="52">
        <v>3</v>
      </c>
      <c r="H1172" s="99">
        <v>1</v>
      </c>
      <c r="I1172" s="93" t="s">
        <v>41</v>
      </c>
      <c r="J1172" s="86">
        <v>12.11</v>
      </c>
      <c r="K1172" s="103" t="s">
        <v>3542</v>
      </c>
      <c r="L1172" s="117">
        <f>IF(O1172="","",N1172*O1172*M1172)</f>
        <v>0</v>
      </c>
      <c r="M1172" s="108">
        <v>1</v>
      </c>
      <c r="N1172" s="95">
        <v>1</v>
      </c>
      <c r="O1172" s="109">
        <f>IF(Key!D$1="ON",P1172,IF(SUM(Q1172:DL1172)&lt;1,"",SUM(Q1172:DL1172)/COUNTIF(Q1172:DL1172,"&gt;0")))</f>
        <v>0</v>
      </c>
      <c r="P1172" s="109">
        <f>SUMIFS(Q1172:DK1172,Q$1:DK$1,Dashboard!$K$31)</f>
        <v>0</v>
      </c>
      <c r="U1172" s="95">
        <v>33</v>
      </c>
    </row>
    <row r="1173" spans="1:34" x14ac:dyDescent="0.3">
      <c r="A1173" s="89" t="str">
        <f>CONCATENATE(D1173,".",F1173,"-",G1173,".",H1173,"")</f>
        <v>2.1-3.1</v>
      </c>
      <c r="B1173" s="89" t="str">
        <f>IF(CONCATENATE(I1173,Key!F$2)=CONCATENATE(INDEX(Dashboard!J:J,MATCH(I1173,Dashboard!J:J,0),1),INDEX(Dashboard!J:K,MATCH(I1173,Dashboard!J:J,0),2)),"ON",IF(Dashboard!K$32="ALL","ON","-"))</f>
        <v>-</v>
      </c>
      <c r="C1173" s="88" t="s">
        <v>152</v>
      </c>
      <c r="D1173" s="89">
        <f>IF(C1173="ID",1,(IF(C1173="PR",2,(IF(C1173="DE",3,(IF(C1173="RS",4,(IF(C1173="RC",5,0)))))))))</f>
        <v>2</v>
      </c>
      <c r="E1173" s="89" t="s">
        <v>153</v>
      </c>
      <c r="F1173" s="89">
        <f>IF(E1173="AM",1,(IF(E1173="BE",2,(IF(E1173="GV",3,(IF(E1173="RA",4,(IF(E1173="RM",5,(IF(E1173="AC",1,(IF(E1173="AT",2,(IF(E1173="DS",3,(IF(E1173="IP",4,(IF(E1173="MA",5,(IF(E1173="PT",6,(IF(E1173="AE",1,(IF(E1173="CM",2,(IF(E1173="DP",3,(IF(E1173="AN",1,(IF(E1173="CO",2,(IF(E1173="IM",3,(IF(E1173="MI",4,(IF(E1173="RP",5,(IF(E1173="SC",6,0)))))))))))))))))))))))))))))))))))))))</f>
        <v>1</v>
      </c>
      <c r="G1173" s="52">
        <v>3</v>
      </c>
      <c r="H1173" s="99">
        <v>1</v>
      </c>
      <c r="I1173" s="93" t="s">
        <v>41</v>
      </c>
      <c r="J1173" s="86">
        <v>12.12</v>
      </c>
      <c r="K1173" s="103" t="s">
        <v>3543</v>
      </c>
      <c r="L1173" s="117">
        <f>IF(O1173="","",N1173*O1173*M1173)</f>
        <v>0</v>
      </c>
      <c r="M1173" s="108">
        <v>1</v>
      </c>
      <c r="N1173" s="95">
        <v>1</v>
      </c>
      <c r="O1173" s="109">
        <f>IF(Key!D$1="ON",P1173,IF(SUM(Q1173:DL1173)&lt;1,"",SUM(Q1173:DL1173)/COUNTIF(Q1173:DL1173,"&gt;0")))</f>
        <v>0</v>
      </c>
      <c r="P1173" s="109">
        <f>SUMIFS(Q1173:DK1173,Q$1:DK$1,Dashboard!$K$31)</f>
        <v>0</v>
      </c>
      <c r="U1173" s="95">
        <v>33</v>
      </c>
    </row>
    <row r="1174" spans="1:34" x14ac:dyDescent="0.3">
      <c r="A1174" s="89" t="str">
        <f>CONCATENATE(D1174,".",F1174,"-",G1174,".",H1174,"")</f>
        <v>2.1-3.1</v>
      </c>
      <c r="B1174" s="89" t="str">
        <f>IF(CONCATENATE(I1174,Key!F$2)=CONCATENATE(INDEX(Dashboard!J:J,MATCH(I1174,Dashboard!J:J,0),1),INDEX(Dashboard!J:K,MATCH(I1174,Dashboard!J:J,0),2)),"ON",IF(Dashboard!K$32="ALL","ON","-"))</f>
        <v>-</v>
      </c>
      <c r="C1174" s="96" t="s">
        <v>152</v>
      </c>
      <c r="D1174" s="89">
        <f>IF(C1174="ID",1,(IF(C1174="PR",2,(IF(C1174="DE",3,(IF(C1174="RS",4,(IF(C1174="RC",5,0)))))))))</f>
        <v>2</v>
      </c>
      <c r="E1174" s="89" t="s">
        <v>153</v>
      </c>
      <c r="F1174" s="89">
        <f>IF(E1174="AM",1,(IF(E1174="BE",2,(IF(E1174="GV",3,(IF(E1174="RA",4,(IF(E1174="RM",5,(IF(E1174="AC",1,(IF(E1174="AT",2,(IF(E1174="DS",3,(IF(E1174="IP",4,(IF(E1174="MA",5,(IF(E1174="PT",6,(IF(E1174="AE",1,(IF(E1174="CM",2,(IF(E1174="DP",3,(IF(E1174="AN",1,(IF(E1174="CO",2,(IF(E1174="IM",3,(IF(E1174="MI",4,(IF(E1174="RP",5,(IF(E1174="SC",6,0)))))))))))))))))))))))))))))))))))))))</f>
        <v>1</v>
      </c>
      <c r="G1174" s="98">
        <v>3</v>
      </c>
      <c r="H1174" s="90" t="s">
        <v>115</v>
      </c>
      <c r="I1174" s="93" t="s">
        <v>52</v>
      </c>
      <c r="J1174" s="88" t="s">
        <v>3383</v>
      </c>
      <c r="K1174" s="103" t="s">
        <v>3384</v>
      </c>
      <c r="L1174" s="117">
        <f>IF(O1174="","",N1174*O1174*M1174)</f>
        <v>0</v>
      </c>
      <c r="M1174" s="108">
        <v>1</v>
      </c>
      <c r="N1174" s="95">
        <v>1</v>
      </c>
      <c r="O1174" s="109">
        <f>IF(Key!D$1="ON",P1174,IF(SUM(Q1174:DL1174)&lt;1,"",SUM(Q1174:DL1174)/COUNTIF(Q1174:DL1174,"&gt;0")))</f>
        <v>0</v>
      </c>
      <c r="P1174" s="109">
        <f>SUMIFS(Q1174:DK1174,Q$1:DK$1,Dashboard!$K$31)</f>
        <v>0</v>
      </c>
      <c r="U1174" s="95">
        <v>33</v>
      </c>
      <c r="AA1174" s="95">
        <v>25</v>
      </c>
      <c r="AH1174" s="95">
        <v>75</v>
      </c>
    </row>
    <row r="1175" spans="1:34" x14ac:dyDescent="0.3">
      <c r="A1175" s="89" t="str">
        <f>CONCATENATE(D1175,".",F1175,"-",G1175,".",H1175,"")</f>
        <v>2.1-3.1</v>
      </c>
      <c r="B1175" s="89" t="str">
        <f>IF(CONCATENATE(I1175,Key!F$2)=CONCATENATE(INDEX(Dashboard!J:J,MATCH(I1175,Dashboard!J:J,0),1),INDEX(Dashboard!J:K,MATCH(I1175,Dashboard!J:J,0),2)),"ON",IF(Dashboard!K$32="ALL","ON","-"))</f>
        <v>-</v>
      </c>
      <c r="C1175" s="96" t="s">
        <v>152</v>
      </c>
      <c r="D1175" s="89">
        <f>IF(C1175="ID",1,(IF(C1175="PR",2,(IF(C1175="DE",3,(IF(C1175="RS",4,(IF(C1175="RC",5,0)))))))))</f>
        <v>2</v>
      </c>
      <c r="E1175" s="89" t="s">
        <v>153</v>
      </c>
      <c r="F1175" s="89">
        <f>IF(E1175="AM",1,(IF(E1175="BE",2,(IF(E1175="GV",3,(IF(E1175="RA",4,(IF(E1175="RM",5,(IF(E1175="AC",1,(IF(E1175="AT",2,(IF(E1175="DS",3,(IF(E1175="IP",4,(IF(E1175="MA",5,(IF(E1175="PT",6,(IF(E1175="AE",1,(IF(E1175="CM",2,(IF(E1175="DP",3,(IF(E1175="AN",1,(IF(E1175="CO",2,(IF(E1175="IM",3,(IF(E1175="MI",4,(IF(E1175="RP",5,(IF(E1175="SC",6,0)))))))))))))))))))))))))))))))))))))))</f>
        <v>1</v>
      </c>
      <c r="G1175" s="98">
        <v>3</v>
      </c>
      <c r="H1175" s="90" t="s">
        <v>115</v>
      </c>
      <c r="I1175" s="93" t="s">
        <v>52</v>
      </c>
      <c r="J1175" s="88" t="s">
        <v>3361</v>
      </c>
      <c r="K1175" s="103" t="s">
        <v>3362</v>
      </c>
      <c r="L1175" s="117">
        <f>IF(O1175="","",N1175*O1175*M1175)</f>
        <v>0</v>
      </c>
      <c r="M1175" s="108">
        <v>1</v>
      </c>
      <c r="N1175" s="95">
        <v>1</v>
      </c>
      <c r="O1175" s="109">
        <f>IF(Key!D$1="ON",P1175,IF(SUM(Q1175:DL1175)&lt;1,"",SUM(Q1175:DL1175)/COUNTIF(Q1175:DL1175,"&gt;0")))</f>
        <v>0</v>
      </c>
      <c r="P1175" s="109">
        <f>SUMIFS(Q1175:DK1175,Q$1:DK$1,Dashboard!$K$31)</f>
        <v>0</v>
      </c>
      <c r="U1175" s="95">
        <v>33</v>
      </c>
      <c r="AA1175" s="95">
        <v>25</v>
      </c>
      <c r="AH1175" s="95">
        <v>75</v>
      </c>
    </row>
    <row r="1176" spans="1:34" x14ac:dyDescent="0.3">
      <c r="A1176" s="89" t="str">
        <f>CONCATENATE(D1176,".",F1176,"-",G1176,".",H1176,"")</f>
        <v>2.1-3.1</v>
      </c>
      <c r="B1176" s="89" t="str">
        <f>IF(CONCATENATE(I1176,Key!F$2)=CONCATENATE(INDEX(Dashboard!J:J,MATCH(I1176,Dashboard!J:J,0),1),INDEX(Dashboard!J:K,MATCH(I1176,Dashboard!J:J,0),2)),"ON",IF(Dashboard!K$32="ALL","ON","-"))</f>
        <v>-</v>
      </c>
      <c r="C1176" s="96" t="s">
        <v>152</v>
      </c>
      <c r="D1176" s="89">
        <f>IF(C1176="ID",1,(IF(C1176="PR",2,(IF(C1176="DE",3,(IF(C1176="RS",4,(IF(C1176="RC",5,0)))))))))</f>
        <v>2</v>
      </c>
      <c r="E1176" s="89" t="s">
        <v>153</v>
      </c>
      <c r="F1176" s="89">
        <f>IF(E1176="AM",1,(IF(E1176="BE",2,(IF(E1176="GV",3,(IF(E1176="RA",4,(IF(E1176="RM",5,(IF(E1176="AC",1,(IF(E1176="AT",2,(IF(E1176="DS",3,(IF(E1176="IP",4,(IF(E1176="MA",5,(IF(E1176="PT",6,(IF(E1176="AE",1,(IF(E1176="CM",2,(IF(E1176="DP",3,(IF(E1176="AN",1,(IF(E1176="CO",2,(IF(E1176="IM",3,(IF(E1176="MI",4,(IF(E1176="RP",5,(IF(E1176="SC",6,0)))))))))))))))))))))))))))))))))))))))</f>
        <v>1</v>
      </c>
      <c r="G1176" s="98">
        <v>3</v>
      </c>
      <c r="H1176" s="90" t="s">
        <v>115</v>
      </c>
      <c r="I1176" s="93" t="s">
        <v>52</v>
      </c>
      <c r="J1176" s="88" t="s">
        <v>3375</v>
      </c>
      <c r="K1176" s="103" t="s">
        <v>3376</v>
      </c>
      <c r="L1176" s="117">
        <f>IF(O1176="","",N1176*O1176*M1176)</f>
        <v>0</v>
      </c>
      <c r="M1176" s="108">
        <v>1</v>
      </c>
      <c r="N1176" s="95">
        <v>1</v>
      </c>
      <c r="O1176" s="109">
        <f>IF(Key!D$1="ON",P1176,IF(SUM(Q1176:DL1176)&lt;1,"",SUM(Q1176:DL1176)/COUNTIF(Q1176:DL1176,"&gt;0")))</f>
        <v>0</v>
      </c>
      <c r="P1176" s="109">
        <f>SUMIFS(Q1176:DK1176,Q$1:DK$1,Dashboard!$K$31)</f>
        <v>0</v>
      </c>
      <c r="U1176" s="95">
        <v>33</v>
      </c>
      <c r="AA1176" s="95">
        <v>25</v>
      </c>
      <c r="AH1176" s="95">
        <v>75</v>
      </c>
    </row>
    <row r="1177" spans="1:34" x14ac:dyDescent="0.3">
      <c r="A1177" s="89" t="str">
        <f>CONCATENATE(D1177,".",F1177,"-",G1177,".",H1177,"")</f>
        <v>2.1-3.1</v>
      </c>
      <c r="B1177" s="89" t="str">
        <f>IF(CONCATENATE(I1177,Key!F$2)=CONCATENATE(INDEX(Dashboard!J:J,MATCH(I1177,Dashboard!J:J,0),1),INDEX(Dashboard!J:K,MATCH(I1177,Dashboard!J:J,0),2)),"ON",IF(Dashboard!K$32="ALL","ON","-"))</f>
        <v>-</v>
      </c>
      <c r="C1177" s="88" t="s">
        <v>152</v>
      </c>
      <c r="D1177" s="89">
        <f>IF(C1177="ID",1,(IF(C1177="PR",2,(IF(C1177="DE",3,(IF(C1177="RS",4,(IF(C1177="RC",5,0)))))))))</f>
        <v>2</v>
      </c>
      <c r="E1177" s="89" t="s">
        <v>153</v>
      </c>
      <c r="F1177" s="89">
        <f>IF(E1177="AM",1,(IF(E1177="BE",2,(IF(E1177="GV",3,(IF(E1177="RA",4,(IF(E1177="RM",5,(IF(E1177="AC",1,(IF(E1177="AT",2,(IF(E1177="DS",3,(IF(E1177="IP",4,(IF(E1177="MA",5,(IF(E1177="PT",6,(IF(E1177="AE",1,(IF(E1177="CM",2,(IF(E1177="DP",3,(IF(E1177="AN",1,(IF(E1177="CO",2,(IF(E1177="IM",3,(IF(E1177="MI",4,(IF(E1177="RP",5,(IF(E1177="SC",6,0)))))))))))))))))))))))))))))))))))))))</f>
        <v>1</v>
      </c>
      <c r="G1177" s="52">
        <v>3</v>
      </c>
      <c r="H1177" s="90" t="s">
        <v>115</v>
      </c>
      <c r="I1177" s="93" t="s">
        <v>60</v>
      </c>
      <c r="J1177" s="88" t="s">
        <v>3124</v>
      </c>
      <c r="K1177" s="51" t="s">
        <v>5237</v>
      </c>
      <c r="L1177" s="117">
        <f>IF(O1177="","",N1177*O1177*M1177)</f>
        <v>0</v>
      </c>
      <c r="M1177" s="108">
        <v>1</v>
      </c>
      <c r="N1177" s="95">
        <v>1</v>
      </c>
      <c r="O1177" s="109">
        <f>IF(Key!D$1="ON",P1177,IF(SUM(Q1177:DL1177)&lt;1,"",SUM(Q1177:DL1177)/COUNTIF(Q1177:DL1177,"&gt;0")))</f>
        <v>0</v>
      </c>
      <c r="P1177" s="109">
        <f>SUMIFS(Q1177:DK1177,Q$1:DK$1,Dashboard!$K$31)</f>
        <v>0</v>
      </c>
      <c r="U1177" s="95">
        <v>33</v>
      </c>
      <c r="AA1177" s="95">
        <v>25</v>
      </c>
      <c r="AH1177" s="95">
        <v>75</v>
      </c>
    </row>
    <row r="1178" spans="1:34" x14ac:dyDescent="0.3">
      <c r="A1178" s="89" t="str">
        <f>CONCATENATE(D1178,".",F1178,"-",G1178,".",H1178,"")</f>
        <v>2.1-3.1</v>
      </c>
      <c r="B1178" s="89" t="str">
        <f>IF(CONCATENATE(I1178,Key!F$2)=CONCATENATE(INDEX(Dashboard!J:J,MATCH(I1178,Dashboard!J:J,0),1),INDEX(Dashboard!J:K,MATCH(I1178,Dashboard!J:J,0),2)),"ON",IF(Dashboard!K$32="ALL","ON","-"))</f>
        <v>-</v>
      </c>
      <c r="C1178" s="88" t="s">
        <v>152</v>
      </c>
      <c r="D1178" s="89">
        <f>IF(C1178="ID",1,(IF(C1178="PR",2,(IF(C1178="DE",3,(IF(C1178="RS",4,(IF(C1178="RC",5,0)))))))))</f>
        <v>2</v>
      </c>
      <c r="E1178" s="89" t="s">
        <v>153</v>
      </c>
      <c r="F1178" s="89">
        <f>IF(E1178="AM",1,(IF(E1178="BE",2,(IF(E1178="GV",3,(IF(E1178="RA",4,(IF(E1178="RM",5,(IF(E1178="AC",1,(IF(E1178="AT",2,(IF(E1178="DS",3,(IF(E1178="IP",4,(IF(E1178="MA",5,(IF(E1178="PT",6,(IF(E1178="AE",1,(IF(E1178="CM",2,(IF(E1178="DP",3,(IF(E1178="AN",1,(IF(E1178="CO",2,(IF(E1178="IM",3,(IF(E1178="MI",4,(IF(E1178="RP",5,(IF(E1178="SC",6,0)))))))))))))))))))))))))))))))))))))))</f>
        <v>1</v>
      </c>
      <c r="G1178" s="52">
        <v>3</v>
      </c>
      <c r="H1178" s="90" t="s">
        <v>115</v>
      </c>
      <c r="I1178" s="93" t="s">
        <v>60</v>
      </c>
      <c r="J1178" s="87" t="s">
        <v>3123</v>
      </c>
      <c r="K1178" s="51" t="s">
        <v>5236</v>
      </c>
      <c r="L1178" s="117">
        <f>IF(O1178="","",N1178*O1178*M1178)</f>
        <v>0</v>
      </c>
      <c r="M1178" s="108">
        <v>1</v>
      </c>
      <c r="N1178" s="95">
        <v>1</v>
      </c>
      <c r="O1178" s="109">
        <f>IF(Key!D$1="ON",P1178,IF(SUM(Q1178:DL1178)&lt;1,"",SUM(Q1178:DL1178)/COUNTIF(Q1178:DL1178,"&gt;0")))</f>
        <v>0</v>
      </c>
      <c r="P1178" s="109">
        <f>SUMIFS(Q1178:DK1178,Q$1:DK$1,Dashboard!$K$31)</f>
        <v>0</v>
      </c>
      <c r="U1178" s="95">
        <v>33</v>
      </c>
      <c r="AA1178" s="95">
        <v>25</v>
      </c>
      <c r="AH1178" s="95">
        <v>75</v>
      </c>
    </row>
    <row r="1179" spans="1:34" x14ac:dyDescent="0.3">
      <c r="A1179" s="89" t="str">
        <f>CONCATENATE(D1179,".",F1179,"-",G1179,".",H1179,"")</f>
        <v>2.1-3.1</v>
      </c>
      <c r="B1179" s="89" t="str">
        <f>IF(CONCATENATE(I1179,Key!F$2)=CONCATENATE(INDEX(Dashboard!J:J,MATCH(I1179,Dashboard!J:J,0),1),INDEX(Dashboard!J:K,MATCH(I1179,Dashboard!J:J,0),2)),"ON",IF(Dashboard!K$32="ALL","ON","-"))</f>
        <v>-</v>
      </c>
      <c r="C1179" s="88" t="s">
        <v>152</v>
      </c>
      <c r="D1179" s="89">
        <f>IF(C1179="ID",1,(IF(C1179="PR",2,(IF(C1179="DE",3,(IF(C1179="RS",4,(IF(C1179="RC",5,0)))))))))</f>
        <v>2</v>
      </c>
      <c r="E1179" s="89" t="s">
        <v>153</v>
      </c>
      <c r="F1179" s="89">
        <f>IF(E1179="AM",1,(IF(E1179="BE",2,(IF(E1179="GV",3,(IF(E1179="RA",4,(IF(E1179="RM",5,(IF(E1179="AC",1,(IF(E1179="AT",2,(IF(E1179="DS",3,(IF(E1179="IP",4,(IF(E1179="MA",5,(IF(E1179="PT",6,(IF(E1179="AE",1,(IF(E1179="CM",2,(IF(E1179="DP",3,(IF(E1179="AN",1,(IF(E1179="CO",2,(IF(E1179="IM",3,(IF(E1179="MI",4,(IF(E1179="RP",5,(IF(E1179="SC",6,0)))))))))))))))))))))))))))))))))))))))</f>
        <v>1</v>
      </c>
      <c r="G1179" s="52">
        <v>3</v>
      </c>
      <c r="H1179" s="90" t="s">
        <v>115</v>
      </c>
      <c r="I1179" s="93" t="s">
        <v>60</v>
      </c>
      <c r="J1179" s="87" t="s">
        <v>3179</v>
      </c>
      <c r="K1179" s="51" t="s">
        <v>5292</v>
      </c>
      <c r="L1179" s="117">
        <f>IF(O1179="","",N1179*O1179*M1179)</f>
        <v>0</v>
      </c>
      <c r="M1179" s="108">
        <v>1</v>
      </c>
      <c r="N1179" s="95">
        <v>1</v>
      </c>
      <c r="O1179" s="109">
        <f>IF(Key!D$1="ON",P1179,IF(SUM(Q1179:DL1179)&lt;1,"",SUM(Q1179:DL1179)/COUNTIF(Q1179:DL1179,"&gt;0")))</f>
        <v>0</v>
      </c>
      <c r="P1179" s="109">
        <f>SUMIFS(Q1179:DK1179,Q$1:DK$1,Dashboard!$K$31)</f>
        <v>0</v>
      </c>
      <c r="U1179" s="95">
        <v>33</v>
      </c>
      <c r="AA1179" s="95">
        <v>25</v>
      </c>
      <c r="AH1179" s="95">
        <v>75</v>
      </c>
    </row>
    <row r="1180" spans="1:34" x14ac:dyDescent="0.3">
      <c r="A1180" s="89" t="str">
        <f>CONCATENATE(D1180,".",F1180,"-",G1180,".",H1180,"")</f>
        <v>2.1-3.1</v>
      </c>
      <c r="B1180" s="89" t="str">
        <f>IF(CONCATENATE(I1180,Key!F$2)=CONCATENATE(INDEX(Dashboard!J:J,MATCH(I1180,Dashboard!J:J,0),1),INDEX(Dashboard!J:K,MATCH(I1180,Dashboard!J:J,0),2)),"ON",IF(Dashboard!K$32="ALL","ON","-"))</f>
        <v>-</v>
      </c>
      <c r="C1180" s="88" t="s">
        <v>152</v>
      </c>
      <c r="D1180" s="89">
        <f>IF(C1180="ID",1,(IF(C1180="PR",2,(IF(C1180="DE",3,(IF(C1180="RS",4,(IF(C1180="RC",5,0)))))))))</f>
        <v>2</v>
      </c>
      <c r="E1180" s="89" t="s">
        <v>153</v>
      </c>
      <c r="F1180" s="89">
        <f>IF(E1180="AM",1,(IF(E1180="BE",2,(IF(E1180="GV",3,(IF(E1180="RA",4,(IF(E1180="RM",5,(IF(E1180="AC",1,(IF(E1180="AT",2,(IF(E1180="DS",3,(IF(E1180="IP",4,(IF(E1180="MA",5,(IF(E1180="PT",6,(IF(E1180="AE",1,(IF(E1180="CM",2,(IF(E1180="DP",3,(IF(E1180="AN",1,(IF(E1180="CO",2,(IF(E1180="IM",3,(IF(E1180="MI",4,(IF(E1180="RP",5,(IF(E1180="SC",6,0)))))))))))))))))))))))))))))))))))))))</f>
        <v>1</v>
      </c>
      <c r="G1180" s="52">
        <v>3</v>
      </c>
      <c r="H1180" s="89">
        <v>1</v>
      </c>
      <c r="I1180" s="93" t="s">
        <v>60</v>
      </c>
      <c r="J1180" s="88" t="s">
        <v>3143</v>
      </c>
      <c r="K1180" s="51" t="s">
        <v>5256</v>
      </c>
      <c r="L1180" s="117">
        <f>IF(O1180="","",N1180*O1180*M1180)</f>
        <v>0</v>
      </c>
      <c r="M1180" s="108">
        <v>1</v>
      </c>
      <c r="N1180" s="95">
        <v>1</v>
      </c>
      <c r="O1180" s="109">
        <f>IF(Key!D$1="ON",P1180,IF(SUM(Q1180:DL1180)&lt;1,"",SUM(Q1180:DL1180)/COUNTIF(Q1180:DL1180,"&gt;0")))</f>
        <v>0</v>
      </c>
      <c r="P1180" s="109">
        <f>SUMIFS(Q1180:DK1180,Q$1:DK$1,Dashboard!$K$31)</f>
        <v>0</v>
      </c>
      <c r="U1180" s="95">
        <v>33</v>
      </c>
      <c r="AA1180" s="95">
        <v>25</v>
      </c>
      <c r="AH1180" s="95">
        <v>75</v>
      </c>
    </row>
    <row r="1181" spans="1:34" x14ac:dyDescent="0.3">
      <c r="A1181" s="89" t="str">
        <f>CONCATENATE(D1181,".",F1181,"-",G1181,".",H1181,"")</f>
        <v>2.1-3.1</v>
      </c>
      <c r="B1181" s="89" t="str">
        <f>IF(CONCATENATE(I1181,Key!F$2)=CONCATENATE(INDEX(Dashboard!J:J,MATCH(I1181,Dashboard!J:J,0),1),INDEX(Dashboard!J:K,MATCH(I1181,Dashboard!J:J,0),2)),"ON",IF(Dashboard!K$32="ALL","ON","-"))</f>
        <v>-</v>
      </c>
      <c r="C1181" s="88" t="s">
        <v>152</v>
      </c>
      <c r="D1181" s="89">
        <f>IF(C1181="ID",1,(IF(C1181="PR",2,(IF(C1181="DE",3,(IF(C1181="RS",4,(IF(C1181="RC",5,0)))))))))</f>
        <v>2</v>
      </c>
      <c r="E1181" s="89" t="s">
        <v>153</v>
      </c>
      <c r="F1181" s="89">
        <f>IF(E1181="AM",1,(IF(E1181="BE",2,(IF(E1181="GV",3,(IF(E1181="RA",4,(IF(E1181="RM",5,(IF(E1181="AC",1,(IF(E1181="AT",2,(IF(E1181="DS",3,(IF(E1181="IP",4,(IF(E1181="MA",5,(IF(E1181="PT",6,(IF(E1181="AE",1,(IF(E1181="CM",2,(IF(E1181="DP",3,(IF(E1181="AN",1,(IF(E1181="CO",2,(IF(E1181="IM",3,(IF(E1181="MI",4,(IF(E1181="RP",5,(IF(E1181="SC",6,0)))))))))))))))))))))))))))))))))))))))</f>
        <v>1</v>
      </c>
      <c r="G1181" s="52">
        <v>3</v>
      </c>
      <c r="H1181" s="89">
        <v>1</v>
      </c>
      <c r="I1181" s="93" t="s">
        <v>60</v>
      </c>
      <c r="J1181" s="88" t="s">
        <v>3143</v>
      </c>
      <c r="K1181" s="51" t="s">
        <v>5256</v>
      </c>
      <c r="L1181" s="117">
        <f>IF(O1181="","",N1181*O1181*M1181)</f>
        <v>0</v>
      </c>
      <c r="M1181" s="108">
        <v>1</v>
      </c>
      <c r="N1181" s="95">
        <v>1</v>
      </c>
      <c r="O1181" s="109">
        <f>IF(Key!D$1="ON",P1181,IF(SUM(Q1181:DL1181)&lt;1,"",SUM(Q1181:DL1181)/COUNTIF(Q1181:DL1181,"&gt;0")))</f>
        <v>0</v>
      </c>
      <c r="P1181" s="109">
        <f>SUMIFS(Q1181:DK1181,Q$1:DK$1,Dashboard!$K$31)</f>
        <v>0</v>
      </c>
      <c r="U1181" s="95">
        <v>33</v>
      </c>
      <c r="AA1181" s="95">
        <v>25</v>
      </c>
      <c r="AH1181" s="95">
        <v>75</v>
      </c>
    </row>
    <row r="1182" spans="1:34" x14ac:dyDescent="0.3">
      <c r="A1182" s="89" t="str">
        <f>CONCATENATE(D1182,".",F1182,"-",G1182,".",H1182,"")</f>
        <v>2.1-3.1</v>
      </c>
      <c r="B1182" s="89" t="str">
        <f>IF(CONCATENATE(I1182,Key!F$2)=CONCATENATE(INDEX(Dashboard!J:J,MATCH(I1182,Dashboard!J:J,0),1),INDEX(Dashboard!J:K,MATCH(I1182,Dashboard!J:J,0),2)),"ON",IF(Dashboard!K$32="ALL","ON","-"))</f>
        <v>-</v>
      </c>
      <c r="C1182" s="96" t="s">
        <v>152</v>
      </c>
      <c r="D1182" s="89">
        <f>IF(C1182="ID",1,(IF(C1182="PR",2,(IF(C1182="DE",3,(IF(C1182="RS",4,(IF(C1182="RC",5,0)))))))))</f>
        <v>2</v>
      </c>
      <c r="E1182" s="89" t="s">
        <v>153</v>
      </c>
      <c r="F1182" s="89">
        <f>IF(E1182="AM",1,(IF(E1182="BE",2,(IF(E1182="GV",3,(IF(E1182="RA",4,(IF(E1182="RM",5,(IF(E1182="AC",1,(IF(E1182="AT",2,(IF(E1182="DS",3,(IF(E1182="IP",4,(IF(E1182="MA",5,(IF(E1182="PT",6,(IF(E1182="AE",1,(IF(E1182="CM",2,(IF(E1182="DP",3,(IF(E1182="AN",1,(IF(E1182="CO",2,(IF(E1182="IM",3,(IF(E1182="MI",4,(IF(E1182="RP",5,(IF(E1182="SC",6,0)))))))))))))))))))))))))))))))))))))))</f>
        <v>1</v>
      </c>
      <c r="G1182" s="98">
        <v>3</v>
      </c>
      <c r="H1182" s="90" t="s">
        <v>115</v>
      </c>
      <c r="I1182" s="93" t="s">
        <v>64</v>
      </c>
      <c r="J1182" s="86" t="s">
        <v>1222</v>
      </c>
      <c r="K1182" s="103" t="s">
        <v>2244</v>
      </c>
      <c r="L1182" s="117">
        <f>IF(O1182="","",N1182*O1182*M1182)</f>
        <v>0</v>
      </c>
      <c r="M1182" s="108">
        <v>1</v>
      </c>
      <c r="N1182" s="95">
        <v>1</v>
      </c>
      <c r="O1182" s="109">
        <f>IF(Key!D$1="ON",P1182,IF(SUM(Q1182:DL1182)&lt;1,"",SUM(Q1182:DL1182)/COUNTIF(Q1182:DL1182,"&gt;0")))</f>
        <v>0</v>
      </c>
      <c r="P1182" s="109">
        <f>SUMIFS(Q1182:DK1182,Q$1:DK$1,Dashboard!$K$31)</f>
        <v>0</v>
      </c>
      <c r="U1182" s="95">
        <v>33</v>
      </c>
      <c r="AA1182" s="95">
        <v>25</v>
      </c>
      <c r="AH1182" s="95">
        <v>75</v>
      </c>
    </row>
    <row r="1183" spans="1:34" x14ac:dyDescent="0.3">
      <c r="A1183" s="89" t="str">
        <f>CONCATENATE(D1183,".",F1183,"-",G1183,".",H1183,"")</f>
        <v>2.1-3.1</v>
      </c>
      <c r="B1183" s="89" t="str">
        <f>IF(CONCATENATE(I1183,Key!F$2)=CONCATENATE(INDEX(Dashboard!J:J,MATCH(I1183,Dashboard!J:J,0),1),INDEX(Dashboard!J:K,MATCH(I1183,Dashboard!J:J,0),2)),"ON",IF(Dashboard!K$32="ALL","ON","-"))</f>
        <v>-</v>
      </c>
      <c r="C1183" s="88" t="s">
        <v>152</v>
      </c>
      <c r="D1183" s="89">
        <f>IF(C1183="ID",1,(IF(C1183="PR",2,(IF(C1183="DE",3,(IF(C1183="RS",4,(IF(C1183="RC",5,0)))))))))</f>
        <v>2</v>
      </c>
      <c r="E1183" s="89" t="s">
        <v>153</v>
      </c>
      <c r="F1183" s="89">
        <f>IF(E1183="AM",1,(IF(E1183="BE",2,(IF(E1183="GV",3,(IF(E1183="RA",4,(IF(E1183="RM",5,(IF(E1183="AC",1,(IF(E1183="AT",2,(IF(E1183="DS",3,(IF(E1183="IP",4,(IF(E1183="MA",5,(IF(E1183="PT",6,(IF(E1183="AE",1,(IF(E1183="CM",2,(IF(E1183="DP",3,(IF(E1183="AN",1,(IF(E1183="CO",2,(IF(E1183="IM",3,(IF(E1183="MI",4,(IF(E1183="RP",5,(IF(E1183="SC",6,0)))))))))))))))))))))))))))))))))))))))</f>
        <v>1</v>
      </c>
      <c r="G1183" s="52">
        <v>3</v>
      </c>
      <c r="H1183" s="90" t="s">
        <v>115</v>
      </c>
      <c r="I1183" s="93" t="s">
        <v>73</v>
      </c>
      <c r="J1183" s="86" t="s">
        <v>5187</v>
      </c>
      <c r="K1183" s="101" t="s">
        <v>5188</v>
      </c>
      <c r="L1183" s="117">
        <f>IF(O1183="","",N1183*O1183*M1183)</f>
        <v>0</v>
      </c>
      <c r="M1183" s="108">
        <v>1</v>
      </c>
      <c r="N1183" s="95">
        <v>1</v>
      </c>
      <c r="O1183" s="109">
        <f>IF(Key!D$1="ON",P1183,IF(SUM(Q1183:DL1183)&lt;1,"",SUM(Q1183:DL1183)/COUNTIF(Q1183:DL1183,"&gt;0")))</f>
        <v>0</v>
      </c>
      <c r="P1183" s="109">
        <f>SUMIFS(Q1183:DK1183,Q$1:DK$1,Dashboard!$K$31)</f>
        <v>0</v>
      </c>
      <c r="U1183" s="95">
        <v>33</v>
      </c>
      <c r="AA1183" s="95">
        <v>25</v>
      </c>
      <c r="AH1183" s="95">
        <v>75</v>
      </c>
    </row>
    <row r="1184" spans="1:34" x14ac:dyDescent="0.3">
      <c r="A1184" s="89" t="str">
        <f>CONCATENATE(D1184,".",F1184,"-",G1184,".",H1184,"")</f>
        <v>2.1-3.1</v>
      </c>
      <c r="B1184" s="89" t="str">
        <f>IF(CONCATENATE(I1184,Key!F$2)=CONCATENATE(INDEX(Dashboard!J:J,MATCH(I1184,Dashboard!J:J,0),1),INDEX(Dashboard!J:K,MATCH(I1184,Dashboard!J:J,0),2)),"ON",IF(Dashboard!K$32="ALL","ON","-"))</f>
        <v>-</v>
      </c>
      <c r="C1184" s="88" t="s">
        <v>152</v>
      </c>
      <c r="D1184" s="89">
        <f>IF(C1184="ID",1,(IF(C1184="PR",2,(IF(C1184="DE",3,(IF(C1184="RS",4,(IF(C1184="RC",5,0)))))))))</f>
        <v>2</v>
      </c>
      <c r="E1184" s="89" t="s">
        <v>153</v>
      </c>
      <c r="F1184" s="89">
        <f>IF(E1184="AM",1,(IF(E1184="BE",2,(IF(E1184="GV",3,(IF(E1184="RA",4,(IF(E1184="RM",5,(IF(E1184="AC",1,(IF(E1184="AT",2,(IF(E1184="DS",3,(IF(E1184="IP",4,(IF(E1184="MA",5,(IF(E1184="PT",6,(IF(E1184="AE",1,(IF(E1184="CM",2,(IF(E1184="DP",3,(IF(E1184="AN",1,(IF(E1184="CO",2,(IF(E1184="IM",3,(IF(E1184="MI",4,(IF(E1184="RP",5,(IF(E1184="SC",6,0)))))))))))))))))))))))))))))))))))))))</f>
        <v>1</v>
      </c>
      <c r="G1184" s="98">
        <v>3</v>
      </c>
      <c r="H1184" s="99">
        <v>1</v>
      </c>
      <c r="I1184" s="93" t="s">
        <v>73</v>
      </c>
      <c r="J1184" s="86" t="s">
        <v>4131</v>
      </c>
      <c r="K1184" s="107" t="s">
        <v>4262</v>
      </c>
      <c r="L1184" s="117">
        <f>IF(O1184="","",N1184*O1184*M1184)</f>
        <v>0</v>
      </c>
      <c r="M1184" s="108">
        <v>1</v>
      </c>
      <c r="N1184" s="95">
        <v>1</v>
      </c>
      <c r="O1184" s="109">
        <f>IF(Key!D$1="ON",P1184,IF(SUM(Q1184:DL1184)&lt;1,"",SUM(Q1184:DL1184)/COUNTIF(Q1184:DL1184,"&gt;0")))</f>
        <v>0</v>
      </c>
      <c r="P1184" s="109">
        <f>SUMIFS(Q1184:DK1184,Q$1:DK$1,Dashboard!$K$31)</f>
        <v>0</v>
      </c>
      <c r="U1184" s="95">
        <v>33</v>
      </c>
      <c r="AA1184" s="95">
        <v>25</v>
      </c>
      <c r="AH1184" s="95">
        <v>75</v>
      </c>
    </row>
    <row r="1185" spans="1:34" x14ac:dyDescent="0.3">
      <c r="A1185" s="89" t="str">
        <f>CONCATENATE(D1185,".",F1185,"-",G1185,".",H1185,"")</f>
        <v>2.1-3.1</v>
      </c>
      <c r="B1185" s="89" t="str">
        <f>IF(CONCATENATE(I1185,Key!F$2)=CONCATENATE(INDEX(Dashboard!J:J,MATCH(I1185,Dashboard!J:J,0),1),INDEX(Dashboard!J:K,MATCH(I1185,Dashboard!J:J,0),2)),"ON",IF(Dashboard!K$32="ALL","ON","-"))</f>
        <v>-</v>
      </c>
      <c r="C1185" s="88" t="s">
        <v>152</v>
      </c>
      <c r="D1185" s="89">
        <f>IF(C1185="ID",1,(IF(C1185="PR",2,(IF(C1185="DE",3,(IF(C1185="RS",4,(IF(C1185="RC",5,0)))))))))</f>
        <v>2</v>
      </c>
      <c r="E1185" s="89" t="s">
        <v>153</v>
      </c>
      <c r="F1185" s="89">
        <f>IF(E1185="AM",1,(IF(E1185="BE",2,(IF(E1185="GV",3,(IF(E1185="RA",4,(IF(E1185="RM",5,(IF(E1185="AC",1,(IF(E1185="AT",2,(IF(E1185="DS",3,(IF(E1185="IP",4,(IF(E1185="MA",5,(IF(E1185="PT",6,(IF(E1185="AE",1,(IF(E1185="CM",2,(IF(E1185="DP",3,(IF(E1185="AN",1,(IF(E1185="CO",2,(IF(E1185="IM",3,(IF(E1185="MI",4,(IF(E1185="RP",5,(IF(E1185="SC",6,0)))))))))))))))))))))))))))))))))))))))</f>
        <v>1</v>
      </c>
      <c r="G1185" s="98">
        <v>3</v>
      </c>
      <c r="H1185" s="99">
        <v>1</v>
      </c>
      <c r="I1185" s="93" t="s">
        <v>73</v>
      </c>
      <c r="J1185" s="86" t="s">
        <v>4133</v>
      </c>
      <c r="K1185" s="107" t="s">
        <v>4263</v>
      </c>
      <c r="L1185" s="117">
        <f>IF(O1185="","",N1185*O1185*M1185)</f>
        <v>0</v>
      </c>
      <c r="M1185" s="108">
        <v>1</v>
      </c>
      <c r="N1185" s="95">
        <v>1</v>
      </c>
      <c r="O1185" s="109">
        <f>IF(Key!D$1="ON",P1185,IF(SUM(Q1185:DL1185)&lt;1,"",SUM(Q1185:DL1185)/COUNTIF(Q1185:DL1185,"&gt;0")))</f>
        <v>0</v>
      </c>
      <c r="P1185" s="109">
        <f>SUMIFS(Q1185:DK1185,Q$1:DK$1,Dashboard!$K$31)</f>
        <v>0</v>
      </c>
      <c r="U1185" s="95">
        <v>33</v>
      </c>
      <c r="AA1185" s="95">
        <v>25</v>
      </c>
      <c r="AH1185" s="95">
        <v>75</v>
      </c>
    </row>
    <row r="1186" spans="1:34" x14ac:dyDescent="0.3">
      <c r="A1186" s="89" t="str">
        <f>CONCATENATE(D1186,".",F1186,"-",G1186,".",H1186,"")</f>
        <v>2.1-3.1</v>
      </c>
      <c r="B1186" s="89" t="str">
        <f>IF(CONCATENATE(I1186,Key!F$2)=CONCATENATE(INDEX(Dashboard!J:J,MATCH(I1186,Dashboard!J:J,0),1),INDEX(Dashboard!J:K,MATCH(I1186,Dashboard!J:J,0),2)),"ON",IF(Dashboard!K$32="ALL","ON","-"))</f>
        <v>-</v>
      </c>
      <c r="C1186" s="88" t="s">
        <v>152</v>
      </c>
      <c r="D1186" s="89">
        <f>IF(C1186="ID",1,(IF(C1186="PR",2,(IF(C1186="DE",3,(IF(C1186="RS",4,(IF(C1186="RC",5,0)))))))))</f>
        <v>2</v>
      </c>
      <c r="E1186" s="89" t="s">
        <v>153</v>
      </c>
      <c r="F1186" s="89">
        <f>IF(E1186="AM",1,(IF(E1186="BE",2,(IF(E1186="GV",3,(IF(E1186="RA",4,(IF(E1186="RM",5,(IF(E1186="AC",1,(IF(E1186="AT",2,(IF(E1186="DS",3,(IF(E1186="IP",4,(IF(E1186="MA",5,(IF(E1186="PT",6,(IF(E1186="AE",1,(IF(E1186="CM",2,(IF(E1186="DP",3,(IF(E1186="AN",1,(IF(E1186="CO",2,(IF(E1186="IM",3,(IF(E1186="MI",4,(IF(E1186="RP",5,(IF(E1186="SC",6,0)))))))))))))))))))))))))))))))))))))))</f>
        <v>1</v>
      </c>
      <c r="G1186" s="98">
        <v>3</v>
      </c>
      <c r="H1186" s="99">
        <v>1</v>
      </c>
      <c r="I1186" s="93" t="s">
        <v>73</v>
      </c>
      <c r="J1186" s="86" t="s">
        <v>4138</v>
      </c>
      <c r="K1186" s="107" t="s">
        <v>4266</v>
      </c>
      <c r="L1186" s="117">
        <f>IF(O1186="","",N1186*O1186*M1186)</f>
        <v>0</v>
      </c>
      <c r="M1186" s="108">
        <v>1</v>
      </c>
      <c r="N1186" s="95">
        <v>1</v>
      </c>
      <c r="O1186" s="109">
        <f>IF(Key!D$1="ON",P1186,IF(SUM(Q1186:DL1186)&lt;1,"",SUM(Q1186:DL1186)/COUNTIF(Q1186:DL1186,"&gt;0")))</f>
        <v>0</v>
      </c>
      <c r="P1186" s="109">
        <f>SUMIFS(Q1186:DK1186,Q$1:DK$1,Dashboard!$K$31)</f>
        <v>0</v>
      </c>
      <c r="U1186" s="95">
        <v>33</v>
      </c>
      <c r="AA1186" s="95">
        <v>25</v>
      </c>
      <c r="AH1186" s="95">
        <v>75</v>
      </c>
    </row>
    <row r="1187" spans="1:34" x14ac:dyDescent="0.3">
      <c r="A1187" s="89" t="str">
        <f>CONCATENATE(D1187,".",F1187,"-",G1187,".",H1187,"")</f>
        <v>2.1-3.1</v>
      </c>
      <c r="B1187" s="89" t="str">
        <f>IF(CONCATENATE(I1187,Key!F$2)=CONCATENATE(INDEX(Dashboard!J:J,MATCH(I1187,Dashboard!J:J,0),1),INDEX(Dashboard!J:K,MATCH(I1187,Dashboard!J:J,0),2)),"ON",IF(Dashboard!K$32="ALL","ON","-"))</f>
        <v>-</v>
      </c>
      <c r="C1187" s="88" t="s">
        <v>152</v>
      </c>
      <c r="D1187" s="89">
        <f>IF(C1187="ID",1,(IF(C1187="PR",2,(IF(C1187="DE",3,(IF(C1187="RS",4,(IF(C1187="RC",5,0)))))))))</f>
        <v>2</v>
      </c>
      <c r="E1187" s="89" t="s">
        <v>153</v>
      </c>
      <c r="F1187" s="89">
        <f>IF(E1187="AM",1,(IF(E1187="BE",2,(IF(E1187="GV",3,(IF(E1187="RA",4,(IF(E1187="RM",5,(IF(E1187="AC",1,(IF(E1187="AT",2,(IF(E1187="DS",3,(IF(E1187="IP",4,(IF(E1187="MA",5,(IF(E1187="PT",6,(IF(E1187="AE",1,(IF(E1187="CM",2,(IF(E1187="DP",3,(IF(E1187="AN",1,(IF(E1187="CO",2,(IF(E1187="IM",3,(IF(E1187="MI",4,(IF(E1187="RP",5,(IF(E1187="SC",6,0)))))))))))))))))))))))))))))))))))))))</f>
        <v>1</v>
      </c>
      <c r="G1187" s="98">
        <v>3</v>
      </c>
      <c r="H1187" s="99">
        <v>1</v>
      </c>
      <c r="I1187" s="93" t="s">
        <v>73</v>
      </c>
      <c r="J1187" s="86" t="s">
        <v>4112</v>
      </c>
      <c r="K1187" s="107" t="s">
        <v>4251</v>
      </c>
      <c r="L1187" s="117">
        <f>IF(O1187="","",N1187*O1187*M1187)</f>
        <v>0</v>
      </c>
      <c r="M1187" s="108">
        <v>1</v>
      </c>
      <c r="N1187" s="95">
        <v>1</v>
      </c>
      <c r="O1187" s="109">
        <f>IF(Key!D$1="ON",P1187,IF(SUM(Q1187:DL1187)&lt;1,"",SUM(Q1187:DL1187)/COUNTIF(Q1187:DL1187,"&gt;0")))</f>
        <v>0</v>
      </c>
      <c r="P1187" s="109">
        <f>SUMIFS(Q1187:DK1187,Q$1:DK$1,Dashboard!$K$31)</f>
        <v>0</v>
      </c>
      <c r="U1187" s="95">
        <v>33</v>
      </c>
      <c r="AA1187" s="95">
        <v>25</v>
      </c>
      <c r="AH1187" s="95">
        <v>75</v>
      </c>
    </row>
    <row r="1188" spans="1:34" x14ac:dyDescent="0.3">
      <c r="A1188" s="89" t="str">
        <f>CONCATENATE(D1188,".",F1188,"-",G1188,".",H1188,"")</f>
        <v>2.1-3.1</v>
      </c>
      <c r="B1188" s="89" t="str">
        <f>IF(CONCATENATE(I1188,Key!F$2)=CONCATENATE(INDEX(Dashboard!J:J,MATCH(I1188,Dashboard!J:J,0),1),INDEX(Dashboard!J:K,MATCH(I1188,Dashboard!J:J,0),2)),"ON",IF(Dashboard!K$32="ALL","ON","-"))</f>
        <v>-</v>
      </c>
      <c r="C1188" s="88" t="s">
        <v>152</v>
      </c>
      <c r="D1188" s="89">
        <f>IF(C1188="ID",1,(IF(C1188="PR",2,(IF(C1188="DE",3,(IF(C1188="RS",4,(IF(C1188="RC",5,0)))))))))</f>
        <v>2</v>
      </c>
      <c r="E1188" s="89" t="s">
        <v>153</v>
      </c>
      <c r="F1188" s="89">
        <f>IF(E1188="AM",1,(IF(E1188="BE",2,(IF(E1188="GV",3,(IF(E1188="RA",4,(IF(E1188="RM",5,(IF(E1188="AC",1,(IF(E1188="AT",2,(IF(E1188="DS",3,(IF(E1188="IP",4,(IF(E1188="MA",5,(IF(E1188="PT",6,(IF(E1188="AE",1,(IF(E1188="CM",2,(IF(E1188="DP",3,(IF(E1188="AN",1,(IF(E1188="CO",2,(IF(E1188="IM",3,(IF(E1188="MI",4,(IF(E1188="RP",5,(IF(E1188="SC",6,0)))))))))))))))))))))))))))))))))))))))</f>
        <v>1</v>
      </c>
      <c r="G1188" s="52">
        <v>3</v>
      </c>
      <c r="H1188" s="90" t="s">
        <v>115</v>
      </c>
      <c r="I1188" s="93" t="s">
        <v>73</v>
      </c>
      <c r="J1188" s="86" t="s">
        <v>4141</v>
      </c>
      <c r="K1188" s="101" t="s">
        <v>5180</v>
      </c>
      <c r="L1188" s="117">
        <f>IF(O1188="","",N1188*O1188*M1188)</f>
        <v>0</v>
      </c>
      <c r="M1188" s="108">
        <v>1</v>
      </c>
      <c r="N1188" s="95">
        <v>1</v>
      </c>
      <c r="O1188" s="109">
        <f>IF(Key!D$1="ON",P1188,IF(SUM(Q1188:DL1188)&lt;1,"",SUM(Q1188:DL1188)/COUNTIF(Q1188:DL1188,"&gt;0")))</f>
        <v>0</v>
      </c>
      <c r="P1188" s="109">
        <f>SUMIFS(Q1188:DK1188,Q$1:DK$1,Dashboard!$K$31)</f>
        <v>0</v>
      </c>
      <c r="U1188" s="95">
        <v>33</v>
      </c>
      <c r="AA1188" s="95">
        <v>25</v>
      </c>
      <c r="AH1188" s="95">
        <v>75</v>
      </c>
    </row>
    <row r="1189" spans="1:34" ht="15.6" x14ac:dyDescent="0.3">
      <c r="A1189" s="89" t="str">
        <f>CONCATENATE(D1189,".",F1189,"-",G1189,".",H1189,"")</f>
        <v>2.1-3.1</v>
      </c>
      <c r="B1189" s="89" t="str">
        <f>IF(CONCATENATE(I1189,Key!F$2)=CONCATENATE(INDEX(Dashboard!J:J,MATCH(I1189,Dashboard!J:J,0),1),INDEX(Dashboard!J:K,MATCH(I1189,Dashboard!J:J,0),2)),"ON",IF(Dashboard!K$32="ALL","ON","-"))</f>
        <v>-</v>
      </c>
      <c r="C1189" s="88" t="s">
        <v>152</v>
      </c>
      <c r="D1189" s="89">
        <f>IF(C1189="ID",1,(IF(C1189="PR",2,(IF(C1189="DE",3,(IF(C1189="RS",4,(IF(C1189="RC",5,0)))))))))</f>
        <v>2</v>
      </c>
      <c r="E1189" s="89" t="s">
        <v>153</v>
      </c>
      <c r="F1189" s="89">
        <f>IF(E1189="AM",1,(IF(E1189="BE",2,(IF(E1189="GV",3,(IF(E1189="RA",4,(IF(E1189="RM",5,(IF(E1189="AC",1,(IF(E1189="AT",2,(IF(E1189="DS",3,(IF(E1189="IP",4,(IF(E1189="MA",5,(IF(E1189="PT",6,(IF(E1189="AE",1,(IF(E1189="CM",2,(IF(E1189="DP",3,(IF(E1189="AN",1,(IF(E1189="CO",2,(IF(E1189="IM",3,(IF(E1189="MI",4,(IF(E1189="RP",5,(IF(E1189="SC",6,0)))))))))))))))))))))))))))))))))))))))</f>
        <v>1</v>
      </c>
      <c r="G1189" s="98">
        <v>3</v>
      </c>
      <c r="H1189" s="99">
        <v>1</v>
      </c>
      <c r="I1189" s="93" t="s">
        <v>73</v>
      </c>
      <c r="J1189" s="86" t="s">
        <v>4231</v>
      </c>
      <c r="K1189" s="107" t="s">
        <v>4343</v>
      </c>
      <c r="L1189" s="117">
        <f>IF(O1189="","",N1189*O1189*M1189)</f>
        <v>0</v>
      </c>
      <c r="M1189" s="108">
        <v>1</v>
      </c>
      <c r="N1189" s="95">
        <v>1</v>
      </c>
      <c r="O1189" s="109">
        <f>IF(Key!D$1="ON",P1189,IF(SUM(Q1189:DL1189)&lt;1,"",SUM(Q1189:DL1189)/COUNTIF(Q1189:DL1189,"&gt;0")))</f>
        <v>0</v>
      </c>
      <c r="P1189" s="109">
        <f>SUMIFS(Q1189:DK1189,Q$1:DK$1,Dashboard!$K$31)</f>
        <v>0</v>
      </c>
      <c r="U1189" s="95">
        <v>33</v>
      </c>
      <c r="AA1189" s="95">
        <v>25</v>
      </c>
      <c r="AH1189" s="95">
        <v>75</v>
      </c>
    </row>
    <row r="1190" spans="1:34" ht="15.6" x14ac:dyDescent="0.3">
      <c r="A1190" s="89" t="str">
        <f>CONCATENATE(D1190,".",F1190,"-",G1190,".",H1190,"")</f>
        <v>2.1-3.1</v>
      </c>
      <c r="B1190" s="89" t="str">
        <f>IF(CONCATENATE(I1190,Key!F$2)=CONCATENATE(INDEX(Dashboard!J:J,MATCH(I1190,Dashboard!J:J,0),1),INDEX(Dashboard!J:K,MATCH(I1190,Dashboard!J:J,0),2)),"ON",IF(Dashboard!K$32="ALL","ON","-"))</f>
        <v>-</v>
      </c>
      <c r="C1190" s="88" t="s">
        <v>152</v>
      </c>
      <c r="D1190" s="89">
        <f>IF(C1190="ID",1,(IF(C1190="PR",2,(IF(C1190="DE",3,(IF(C1190="RS",4,(IF(C1190="RC",5,0)))))))))</f>
        <v>2</v>
      </c>
      <c r="E1190" s="89" t="s">
        <v>153</v>
      </c>
      <c r="F1190" s="89">
        <f>IF(E1190="AM",1,(IF(E1190="BE",2,(IF(E1190="GV",3,(IF(E1190="RA",4,(IF(E1190="RM",5,(IF(E1190="AC",1,(IF(E1190="AT",2,(IF(E1190="DS",3,(IF(E1190="IP",4,(IF(E1190="MA",5,(IF(E1190="PT",6,(IF(E1190="AE",1,(IF(E1190="CM",2,(IF(E1190="DP",3,(IF(E1190="AN",1,(IF(E1190="CO",2,(IF(E1190="IM",3,(IF(E1190="MI",4,(IF(E1190="RP",5,(IF(E1190="SC",6,0)))))))))))))))))))))))))))))))))))))))</f>
        <v>1</v>
      </c>
      <c r="G1190" s="98">
        <v>3</v>
      </c>
      <c r="H1190" s="99">
        <v>1</v>
      </c>
      <c r="I1190" s="93" t="s">
        <v>73</v>
      </c>
      <c r="J1190" s="86" t="s">
        <v>4227</v>
      </c>
      <c r="K1190" s="107" t="s">
        <v>4340</v>
      </c>
      <c r="L1190" s="117">
        <f>IF(O1190="","",N1190*O1190*M1190)</f>
        <v>0</v>
      </c>
      <c r="M1190" s="108">
        <v>1</v>
      </c>
      <c r="N1190" s="95">
        <v>1</v>
      </c>
      <c r="O1190" s="109">
        <f>IF(Key!D$1="ON",P1190,IF(SUM(Q1190:DL1190)&lt;1,"",SUM(Q1190:DL1190)/COUNTIF(Q1190:DL1190,"&gt;0")))</f>
        <v>0</v>
      </c>
      <c r="P1190" s="109">
        <f>SUMIFS(Q1190:DK1190,Q$1:DK$1,Dashboard!$K$31)</f>
        <v>0</v>
      </c>
      <c r="U1190" s="95">
        <v>33</v>
      </c>
      <c r="AA1190" s="95">
        <v>25</v>
      </c>
      <c r="AH1190" s="95">
        <v>75</v>
      </c>
    </row>
    <row r="1191" spans="1:34" x14ac:dyDescent="0.3">
      <c r="A1191" s="89" t="str">
        <f>CONCATENATE(D1191,".",F1191,"-",G1191,".",H1191,"")</f>
        <v>2.1-3.1</v>
      </c>
      <c r="B1191" s="89" t="str">
        <f>IF(CONCATENATE(I1191,Key!F$2)=CONCATENATE(INDEX(Dashboard!J:J,MATCH(I1191,Dashboard!J:J,0),1),INDEX(Dashboard!J:K,MATCH(I1191,Dashboard!J:J,0),2)),"ON",IF(Dashboard!K$32="ALL","ON","-"))</f>
        <v>-</v>
      </c>
      <c r="C1191" s="96" t="s">
        <v>152</v>
      </c>
      <c r="D1191" s="89">
        <f>IF(C1191="ID",1,(IF(C1191="PR",2,(IF(C1191="DE",3,(IF(C1191="RS",4,(IF(C1191="RC",5,0)))))))))</f>
        <v>2</v>
      </c>
      <c r="E1191" s="89" t="s">
        <v>153</v>
      </c>
      <c r="F1191" s="89">
        <f>IF(E1191="AM",1,(IF(E1191="BE",2,(IF(E1191="GV",3,(IF(E1191="RA",4,(IF(E1191="RM",5,(IF(E1191="AC",1,(IF(E1191="AT",2,(IF(E1191="DS",3,(IF(E1191="IP",4,(IF(E1191="MA",5,(IF(E1191="PT",6,(IF(E1191="AE",1,(IF(E1191="CM",2,(IF(E1191="DP",3,(IF(E1191="AN",1,(IF(E1191="CO",2,(IF(E1191="IM",3,(IF(E1191="MI",4,(IF(E1191="RP",5,(IF(E1191="SC",6,0)))))))))))))))))))))))))))))))))))))))</f>
        <v>1</v>
      </c>
      <c r="G1191" s="98">
        <v>3</v>
      </c>
      <c r="H1191" s="90" t="s">
        <v>115</v>
      </c>
      <c r="I1191" s="93" t="s">
        <v>77</v>
      </c>
      <c r="J1191" s="87" t="s">
        <v>1222</v>
      </c>
      <c r="K1191" s="102" t="s">
        <v>2244</v>
      </c>
      <c r="L1191" s="117">
        <f>IF(O1191="","",N1191*O1191*M1191)</f>
        <v>0</v>
      </c>
      <c r="M1191" s="108">
        <v>1</v>
      </c>
      <c r="N1191" s="95">
        <v>1</v>
      </c>
      <c r="O1191" s="109">
        <f>IF(Key!D$1="ON",P1191,IF(SUM(Q1191:DL1191)&lt;1,"",SUM(Q1191:DL1191)/COUNTIF(Q1191:DL1191,"&gt;0")))</f>
        <v>0</v>
      </c>
      <c r="P1191" s="109">
        <f>SUMIFS(Q1191:DK1191,Q$1:DK$1,Dashboard!$K$31)</f>
        <v>0</v>
      </c>
      <c r="U1191" s="95">
        <v>33</v>
      </c>
      <c r="AA1191" s="95">
        <v>25</v>
      </c>
      <c r="AH1191" s="95">
        <v>75</v>
      </c>
    </row>
    <row r="1192" spans="1:34" ht="15.6" x14ac:dyDescent="0.3">
      <c r="A1192" s="89" t="str">
        <f>CONCATENATE(D1192,".",F1192,"-",G1192,".",H1192,"")</f>
        <v>2.1-3.1</v>
      </c>
      <c r="B1192" s="89" t="str">
        <f>IF(CONCATENATE(I1192,Key!F$2)=CONCATENATE(INDEX(Dashboard!J:J,MATCH(I1192,Dashboard!J:J,0),1),INDEX(Dashboard!J:K,MATCH(I1192,Dashboard!J:J,0),2)),"ON",IF(Dashboard!K$32="ALL","ON","-"))</f>
        <v>-</v>
      </c>
      <c r="C1192" s="88" t="s">
        <v>152</v>
      </c>
      <c r="D1192" s="89">
        <f>IF(C1192="ID",1,(IF(C1192="PR",2,(IF(C1192="DE",3,(IF(C1192="RS",4,(IF(C1192="RC",5,0)))))))))</f>
        <v>2</v>
      </c>
      <c r="E1192" s="89" t="s">
        <v>153</v>
      </c>
      <c r="F1192" s="89">
        <f>IF(E1192="AM",1,(IF(E1192="BE",2,(IF(E1192="GV",3,(IF(E1192="RA",4,(IF(E1192="RM",5,(IF(E1192="AC",1,(IF(E1192="AT",2,(IF(E1192="DS",3,(IF(E1192="IP",4,(IF(E1192="MA",5,(IF(E1192="PT",6,(IF(E1192="AE",1,(IF(E1192="CM",2,(IF(E1192="DP",3,(IF(E1192="AN",1,(IF(E1192="CO",2,(IF(E1192="IM",3,(IF(E1192="MI",4,(IF(E1192="RP",5,(IF(E1192="SC",6,0)))))))))))))))))))))))))))))))))))))))</f>
        <v>1</v>
      </c>
      <c r="G1192" s="52">
        <v>3</v>
      </c>
      <c r="H1192" s="90" t="s">
        <v>115</v>
      </c>
      <c r="I1192" s="93" t="s">
        <v>77</v>
      </c>
      <c r="J1192" s="87" t="s">
        <v>1224</v>
      </c>
      <c r="K1192" s="102" t="s">
        <v>2245</v>
      </c>
      <c r="L1192" s="117">
        <f>IF(O1192="","",N1192*O1192*M1192)</f>
        <v>0</v>
      </c>
      <c r="M1192" s="108">
        <v>1</v>
      </c>
      <c r="N1192" s="95">
        <v>1</v>
      </c>
      <c r="O1192" s="109">
        <f>IF(Key!D$1="ON",P1192,IF(SUM(Q1192:DL1192)&lt;1,"",SUM(Q1192:DL1192)/COUNTIF(Q1192:DL1192,"&gt;0")))</f>
        <v>0</v>
      </c>
      <c r="P1192" s="109">
        <f>SUMIFS(Q1192:DK1192,Q$1:DK$1,Dashboard!$K$31)</f>
        <v>0</v>
      </c>
      <c r="U1192" s="95">
        <v>33</v>
      </c>
      <c r="AA1192" s="95">
        <v>25</v>
      </c>
      <c r="AH1192" s="95">
        <v>75</v>
      </c>
    </row>
    <row r="1193" spans="1:34" ht="15.6" x14ac:dyDescent="0.3">
      <c r="A1193" s="89" t="str">
        <f>CONCATENATE(D1193,".",F1193,"-",G1193,".",H1193,"")</f>
        <v>2.1-3.1</v>
      </c>
      <c r="B1193" s="89" t="str">
        <f>IF(CONCATENATE(I1193,Key!F$2)=CONCATENATE(INDEX(Dashboard!J:J,MATCH(I1193,Dashboard!J:J,0),1),INDEX(Dashboard!J:K,MATCH(I1193,Dashboard!J:J,0),2)),"ON",IF(Dashboard!K$32="ALL","ON","-"))</f>
        <v>-</v>
      </c>
      <c r="C1193" s="88" t="s">
        <v>152</v>
      </c>
      <c r="D1193" s="89">
        <f>IF(C1193="ID",1,(IF(C1193="PR",2,(IF(C1193="DE",3,(IF(C1193="RS",4,(IF(C1193="RC",5,0)))))))))</f>
        <v>2</v>
      </c>
      <c r="E1193" s="89" t="s">
        <v>153</v>
      </c>
      <c r="F1193" s="89">
        <f>IF(E1193="AM",1,(IF(E1193="BE",2,(IF(E1193="GV",3,(IF(E1193="RA",4,(IF(E1193="RM",5,(IF(E1193="AC",1,(IF(E1193="AT",2,(IF(E1193="DS",3,(IF(E1193="IP",4,(IF(E1193="MA",5,(IF(E1193="PT",6,(IF(E1193="AE",1,(IF(E1193="CM",2,(IF(E1193="DP",3,(IF(E1193="AN",1,(IF(E1193="CO",2,(IF(E1193="IM",3,(IF(E1193="MI",4,(IF(E1193="RP",5,(IF(E1193="SC",6,0)))))))))))))))))))))))))))))))))))))))</f>
        <v>1</v>
      </c>
      <c r="G1193" s="52">
        <v>3</v>
      </c>
      <c r="H1193" s="90" t="s">
        <v>115</v>
      </c>
      <c r="I1193" s="93" t="s">
        <v>77</v>
      </c>
      <c r="J1193" s="87" t="s">
        <v>1226</v>
      </c>
      <c r="K1193" s="102" t="s">
        <v>2246</v>
      </c>
      <c r="L1193" s="117">
        <f>IF(O1193="","",N1193*O1193*M1193)</f>
        <v>0</v>
      </c>
      <c r="M1193" s="108">
        <v>1</v>
      </c>
      <c r="N1193" s="95">
        <v>1</v>
      </c>
      <c r="O1193" s="109">
        <f>IF(Key!D$1="ON",P1193,IF(SUM(Q1193:DL1193)&lt;1,"",SUM(Q1193:DL1193)/COUNTIF(Q1193:DL1193,"&gt;0")))</f>
        <v>0</v>
      </c>
      <c r="P1193" s="109">
        <f>SUMIFS(Q1193:DK1193,Q$1:DK$1,Dashboard!$K$31)</f>
        <v>0</v>
      </c>
      <c r="U1193" s="95">
        <v>33</v>
      </c>
      <c r="AA1193" s="95">
        <v>25</v>
      </c>
      <c r="AH1193" s="95">
        <v>75</v>
      </c>
    </row>
    <row r="1194" spans="1:34" ht="15.6" x14ac:dyDescent="0.3">
      <c r="A1194" s="89" t="str">
        <f>CONCATENATE(D1194,".",F1194,"-",G1194,".",H1194,"")</f>
        <v>2.1-3.1</v>
      </c>
      <c r="B1194" s="89" t="str">
        <f>IF(CONCATENATE(I1194,Key!F$2)=CONCATENATE(INDEX(Dashboard!J:J,MATCH(I1194,Dashboard!J:J,0),1),INDEX(Dashboard!J:K,MATCH(I1194,Dashboard!J:J,0),2)),"ON",IF(Dashboard!K$32="ALL","ON","-"))</f>
        <v>-</v>
      </c>
      <c r="C1194" s="88" t="s">
        <v>152</v>
      </c>
      <c r="D1194" s="89">
        <f>IF(C1194="ID",1,(IF(C1194="PR",2,(IF(C1194="DE",3,(IF(C1194="RS",4,(IF(C1194="RC",5,0)))))))))</f>
        <v>2</v>
      </c>
      <c r="E1194" s="89" t="s">
        <v>153</v>
      </c>
      <c r="F1194" s="89">
        <f>IF(E1194="AM",1,(IF(E1194="BE",2,(IF(E1194="GV",3,(IF(E1194="RA",4,(IF(E1194="RM",5,(IF(E1194="AC",1,(IF(E1194="AT",2,(IF(E1194="DS",3,(IF(E1194="IP",4,(IF(E1194="MA",5,(IF(E1194="PT",6,(IF(E1194="AE",1,(IF(E1194="CM",2,(IF(E1194="DP",3,(IF(E1194="AN",1,(IF(E1194="CO",2,(IF(E1194="IM",3,(IF(E1194="MI",4,(IF(E1194="RP",5,(IF(E1194="SC",6,0)))))))))))))))))))))))))))))))))))))))</f>
        <v>1</v>
      </c>
      <c r="G1194" s="98">
        <v>3</v>
      </c>
      <c r="H1194" s="90" t="s">
        <v>115</v>
      </c>
      <c r="I1194" s="93" t="s">
        <v>77</v>
      </c>
      <c r="J1194" s="87" t="s">
        <v>1227</v>
      </c>
      <c r="K1194" s="102" t="s">
        <v>2247</v>
      </c>
      <c r="L1194" s="117">
        <f>IF(O1194="","",N1194*O1194*M1194)</f>
        <v>0</v>
      </c>
      <c r="M1194" s="108">
        <v>1</v>
      </c>
      <c r="N1194" s="95">
        <v>1</v>
      </c>
      <c r="O1194" s="109">
        <f>IF(Key!D$1="ON",P1194,IF(SUM(Q1194:DL1194)&lt;1,"",SUM(Q1194:DL1194)/COUNTIF(Q1194:DL1194,"&gt;0")))</f>
        <v>0</v>
      </c>
      <c r="P1194" s="109">
        <f>SUMIFS(Q1194:DK1194,Q$1:DK$1,Dashboard!$K$31)</f>
        <v>0</v>
      </c>
      <c r="U1194" s="95">
        <v>33</v>
      </c>
      <c r="AA1194" s="95">
        <v>25</v>
      </c>
      <c r="AH1194" s="95">
        <v>75</v>
      </c>
    </row>
    <row r="1195" spans="1:34" ht="15.6" x14ac:dyDescent="0.3">
      <c r="A1195" s="89" t="str">
        <f>CONCATENATE(D1195,".",F1195,"-",G1195,".",H1195,"")</f>
        <v>2.1-3.1</v>
      </c>
      <c r="B1195" s="89" t="str">
        <f>IF(CONCATENATE(I1195,Key!F$2)=CONCATENATE(INDEX(Dashboard!J:J,MATCH(I1195,Dashboard!J:J,0),1),INDEX(Dashboard!J:K,MATCH(I1195,Dashboard!J:J,0),2)),"ON",IF(Dashboard!K$32="ALL","ON","-"))</f>
        <v>-</v>
      </c>
      <c r="C1195" s="88" t="s">
        <v>152</v>
      </c>
      <c r="D1195" s="89">
        <f>IF(C1195="ID",1,(IF(C1195="PR",2,(IF(C1195="DE",3,(IF(C1195="RS",4,(IF(C1195="RC",5,0)))))))))</f>
        <v>2</v>
      </c>
      <c r="E1195" s="89" t="s">
        <v>153</v>
      </c>
      <c r="F1195" s="89">
        <f>IF(E1195="AM",1,(IF(E1195="BE",2,(IF(E1195="GV",3,(IF(E1195="RA",4,(IF(E1195="RM",5,(IF(E1195="AC",1,(IF(E1195="AT",2,(IF(E1195="DS",3,(IF(E1195="IP",4,(IF(E1195="MA",5,(IF(E1195="PT",6,(IF(E1195="AE",1,(IF(E1195="CM",2,(IF(E1195="DP",3,(IF(E1195="AN",1,(IF(E1195="CO",2,(IF(E1195="IM",3,(IF(E1195="MI",4,(IF(E1195="RP",5,(IF(E1195="SC",6,0)))))))))))))))))))))))))))))))))))))))</f>
        <v>1</v>
      </c>
      <c r="G1195" s="52">
        <v>3</v>
      </c>
      <c r="H1195" s="90" t="s">
        <v>115</v>
      </c>
      <c r="I1195" s="93" t="s">
        <v>77</v>
      </c>
      <c r="J1195" s="87" t="s">
        <v>1228</v>
      </c>
      <c r="K1195" s="102" t="s">
        <v>2248</v>
      </c>
      <c r="L1195" s="117">
        <f>IF(O1195="","",N1195*O1195*M1195)</f>
        <v>0</v>
      </c>
      <c r="M1195" s="108">
        <v>1</v>
      </c>
      <c r="N1195" s="95">
        <v>1</v>
      </c>
      <c r="O1195" s="109">
        <f>IF(Key!D$1="ON",P1195,IF(SUM(Q1195:DL1195)&lt;1,"",SUM(Q1195:DL1195)/COUNTIF(Q1195:DL1195,"&gt;0")))</f>
        <v>0</v>
      </c>
      <c r="P1195" s="109">
        <f>SUMIFS(Q1195:DK1195,Q$1:DK$1,Dashboard!$K$31)</f>
        <v>0</v>
      </c>
      <c r="U1195" s="95">
        <v>33</v>
      </c>
      <c r="AA1195" s="95">
        <v>25</v>
      </c>
      <c r="AH1195" s="95">
        <v>75</v>
      </c>
    </row>
    <row r="1196" spans="1:34" ht="15.6" x14ac:dyDescent="0.3">
      <c r="A1196" s="89" t="str">
        <f>CONCATENATE(D1196,".",F1196,"-",G1196,".",H1196,"")</f>
        <v>2.1-3.1</v>
      </c>
      <c r="B1196" s="89" t="str">
        <f>IF(CONCATENATE(I1196,Key!F$2)=CONCATENATE(INDEX(Dashboard!J:J,MATCH(I1196,Dashboard!J:J,0),1),INDEX(Dashboard!J:K,MATCH(I1196,Dashboard!J:J,0),2)),"ON",IF(Dashboard!K$32="ALL","ON","-"))</f>
        <v>-</v>
      </c>
      <c r="C1196" s="88" t="s">
        <v>152</v>
      </c>
      <c r="D1196" s="89">
        <f>IF(C1196="ID",1,(IF(C1196="PR",2,(IF(C1196="DE",3,(IF(C1196="RS",4,(IF(C1196="RC",5,0)))))))))</f>
        <v>2</v>
      </c>
      <c r="E1196" s="89" t="s">
        <v>153</v>
      </c>
      <c r="F1196" s="89">
        <f>IF(E1196="AM",1,(IF(E1196="BE",2,(IF(E1196="GV",3,(IF(E1196="RA",4,(IF(E1196="RM",5,(IF(E1196="AC",1,(IF(E1196="AT",2,(IF(E1196="DS",3,(IF(E1196="IP",4,(IF(E1196="MA",5,(IF(E1196="PT",6,(IF(E1196="AE",1,(IF(E1196="CM",2,(IF(E1196="DP",3,(IF(E1196="AN",1,(IF(E1196="CO",2,(IF(E1196="IM",3,(IF(E1196="MI",4,(IF(E1196="RP",5,(IF(E1196="SC",6,0)))))))))))))))))))))))))))))))))))))))</f>
        <v>1</v>
      </c>
      <c r="G1196" s="52">
        <v>3</v>
      </c>
      <c r="H1196" s="90" t="s">
        <v>115</v>
      </c>
      <c r="I1196" s="93" t="s">
        <v>77</v>
      </c>
      <c r="J1196" s="87" t="s">
        <v>1229</v>
      </c>
      <c r="K1196" s="102" t="s">
        <v>2249</v>
      </c>
      <c r="L1196" s="117">
        <f>IF(O1196="","",N1196*O1196*M1196)</f>
        <v>0</v>
      </c>
      <c r="M1196" s="108">
        <v>1</v>
      </c>
      <c r="N1196" s="95">
        <v>1</v>
      </c>
      <c r="O1196" s="109">
        <f>IF(Key!D$1="ON",P1196,IF(SUM(Q1196:DL1196)&lt;1,"",SUM(Q1196:DL1196)/COUNTIF(Q1196:DL1196,"&gt;0")))</f>
        <v>0</v>
      </c>
      <c r="P1196" s="109">
        <f>SUMIFS(Q1196:DK1196,Q$1:DK$1,Dashboard!$K$31)</f>
        <v>0</v>
      </c>
      <c r="U1196" s="95">
        <v>33</v>
      </c>
      <c r="AA1196" s="95">
        <v>25</v>
      </c>
      <c r="AH1196" s="95">
        <v>75</v>
      </c>
    </row>
    <row r="1197" spans="1:34" ht="15.6" x14ac:dyDescent="0.3">
      <c r="A1197" s="89" t="str">
        <f>CONCATENATE(D1197,".",F1197,"-",G1197,".",H1197,"")</f>
        <v>2.1-3.1</v>
      </c>
      <c r="B1197" s="89" t="str">
        <f>IF(CONCATENATE(I1197,Key!F$2)=CONCATENATE(INDEX(Dashboard!J:J,MATCH(I1197,Dashboard!J:J,0),1),INDEX(Dashboard!J:K,MATCH(I1197,Dashboard!J:J,0),2)),"ON",IF(Dashboard!K$32="ALL","ON","-"))</f>
        <v>-</v>
      </c>
      <c r="C1197" s="88" t="s">
        <v>152</v>
      </c>
      <c r="D1197" s="89">
        <f>IF(C1197="ID",1,(IF(C1197="PR",2,(IF(C1197="DE",3,(IF(C1197="RS",4,(IF(C1197="RC",5,0)))))))))</f>
        <v>2</v>
      </c>
      <c r="E1197" s="89" t="s">
        <v>153</v>
      </c>
      <c r="F1197" s="89">
        <f>IF(E1197="AM",1,(IF(E1197="BE",2,(IF(E1197="GV",3,(IF(E1197="RA",4,(IF(E1197="RM",5,(IF(E1197="AC",1,(IF(E1197="AT",2,(IF(E1197="DS",3,(IF(E1197="IP",4,(IF(E1197="MA",5,(IF(E1197="PT",6,(IF(E1197="AE",1,(IF(E1197="CM",2,(IF(E1197="DP",3,(IF(E1197="AN",1,(IF(E1197="CO",2,(IF(E1197="IM",3,(IF(E1197="MI",4,(IF(E1197="RP",5,(IF(E1197="SC",6,0)))))))))))))))))))))))))))))))))))))))</f>
        <v>1</v>
      </c>
      <c r="G1197" s="52">
        <v>3</v>
      </c>
      <c r="H1197" s="90" t="s">
        <v>115</v>
      </c>
      <c r="I1197" s="93" t="s">
        <v>85</v>
      </c>
      <c r="J1197" s="87" t="s">
        <v>1224</v>
      </c>
      <c r="K1197" s="119" t="s">
        <v>1225</v>
      </c>
      <c r="L1197" s="117">
        <f>IF(O1197="","",N1197*O1197*M1197)</f>
        <v>0</v>
      </c>
      <c r="M1197" s="108">
        <v>1</v>
      </c>
      <c r="N1197" s="95">
        <v>1</v>
      </c>
      <c r="O1197" s="109">
        <f>IF(Key!D$1="ON",P1197,IF(SUM(Q1197:DL1197)&lt;1,"",SUM(Q1197:DL1197)/COUNTIF(Q1197:DL1197,"&gt;0")))</f>
        <v>0</v>
      </c>
      <c r="P1197" s="109">
        <f>SUMIFS(Q1197:DK1197,Q$1:DK$1,Dashboard!$K$31)</f>
        <v>0</v>
      </c>
      <c r="U1197" s="95">
        <v>33</v>
      </c>
      <c r="AA1197" s="95">
        <v>25</v>
      </c>
      <c r="AH1197" s="95">
        <v>75</v>
      </c>
    </row>
    <row r="1198" spans="1:34" x14ac:dyDescent="0.3">
      <c r="A1198" s="89" t="str">
        <f>CONCATENATE(D1198,".",F1198,"-",G1198,".",H1198,"")</f>
        <v>2.1-3.1</v>
      </c>
      <c r="B1198" s="89" t="str">
        <f>IF(CONCATENATE(I1198,Key!F$2)=CONCATENATE(INDEX(Dashboard!J:J,MATCH(I1198,Dashboard!J:J,0),1),INDEX(Dashboard!J:K,MATCH(I1198,Dashboard!J:J,0),2)),"ON",IF(Dashboard!K$32="ALL","ON","-"))</f>
        <v>-</v>
      </c>
      <c r="C1198" s="88" t="s">
        <v>152</v>
      </c>
      <c r="D1198" s="89">
        <f>IF(C1198="ID",1,(IF(C1198="PR",2,(IF(C1198="DE",3,(IF(C1198="RS",4,(IF(C1198="RC",5,0)))))))))</f>
        <v>2</v>
      </c>
      <c r="E1198" s="89" t="s">
        <v>153</v>
      </c>
      <c r="F1198" s="89">
        <f>IF(E1198="AM",1,(IF(E1198="BE",2,(IF(E1198="GV",3,(IF(E1198="RA",4,(IF(E1198="RM",5,(IF(E1198="AC",1,(IF(E1198="AT",2,(IF(E1198="DS",3,(IF(E1198="IP",4,(IF(E1198="MA",5,(IF(E1198="PT",6,(IF(E1198="AE",1,(IF(E1198="CM",2,(IF(E1198="DP",3,(IF(E1198="AN",1,(IF(E1198="CO",2,(IF(E1198="IM",3,(IF(E1198="MI",4,(IF(E1198="RP",5,(IF(E1198="SC",6,0)))))))))))))))))))))))))))))))))))))))</f>
        <v>1</v>
      </c>
      <c r="G1198" s="98">
        <v>3</v>
      </c>
      <c r="H1198" s="90" t="s">
        <v>115</v>
      </c>
      <c r="I1198" s="93" t="s">
        <v>85</v>
      </c>
      <c r="J1198" s="87" t="s">
        <v>1227</v>
      </c>
      <c r="K1198" s="119" t="s">
        <v>4531</v>
      </c>
      <c r="L1198" s="117">
        <f>IF(O1198="","",N1198*O1198*M1198)</f>
        <v>0</v>
      </c>
      <c r="M1198" s="108">
        <v>1</v>
      </c>
      <c r="N1198" s="95">
        <v>1</v>
      </c>
      <c r="O1198" s="109">
        <f>IF(Key!D$1="ON",P1198,IF(SUM(Q1198:DL1198)&lt;1,"",SUM(Q1198:DL1198)/COUNTIF(Q1198:DL1198,"&gt;0")))</f>
        <v>0</v>
      </c>
      <c r="P1198" s="109">
        <f>SUMIFS(Q1198:DK1198,Q$1:DK$1,Dashboard!$K$31)</f>
        <v>0</v>
      </c>
      <c r="U1198" s="95">
        <v>33</v>
      </c>
      <c r="AA1198" s="95">
        <v>25</v>
      </c>
      <c r="AH1198" s="95">
        <v>75</v>
      </c>
    </row>
    <row r="1199" spans="1:34" x14ac:dyDescent="0.3">
      <c r="A1199" s="89" t="str">
        <f>CONCATENATE(D1199,".",F1199,"-",G1199,".",H1199,"")</f>
        <v>2.1-3.1</v>
      </c>
      <c r="B1199" s="89" t="str">
        <f>IF(CONCATENATE(I1199,Key!F$2)=CONCATENATE(INDEX(Dashboard!J:J,MATCH(I1199,Dashboard!J:J,0),1),INDEX(Dashboard!J:K,MATCH(I1199,Dashboard!J:J,0),2)),"ON",IF(Dashboard!K$32="ALL","ON","-"))</f>
        <v>-</v>
      </c>
      <c r="C1199" s="88" t="s">
        <v>152</v>
      </c>
      <c r="D1199" s="89">
        <f>IF(C1199="ID",1,(IF(C1199="PR",2,(IF(C1199="DE",3,(IF(C1199="RS",4,(IF(C1199="RC",5,0)))))))))</f>
        <v>2</v>
      </c>
      <c r="E1199" s="89" t="s">
        <v>153</v>
      </c>
      <c r="F1199" s="89">
        <f>IF(E1199="AM",1,(IF(E1199="BE",2,(IF(E1199="GV",3,(IF(E1199="RA",4,(IF(E1199="RM",5,(IF(E1199="AC",1,(IF(E1199="AT",2,(IF(E1199="DS",3,(IF(E1199="IP",4,(IF(E1199="MA",5,(IF(E1199="PT",6,(IF(E1199="AE",1,(IF(E1199="CM",2,(IF(E1199="DP",3,(IF(E1199="AN",1,(IF(E1199="CO",2,(IF(E1199="IM",3,(IF(E1199="MI",4,(IF(E1199="RP",5,(IF(E1199="SC",6,0)))))))))))))))))))))))))))))))))))))))</f>
        <v>1</v>
      </c>
      <c r="G1199" s="52">
        <v>3</v>
      </c>
      <c r="H1199" s="90" t="s">
        <v>115</v>
      </c>
      <c r="I1199" s="93" t="s">
        <v>85</v>
      </c>
      <c r="J1199" s="87" t="s">
        <v>970</v>
      </c>
      <c r="K1199" s="119" t="s">
        <v>971</v>
      </c>
      <c r="L1199" s="117">
        <f>IF(O1199="","",N1199*O1199*M1199)</f>
        <v>0</v>
      </c>
      <c r="M1199" s="108">
        <v>1</v>
      </c>
      <c r="N1199" s="95">
        <v>1</v>
      </c>
      <c r="O1199" s="109">
        <f>IF(Key!D$1="ON",P1199,IF(SUM(Q1199:DL1199)&lt;1,"",SUM(Q1199:DL1199)/COUNTIF(Q1199:DL1199,"&gt;0")))</f>
        <v>0</v>
      </c>
      <c r="P1199" s="109">
        <f>SUMIFS(Q1199:DK1199,Q$1:DK$1,Dashboard!$K$31)</f>
        <v>0</v>
      </c>
      <c r="U1199" s="95">
        <v>33</v>
      </c>
      <c r="AA1199" s="95">
        <v>25</v>
      </c>
      <c r="AH1199" s="95">
        <v>75</v>
      </c>
    </row>
    <row r="1200" spans="1:34" x14ac:dyDescent="0.3">
      <c r="A1200" s="89" t="str">
        <f>CONCATENATE(D1200,".",F1200,"-",G1200,".",H1200,"")</f>
        <v>2.1-3.1</v>
      </c>
      <c r="B1200" s="89" t="str">
        <f>IF(CONCATENATE(I1200,Key!F$2)=CONCATENATE(INDEX(Dashboard!J:J,MATCH(I1200,Dashboard!J:J,0),1),INDEX(Dashboard!J:K,MATCH(I1200,Dashboard!J:J,0),2)),"ON",IF(Dashboard!K$32="ALL","ON","-"))</f>
        <v>-</v>
      </c>
      <c r="C1200" s="88" t="s">
        <v>152</v>
      </c>
      <c r="D1200" s="89">
        <f>IF(C1200="ID",1,(IF(C1200="PR",2,(IF(C1200="DE",3,(IF(C1200="RS",4,(IF(C1200="RC",5,0)))))))))</f>
        <v>2</v>
      </c>
      <c r="E1200" s="89" t="s">
        <v>153</v>
      </c>
      <c r="F1200" s="89">
        <f>IF(E1200="AM",1,(IF(E1200="BE",2,(IF(E1200="GV",3,(IF(E1200="RA",4,(IF(E1200="RM",5,(IF(E1200="AC",1,(IF(E1200="AT",2,(IF(E1200="DS",3,(IF(E1200="IP",4,(IF(E1200="MA",5,(IF(E1200="PT",6,(IF(E1200="AE",1,(IF(E1200="CM",2,(IF(E1200="DP",3,(IF(E1200="AN",1,(IF(E1200="CO",2,(IF(E1200="IM",3,(IF(E1200="MI",4,(IF(E1200="RP",5,(IF(E1200="SC",6,0)))))))))))))))))))))))))))))))))))))))</f>
        <v>1</v>
      </c>
      <c r="G1200" s="52">
        <v>3</v>
      </c>
      <c r="H1200" s="90" t="s">
        <v>115</v>
      </c>
      <c r="I1200" s="93" t="s">
        <v>85</v>
      </c>
      <c r="J1200" s="87" t="s">
        <v>1226</v>
      </c>
      <c r="K1200" s="119" t="s">
        <v>4588</v>
      </c>
      <c r="L1200" s="117">
        <f>IF(O1200="","",N1200*O1200*M1200)</f>
        <v>0</v>
      </c>
      <c r="M1200" s="108">
        <v>1</v>
      </c>
      <c r="N1200" s="95">
        <v>1</v>
      </c>
      <c r="O1200" s="109">
        <f>IF(Key!D$1="ON",P1200,IF(SUM(Q1200:DL1200)&lt;1,"",SUM(Q1200:DL1200)/COUNTIF(Q1200:DL1200,"&gt;0")))</f>
        <v>0</v>
      </c>
      <c r="P1200" s="109">
        <f>SUMIFS(Q1200:DK1200,Q$1:DK$1,Dashboard!$K$31)</f>
        <v>0</v>
      </c>
      <c r="U1200" s="95">
        <v>33</v>
      </c>
      <c r="AA1200" s="95">
        <v>25</v>
      </c>
      <c r="AH1200" s="95">
        <v>75</v>
      </c>
    </row>
    <row r="1201" spans="1:34" x14ac:dyDescent="0.3">
      <c r="A1201" s="89" t="str">
        <f>CONCATENATE(D1201,".",F1201,"-",G1201,".",H1201,"")</f>
        <v>2.1-3.1</v>
      </c>
      <c r="B1201" s="89" t="str">
        <f>IF(CONCATENATE(I1201,Key!F$2)=CONCATENATE(INDEX(Dashboard!J:J,MATCH(I1201,Dashboard!J:J,0),1),INDEX(Dashboard!J:K,MATCH(I1201,Dashboard!J:J,0),2)),"ON",IF(Dashboard!K$32="ALL","ON","-"))</f>
        <v>-</v>
      </c>
      <c r="C1201" s="88" t="s">
        <v>152</v>
      </c>
      <c r="D1201" s="89">
        <f>IF(C1201="ID",1,(IF(C1201="PR",2,(IF(C1201="DE",3,(IF(C1201="RS",4,(IF(C1201="RC",5,0)))))))))</f>
        <v>2</v>
      </c>
      <c r="E1201" s="89" t="s">
        <v>153</v>
      </c>
      <c r="F1201" s="89">
        <f>IF(E1201="AM",1,(IF(E1201="BE",2,(IF(E1201="GV",3,(IF(E1201="RA",4,(IF(E1201="RM",5,(IF(E1201="AC",1,(IF(E1201="AT",2,(IF(E1201="DS",3,(IF(E1201="IP",4,(IF(E1201="MA",5,(IF(E1201="PT",6,(IF(E1201="AE",1,(IF(E1201="CM",2,(IF(E1201="DP",3,(IF(E1201="AN",1,(IF(E1201="CO",2,(IF(E1201="IM",3,(IF(E1201="MI",4,(IF(E1201="RP",5,(IF(E1201="SC",6,0)))))))))))))))))))))))))))))))))))))))</f>
        <v>1</v>
      </c>
      <c r="G1201" s="52">
        <v>3</v>
      </c>
      <c r="H1201" s="90" t="s">
        <v>115</v>
      </c>
      <c r="I1201" s="93" t="s">
        <v>85</v>
      </c>
      <c r="J1201" s="87" t="s">
        <v>1228</v>
      </c>
      <c r="K1201" s="119" t="s">
        <v>4552</v>
      </c>
      <c r="L1201" s="117">
        <f>IF(O1201="","",N1201*O1201*M1201)</f>
        <v>0</v>
      </c>
      <c r="M1201" s="108">
        <v>1</v>
      </c>
      <c r="N1201" s="95">
        <v>1</v>
      </c>
      <c r="O1201" s="109">
        <f>IF(Key!D$1="ON",P1201,IF(SUM(Q1201:DL1201)&lt;1,"",SUM(Q1201:DL1201)/COUNTIF(Q1201:DL1201,"&gt;0")))</f>
        <v>0</v>
      </c>
      <c r="P1201" s="109">
        <f>SUMIFS(Q1201:DK1201,Q$1:DK$1,Dashboard!$K$31)</f>
        <v>0</v>
      </c>
      <c r="U1201" s="95">
        <v>33</v>
      </c>
      <c r="AA1201" s="95">
        <v>25</v>
      </c>
      <c r="AH1201" s="95">
        <v>75</v>
      </c>
    </row>
    <row r="1202" spans="1:34" x14ac:dyDescent="0.3">
      <c r="A1202" s="89" t="str">
        <f>CONCATENATE(D1202,".",F1202,"-",G1202,".",H1202,"")</f>
        <v>2.1-3.1</v>
      </c>
      <c r="B1202" s="89" t="str">
        <f>IF(CONCATENATE(I1202,Key!F$2)=CONCATENATE(INDEX(Dashboard!J:J,MATCH(I1202,Dashboard!J:J,0),1),INDEX(Dashboard!J:K,MATCH(I1202,Dashboard!J:J,0),2)),"ON",IF(Dashboard!K$32="ALL","ON","-"))</f>
        <v>-</v>
      </c>
      <c r="C1202" s="96" t="s">
        <v>152</v>
      </c>
      <c r="D1202" s="89">
        <f>IF(C1202="ID",1,(IF(C1202="PR",2,(IF(C1202="DE",3,(IF(C1202="RS",4,(IF(C1202="RC",5,0)))))))))</f>
        <v>2</v>
      </c>
      <c r="E1202" s="89" t="s">
        <v>153</v>
      </c>
      <c r="F1202" s="89">
        <f>IF(E1202="AM",1,(IF(E1202="BE",2,(IF(E1202="GV",3,(IF(E1202="RA",4,(IF(E1202="RM",5,(IF(E1202="AC",1,(IF(E1202="AT",2,(IF(E1202="DS",3,(IF(E1202="IP",4,(IF(E1202="MA",5,(IF(E1202="PT",6,(IF(E1202="AE",1,(IF(E1202="CM",2,(IF(E1202="DP",3,(IF(E1202="AN",1,(IF(E1202="CO",2,(IF(E1202="IM",3,(IF(E1202="MI",4,(IF(E1202="RP",5,(IF(E1202="SC",6,0)))))))))))))))))))))))))))))))))))))))</f>
        <v>1</v>
      </c>
      <c r="G1202" s="98">
        <v>3</v>
      </c>
      <c r="H1202" s="90" t="s">
        <v>115</v>
      </c>
      <c r="I1202" s="93" t="s">
        <v>85</v>
      </c>
      <c r="J1202" s="87" t="s">
        <v>1222</v>
      </c>
      <c r="K1202" s="119" t="s">
        <v>1223</v>
      </c>
      <c r="L1202" s="117">
        <f>IF(O1202="","",N1202*O1202*M1202)</f>
        <v>0</v>
      </c>
      <c r="M1202" s="108">
        <v>1</v>
      </c>
      <c r="N1202" s="95">
        <v>1</v>
      </c>
      <c r="O1202" s="109">
        <f>IF(Key!D$1="ON",P1202,IF(SUM(Q1202:DL1202)&lt;1,"",SUM(Q1202:DL1202)/COUNTIF(Q1202:DL1202,"&gt;0")))</f>
        <v>0</v>
      </c>
      <c r="P1202" s="109">
        <f>SUMIFS(Q1202:DK1202,Q$1:DK$1,Dashboard!$K$31)</f>
        <v>0</v>
      </c>
      <c r="U1202" s="95">
        <v>33</v>
      </c>
      <c r="AA1202" s="95">
        <v>25</v>
      </c>
      <c r="AH1202" s="95">
        <v>75</v>
      </c>
    </row>
    <row r="1203" spans="1:34" x14ac:dyDescent="0.3">
      <c r="A1203" s="89" t="str">
        <f>CONCATENATE(D1203,".",F1203,"-",G1203,".",H1203,"")</f>
        <v>2.1-3.1</v>
      </c>
      <c r="B1203" s="89" t="str">
        <f>IF(CONCATENATE(I1203,Key!F$2)=CONCATENATE(INDEX(Dashboard!J:J,MATCH(I1203,Dashboard!J:J,0),1),INDEX(Dashboard!J:K,MATCH(I1203,Dashboard!J:J,0),2)),"ON",IF(Dashboard!K$32="ALL","ON","-"))</f>
        <v>-</v>
      </c>
      <c r="C1203" s="88" t="s">
        <v>152</v>
      </c>
      <c r="D1203" s="89">
        <f>IF(C1203="ID",1,(IF(C1203="PR",2,(IF(C1203="DE",3,(IF(C1203="RS",4,(IF(C1203="RC",5,0)))))))))</f>
        <v>2</v>
      </c>
      <c r="E1203" s="89" t="s">
        <v>153</v>
      </c>
      <c r="F1203" s="89">
        <f>IF(E1203="AM",1,(IF(E1203="BE",2,(IF(E1203="GV",3,(IF(E1203="RA",4,(IF(E1203="RM",5,(IF(E1203="AC",1,(IF(E1203="AT",2,(IF(E1203="DS",3,(IF(E1203="IP",4,(IF(E1203="MA",5,(IF(E1203="PT",6,(IF(E1203="AE",1,(IF(E1203="CM",2,(IF(E1203="DP",3,(IF(E1203="AN",1,(IF(E1203="CO",2,(IF(E1203="IM",3,(IF(E1203="MI",4,(IF(E1203="RP",5,(IF(E1203="SC",6,0)))))))))))))))))))))))))))))))))))))))</f>
        <v>1</v>
      </c>
      <c r="G1203" s="52">
        <v>3</v>
      </c>
      <c r="H1203" s="90" t="s">
        <v>115</v>
      </c>
      <c r="I1203" s="93" t="s">
        <v>85</v>
      </c>
      <c r="J1203" s="87" t="s">
        <v>1229</v>
      </c>
      <c r="K1203" s="119" t="s">
        <v>4643</v>
      </c>
      <c r="L1203" s="117">
        <f>IF(O1203="","",N1203*O1203*M1203)</f>
        <v>0</v>
      </c>
      <c r="M1203" s="108">
        <v>1</v>
      </c>
      <c r="N1203" s="95">
        <v>1</v>
      </c>
      <c r="O1203" s="109">
        <f>IF(Key!D$1="ON",P1203,IF(SUM(Q1203:DL1203)&lt;1,"",SUM(Q1203:DL1203)/COUNTIF(Q1203:DL1203,"&gt;0")))</f>
        <v>0</v>
      </c>
      <c r="P1203" s="109">
        <f>SUMIFS(Q1203:DK1203,Q$1:DK$1,Dashboard!$K$31)</f>
        <v>0</v>
      </c>
      <c r="U1203" s="95">
        <v>33</v>
      </c>
      <c r="AA1203" s="95">
        <v>25</v>
      </c>
      <c r="AH1203" s="95">
        <v>75</v>
      </c>
    </row>
    <row r="1204" spans="1:34" x14ac:dyDescent="0.3">
      <c r="A1204" s="89" t="str">
        <f>CONCATENATE(D1204,".",F1204,"-",G1204,".",H1204,"")</f>
        <v>2.1-3.1</v>
      </c>
      <c r="B1204" s="89" t="str">
        <f>IF(CONCATENATE(I1204,Key!F$2)=CONCATENATE(INDEX(Dashboard!J:J,MATCH(I1204,Dashboard!J:J,0),1),INDEX(Dashboard!J:K,MATCH(I1204,Dashboard!J:J,0),2)),"ON",IF(Dashboard!K$32="ALL","ON","-"))</f>
        <v>-</v>
      </c>
      <c r="C1204" s="96" t="s">
        <v>152</v>
      </c>
      <c r="D1204" s="89">
        <f>IF(C1204="ID",1,(IF(C1204="PR",2,(IF(C1204="DE",3,(IF(C1204="RS",4,(IF(C1204="RC",5,0)))))))))</f>
        <v>2</v>
      </c>
      <c r="E1204" s="89" t="s">
        <v>153</v>
      </c>
      <c r="F1204" s="89">
        <f>IF(E1204="AM",1,(IF(E1204="BE",2,(IF(E1204="GV",3,(IF(E1204="RA",4,(IF(E1204="RM",5,(IF(E1204="AC",1,(IF(E1204="AT",2,(IF(E1204="DS",3,(IF(E1204="IP",4,(IF(E1204="MA",5,(IF(E1204="PT",6,(IF(E1204="AE",1,(IF(E1204="CM",2,(IF(E1204="DP",3,(IF(E1204="AN",1,(IF(E1204="CO",2,(IF(E1204="IM",3,(IF(E1204="MI",4,(IF(E1204="RP",5,(IF(E1204="SC",6,0)))))))))))))))))))))))))))))))))))))))</f>
        <v>1</v>
      </c>
      <c r="G1204" s="98">
        <v>3</v>
      </c>
      <c r="H1204" s="90" t="s">
        <v>115</v>
      </c>
      <c r="I1204" s="93" t="s">
        <v>92</v>
      </c>
      <c r="J1204" s="87">
        <v>8.3000000000000007</v>
      </c>
      <c r="K1204" s="102" t="s">
        <v>5226</v>
      </c>
      <c r="L1204" s="117">
        <f>IF(O1204="","",N1204*O1204*M1204)</f>
        <v>0</v>
      </c>
      <c r="M1204" s="108">
        <v>1</v>
      </c>
      <c r="N1204" s="95">
        <v>1</v>
      </c>
      <c r="O1204" s="109">
        <f>IF(Key!D$1="ON",P1204,IF(SUM(Q1204:DL1204)&lt;1,"",SUM(Q1204:DL1204)/COUNTIF(Q1204:DL1204,"&gt;0")))</f>
        <v>0</v>
      </c>
      <c r="P1204" s="109">
        <f>SUMIFS(Q1204:DK1204,Q$1:DK$1,Dashboard!$K$31)</f>
        <v>0</v>
      </c>
      <c r="U1204" s="95">
        <v>33</v>
      </c>
      <c r="AA1204" s="95">
        <v>25</v>
      </c>
      <c r="AH1204" s="95">
        <v>75</v>
      </c>
    </row>
    <row r="1205" spans="1:34" ht="15.6" x14ac:dyDescent="0.3">
      <c r="A1205" s="89" t="str">
        <f>CONCATENATE(D1205,".",F1205,"-",G1205,".",H1205,"")</f>
        <v>2.1-3.1</v>
      </c>
      <c r="B1205" s="89" t="str">
        <f>IF(CONCATENATE(I1205,Key!F$2)=CONCATENATE(INDEX(Dashboard!J:J,MATCH(I1205,Dashboard!J:J,0),1),INDEX(Dashboard!J:K,MATCH(I1205,Dashboard!J:J,0),2)),"ON",IF(Dashboard!K$32="ALL","ON","-"))</f>
        <v>-</v>
      </c>
      <c r="C1205" s="88" t="s">
        <v>152</v>
      </c>
      <c r="D1205" s="89">
        <f>IF(C1205="ID",1,(IF(C1205="PR",2,(IF(C1205="DE",3,(IF(C1205="RS",4,(IF(C1205="RC",5,0)))))))))</f>
        <v>2</v>
      </c>
      <c r="E1205" s="89" t="s">
        <v>153</v>
      </c>
      <c r="F1205" s="89">
        <f>IF(E1205="AM",1,(IF(E1205="BE",2,(IF(E1205="GV",3,(IF(E1205="RA",4,(IF(E1205="RM",5,(IF(E1205="AC",1,(IF(E1205="AT",2,(IF(E1205="DS",3,(IF(E1205="IP",4,(IF(E1205="MA",5,(IF(E1205="PT",6,(IF(E1205="AE",1,(IF(E1205="CM",2,(IF(E1205="DP",3,(IF(E1205="AN",1,(IF(E1205="CO",2,(IF(E1205="IM",3,(IF(E1205="MI",4,(IF(E1205="RP",5,(IF(E1205="SC",6,0)))))))))))))))))))))))))))))))))))))))</f>
        <v>1</v>
      </c>
      <c r="G1205" s="52">
        <v>3</v>
      </c>
      <c r="H1205" s="90" t="s">
        <v>115</v>
      </c>
      <c r="I1205" s="93" t="s">
        <v>92</v>
      </c>
      <c r="J1205" s="88" t="s">
        <v>169</v>
      </c>
      <c r="K1205" s="102" t="s">
        <v>5226</v>
      </c>
      <c r="L1205" s="117">
        <f>IF(O1205="","",N1205*O1205*M1205)</f>
        <v>0</v>
      </c>
      <c r="M1205" s="108">
        <v>1</v>
      </c>
      <c r="N1205" s="95">
        <v>1</v>
      </c>
      <c r="O1205" s="109">
        <f>IF(Key!D$1="ON",P1205,IF(SUM(Q1205:DL1205)&lt;1,"",SUM(Q1205:DL1205)/COUNTIF(Q1205:DL1205,"&gt;0")))</f>
        <v>0</v>
      </c>
      <c r="P1205" s="109">
        <f>SUMIFS(Q1205:DK1205,Q$1:DK$1,Dashboard!$K$31)</f>
        <v>0</v>
      </c>
      <c r="U1205" s="95">
        <v>33</v>
      </c>
      <c r="AA1205" s="95">
        <v>25</v>
      </c>
      <c r="AH1205" s="95">
        <v>75</v>
      </c>
    </row>
    <row r="1206" spans="1:34" ht="15.6" x14ac:dyDescent="0.3">
      <c r="A1206" s="89" t="str">
        <f>CONCATENATE(D1206,".",F1206,"-",G1206,".",H1206,"")</f>
        <v>2.1-3.1</v>
      </c>
      <c r="B1206" s="89" t="str">
        <f>IF(CONCATENATE(I1206,Key!F$2)=CONCATENATE(INDEX(Dashboard!J:J,MATCH(I1206,Dashboard!J:J,0),1),INDEX(Dashboard!J:K,MATCH(I1206,Dashboard!J:J,0),2)),"ON",IF(Dashboard!K$32="ALL","ON","-"))</f>
        <v>-</v>
      </c>
      <c r="C1206" s="88" t="s">
        <v>152</v>
      </c>
      <c r="D1206" s="89">
        <f>IF(C1206="ID",1,(IF(C1206="PR",2,(IF(C1206="DE",3,(IF(C1206="RS",4,(IF(C1206="RC",5,0)))))))))</f>
        <v>2</v>
      </c>
      <c r="E1206" s="89" t="s">
        <v>153</v>
      </c>
      <c r="F1206" s="89">
        <f>IF(E1206="AM",1,(IF(E1206="BE",2,(IF(E1206="GV",3,(IF(E1206="RA",4,(IF(E1206="RM",5,(IF(E1206="AC",1,(IF(E1206="AT",2,(IF(E1206="DS",3,(IF(E1206="IP",4,(IF(E1206="MA",5,(IF(E1206="PT",6,(IF(E1206="AE",1,(IF(E1206="CM",2,(IF(E1206="DP",3,(IF(E1206="AN",1,(IF(E1206="CO",2,(IF(E1206="IM",3,(IF(E1206="MI",4,(IF(E1206="RP",5,(IF(E1206="SC",6,0)))))))))))))))))))))))))))))))))))))))</f>
        <v>1</v>
      </c>
      <c r="G1206" s="52">
        <v>3</v>
      </c>
      <c r="H1206" s="90" t="s">
        <v>115</v>
      </c>
      <c r="I1206" s="93" t="s">
        <v>92</v>
      </c>
      <c r="J1206" s="87" t="s">
        <v>170</v>
      </c>
      <c r="K1206" s="102" t="s">
        <v>5226</v>
      </c>
      <c r="L1206" s="117">
        <f>IF(O1206="","",N1206*O1206*M1206)</f>
        <v>0</v>
      </c>
      <c r="M1206" s="108">
        <v>1</v>
      </c>
      <c r="N1206" s="95">
        <v>1</v>
      </c>
      <c r="O1206" s="109">
        <f>IF(Key!D$1="ON",P1206,IF(SUM(Q1206:DL1206)&lt;1,"",SUM(Q1206:DL1206)/COUNTIF(Q1206:DL1206,"&gt;0")))</f>
        <v>0</v>
      </c>
      <c r="P1206" s="109">
        <f>SUMIFS(Q1206:DK1206,Q$1:DK$1,Dashboard!$K$31)</f>
        <v>0</v>
      </c>
      <c r="U1206" s="95">
        <v>33</v>
      </c>
      <c r="AA1206" s="95">
        <v>25</v>
      </c>
      <c r="AH1206" s="95">
        <v>75</v>
      </c>
    </row>
    <row r="1207" spans="1:34" x14ac:dyDescent="0.3">
      <c r="A1207" s="89" t="str">
        <f>CONCATENATE(D1207,".",F1207,"-",G1207,".",H1207,"")</f>
        <v>2.1-3.1</v>
      </c>
      <c r="B1207" s="89" t="str">
        <f>IF(CONCATENATE(I1207,Key!F$2)=CONCATENATE(INDEX(Dashboard!J:J,MATCH(I1207,Dashboard!J:J,0),1),INDEX(Dashboard!J:K,MATCH(I1207,Dashboard!J:J,0),2)),"ON",IF(Dashboard!K$32="ALL","ON","-"))</f>
        <v>-</v>
      </c>
      <c r="C1207" s="96" t="s">
        <v>152</v>
      </c>
      <c r="D1207" s="89">
        <f>IF(C1207="ID",1,(IF(C1207="PR",2,(IF(C1207="DE",3,(IF(C1207="RS",4,(IF(C1207="RC",5,0)))))))))</f>
        <v>2</v>
      </c>
      <c r="E1207" s="89" t="s">
        <v>153</v>
      </c>
      <c r="F1207" s="89">
        <f>IF(E1207="AM",1,(IF(E1207="BE",2,(IF(E1207="GV",3,(IF(E1207="RA",4,(IF(E1207="RM",5,(IF(E1207="AC",1,(IF(E1207="AT",2,(IF(E1207="DS",3,(IF(E1207="IP",4,(IF(E1207="MA",5,(IF(E1207="PT",6,(IF(E1207="AE",1,(IF(E1207="CM",2,(IF(E1207="DP",3,(IF(E1207="AN",1,(IF(E1207="CO",2,(IF(E1207="IM",3,(IF(E1207="MI",4,(IF(E1207="RP",5,(IF(E1207="SC",6,0)))))))))))))))))))))))))))))))))))))))</f>
        <v>1</v>
      </c>
      <c r="G1207" s="52">
        <v>3</v>
      </c>
      <c r="H1207" s="90" t="s">
        <v>115</v>
      </c>
      <c r="I1207" s="93" t="s">
        <v>92</v>
      </c>
      <c r="J1207" s="88" t="s">
        <v>171</v>
      </c>
      <c r="K1207" s="102" t="s">
        <v>5226</v>
      </c>
      <c r="L1207" s="117">
        <f>IF(O1207="","",N1207*O1207*M1207)</f>
        <v>0</v>
      </c>
      <c r="M1207" s="108">
        <v>1</v>
      </c>
      <c r="N1207" s="95">
        <v>1</v>
      </c>
      <c r="O1207" s="109">
        <f>IF(Key!D$1="ON",P1207,IF(SUM(Q1207:DL1207)&lt;1,"",SUM(Q1207:DL1207)/COUNTIF(Q1207:DL1207,"&gt;0")))</f>
        <v>0</v>
      </c>
      <c r="P1207" s="109">
        <f>SUMIFS(Q1207:DK1207,Q$1:DK$1,Dashboard!$K$31)</f>
        <v>0</v>
      </c>
      <c r="U1207" s="95">
        <v>33</v>
      </c>
      <c r="AA1207" s="95">
        <v>25</v>
      </c>
      <c r="AH1207" s="95">
        <v>75</v>
      </c>
    </row>
    <row r="1208" spans="1:34" x14ac:dyDescent="0.3">
      <c r="A1208" s="89" t="str">
        <f>CONCATENATE(D1208,".",F1208,"-",G1208,".",H1208,"")</f>
        <v>2.1-3.1</v>
      </c>
      <c r="B1208" s="89" t="str">
        <f>IF(CONCATENATE(I1208,Key!F$2)=CONCATENATE(INDEX(Dashboard!J:J,MATCH(I1208,Dashboard!J:J,0),1),INDEX(Dashboard!J:K,MATCH(I1208,Dashboard!J:J,0),2)),"ON",IF(Dashboard!K$32="ALL","ON","-"))</f>
        <v>-</v>
      </c>
      <c r="C1208" s="96" t="s">
        <v>152</v>
      </c>
      <c r="D1208" s="89">
        <f>IF(C1208="ID",1,(IF(C1208="PR",2,(IF(C1208="DE",3,(IF(C1208="RS",4,(IF(C1208="RC",5,0)))))))))</f>
        <v>2</v>
      </c>
      <c r="E1208" s="89" t="s">
        <v>153</v>
      </c>
      <c r="F1208" s="89">
        <f>IF(E1208="AM",1,(IF(E1208="BE",2,(IF(E1208="GV",3,(IF(E1208="RA",4,(IF(E1208="RM",5,(IF(E1208="AC",1,(IF(E1208="AT",2,(IF(E1208="DS",3,(IF(E1208="IP",4,(IF(E1208="MA",5,(IF(E1208="PT",6,(IF(E1208="AE",1,(IF(E1208="CM",2,(IF(E1208="DP",3,(IF(E1208="AN",1,(IF(E1208="CO",2,(IF(E1208="IM",3,(IF(E1208="MI",4,(IF(E1208="RP",5,(IF(E1208="SC",6,0)))))))))))))))))))))))))))))))))))))))</f>
        <v>1</v>
      </c>
      <c r="G1208" s="52">
        <v>3</v>
      </c>
      <c r="H1208" s="90" t="s">
        <v>115</v>
      </c>
      <c r="I1208" s="93" t="s">
        <v>92</v>
      </c>
      <c r="J1208" s="88" t="s">
        <v>172</v>
      </c>
      <c r="K1208" s="102" t="s">
        <v>5226</v>
      </c>
      <c r="L1208" s="117">
        <f>IF(O1208="","",N1208*O1208*M1208)</f>
        <v>0</v>
      </c>
      <c r="M1208" s="108">
        <v>1</v>
      </c>
      <c r="N1208" s="95">
        <v>1</v>
      </c>
      <c r="O1208" s="109">
        <f>IF(Key!D$1="ON",P1208,IF(SUM(Q1208:DL1208)&lt;1,"",SUM(Q1208:DL1208)/COUNTIF(Q1208:DL1208,"&gt;0")))</f>
        <v>0</v>
      </c>
      <c r="P1208" s="109">
        <f>SUMIFS(Q1208:DK1208,Q$1:DK$1,Dashboard!$K$31)</f>
        <v>0</v>
      </c>
      <c r="U1208" s="95">
        <v>33</v>
      </c>
      <c r="AA1208" s="95">
        <v>25</v>
      </c>
      <c r="AH1208" s="95">
        <v>75</v>
      </c>
    </row>
    <row r="1209" spans="1:34" x14ac:dyDescent="0.3">
      <c r="A1209" s="89" t="str">
        <f>CONCATENATE(D1209,".",F1209,"-",G1209,".",H1209,"")</f>
        <v>2.1-3.1</v>
      </c>
      <c r="B1209" s="89" t="str">
        <f>IF(CONCATENATE(I1209,Key!F$2)=CONCATENATE(INDEX(Dashboard!J:J,MATCH(I1209,Dashboard!J:J,0),1),INDEX(Dashboard!J:K,MATCH(I1209,Dashboard!J:J,0),2)),"ON",IF(Dashboard!K$32="ALL","ON","-"))</f>
        <v>-</v>
      </c>
      <c r="C1209" s="88" t="s">
        <v>152</v>
      </c>
      <c r="D1209" s="89">
        <f>IF(C1209="ID",1,(IF(C1209="PR",2,(IF(C1209="DE",3,(IF(C1209="RS",4,(IF(C1209="RC",5,0)))))))))</f>
        <v>2</v>
      </c>
      <c r="E1209" s="89" t="s">
        <v>153</v>
      </c>
      <c r="F1209" s="89">
        <f>IF(E1209="AM",1,(IF(E1209="BE",2,(IF(E1209="GV",3,(IF(E1209="RA",4,(IF(E1209="RM",5,(IF(E1209="AC",1,(IF(E1209="AT",2,(IF(E1209="DS",3,(IF(E1209="IP",4,(IF(E1209="MA",5,(IF(E1209="PT",6,(IF(E1209="AE",1,(IF(E1209="CM",2,(IF(E1209="DP",3,(IF(E1209="AN",1,(IF(E1209="CO",2,(IF(E1209="IM",3,(IF(E1209="MI",4,(IF(E1209="RP",5,(IF(E1209="SC",6,0)))))))))))))))))))))))))))))))))))))))</f>
        <v>1</v>
      </c>
      <c r="G1209" s="52">
        <v>3</v>
      </c>
      <c r="H1209" s="90" t="s">
        <v>115</v>
      </c>
      <c r="I1209" s="93" t="s">
        <v>92</v>
      </c>
      <c r="J1209" s="88" t="s">
        <v>173</v>
      </c>
      <c r="K1209" s="102" t="s">
        <v>5226</v>
      </c>
      <c r="L1209" s="117">
        <f>IF(O1209="","",N1209*O1209*M1209)</f>
        <v>0</v>
      </c>
      <c r="M1209" s="108">
        <v>1</v>
      </c>
      <c r="N1209" s="95">
        <v>1</v>
      </c>
      <c r="O1209" s="109">
        <f>IF(Key!D$1="ON",P1209,IF(SUM(Q1209:DL1209)&lt;1,"",SUM(Q1209:DL1209)/COUNTIF(Q1209:DL1209,"&gt;0")))</f>
        <v>0</v>
      </c>
      <c r="P1209" s="109">
        <f>SUMIFS(Q1209:DK1209,Q$1:DK$1,Dashboard!$K$31)</f>
        <v>0</v>
      </c>
      <c r="U1209" s="95">
        <v>33</v>
      </c>
      <c r="AA1209" s="95">
        <v>25</v>
      </c>
      <c r="AH1209" s="95">
        <v>75</v>
      </c>
    </row>
    <row r="1210" spans="1:34" x14ac:dyDescent="0.3">
      <c r="A1210" s="89" t="str">
        <f>CONCATENATE(D1210,".",F1210,"-",G1210,".",H1210,"")</f>
        <v>2.1-4.0</v>
      </c>
      <c r="B1210" s="89" t="str">
        <f>IF(CONCATENATE(I1210,Key!F$2)=CONCATENATE(INDEX(Dashboard!J:J,MATCH(I1210,Dashboard!J:J,0),1),INDEX(Dashboard!J:K,MATCH(I1210,Dashboard!J:J,0),2)),"ON",IF(Dashboard!K$32="ALL","ON","-"))</f>
        <v>-</v>
      </c>
      <c r="C1210" s="88" t="s">
        <v>152</v>
      </c>
      <c r="D1210" s="89">
        <f>IF(C1210="ID",1,(IF(C1210="PR",2,(IF(C1210="DE",3,(IF(C1210="RS",4,(IF(C1210="RC",5,0)))))))))</f>
        <v>2</v>
      </c>
      <c r="E1210" s="89" t="s">
        <v>153</v>
      </c>
      <c r="F1210" s="89">
        <f>IF(E1210="AM",1,(IF(E1210="BE",2,(IF(E1210="GV",3,(IF(E1210="RA",4,(IF(E1210="RM",5,(IF(E1210="AC",1,(IF(E1210="AT",2,(IF(E1210="DS",3,(IF(E1210="IP",4,(IF(E1210="MA",5,(IF(E1210="PT",6,(IF(E1210="AE",1,(IF(E1210="CM",2,(IF(E1210="DP",3,(IF(E1210="AN",1,(IF(E1210="CO",2,(IF(E1210="IM",3,(IF(E1210="MI",4,(IF(E1210="RP",5,(IF(E1210="SC",6,0)))))))))))))))))))))))))))))))))))))))</f>
        <v>1</v>
      </c>
      <c r="G1210" s="52">
        <v>4</v>
      </c>
      <c r="H1210" s="90" t="s">
        <v>347</v>
      </c>
      <c r="I1210" s="93" t="s">
        <v>2835</v>
      </c>
      <c r="J1210" s="53" t="s">
        <v>2921</v>
      </c>
      <c r="K1210" s="150" t="s">
        <v>2922</v>
      </c>
      <c r="L1210" s="117">
        <f>IF(O1210="","",N1210*O1210*M1210)</f>
        <v>0</v>
      </c>
      <c r="M1210" s="108">
        <v>1</v>
      </c>
      <c r="N1210" s="95">
        <v>1</v>
      </c>
      <c r="O1210" s="109">
        <f>IF(Key!D$1="ON",P1210,IF(SUM(Q1210:DL1210)&lt;1,"",SUM(Q1210:DL1210)/COUNTIF(Q1210:DL1210,"&gt;0")))</f>
        <v>0</v>
      </c>
      <c r="P1210" s="109">
        <f>SUMIFS(Q1210:DK1210,Q$1:DK$1,Dashboard!$K$31)</f>
        <v>0</v>
      </c>
      <c r="U1210" s="95">
        <v>33</v>
      </c>
    </row>
    <row r="1211" spans="1:34" x14ac:dyDescent="0.3">
      <c r="A1211" s="89" t="str">
        <f>CONCATENATE(D1211,".",F1211,"-",G1211,".",H1211,"")</f>
        <v>2.1-4.1</v>
      </c>
      <c r="B1211" s="89" t="str">
        <f>IF(CONCATENATE(I1211,Key!F$2)=CONCATENATE(INDEX(Dashboard!J:J,MATCH(I1211,Dashboard!J:J,0),1),INDEX(Dashboard!J:K,MATCH(I1211,Dashboard!J:J,0),2)),"ON",IF(Dashboard!K$32="ALL","ON","-"))</f>
        <v>ON</v>
      </c>
      <c r="C1211" s="130" t="s">
        <v>152</v>
      </c>
      <c r="D1211" s="89">
        <f>IF(C1211="ID",1,(IF(C1211="PR",2,(IF(C1211="DE",3,(IF(C1211="RS",4,(IF(C1211="RC",5,0)))))))))</f>
        <v>2</v>
      </c>
      <c r="E1211" s="95" t="s">
        <v>153</v>
      </c>
      <c r="F1211" s="89">
        <f>IF(E1211="AM",1,(IF(E1211="BE",2,(IF(E1211="GV",3,(IF(E1211="RA",4,(IF(E1211="RM",5,(IF(E1211="AC",1,(IF(E1211="AT",2,(IF(E1211="DS",3,(IF(E1211="IP",4,(IF(E1211="MA",5,(IF(E1211="PT",6,(IF(E1211="AE",1,(IF(E1211="CM",2,(IF(E1211="DP",3,(IF(E1211="AN",1,(IF(E1211="CO",2,(IF(E1211="IM",3,(IF(E1211="MI",4,(IF(E1211="RP",5,(IF(E1211="SC",6,0)))))))))))))))))))))))))))))))))))))))</f>
        <v>1</v>
      </c>
      <c r="G1211" s="52">
        <v>4</v>
      </c>
      <c r="H1211" s="90" t="s">
        <v>115</v>
      </c>
      <c r="I1211" s="93" t="s">
        <v>4107</v>
      </c>
      <c r="J1211" s="86" t="s">
        <v>3936</v>
      </c>
      <c r="K1211" s="101" t="s">
        <v>4423</v>
      </c>
      <c r="L1211" s="117">
        <f>IF(O1211="","",N1211*O1211*M1211)</f>
        <v>0</v>
      </c>
      <c r="M1211" s="108">
        <v>1</v>
      </c>
      <c r="N1211" s="95">
        <v>1</v>
      </c>
      <c r="O1211" s="109">
        <f>IF(Key!D$1="ON",P1211,IF(SUM(Q1211:DL1211)&lt;1,"",SUM(Q1211:DL1211)/COUNTIF(Q1211:DL1211,"&gt;0")))</f>
        <v>0</v>
      </c>
      <c r="P1211" s="109">
        <f>SUMIFS(Q1211:DK1211,Q$1:DK$1,Dashboard!$K$31)</f>
        <v>0</v>
      </c>
      <c r="U1211" s="95">
        <v>33</v>
      </c>
      <c r="AA1211" s="95">
        <v>25</v>
      </c>
      <c r="AH1211" s="95">
        <v>75</v>
      </c>
    </row>
    <row r="1212" spans="1:34" x14ac:dyDescent="0.3">
      <c r="A1212" s="89" t="str">
        <f>CONCATENATE(D1212,".",F1212,"-",G1212,".",H1212,"")</f>
        <v>2.1-4.1</v>
      </c>
      <c r="B1212" s="89" t="str">
        <f>IF(CONCATENATE(I1212,Key!F$2)=CONCATENATE(INDEX(Dashboard!J:J,MATCH(I1212,Dashboard!J:J,0),1),INDEX(Dashboard!J:K,MATCH(I1212,Dashboard!J:J,0),2)),"ON",IF(Dashboard!K$32="ALL","ON","-"))</f>
        <v>ON</v>
      </c>
      <c r="C1212" s="96" t="s">
        <v>152</v>
      </c>
      <c r="D1212" s="89">
        <f>IF(C1212="ID",1,(IF(C1212="PR",2,(IF(C1212="DE",3,(IF(C1212="RS",4,(IF(C1212="RC",5,0)))))))))</f>
        <v>2</v>
      </c>
      <c r="E1212" s="89" t="s">
        <v>153</v>
      </c>
      <c r="F1212" s="89">
        <f>IF(E1212="AM",1,(IF(E1212="BE",2,(IF(E1212="GV",3,(IF(E1212="RA",4,(IF(E1212="RM",5,(IF(E1212="AC",1,(IF(E1212="AT",2,(IF(E1212="DS",3,(IF(E1212="IP",4,(IF(E1212="MA",5,(IF(E1212="PT",6,(IF(E1212="AE",1,(IF(E1212="CM",2,(IF(E1212="DP",3,(IF(E1212="AN",1,(IF(E1212="CO",2,(IF(E1212="IM",3,(IF(E1212="MI",4,(IF(E1212="RP",5,(IF(E1212="SC",6,0)))))))))))))))))))))))))))))))))))))))</f>
        <v>1</v>
      </c>
      <c r="G1212" s="98">
        <v>4</v>
      </c>
      <c r="H1212" s="89">
        <v>1</v>
      </c>
      <c r="I1212" s="93" t="s">
        <v>4107</v>
      </c>
      <c r="J1212" s="86" t="s">
        <v>3937</v>
      </c>
      <c r="K1212" s="101" t="s">
        <v>4113</v>
      </c>
      <c r="L1212" s="117">
        <f>IF(O1212="","",N1212*O1212*M1212)</f>
        <v>0</v>
      </c>
      <c r="M1212" s="108">
        <v>1</v>
      </c>
      <c r="N1212" s="95">
        <v>1</v>
      </c>
      <c r="O1212" s="109">
        <f>IF(Key!D$1="ON",P1212,IF(SUM(Q1212:DL1212)&lt;1,"",SUM(Q1212:DL1212)/COUNTIF(Q1212:DL1212,"&gt;0")))</f>
        <v>0</v>
      </c>
      <c r="P1212" s="109">
        <f>SUMIFS(Q1212:DK1212,Q$1:DK$1,Dashboard!$K$31)</f>
        <v>0</v>
      </c>
      <c r="U1212" s="95">
        <v>33</v>
      </c>
      <c r="AA1212" s="95">
        <v>25</v>
      </c>
      <c r="AH1212" s="95">
        <v>75</v>
      </c>
    </row>
    <row r="1213" spans="1:34" x14ac:dyDescent="0.3">
      <c r="A1213" s="89" t="str">
        <f>CONCATENATE(D1213,".",F1213,"-",G1213,".",H1213,"")</f>
        <v>2.1-4.1</v>
      </c>
      <c r="B1213" s="89" t="str">
        <f>IF(CONCATENATE(I1213,Key!F$2)=CONCATENATE(INDEX(Dashboard!J:J,MATCH(I1213,Dashboard!J:J,0),1),INDEX(Dashboard!J:K,MATCH(I1213,Dashboard!J:J,0),2)),"ON",IF(Dashboard!K$32="ALL","ON","-"))</f>
        <v>ON</v>
      </c>
      <c r="C1213" s="96" t="s">
        <v>152</v>
      </c>
      <c r="D1213" s="89">
        <f>IF(C1213="ID",1,(IF(C1213="PR",2,(IF(C1213="DE",3,(IF(C1213="RS",4,(IF(C1213="RC",5,0)))))))))</f>
        <v>2</v>
      </c>
      <c r="E1213" s="89" t="s">
        <v>153</v>
      </c>
      <c r="F1213" s="89">
        <f>IF(E1213="AM",1,(IF(E1213="BE",2,(IF(E1213="GV",3,(IF(E1213="RA",4,(IF(E1213="RM",5,(IF(E1213="AC",1,(IF(E1213="AT",2,(IF(E1213="DS",3,(IF(E1213="IP",4,(IF(E1213="MA",5,(IF(E1213="PT",6,(IF(E1213="AE",1,(IF(E1213="CM",2,(IF(E1213="DP",3,(IF(E1213="AN",1,(IF(E1213="CO",2,(IF(E1213="IM",3,(IF(E1213="MI",4,(IF(E1213="RP",5,(IF(E1213="SC",6,0)))))))))))))))))))))))))))))))))))))))</f>
        <v>1</v>
      </c>
      <c r="G1213" s="98">
        <v>4</v>
      </c>
      <c r="H1213" s="90" t="s">
        <v>115</v>
      </c>
      <c r="I1213" s="93" t="s">
        <v>4107</v>
      </c>
      <c r="J1213" s="86" t="s">
        <v>3937</v>
      </c>
      <c r="K1213" s="101" t="s">
        <v>4113</v>
      </c>
      <c r="L1213" s="117">
        <f>IF(O1213="","",N1213*O1213*M1213)</f>
        <v>0</v>
      </c>
      <c r="M1213" s="108">
        <v>1</v>
      </c>
      <c r="N1213" s="95">
        <v>1</v>
      </c>
      <c r="O1213" s="109">
        <f>IF(Key!D$1="ON",P1213,IF(SUM(Q1213:DL1213)&lt;1,"",SUM(Q1213:DL1213)/COUNTIF(Q1213:DL1213,"&gt;0")))</f>
        <v>0</v>
      </c>
      <c r="P1213" s="109">
        <f>SUMIFS(Q1213:DK1213,Q$1:DK$1,Dashboard!$K$31)</f>
        <v>0</v>
      </c>
      <c r="U1213" s="95">
        <v>33</v>
      </c>
      <c r="AA1213" s="95">
        <v>25</v>
      </c>
      <c r="AH1213" s="95">
        <v>75</v>
      </c>
    </row>
    <row r="1214" spans="1:34" x14ac:dyDescent="0.3">
      <c r="A1214" s="89" t="str">
        <f>CONCATENATE(D1214,".",F1214,"-",G1214,".",H1214,"")</f>
        <v>2.1-4.1</v>
      </c>
      <c r="B1214" s="89" t="str">
        <f>IF(CONCATENATE(I1214,Key!F$2)=CONCATENATE(INDEX(Dashboard!J:J,MATCH(I1214,Dashboard!J:J,0),1),INDEX(Dashboard!J:K,MATCH(I1214,Dashboard!J:J,0),2)),"ON",IF(Dashboard!K$32="ALL","ON","-"))</f>
        <v>ON</v>
      </c>
      <c r="C1214" s="130" t="s">
        <v>152</v>
      </c>
      <c r="D1214" s="89">
        <f>IF(C1214="ID",1,(IF(C1214="PR",2,(IF(C1214="DE",3,(IF(C1214="RS",4,(IF(C1214="RC",5,0)))))))))</f>
        <v>2</v>
      </c>
      <c r="E1214" s="95" t="s">
        <v>153</v>
      </c>
      <c r="F1214" s="89">
        <f>IF(E1214="AM",1,(IF(E1214="BE",2,(IF(E1214="GV",3,(IF(E1214="RA",4,(IF(E1214="RM",5,(IF(E1214="AC",1,(IF(E1214="AT",2,(IF(E1214="DS",3,(IF(E1214="IP",4,(IF(E1214="MA",5,(IF(E1214="PT",6,(IF(E1214="AE",1,(IF(E1214="CM",2,(IF(E1214="DP",3,(IF(E1214="AN",1,(IF(E1214="CO",2,(IF(E1214="IM",3,(IF(E1214="MI",4,(IF(E1214="RP",5,(IF(E1214="SC",6,0)))))))))))))))))))))))))))))))))))))))</f>
        <v>1</v>
      </c>
      <c r="G1214" s="52">
        <v>4</v>
      </c>
      <c r="H1214" s="90" t="s">
        <v>115</v>
      </c>
      <c r="I1214" s="93" t="s">
        <v>4107</v>
      </c>
      <c r="J1214" s="86" t="s">
        <v>3942</v>
      </c>
      <c r="K1214" s="101" t="s">
        <v>4424</v>
      </c>
      <c r="L1214" s="117">
        <f>IF(O1214="","",N1214*O1214*M1214)</f>
        <v>0</v>
      </c>
      <c r="M1214" s="108">
        <v>1</v>
      </c>
      <c r="N1214" s="95">
        <v>1</v>
      </c>
      <c r="O1214" s="109">
        <f>IF(Key!D$1="ON",P1214,IF(SUM(Q1214:DL1214)&lt;1,"",SUM(Q1214:DL1214)/COUNTIF(Q1214:DL1214,"&gt;0")))</f>
        <v>0</v>
      </c>
      <c r="P1214" s="109">
        <f>SUMIFS(Q1214:DK1214,Q$1:DK$1,Dashboard!$K$31)</f>
        <v>0</v>
      </c>
      <c r="U1214" s="95">
        <v>33</v>
      </c>
      <c r="AA1214" s="95">
        <v>25</v>
      </c>
      <c r="AH1214" s="95">
        <v>75</v>
      </c>
    </row>
    <row r="1215" spans="1:34" ht="15.6" x14ac:dyDescent="0.3">
      <c r="A1215" s="89" t="str">
        <f>CONCATENATE(D1215,".",F1215,"-",G1215,".",H1215,"")</f>
        <v>2.1-4.1</v>
      </c>
      <c r="B1215" s="89" t="str">
        <f>IF(CONCATENATE(I1215,Key!F$2)=CONCATENATE(INDEX(Dashboard!J:J,MATCH(I1215,Dashboard!J:J,0),1),INDEX(Dashboard!J:K,MATCH(I1215,Dashboard!J:J,0),2)),"ON",IF(Dashboard!K$32="ALL","ON","-"))</f>
        <v>ON</v>
      </c>
      <c r="C1215" s="130" t="s">
        <v>152</v>
      </c>
      <c r="D1215" s="89">
        <f>IF(C1215="ID",1,(IF(C1215="PR",2,(IF(C1215="DE",3,(IF(C1215="RS",4,(IF(C1215="RC",5,0)))))))))</f>
        <v>2</v>
      </c>
      <c r="E1215" s="95" t="s">
        <v>153</v>
      </c>
      <c r="F1215" s="89">
        <f>IF(E1215="AM",1,(IF(E1215="BE",2,(IF(E1215="GV",3,(IF(E1215="RA",4,(IF(E1215="RM",5,(IF(E1215="AC",1,(IF(E1215="AT",2,(IF(E1215="DS",3,(IF(E1215="IP",4,(IF(E1215="MA",5,(IF(E1215="PT",6,(IF(E1215="AE",1,(IF(E1215="CM",2,(IF(E1215="DP",3,(IF(E1215="AN",1,(IF(E1215="CO",2,(IF(E1215="IM",3,(IF(E1215="MI",4,(IF(E1215="RP",5,(IF(E1215="SC",6,0)))))))))))))))))))))))))))))))))))))))</f>
        <v>1</v>
      </c>
      <c r="G1215" s="52">
        <v>4</v>
      </c>
      <c r="H1215" s="90" t="s">
        <v>115</v>
      </c>
      <c r="I1215" s="93" t="s">
        <v>4107</v>
      </c>
      <c r="J1215" s="86" t="s">
        <v>3943</v>
      </c>
      <c r="K1215" s="101" t="s">
        <v>4425</v>
      </c>
      <c r="L1215" s="117">
        <f>IF(O1215="","",N1215*O1215*M1215)</f>
        <v>0</v>
      </c>
      <c r="M1215" s="108">
        <v>1</v>
      </c>
      <c r="N1215" s="95">
        <v>1</v>
      </c>
      <c r="O1215" s="109">
        <f>IF(Key!D$1="ON",P1215,IF(SUM(Q1215:DL1215)&lt;1,"",SUM(Q1215:DL1215)/COUNTIF(Q1215:DL1215,"&gt;0")))</f>
        <v>0</v>
      </c>
      <c r="P1215" s="109">
        <f>SUMIFS(Q1215:DK1215,Q$1:DK$1,Dashboard!$K$31)</f>
        <v>0</v>
      </c>
      <c r="U1215" s="95">
        <v>33</v>
      </c>
      <c r="AA1215" s="95">
        <v>25</v>
      </c>
      <c r="AH1215" s="95">
        <v>75</v>
      </c>
    </row>
    <row r="1216" spans="1:34" x14ac:dyDescent="0.3">
      <c r="A1216" s="89" t="str">
        <f>CONCATENATE(D1216,".",F1216,"-",G1216,".",H1216,"")</f>
        <v>2.1-4.1</v>
      </c>
      <c r="B1216" s="89" t="str">
        <f>IF(CONCATENATE(I1216,Key!F$2)=CONCATENATE(INDEX(Dashboard!J:J,MATCH(I1216,Dashboard!J:J,0),1),INDEX(Dashboard!J:K,MATCH(I1216,Dashboard!J:J,0),2)),"ON",IF(Dashboard!K$32="ALL","ON","-"))</f>
        <v>ON</v>
      </c>
      <c r="C1216" s="130" t="s">
        <v>152</v>
      </c>
      <c r="D1216" s="89">
        <f>IF(C1216="ID",1,(IF(C1216="PR",2,(IF(C1216="DE",3,(IF(C1216="RS",4,(IF(C1216="RC",5,0)))))))))</f>
        <v>2</v>
      </c>
      <c r="E1216" s="95" t="s">
        <v>153</v>
      </c>
      <c r="F1216" s="89">
        <f>IF(E1216="AM",1,(IF(E1216="BE",2,(IF(E1216="GV",3,(IF(E1216="RA",4,(IF(E1216="RM",5,(IF(E1216="AC",1,(IF(E1216="AT",2,(IF(E1216="DS",3,(IF(E1216="IP",4,(IF(E1216="MA",5,(IF(E1216="PT",6,(IF(E1216="AE",1,(IF(E1216="CM",2,(IF(E1216="DP",3,(IF(E1216="AN",1,(IF(E1216="CO",2,(IF(E1216="IM",3,(IF(E1216="MI",4,(IF(E1216="RP",5,(IF(E1216="SC",6,0)))))))))))))))))))))))))))))))))))))))</f>
        <v>1</v>
      </c>
      <c r="G1216" s="52">
        <v>4</v>
      </c>
      <c r="H1216" s="90" t="s">
        <v>115</v>
      </c>
      <c r="I1216" s="93" t="s">
        <v>4107</v>
      </c>
      <c r="J1216" s="86" t="s">
        <v>3950</v>
      </c>
      <c r="K1216" s="101" t="s">
        <v>4117</v>
      </c>
      <c r="L1216" s="117">
        <f>IF(O1216="","",N1216*O1216*M1216)</f>
        <v>0</v>
      </c>
      <c r="M1216" s="108">
        <v>1</v>
      </c>
      <c r="N1216" s="95">
        <v>1</v>
      </c>
      <c r="O1216" s="109">
        <f>IF(Key!D$1="ON",P1216,IF(SUM(Q1216:DL1216)&lt;1,"",SUM(Q1216:DL1216)/COUNTIF(Q1216:DL1216,"&gt;0")))</f>
        <v>0</v>
      </c>
      <c r="P1216" s="109">
        <f>SUMIFS(Q1216:DK1216,Q$1:DK$1,Dashboard!$K$31)</f>
        <v>0</v>
      </c>
      <c r="U1216" s="95">
        <v>33</v>
      </c>
      <c r="AA1216" s="95">
        <v>25</v>
      </c>
      <c r="AH1216" s="95">
        <v>75</v>
      </c>
    </row>
    <row r="1217" spans="1:34" x14ac:dyDescent="0.3">
      <c r="A1217" s="89" t="str">
        <f>CONCATENATE(D1217,".",F1217,"-",G1217,".",H1217,"")</f>
        <v>2.1-4.1</v>
      </c>
      <c r="B1217" s="89" t="str">
        <f>IF(CONCATENATE(I1217,Key!F$2)=CONCATENATE(INDEX(Dashboard!J:J,MATCH(I1217,Dashboard!J:J,0),1),INDEX(Dashboard!J:K,MATCH(I1217,Dashboard!J:J,0),2)),"ON",IF(Dashboard!K$32="ALL","ON","-"))</f>
        <v>ON</v>
      </c>
      <c r="C1217" s="130" t="s">
        <v>152</v>
      </c>
      <c r="D1217" s="89">
        <f>IF(C1217="ID",1,(IF(C1217="PR",2,(IF(C1217="DE",3,(IF(C1217="RS",4,(IF(C1217="RC",5,0)))))))))</f>
        <v>2</v>
      </c>
      <c r="E1217" s="95" t="s">
        <v>153</v>
      </c>
      <c r="F1217" s="89">
        <f>IF(E1217="AM",1,(IF(E1217="BE",2,(IF(E1217="GV",3,(IF(E1217="RA",4,(IF(E1217="RM",5,(IF(E1217="AC",1,(IF(E1217="AT",2,(IF(E1217="DS",3,(IF(E1217="IP",4,(IF(E1217="MA",5,(IF(E1217="PT",6,(IF(E1217="AE",1,(IF(E1217="CM",2,(IF(E1217="DP",3,(IF(E1217="AN",1,(IF(E1217="CO",2,(IF(E1217="IM",3,(IF(E1217="MI",4,(IF(E1217="RP",5,(IF(E1217="SC",6,0)))))))))))))))))))))))))))))))))))))))</f>
        <v>1</v>
      </c>
      <c r="G1217" s="52">
        <v>4</v>
      </c>
      <c r="H1217" s="90" t="s">
        <v>115</v>
      </c>
      <c r="I1217" s="93" t="s">
        <v>4107</v>
      </c>
      <c r="J1217" s="86" t="s">
        <v>3951</v>
      </c>
      <c r="K1217" s="101" t="s">
        <v>4426</v>
      </c>
      <c r="L1217" s="117">
        <f>IF(O1217="","",N1217*O1217*M1217)</f>
        <v>0</v>
      </c>
      <c r="M1217" s="108">
        <v>1</v>
      </c>
      <c r="N1217" s="95">
        <v>1</v>
      </c>
      <c r="O1217" s="109">
        <f>IF(Key!D$1="ON",P1217,IF(SUM(Q1217:DL1217)&lt;1,"",SUM(Q1217:DL1217)/COUNTIF(Q1217:DL1217,"&gt;0")))</f>
        <v>0</v>
      </c>
      <c r="P1217" s="109">
        <f>SUMIFS(Q1217:DK1217,Q$1:DK$1,Dashboard!$K$31)</f>
        <v>0</v>
      </c>
      <c r="U1217" s="95">
        <v>33</v>
      </c>
      <c r="AA1217" s="95">
        <v>25</v>
      </c>
      <c r="AH1217" s="95">
        <v>75</v>
      </c>
    </row>
    <row r="1218" spans="1:34" ht="15.6" x14ac:dyDescent="0.3">
      <c r="A1218" s="89" t="str">
        <f>CONCATENATE(D1218,".",F1218,"-",G1218,".",H1218,"")</f>
        <v>2.1-4.1</v>
      </c>
      <c r="B1218" s="89" t="str">
        <f>IF(CONCATENATE(I1218,Key!F$2)=CONCATENATE(INDEX(Dashboard!J:J,MATCH(I1218,Dashboard!J:J,0),1),INDEX(Dashboard!J:K,MATCH(I1218,Dashboard!J:J,0),2)),"ON",IF(Dashboard!K$32="ALL","ON","-"))</f>
        <v>ON</v>
      </c>
      <c r="C1218" s="88" t="s">
        <v>152</v>
      </c>
      <c r="D1218" s="89">
        <f>IF(C1218="ID",1,(IF(C1218="PR",2,(IF(C1218="DE",3,(IF(C1218="RS",4,(IF(C1218="RC",5,0)))))))))</f>
        <v>2</v>
      </c>
      <c r="E1218" s="89" t="s">
        <v>153</v>
      </c>
      <c r="F1218" s="89">
        <f>IF(E1218="AM",1,(IF(E1218="BE",2,(IF(E1218="GV",3,(IF(E1218="RA",4,(IF(E1218="RM",5,(IF(E1218="AC",1,(IF(E1218="AT",2,(IF(E1218="DS",3,(IF(E1218="IP",4,(IF(E1218="MA",5,(IF(E1218="PT",6,(IF(E1218="AE",1,(IF(E1218="CM",2,(IF(E1218="DP",3,(IF(E1218="AN",1,(IF(E1218="CO",2,(IF(E1218="IM",3,(IF(E1218="MI",4,(IF(E1218="RP",5,(IF(E1218="SC",6,0)))))))))))))))))))))))))))))))))))))))</f>
        <v>1</v>
      </c>
      <c r="G1218" s="52">
        <v>4</v>
      </c>
      <c r="H1218" s="90" t="s">
        <v>115</v>
      </c>
      <c r="I1218" s="93" t="s">
        <v>4107</v>
      </c>
      <c r="J1218" s="86" t="s">
        <v>3972</v>
      </c>
      <c r="K1218" s="101" t="s">
        <v>4368</v>
      </c>
      <c r="L1218" s="117">
        <f>IF(O1218="","",N1218*O1218*M1218)</f>
        <v>0</v>
      </c>
      <c r="M1218" s="108">
        <v>1</v>
      </c>
      <c r="N1218" s="95">
        <v>1</v>
      </c>
      <c r="O1218" s="109">
        <f>IF(Key!D$1="ON",P1218,IF(SUM(Q1218:DL1218)&lt;1,"",SUM(Q1218:DL1218)/COUNTIF(Q1218:DL1218,"&gt;0")))</f>
        <v>0</v>
      </c>
      <c r="P1218" s="109">
        <f>SUMIFS(Q1218:DK1218,Q$1:DK$1,Dashboard!$K$31)</f>
        <v>0</v>
      </c>
      <c r="U1218" s="95">
        <v>33</v>
      </c>
      <c r="AA1218" s="95">
        <v>25</v>
      </c>
      <c r="AH1218" s="95">
        <v>75</v>
      </c>
    </row>
    <row r="1219" spans="1:34" ht="15.6" x14ac:dyDescent="0.3">
      <c r="A1219" s="89" t="str">
        <f>CONCATENATE(D1219,".",F1219,"-",G1219,".",H1219,"")</f>
        <v>2.1-4.1</v>
      </c>
      <c r="B1219" s="89" t="str">
        <f>IF(CONCATENATE(I1219,Key!F$2)=CONCATENATE(INDEX(Dashboard!J:J,MATCH(I1219,Dashboard!J:J,0),1),INDEX(Dashboard!J:K,MATCH(I1219,Dashboard!J:J,0),2)),"ON",IF(Dashboard!K$32="ALL","ON","-"))</f>
        <v>-</v>
      </c>
      <c r="C1219" s="88" t="s">
        <v>152</v>
      </c>
      <c r="D1219" s="89">
        <f>IF(C1219="ID",1,(IF(C1219="PR",2,(IF(C1219="DE",3,(IF(C1219="RS",4,(IF(C1219="RC",5,0)))))))))</f>
        <v>2</v>
      </c>
      <c r="E1219" s="89" t="s">
        <v>153</v>
      </c>
      <c r="F1219" s="89">
        <f>IF(E1219="AM",1,(IF(E1219="BE",2,(IF(E1219="GV",3,(IF(E1219="RA",4,(IF(E1219="RM",5,(IF(E1219="AC",1,(IF(E1219="AT",2,(IF(E1219="DS",3,(IF(E1219="IP",4,(IF(E1219="MA",5,(IF(E1219="PT",6,(IF(E1219="AE",1,(IF(E1219="CM",2,(IF(E1219="DP",3,(IF(E1219="AN",1,(IF(E1219="CO",2,(IF(E1219="IM",3,(IF(E1219="MI",4,(IF(E1219="RP",5,(IF(E1219="SC",6,0)))))))))))))))))))))))))))))))))))))))</f>
        <v>1</v>
      </c>
      <c r="G1219" s="52">
        <v>4</v>
      </c>
      <c r="H1219" s="99">
        <v>1</v>
      </c>
      <c r="I1219" s="93" t="s">
        <v>37</v>
      </c>
      <c r="J1219" s="86">
        <v>14.4</v>
      </c>
      <c r="K1219" s="102" t="s">
        <v>3709</v>
      </c>
      <c r="L1219" s="117">
        <f>IF(O1219="","",N1219*O1219*M1219)</f>
        <v>0</v>
      </c>
      <c r="M1219" s="108">
        <v>1</v>
      </c>
      <c r="N1219" s="95">
        <v>1</v>
      </c>
      <c r="O1219" s="109">
        <f>IF(Key!D$1="ON",P1219,IF(SUM(Q1219:DL1219)&lt;1,"",SUM(Q1219:DL1219)/COUNTIF(Q1219:DL1219,"&gt;0")))</f>
        <v>0</v>
      </c>
      <c r="P1219" s="109">
        <f>SUMIFS(Q1219:DK1219,Q$1:DK$1,Dashboard!$K$31)</f>
        <v>0</v>
      </c>
      <c r="U1219" s="95">
        <v>33</v>
      </c>
      <c r="AA1219" s="95">
        <v>25</v>
      </c>
      <c r="AH1219" s="95">
        <v>75</v>
      </c>
    </row>
    <row r="1220" spans="1:34" ht="15.6" x14ac:dyDescent="0.3">
      <c r="A1220" s="89" t="str">
        <f>CONCATENATE(D1220,".",F1220,"-",G1220,".",H1220,"")</f>
        <v>2.1-4.1</v>
      </c>
      <c r="B1220" s="89" t="str">
        <f>IF(CONCATENATE(I1220,Key!F$2)=CONCATENATE(INDEX(Dashboard!J:J,MATCH(I1220,Dashboard!J:J,0),1),INDEX(Dashboard!J:K,MATCH(I1220,Dashboard!J:J,0),2)),"ON",IF(Dashboard!K$32="ALL","ON","-"))</f>
        <v>-</v>
      </c>
      <c r="C1220" s="88" t="s">
        <v>152</v>
      </c>
      <c r="D1220" s="89">
        <f>IF(C1220="ID",1,(IF(C1220="PR",2,(IF(C1220="DE",3,(IF(C1220="RS",4,(IF(C1220="RC",5,0)))))))))</f>
        <v>2</v>
      </c>
      <c r="E1220" s="89" t="s">
        <v>153</v>
      </c>
      <c r="F1220" s="89">
        <f>IF(E1220="AM",1,(IF(E1220="BE",2,(IF(E1220="GV",3,(IF(E1220="RA",4,(IF(E1220="RM",5,(IF(E1220="AC",1,(IF(E1220="AT",2,(IF(E1220="DS",3,(IF(E1220="IP",4,(IF(E1220="MA",5,(IF(E1220="PT",6,(IF(E1220="AE",1,(IF(E1220="CM",2,(IF(E1220="DP",3,(IF(E1220="AN",1,(IF(E1220="CO",2,(IF(E1220="IM",3,(IF(E1220="MI",4,(IF(E1220="RP",5,(IF(E1220="SC",6,0)))))))))))))))))))))))))))))))))))))))</f>
        <v>1</v>
      </c>
      <c r="G1220" s="52">
        <v>4</v>
      </c>
      <c r="H1220" s="99">
        <v>1</v>
      </c>
      <c r="I1220" s="93" t="s">
        <v>37</v>
      </c>
      <c r="J1220" s="86">
        <v>14.6</v>
      </c>
      <c r="K1220" s="102" t="s">
        <v>3710</v>
      </c>
      <c r="L1220" s="117">
        <f>IF(O1220="","",N1220*O1220*M1220)</f>
        <v>0</v>
      </c>
      <c r="M1220" s="108">
        <v>1</v>
      </c>
      <c r="N1220" s="95">
        <v>1</v>
      </c>
      <c r="O1220" s="109">
        <f>IF(Key!D$1="ON",P1220,IF(SUM(Q1220:DL1220)&lt;1,"",SUM(Q1220:DL1220)/COUNTIF(Q1220:DL1220,"&gt;0")))</f>
        <v>0</v>
      </c>
      <c r="P1220" s="109">
        <f>SUMIFS(Q1220:DK1220,Q$1:DK$1,Dashboard!$K$31)</f>
        <v>0</v>
      </c>
      <c r="U1220" s="95">
        <v>33</v>
      </c>
      <c r="AA1220" s="95">
        <v>25</v>
      </c>
      <c r="AH1220" s="95">
        <v>75</v>
      </c>
    </row>
    <row r="1221" spans="1:34" ht="15.6" x14ac:dyDescent="0.3">
      <c r="A1221" s="89" t="str">
        <f>CONCATENATE(D1221,".",F1221,"-",G1221,".",H1221,"")</f>
        <v>2.1-4.1</v>
      </c>
      <c r="B1221" s="89" t="str">
        <f>IF(CONCATENATE(I1221,Key!F$2)=CONCATENATE(INDEX(Dashboard!J:J,MATCH(I1221,Dashboard!J:J,0),1),INDEX(Dashboard!J:K,MATCH(I1221,Dashboard!J:J,0),2)),"ON",IF(Dashboard!K$32="ALL","ON","-"))</f>
        <v>-</v>
      </c>
      <c r="C1221" s="88" t="s">
        <v>152</v>
      </c>
      <c r="D1221" s="89">
        <f>IF(C1221="ID",1,(IF(C1221="PR",2,(IF(C1221="DE",3,(IF(C1221="RS",4,(IF(C1221="RC",5,0)))))))))</f>
        <v>2</v>
      </c>
      <c r="E1221" s="89" t="s">
        <v>153</v>
      </c>
      <c r="F1221" s="89">
        <f>IF(E1221="AM",1,(IF(E1221="BE",2,(IF(E1221="GV",3,(IF(E1221="RA",4,(IF(E1221="RM",5,(IF(E1221="AC",1,(IF(E1221="AT",2,(IF(E1221="DS",3,(IF(E1221="IP",4,(IF(E1221="MA",5,(IF(E1221="PT",6,(IF(E1221="AE",1,(IF(E1221="CM",2,(IF(E1221="DP",3,(IF(E1221="AN",1,(IF(E1221="CO",2,(IF(E1221="IM",3,(IF(E1221="MI",4,(IF(E1221="RP",5,(IF(E1221="SC",6,0)))))))))))))))))))))))))))))))))))))))</f>
        <v>1</v>
      </c>
      <c r="G1221" s="52">
        <v>4</v>
      </c>
      <c r="H1221" s="99">
        <v>1</v>
      </c>
      <c r="I1221" s="93" t="s">
        <v>37</v>
      </c>
      <c r="J1221" s="86">
        <v>20.2</v>
      </c>
      <c r="K1221" s="102" t="s">
        <v>3713</v>
      </c>
      <c r="L1221" s="117">
        <f>IF(O1221="","",N1221*O1221*M1221)</f>
        <v>0</v>
      </c>
      <c r="M1221" s="108">
        <v>1</v>
      </c>
      <c r="N1221" s="95">
        <v>1</v>
      </c>
      <c r="O1221" s="109">
        <f>IF(Key!D$1="ON",P1221,IF(SUM(Q1221:DL1221)&lt;1,"",SUM(Q1221:DL1221)/COUNTIF(Q1221:DL1221,"&gt;0")))</f>
        <v>0</v>
      </c>
      <c r="P1221" s="109">
        <f>SUMIFS(Q1221:DK1221,Q$1:DK$1,Dashboard!$K$31)</f>
        <v>0</v>
      </c>
      <c r="U1221" s="95">
        <v>33</v>
      </c>
      <c r="AA1221" s="95">
        <v>25</v>
      </c>
      <c r="AH1221" s="95">
        <v>75</v>
      </c>
    </row>
    <row r="1222" spans="1:34" ht="15.6" x14ac:dyDescent="0.3">
      <c r="A1222" s="89" t="str">
        <f>CONCATENATE(D1222,".",F1222,"-",G1222,".",H1222,"")</f>
        <v>2.1-4.1</v>
      </c>
      <c r="B1222" s="89" t="str">
        <f>IF(CONCATENATE(I1222,Key!F$2)=CONCATENATE(INDEX(Dashboard!J:J,MATCH(I1222,Dashboard!J:J,0),1),INDEX(Dashboard!J:K,MATCH(I1222,Dashboard!J:J,0),2)),"ON",IF(Dashboard!K$32="ALL","ON","-"))</f>
        <v>-</v>
      </c>
      <c r="C1222" s="88" t="s">
        <v>152</v>
      </c>
      <c r="D1222" s="89">
        <f>IF(C1222="ID",1,(IF(C1222="PR",2,(IF(C1222="DE",3,(IF(C1222="RS",4,(IF(C1222="RC",5,0)))))))))</f>
        <v>2</v>
      </c>
      <c r="E1222" s="89" t="s">
        <v>153</v>
      </c>
      <c r="F1222" s="89">
        <f>IF(E1222="AM",1,(IF(E1222="BE",2,(IF(E1222="GV",3,(IF(E1222="RA",4,(IF(E1222="RM",5,(IF(E1222="AC",1,(IF(E1222="AT",2,(IF(E1222="DS",3,(IF(E1222="IP",4,(IF(E1222="MA",5,(IF(E1222="PT",6,(IF(E1222="AE",1,(IF(E1222="CM",2,(IF(E1222="DP",3,(IF(E1222="AN",1,(IF(E1222="CO",2,(IF(E1222="IM",3,(IF(E1222="MI",4,(IF(E1222="RP",5,(IF(E1222="SC",6,0)))))))))))))))))))))))))))))))))))))))</f>
        <v>1</v>
      </c>
      <c r="G1222" s="52">
        <v>4</v>
      </c>
      <c r="H1222" s="99">
        <v>1</v>
      </c>
      <c r="I1222" s="93" t="s">
        <v>37</v>
      </c>
      <c r="J1222" s="86">
        <v>5</v>
      </c>
      <c r="K1222" s="102" t="s">
        <v>3708</v>
      </c>
      <c r="L1222" s="117">
        <f>IF(O1222="","",N1222*O1222*M1222)</f>
        <v>0</v>
      </c>
      <c r="M1222" s="108">
        <v>1</v>
      </c>
      <c r="N1222" s="95">
        <v>1</v>
      </c>
      <c r="O1222" s="109">
        <f>IF(Key!D$1="ON",P1222,IF(SUM(Q1222:DL1222)&lt;1,"",SUM(Q1222:DL1222)/COUNTIF(Q1222:DL1222,"&gt;0")))</f>
        <v>0</v>
      </c>
      <c r="P1222" s="109">
        <f>SUMIFS(Q1222:DK1222,Q$1:DK$1,Dashboard!$K$31)</f>
        <v>0</v>
      </c>
      <c r="U1222" s="95">
        <v>33</v>
      </c>
      <c r="AA1222" s="95">
        <v>25</v>
      </c>
      <c r="AH1222" s="95">
        <v>75</v>
      </c>
    </row>
    <row r="1223" spans="1:34" ht="15.6" x14ac:dyDescent="0.3">
      <c r="A1223" s="89" t="str">
        <f>CONCATENATE(D1223,".",F1223,"-",G1223,".",H1223,"")</f>
        <v>2.1-4.1</v>
      </c>
      <c r="B1223" s="89" t="str">
        <f>IF(CONCATENATE(I1223,Key!F$2)=CONCATENATE(INDEX(Dashboard!J:J,MATCH(I1223,Dashboard!J:J,0),1),INDEX(Dashboard!J:K,MATCH(I1223,Dashboard!J:J,0),2)),"ON",IF(Dashboard!K$32="ALL","ON","-"))</f>
        <v>-</v>
      </c>
      <c r="C1223" s="88" t="s">
        <v>152</v>
      </c>
      <c r="D1223" s="89">
        <f>IF(C1223="ID",1,(IF(C1223="PR",2,(IF(C1223="DE",3,(IF(C1223="RS",4,(IF(C1223="RC",5,0)))))))))</f>
        <v>2</v>
      </c>
      <c r="E1223" s="89" t="s">
        <v>153</v>
      </c>
      <c r="F1223" s="89">
        <f>IF(E1223="AM",1,(IF(E1223="BE",2,(IF(E1223="GV",3,(IF(E1223="RA",4,(IF(E1223="RM",5,(IF(E1223="AC",1,(IF(E1223="AT",2,(IF(E1223="DS",3,(IF(E1223="IP",4,(IF(E1223="MA",5,(IF(E1223="PT",6,(IF(E1223="AE",1,(IF(E1223="CM",2,(IF(E1223="DP",3,(IF(E1223="AN",1,(IF(E1223="CO",2,(IF(E1223="IM",3,(IF(E1223="MI",4,(IF(E1223="RP",5,(IF(E1223="SC",6,0)))))))))))))))))))))))))))))))))))))))</f>
        <v>1</v>
      </c>
      <c r="G1223" s="52">
        <v>4</v>
      </c>
      <c r="H1223" s="99">
        <v>1</v>
      </c>
      <c r="I1223" s="93" t="s">
        <v>37</v>
      </c>
      <c r="J1223" s="86">
        <v>16.5</v>
      </c>
      <c r="K1223" s="102" t="s">
        <v>3711</v>
      </c>
      <c r="L1223" s="117">
        <f>IF(O1223="","",N1223*O1223*M1223)</f>
        <v>0</v>
      </c>
      <c r="M1223" s="108">
        <v>1</v>
      </c>
      <c r="N1223" s="95">
        <v>1</v>
      </c>
      <c r="O1223" s="109">
        <f>IF(Key!D$1="ON",P1223,IF(SUM(Q1223:DL1223)&lt;1,"",SUM(Q1223:DL1223)/COUNTIF(Q1223:DL1223,"&gt;0")))</f>
        <v>0</v>
      </c>
      <c r="P1223" s="109">
        <f>SUMIFS(Q1223:DK1223,Q$1:DK$1,Dashboard!$K$31)</f>
        <v>0</v>
      </c>
      <c r="U1223" s="95">
        <v>33</v>
      </c>
      <c r="AA1223" s="95">
        <v>25</v>
      </c>
      <c r="AH1223" s="95">
        <v>75</v>
      </c>
    </row>
    <row r="1224" spans="1:34" ht="15.6" x14ac:dyDescent="0.3">
      <c r="A1224" s="89" t="str">
        <f>CONCATENATE(D1224,".",F1224,"-",G1224,".",H1224,"")</f>
        <v>2.1-4.1</v>
      </c>
      <c r="B1224" s="89" t="str">
        <f>IF(CONCATENATE(I1224,Key!F$2)=CONCATENATE(INDEX(Dashboard!J:J,MATCH(I1224,Dashboard!J:J,0),1),INDEX(Dashboard!J:K,MATCH(I1224,Dashboard!J:J,0),2)),"ON",IF(Dashboard!K$32="ALL","ON","-"))</f>
        <v>-</v>
      </c>
      <c r="C1224" s="88" t="s">
        <v>152</v>
      </c>
      <c r="D1224" s="89">
        <f>IF(C1224="ID",1,(IF(C1224="PR",2,(IF(C1224="DE",3,(IF(C1224="RS",4,(IF(C1224="RC",5,0)))))))))</f>
        <v>2</v>
      </c>
      <c r="E1224" s="89" t="s">
        <v>153</v>
      </c>
      <c r="F1224" s="89">
        <f>IF(E1224="AM",1,(IF(E1224="BE",2,(IF(E1224="GV",3,(IF(E1224="RA",4,(IF(E1224="RM",5,(IF(E1224="AC",1,(IF(E1224="AT",2,(IF(E1224="DS",3,(IF(E1224="IP",4,(IF(E1224="MA",5,(IF(E1224="PT",6,(IF(E1224="AE",1,(IF(E1224="CM",2,(IF(E1224="DP",3,(IF(E1224="AN",1,(IF(E1224="CO",2,(IF(E1224="IM",3,(IF(E1224="MI",4,(IF(E1224="RP",5,(IF(E1224="SC",6,0)))))))))))))))))))))))))))))))))))))))</f>
        <v>1</v>
      </c>
      <c r="G1224" s="52">
        <v>4</v>
      </c>
      <c r="H1224" s="99">
        <v>1</v>
      </c>
      <c r="I1224" s="93" t="s">
        <v>37</v>
      </c>
      <c r="J1224" s="86">
        <v>16.899999999999999</v>
      </c>
      <c r="K1224" s="102" t="s">
        <v>3712</v>
      </c>
      <c r="L1224" s="117">
        <f>IF(O1224="","",N1224*O1224*M1224)</f>
        <v>0</v>
      </c>
      <c r="M1224" s="108">
        <v>1</v>
      </c>
      <c r="N1224" s="95">
        <v>1</v>
      </c>
      <c r="O1224" s="109">
        <f>IF(Key!D$1="ON",P1224,IF(SUM(Q1224:DL1224)&lt;1,"",SUM(Q1224:DL1224)/COUNTIF(Q1224:DL1224,"&gt;0")))</f>
        <v>0</v>
      </c>
      <c r="P1224" s="109">
        <f>SUMIFS(Q1224:DK1224,Q$1:DK$1,Dashboard!$K$31)</f>
        <v>0</v>
      </c>
      <c r="U1224" s="95">
        <v>33</v>
      </c>
      <c r="AA1224" s="95">
        <v>25</v>
      </c>
      <c r="AH1224" s="95">
        <v>75</v>
      </c>
    </row>
    <row r="1225" spans="1:34" x14ac:dyDescent="0.3">
      <c r="A1225" s="89" t="str">
        <f>CONCATENATE(D1225,".",F1225,"-",G1225,".",H1225,"")</f>
        <v>2.1-4.1</v>
      </c>
      <c r="B1225" s="89" t="str">
        <f>IF(CONCATENATE(I1225,Key!F$2)=CONCATENATE(INDEX(Dashboard!J:J,MATCH(I1225,Dashboard!J:J,0),1),INDEX(Dashboard!J:K,MATCH(I1225,Dashboard!J:J,0),2)),"ON",IF(Dashboard!K$32="ALL","ON","-"))</f>
        <v>-</v>
      </c>
      <c r="C1225" s="88" t="s">
        <v>152</v>
      </c>
      <c r="D1225" s="89">
        <f>IF(C1225="ID",1,(IF(C1225="PR",2,(IF(C1225="DE",3,(IF(C1225="RS",4,(IF(C1225="RC",5,0)))))))))</f>
        <v>2</v>
      </c>
      <c r="E1225" s="89" t="s">
        <v>153</v>
      </c>
      <c r="F1225" s="89">
        <f>IF(E1225="AM",1,(IF(E1225="BE",2,(IF(E1225="GV",3,(IF(E1225="RA",4,(IF(E1225="RM",5,(IF(E1225="AC",1,(IF(E1225="AT",2,(IF(E1225="DS",3,(IF(E1225="IP",4,(IF(E1225="MA",5,(IF(E1225="PT",6,(IF(E1225="AE",1,(IF(E1225="CM",2,(IF(E1225="DP",3,(IF(E1225="AN",1,(IF(E1225="CO",2,(IF(E1225="IM",3,(IF(E1225="MI",4,(IF(E1225="RP",5,(IF(E1225="SC",6,0)))))))))))))))))))))))))))))))))))))))</f>
        <v>1</v>
      </c>
      <c r="G1225" s="52">
        <v>4</v>
      </c>
      <c r="H1225" s="99">
        <v>1</v>
      </c>
      <c r="I1225" s="93" t="s">
        <v>41</v>
      </c>
      <c r="J1225" s="86">
        <v>4.0999999999999996</v>
      </c>
      <c r="K1225" s="103" t="s">
        <v>3477</v>
      </c>
      <c r="L1225" s="117">
        <f>IF(O1225="","",N1225*O1225*M1225)</f>
        <v>0</v>
      </c>
      <c r="M1225" s="108">
        <v>1</v>
      </c>
      <c r="N1225" s="95">
        <v>1</v>
      </c>
      <c r="O1225" s="109">
        <f>IF(Key!D$1="ON",P1225,IF(SUM(Q1225:DL1225)&lt;1,"",SUM(Q1225:DL1225)/COUNTIF(Q1225:DL1225,"&gt;0")))</f>
        <v>0</v>
      </c>
      <c r="P1225" s="109">
        <f>SUMIFS(Q1225:DK1225,Q$1:DK$1,Dashboard!$K$31)</f>
        <v>0</v>
      </c>
      <c r="U1225" s="95">
        <v>33</v>
      </c>
    </row>
    <row r="1226" spans="1:34" ht="15.6" x14ac:dyDescent="0.3">
      <c r="A1226" s="89" t="str">
        <f>CONCATENATE(D1226,".",F1226,"-",G1226,".",H1226,"")</f>
        <v>2.1-4.1</v>
      </c>
      <c r="B1226" s="89" t="str">
        <f>IF(CONCATENATE(I1226,Key!F$2)=CONCATENATE(INDEX(Dashboard!J:J,MATCH(I1226,Dashboard!J:J,0),1),INDEX(Dashboard!J:K,MATCH(I1226,Dashboard!J:J,0),2)),"ON",IF(Dashboard!K$32="ALL","ON","-"))</f>
        <v>-</v>
      </c>
      <c r="C1226" s="88" t="s">
        <v>152</v>
      </c>
      <c r="D1226" s="89">
        <f>IF(C1226="ID",1,(IF(C1226="PR",2,(IF(C1226="DE",3,(IF(C1226="RS",4,(IF(C1226="RC",5,0)))))))))</f>
        <v>2</v>
      </c>
      <c r="E1226" s="89" t="s">
        <v>153</v>
      </c>
      <c r="F1226" s="89">
        <f>IF(E1226="AM",1,(IF(E1226="BE",2,(IF(E1226="GV",3,(IF(E1226="RA",4,(IF(E1226="RM",5,(IF(E1226="AC",1,(IF(E1226="AT",2,(IF(E1226="DS",3,(IF(E1226="IP",4,(IF(E1226="MA",5,(IF(E1226="PT",6,(IF(E1226="AE",1,(IF(E1226="CM",2,(IF(E1226="DP",3,(IF(E1226="AN",1,(IF(E1226="CO",2,(IF(E1226="IM",3,(IF(E1226="MI",4,(IF(E1226="RP",5,(IF(E1226="SC",6,0)))))))))))))))))))))))))))))))))))))))</f>
        <v>1</v>
      </c>
      <c r="G1226" s="52">
        <v>4</v>
      </c>
      <c r="H1226" s="99">
        <v>1</v>
      </c>
      <c r="I1226" s="93" t="s">
        <v>41</v>
      </c>
      <c r="J1226" s="86">
        <v>4.3</v>
      </c>
      <c r="K1226" s="103" t="s">
        <v>3479</v>
      </c>
      <c r="L1226" s="117">
        <f>IF(O1226="","",N1226*O1226*M1226)</f>
        <v>0</v>
      </c>
      <c r="M1226" s="108">
        <v>1</v>
      </c>
      <c r="N1226" s="95">
        <v>1</v>
      </c>
      <c r="O1226" s="109">
        <f>IF(Key!D$1="ON",P1226,IF(SUM(Q1226:DL1226)&lt;1,"",SUM(Q1226:DL1226)/COUNTIF(Q1226:DL1226,"&gt;0")))</f>
        <v>0</v>
      </c>
      <c r="P1226" s="109">
        <f>SUMIFS(Q1226:DK1226,Q$1:DK$1,Dashboard!$K$31)</f>
        <v>0</v>
      </c>
      <c r="U1226" s="95">
        <v>33</v>
      </c>
    </row>
    <row r="1227" spans="1:34" x14ac:dyDescent="0.3">
      <c r="A1227" s="89" t="str">
        <f>CONCATENATE(D1227,".",F1227,"-",G1227,".",H1227,"")</f>
        <v>2.1-4.1</v>
      </c>
      <c r="B1227" s="89" t="str">
        <f>IF(CONCATENATE(I1227,Key!F$2)=CONCATENATE(INDEX(Dashboard!J:J,MATCH(I1227,Dashboard!J:J,0),1),INDEX(Dashboard!J:K,MATCH(I1227,Dashboard!J:J,0),2)),"ON",IF(Dashboard!K$32="ALL","ON","-"))</f>
        <v>-</v>
      </c>
      <c r="C1227" s="88" t="s">
        <v>152</v>
      </c>
      <c r="D1227" s="89">
        <f>IF(C1227="ID",1,(IF(C1227="PR",2,(IF(C1227="DE",3,(IF(C1227="RS",4,(IF(C1227="RC",5,0)))))))))</f>
        <v>2</v>
      </c>
      <c r="E1227" s="89" t="s">
        <v>153</v>
      </c>
      <c r="F1227" s="89">
        <f>IF(E1227="AM",1,(IF(E1227="BE",2,(IF(E1227="GV",3,(IF(E1227="RA",4,(IF(E1227="RM",5,(IF(E1227="AC",1,(IF(E1227="AT",2,(IF(E1227="DS",3,(IF(E1227="IP",4,(IF(E1227="MA",5,(IF(E1227="PT",6,(IF(E1227="AE",1,(IF(E1227="CM",2,(IF(E1227="DP",3,(IF(E1227="AN",1,(IF(E1227="CO",2,(IF(E1227="IM",3,(IF(E1227="MI",4,(IF(E1227="RP",5,(IF(E1227="SC",6,0)))))))))))))))))))))))))))))))))))))))</f>
        <v>1</v>
      </c>
      <c r="G1227" s="98">
        <v>4</v>
      </c>
      <c r="H1227" s="99">
        <v>1</v>
      </c>
      <c r="I1227" s="93" t="s">
        <v>41</v>
      </c>
      <c r="J1227" s="86">
        <v>4.5999999999999996</v>
      </c>
      <c r="K1227" s="103" t="s">
        <v>3482</v>
      </c>
      <c r="L1227" s="117">
        <f>IF(O1227="","",N1227*O1227*M1227)</f>
        <v>0</v>
      </c>
      <c r="M1227" s="108">
        <v>1</v>
      </c>
      <c r="N1227" s="95">
        <v>1</v>
      </c>
      <c r="O1227" s="109">
        <f>IF(Key!D$1="ON",P1227,IF(SUM(Q1227:DL1227)&lt;1,"",SUM(Q1227:DL1227)/COUNTIF(Q1227:DL1227,"&gt;0")))</f>
        <v>0</v>
      </c>
      <c r="P1227" s="109">
        <f>SUMIFS(Q1227:DK1227,Q$1:DK$1,Dashboard!$K$31)</f>
        <v>0</v>
      </c>
      <c r="U1227" s="95">
        <v>33</v>
      </c>
    </row>
    <row r="1228" spans="1:34" x14ac:dyDescent="0.3">
      <c r="A1228" s="89" t="str">
        <f>CONCATENATE(D1228,".",F1228,"-",G1228,".",H1228,"")</f>
        <v>2.1-4.1</v>
      </c>
      <c r="B1228" s="89" t="str">
        <f>IF(CONCATENATE(I1228,Key!F$2)=CONCATENATE(INDEX(Dashboard!J:J,MATCH(I1228,Dashboard!J:J,0),1),INDEX(Dashboard!J:K,MATCH(I1228,Dashboard!J:J,0),2)),"ON",IF(Dashboard!K$32="ALL","ON","-"))</f>
        <v>-</v>
      </c>
      <c r="C1228" s="88" t="s">
        <v>152</v>
      </c>
      <c r="D1228" s="89">
        <f>IF(C1228="ID",1,(IF(C1228="PR",2,(IF(C1228="DE",3,(IF(C1228="RS",4,(IF(C1228="RC",5,0)))))))))</f>
        <v>2</v>
      </c>
      <c r="E1228" s="89" t="s">
        <v>153</v>
      </c>
      <c r="F1228" s="89">
        <f>IF(E1228="AM",1,(IF(E1228="BE",2,(IF(E1228="GV",3,(IF(E1228="RA",4,(IF(E1228="RM",5,(IF(E1228="AC",1,(IF(E1228="AT",2,(IF(E1228="DS",3,(IF(E1228="IP",4,(IF(E1228="MA",5,(IF(E1228="PT",6,(IF(E1228="AE",1,(IF(E1228="CM",2,(IF(E1228="DP",3,(IF(E1228="AN",1,(IF(E1228="CO",2,(IF(E1228="IM",3,(IF(E1228="MI",4,(IF(E1228="RP",5,(IF(E1228="SC",6,0)))))))))))))))))))))))))))))))))))))))</f>
        <v>1</v>
      </c>
      <c r="G1228" s="52">
        <v>4</v>
      </c>
      <c r="H1228" s="99">
        <v>1</v>
      </c>
      <c r="I1228" s="93" t="s">
        <v>41</v>
      </c>
      <c r="J1228" s="86">
        <v>14.6</v>
      </c>
      <c r="K1228" s="103" t="s">
        <v>3568</v>
      </c>
      <c r="L1228" s="117">
        <f>IF(O1228="","",N1228*O1228*M1228)</f>
        <v>0</v>
      </c>
      <c r="M1228" s="108">
        <v>1</v>
      </c>
      <c r="N1228" s="95">
        <v>1</v>
      </c>
      <c r="O1228" s="109">
        <f>IF(Key!D$1="ON",P1228,IF(SUM(Q1228:DL1228)&lt;1,"",SUM(Q1228:DL1228)/COUNTIF(Q1228:DL1228,"&gt;0")))</f>
        <v>0</v>
      </c>
      <c r="P1228" s="109">
        <f>SUMIFS(Q1228:DK1228,Q$1:DK$1,Dashboard!$K$31)</f>
        <v>0</v>
      </c>
      <c r="U1228" s="95">
        <v>33</v>
      </c>
    </row>
    <row r="1229" spans="1:34" x14ac:dyDescent="0.3">
      <c r="A1229" s="89" t="str">
        <f>CONCATENATE(D1229,".",F1229,"-",G1229,".",H1229,"")</f>
        <v>2.1-4.1</v>
      </c>
      <c r="B1229" s="89" t="str">
        <f>IF(CONCATENATE(I1229,Key!F$2)=CONCATENATE(INDEX(Dashboard!J:J,MATCH(I1229,Dashboard!J:J,0),1),INDEX(Dashboard!J:K,MATCH(I1229,Dashboard!J:J,0),2)),"ON",IF(Dashboard!K$32="ALL","ON","-"))</f>
        <v>-</v>
      </c>
      <c r="C1229" s="88" t="s">
        <v>152</v>
      </c>
      <c r="D1229" s="89">
        <f>IF(C1229="ID",1,(IF(C1229="PR",2,(IF(C1229="DE",3,(IF(C1229="RS",4,(IF(C1229="RC",5,0)))))))))</f>
        <v>2</v>
      </c>
      <c r="E1229" s="89" t="s">
        <v>153</v>
      </c>
      <c r="F1229" s="89">
        <f>IF(E1229="AM",1,(IF(E1229="BE",2,(IF(E1229="GV",3,(IF(E1229="RA",4,(IF(E1229="RM",5,(IF(E1229="AC",1,(IF(E1229="AT",2,(IF(E1229="DS",3,(IF(E1229="IP",4,(IF(E1229="MA",5,(IF(E1229="PT",6,(IF(E1229="AE",1,(IF(E1229="CM",2,(IF(E1229="DP",3,(IF(E1229="AN",1,(IF(E1229="CO",2,(IF(E1229="IM",3,(IF(E1229="MI",4,(IF(E1229="RP",5,(IF(E1229="SC",6,0)))))))))))))))))))))))))))))))))))))))</f>
        <v>1</v>
      </c>
      <c r="G1229" s="98">
        <v>4</v>
      </c>
      <c r="H1229" s="99">
        <v>1</v>
      </c>
      <c r="I1229" s="93" t="s">
        <v>41</v>
      </c>
      <c r="J1229" s="86">
        <v>14.7</v>
      </c>
      <c r="K1229" s="103" t="s">
        <v>3569</v>
      </c>
      <c r="L1229" s="117">
        <f>IF(O1229="","",N1229*O1229*M1229)</f>
        <v>0</v>
      </c>
      <c r="M1229" s="108">
        <v>1</v>
      </c>
      <c r="N1229" s="95">
        <v>1</v>
      </c>
      <c r="O1229" s="109">
        <f>IF(Key!D$1="ON",P1229,IF(SUM(Q1229:DL1229)&lt;1,"",SUM(Q1229:DL1229)/COUNTIF(Q1229:DL1229,"&gt;0")))</f>
        <v>0</v>
      </c>
      <c r="P1229" s="109">
        <f>SUMIFS(Q1229:DK1229,Q$1:DK$1,Dashboard!$K$31)</f>
        <v>0</v>
      </c>
      <c r="U1229" s="95">
        <v>33</v>
      </c>
    </row>
    <row r="1230" spans="1:34" x14ac:dyDescent="0.3">
      <c r="A1230" s="89" t="str">
        <f>CONCATENATE(D1230,".",F1230,"-",G1230,".",H1230,"")</f>
        <v>2.1-4.1</v>
      </c>
      <c r="B1230" s="89" t="str">
        <f>IF(CONCATENATE(I1230,Key!F$2)=CONCATENATE(INDEX(Dashboard!J:J,MATCH(I1230,Dashboard!J:J,0),1),INDEX(Dashboard!J:K,MATCH(I1230,Dashboard!J:J,0),2)),"ON",IF(Dashboard!K$32="ALL","ON","-"))</f>
        <v>-</v>
      </c>
      <c r="C1230" s="88" t="s">
        <v>152</v>
      </c>
      <c r="D1230" s="89">
        <f>IF(C1230="ID",1,(IF(C1230="PR",2,(IF(C1230="DE",3,(IF(C1230="RS",4,(IF(C1230="RC",5,0)))))))))</f>
        <v>2</v>
      </c>
      <c r="E1230" s="89" t="s">
        <v>153</v>
      </c>
      <c r="F1230" s="89">
        <f>IF(E1230="AM",1,(IF(E1230="BE",2,(IF(E1230="GV",3,(IF(E1230="RA",4,(IF(E1230="RM",5,(IF(E1230="AC",1,(IF(E1230="AT",2,(IF(E1230="DS",3,(IF(E1230="IP",4,(IF(E1230="MA",5,(IF(E1230="PT",6,(IF(E1230="AE",1,(IF(E1230="CM",2,(IF(E1230="DP",3,(IF(E1230="AN",1,(IF(E1230="CO",2,(IF(E1230="IM",3,(IF(E1230="MI",4,(IF(E1230="RP",5,(IF(E1230="SC",6,0)))))))))))))))))))))))))))))))))))))))</f>
        <v>1</v>
      </c>
      <c r="G1230" s="52">
        <v>4</v>
      </c>
      <c r="H1230" s="99">
        <v>1</v>
      </c>
      <c r="I1230" s="94" t="s">
        <v>41</v>
      </c>
      <c r="J1230" s="86">
        <v>14.9</v>
      </c>
      <c r="K1230" s="103" t="s">
        <v>3571</v>
      </c>
      <c r="L1230" s="117">
        <f>IF(O1230="","",N1230*O1230*M1230)</f>
        <v>0</v>
      </c>
      <c r="M1230" s="108">
        <v>1</v>
      </c>
      <c r="N1230" s="95">
        <v>1</v>
      </c>
      <c r="O1230" s="109">
        <f>IF(Key!D$1="ON",P1230,IF(SUM(Q1230:DL1230)&lt;1,"",SUM(Q1230:DL1230)/COUNTIF(Q1230:DL1230,"&gt;0")))</f>
        <v>0</v>
      </c>
      <c r="P1230" s="109">
        <f>SUMIFS(Q1230:DK1230,Q$1:DK$1,Dashboard!$K$31)</f>
        <v>0</v>
      </c>
      <c r="U1230" s="95">
        <v>33</v>
      </c>
    </row>
    <row r="1231" spans="1:34" x14ac:dyDescent="0.3">
      <c r="A1231" s="89" t="str">
        <f>CONCATENATE(D1231,".",F1231,"-",G1231,".",H1231,"")</f>
        <v>2.1-4.1</v>
      </c>
      <c r="B1231" s="89" t="str">
        <f>IF(CONCATENATE(I1231,Key!F$2)=CONCATENATE(INDEX(Dashboard!J:J,MATCH(I1231,Dashboard!J:J,0),1),INDEX(Dashboard!J:K,MATCH(I1231,Dashboard!J:J,0),2)),"ON",IF(Dashboard!K$32="ALL","ON","-"))</f>
        <v>-</v>
      </c>
      <c r="C1231" s="88" t="s">
        <v>152</v>
      </c>
      <c r="D1231" s="89">
        <f>IF(C1231="ID",1,(IF(C1231="PR",2,(IF(C1231="DE",3,(IF(C1231="RS",4,(IF(C1231="RC",5,0)))))))))</f>
        <v>2</v>
      </c>
      <c r="E1231" s="89" t="s">
        <v>153</v>
      </c>
      <c r="F1231" s="89">
        <f>IF(E1231="AM",1,(IF(E1231="BE",2,(IF(E1231="GV",3,(IF(E1231="RA",4,(IF(E1231="RM",5,(IF(E1231="AC",1,(IF(E1231="AT",2,(IF(E1231="DS",3,(IF(E1231="IP",4,(IF(E1231="MA",5,(IF(E1231="PT",6,(IF(E1231="AE",1,(IF(E1231="CM",2,(IF(E1231="DP",3,(IF(E1231="AN",1,(IF(E1231="CO",2,(IF(E1231="IM",3,(IF(E1231="MI",4,(IF(E1231="RP",5,(IF(E1231="SC",6,0)))))))))))))))))))))))))))))))))))))))</f>
        <v>1</v>
      </c>
      <c r="G1231" s="52">
        <v>4</v>
      </c>
      <c r="H1231" s="99">
        <v>1</v>
      </c>
      <c r="I1231" s="94" t="s">
        <v>41</v>
      </c>
      <c r="J1231" s="86">
        <v>16.2</v>
      </c>
      <c r="K1231" s="103" t="s">
        <v>3587</v>
      </c>
      <c r="L1231" s="117">
        <f>IF(O1231="","",N1231*O1231*M1231)</f>
        <v>0</v>
      </c>
      <c r="M1231" s="108">
        <v>1</v>
      </c>
      <c r="N1231" s="95">
        <v>1</v>
      </c>
      <c r="O1231" s="109">
        <f>IF(Key!D$1="ON",P1231,IF(SUM(Q1231:DL1231)&lt;1,"",SUM(Q1231:DL1231)/COUNTIF(Q1231:DL1231,"&gt;0")))</f>
        <v>0</v>
      </c>
      <c r="P1231" s="109">
        <f>SUMIFS(Q1231:DK1231,Q$1:DK$1,Dashboard!$K$31)</f>
        <v>0</v>
      </c>
      <c r="U1231" s="95">
        <v>33</v>
      </c>
    </row>
    <row r="1232" spans="1:34" x14ac:dyDescent="0.3">
      <c r="A1232" s="89" t="str">
        <f>CONCATENATE(D1232,".",F1232,"-",G1232,".",H1232,"")</f>
        <v>2.1-4.1</v>
      </c>
      <c r="B1232" s="89" t="str">
        <f>IF(CONCATENATE(I1232,Key!F$2)=CONCATENATE(INDEX(Dashboard!J:J,MATCH(I1232,Dashboard!J:J,0),1),INDEX(Dashboard!J:K,MATCH(I1232,Dashboard!J:J,0),2)),"ON",IF(Dashboard!K$32="ALL","ON","-"))</f>
        <v>-</v>
      </c>
      <c r="C1232" s="88" t="s">
        <v>152</v>
      </c>
      <c r="D1232" s="89">
        <f>IF(C1232="ID",1,(IF(C1232="PR",2,(IF(C1232="DE",3,(IF(C1232="RS",4,(IF(C1232="RC",5,0)))))))))</f>
        <v>2</v>
      </c>
      <c r="E1232" s="89" t="s">
        <v>153</v>
      </c>
      <c r="F1232" s="89">
        <f>IF(E1232="AM",1,(IF(E1232="BE",2,(IF(E1232="GV",3,(IF(E1232="RA",4,(IF(E1232="RM",5,(IF(E1232="AC",1,(IF(E1232="AT",2,(IF(E1232="DS",3,(IF(E1232="IP",4,(IF(E1232="MA",5,(IF(E1232="PT",6,(IF(E1232="AE",1,(IF(E1232="CM",2,(IF(E1232="DP",3,(IF(E1232="AN",1,(IF(E1232="CO",2,(IF(E1232="IM",3,(IF(E1232="MI",4,(IF(E1232="RP",5,(IF(E1232="SC",6,0)))))))))))))))))))))))))))))))))))))))</f>
        <v>1</v>
      </c>
      <c r="G1232" s="52">
        <v>4</v>
      </c>
      <c r="H1232" s="99">
        <v>1</v>
      </c>
      <c r="I1232" s="94" t="s">
        <v>41</v>
      </c>
      <c r="J1232" s="86">
        <v>16.399999999999999</v>
      </c>
      <c r="K1232" s="103" t="s">
        <v>3589</v>
      </c>
      <c r="L1232" s="117">
        <f>IF(O1232="","",N1232*O1232*M1232)</f>
        <v>0</v>
      </c>
      <c r="M1232" s="108">
        <v>1</v>
      </c>
      <c r="N1232" s="95">
        <v>1</v>
      </c>
      <c r="O1232" s="109">
        <f>IF(Key!D$1="ON",P1232,IF(SUM(Q1232:DL1232)&lt;1,"",SUM(Q1232:DL1232)/COUNTIF(Q1232:DL1232,"&gt;0")))</f>
        <v>0</v>
      </c>
      <c r="P1232" s="109">
        <f>SUMIFS(Q1232:DK1232,Q$1:DK$1,Dashboard!$K$31)</f>
        <v>0</v>
      </c>
      <c r="U1232" s="95">
        <v>33</v>
      </c>
    </row>
    <row r="1233" spans="1:34" x14ac:dyDescent="0.3">
      <c r="A1233" s="89" t="str">
        <f>CONCATENATE(D1233,".",F1233,"-",G1233,".",H1233,"")</f>
        <v>2.1-4.1</v>
      </c>
      <c r="B1233" s="89" t="str">
        <f>IF(CONCATENATE(I1233,Key!F$2)=CONCATENATE(INDEX(Dashboard!J:J,MATCH(I1233,Dashboard!J:J,0),1),INDEX(Dashboard!J:K,MATCH(I1233,Dashboard!J:J,0),2)),"ON",IF(Dashboard!K$32="ALL","ON","-"))</f>
        <v>-</v>
      </c>
      <c r="C1233" s="88" t="s">
        <v>152</v>
      </c>
      <c r="D1233" s="89">
        <f>IF(C1233="ID",1,(IF(C1233="PR",2,(IF(C1233="DE",3,(IF(C1233="RS",4,(IF(C1233="RC",5,0)))))))))</f>
        <v>2</v>
      </c>
      <c r="E1233" s="89" t="s">
        <v>153</v>
      </c>
      <c r="F1233" s="89">
        <f>IF(E1233="AM",1,(IF(E1233="BE",2,(IF(E1233="GV",3,(IF(E1233="RA",4,(IF(E1233="RM",5,(IF(E1233="AC",1,(IF(E1233="AT",2,(IF(E1233="DS",3,(IF(E1233="IP",4,(IF(E1233="MA",5,(IF(E1233="PT",6,(IF(E1233="AE",1,(IF(E1233="CM",2,(IF(E1233="DP",3,(IF(E1233="AN",1,(IF(E1233="CO",2,(IF(E1233="IM",3,(IF(E1233="MI",4,(IF(E1233="RP",5,(IF(E1233="SC",6,0)))))))))))))))))))))))))))))))))))))))</f>
        <v>1</v>
      </c>
      <c r="G1233" s="52">
        <v>4</v>
      </c>
      <c r="H1233" s="99">
        <v>1</v>
      </c>
      <c r="I1233" s="94" t="s">
        <v>41</v>
      </c>
      <c r="J1233" s="86">
        <v>16.5</v>
      </c>
      <c r="K1233" s="103" t="s">
        <v>3590</v>
      </c>
      <c r="L1233" s="117">
        <f>IF(O1233="","",N1233*O1233*M1233)</f>
        <v>0</v>
      </c>
      <c r="M1233" s="108">
        <v>1</v>
      </c>
      <c r="N1233" s="95">
        <v>1</v>
      </c>
      <c r="O1233" s="109">
        <f>IF(Key!D$1="ON",P1233,IF(SUM(Q1233:DL1233)&lt;1,"",SUM(Q1233:DL1233)/COUNTIF(Q1233:DL1233,"&gt;0")))</f>
        <v>0</v>
      </c>
      <c r="P1233" s="109">
        <f>SUMIFS(Q1233:DK1233,Q$1:DK$1,Dashboard!$K$31)</f>
        <v>0</v>
      </c>
      <c r="U1233" s="95">
        <v>33</v>
      </c>
    </row>
    <row r="1234" spans="1:34" x14ac:dyDescent="0.3">
      <c r="A1234" s="89" t="str">
        <f>CONCATENATE(D1234,".",F1234,"-",G1234,".",H1234,"")</f>
        <v>2.1-4.1</v>
      </c>
      <c r="B1234" s="89" t="str">
        <f>IF(CONCATENATE(I1234,Key!F$2)=CONCATENATE(INDEX(Dashboard!J:J,MATCH(I1234,Dashboard!J:J,0),1),INDEX(Dashboard!J:K,MATCH(I1234,Dashboard!J:J,0),2)),"ON",IF(Dashboard!K$32="ALL","ON","-"))</f>
        <v>-</v>
      </c>
      <c r="C1234" s="88" t="s">
        <v>152</v>
      </c>
      <c r="D1234" s="89">
        <f>IF(C1234="ID",1,(IF(C1234="PR",2,(IF(C1234="DE",3,(IF(C1234="RS",4,(IF(C1234="RC",5,0)))))))))</f>
        <v>2</v>
      </c>
      <c r="E1234" s="89" t="s">
        <v>153</v>
      </c>
      <c r="F1234" s="89">
        <f>IF(E1234="AM",1,(IF(E1234="BE",2,(IF(E1234="GV",3,(IF(E1234="RA",4,(IF(E1234="RM",5,(IF(E1234="AC",1,(IF(E1234="AT",2,(IF(E1234="DS",3,(IF(E1234="IP",4,(IF(E1234="MA",5,(IF(E1234="PT",6,(IF(E1234="AE",1,(IF(E1234="CM",2,(IF(E1234="DP",3,(IF(E1234="AN",1,(IF(E1234="CO",2,(IF(E1234="IM",3,(IF(E1234="MI",4,(IF(E1234="RP",5,(IF(E1234="SC",6,0)))))))))))))))))))))))))))))))))))))))</f>
        <v>1</v>
      </c>
      <c r="G1234" s="52">
        <v>4</v>
      </c>
      <c r="H1234" s="99">
        <v>1</v>
      </c>
      <c r="I1234" s="94" t="s">
        <v>41</v>
      </c>
      <c r="J1234" s="86">
        <v>16.600000000000001</v>
      </c>
      <c r="K1234" s="103" t="s">
        <v>3591</v>
      </c>
      <c r="L1234" s="117">
        <f>IF(O1234="","",N1234*O1234*M1234)</f>
        <v>0</v>
      </c>
      <c r="M1234" s="108">
        <v>1</v>
      </c>
      <c r="N1234" s="95">
        <v>1</v>
      </c>
      <c r="O1234" s="109">
        <f>IF(Key!D$1="ON",P1234,IF(SUM(Q1234:DL1234)&lt;1,"",SUM(Q1234:DL1234)/COUNTIF(Q1234:DL1234,"&gt;0")))</f>
        <v>0</v>
      </c>
      <c r="P1234" s="109">
        <f>SUMIFS(Q1234:DK1234,Q$1:DK$1,Dashboard!$K$31)</f>
        <v>0</v>
      </c>
      <c r="U1234" s="95">
        <v>33</v>
      </c>
    </row>
    <row r="1235" spans="1:34" x14ac:dyDescent="0.3">
      <c r="A1235" s="89" t="str">
        <f>CONCATENATE(D1235,".",F1235,"-",G1235,".",H1235,"")</f>
        <v>2.1-4.1</v>
      </c>
      <c r="B1235" s="89" t="str">
        <f>IF(CONCATENATE(I1235,Key!F$2)=CONCATENATE(INDEX(Dashboard!J:J,MATCH(I1235,Dashboard!J:J,0),1),INDEX(Dashboard!J:K,MATCH(I1235,Dashboard!J:J,0),2)),"ON",IF(Dashboard!K$32="ALL","ON","-"))</f>
        <v>-</v>
      </c>
      <c r="C1235" s="88" t="s">
        <v>152</v>
      </c>
      <c r="D1235" s="89">
        <f>IF(C1235="ID",1,(IF(C1235="PR",2,(IF(C1235="DE",3,(IF(C1235="RS",4,(IF(C1235="RC",5,0)))))))))</f>
        <v>2</v>
      </c>
      <c r="E1235" s="89" t="s">
        <v>153</v>
      </c>
      <c r="F1235" s="89">
        <f>IF(E1235="AM",1,(IF(E1235="BE",2,(IF(E1235="GV",3,(IF(E1235="RA",4,(IF(E1235="RM",5,(IF(E1235="AC",1,(IF(E1235="AT",2,(IF(E1235="DS",3,(IF(E1235="IP",4,(IF(E1235="MA",5,(IF(E1235="PT",6,(IF(E1235="AE",1,(IF(E1235="CM",2,(IF(E1235="DP",3,(IF(E1235="AN",1,(IF(E1235="CO",2,(IF(E1235="IM",3,(IF(E1235="MI",4,(IF(E1235="RP",5,(IF(E1235="SC",6,0)))))))))))))))))))))))))))))))))))))))</f>
        <v>1</v>
      </c>
      <c r="G1235" s="52">
        <v>4</v>
      </c>
      <c r="H1235" s="99">
        <v>1</v>
      </c>
      <c r="I1235" s="94" t="s">
        <v>41</v>
      </c>
      <c r="J1235" s="86">
        <v>16.8</v>
      </c>
      <c r="K1235" s="103" t="s">
        <v>3593</v>
      </c>
      <c r="L1235" s="117">
        <f>IF(O1235="","",N1235*O1235*M1235)</f>
        <v>0</v>
      </c>
      <c r="M1235" s="108">
        <v>1</v>
      </c>
      <c r="N1235" s="95">
        <v>1</v>
      </c>
      <c r="O1235" s="109">
        <f>IF(Key!D$1="ON",P1235,IF(SUM(Q1235:DL1235)&lt;1,"",SUM(Q1235:DL1235)/COUNTIF(Q1235:DL1235,"&gt;0")))</f>
        <v>0</v>
      </c>
      <c r="P1235" s="109">
        <f>SUMIFS(Q1235:DK1235,Q$1:DK$1,Dashboard!$K$31)</f>
        <v>0</v>
      </c>
      <c r="U1235" s="95">
        <v>33</v>
      </c>
    </row>
    <row r="1236" spans="1:34" x14ac:dyDescent="0.3">
      <c r="A1236" s="89" t="str">
        <f>CONCATENATE(D1236,".",F1236,"-",G1236,".",H1236,"")</f>
        <v>2.1-4.1</v>
      </c>
      <c r="B1236" s="89" t="str">
        <f>IF(CONCATENATE(I1236,Key!F$2)=CONCATENATE(INDEX(Dashboard!J:J,MATCH(I1236,Dashboard!J:J,0),1),INDEX(Dashboard!J:K,MATCH(I1236,Dashboard!J:J,0),2)),"ON",IF(Dashboard!K$32="ALL","ON","-"))</f>
        <v>-</v>
      </c>
      <c r="C1236" s="88" t="s">
        <v>152</v>
      </c>
      <c r="D1236" s="89">
        <f>IF(C1236="ID",1,(IF(C1236="PR",2,(IF(C1236="DE",3,(IF(C1236="RS",4,(IF(C1236="RC",5,0)))))))))</f>
        <v>2</v>
      </c>
      <c r="E1236" s="89" t="s">
        <v>153</v>
      </c>
      <c r="F1236" s="89">
        <f>IF(E1236="AM",1,(IF(E1236="BE",2,(IF(E1236="GV",3,(IF(E1236="RA",4,(IF(E1236="RM",5,(IF(E1236="AC",1,(IF(E1236="AT",2,(IF(E1236="DS",3,(IF(E1236="IP",4,(IF(E1236="MA",5,(IF(E1236="PT",6,(IF(E1236="AE",1,(IF(E1236="CM",2,(IF(E1236="DP",3,(IF(E1236="AN",1,(IF(E1236="CO",2,(IF(E1236="IM",3,(IF(E1236="MI",4,(IF(E1236="RP",5,(IF(E1236="SC",6,0)))))))))))))))))))))))))))))))))))))))</f>
        <v>1</v>
      </c>
      <c r="G1236" s="52">
        <v>4</v>
      </c>
      <c r="H1236" s="99">
        <v>1</v>
      </c>
      <c r="I1236" s="94" t="s">
        <v>41</v>
      </c>
      <c r="J1236" s="86" t="s">
        <v>3606</v>
      </c>
      <c r="K1236" s="103" t="s">
        <v>3607</v>
      </c>
      <c r="L1236" s="117">
        <f>IF(O1236="","",N1236*O1236*M1236)</f>
        <v>0</v>
      </c>
      <c r="M1236" s="108">
        <v>1</v>
      </c>
      <c r="N1236" s="95">
        <v>1</v>
      </c>
      <c r="O1236" s="109">
        <f>IF(Key!D$1="ON",P1236,IF(SUM(Q1236:DL1236)&lt;1,"",SUM(Q1236:DL1236)/COUNTIF(Q1236:DL1236,"&gt;0")))</f>
        <v>0</v>
      </c>
      <c r="P1236" s="109">
        <f>SUMIFS(Q1236:DK1236,Q$1:DK$1,Dashboard!$K$31)</f>
        <v>0</v>
      </c>
      <c r="U1236" s="95">
        <v>33</v>
      </c>
    </row>
    <row r="1237" spans="1:34" ht="15.6" x14ac:dyDescent="0.3">
      <c r="A1237" s="89" t="str">
        <f>CONCATENATE(D1237,".",F1237,"-",G1237,".",H1237,"")</f>
        <v>2.1-4.1</v>
      </c>
      <c r="B1237" s="89" t="str">
        <f>IF(CONCATENATE(I1237,Key!F$2)=CONCATENATE(INDEX(Dashboard!J:J,MATCH(I1237,Dashboard!J:J,0),1),INDEX(Dashboard!J:K,MATCH(I1237,Dashboard!J:J,0),2)),"ON",IF(Dashboard!K$32="ALL","ON","-"))</f>
        <v>-</v>
      </c>
      <c r="C1237" s="88" t="s">
        <v>152</v>
      </c>
      <c r="D1237" s="89">
        <f>IF(C1237="ID",1,(IF(C1237="PR",2,(IF(C1237="DE",3,(IF(C1237="RS",4,(IF(C1237="RC",5,0)))))))))</f>
        <v>2</v>
      </c>
      <c r="E1237" s="89" t="s">
        <v>153</v>
      </c>
      <c r="F1237" s="89">
        <f>IF(E1237="AM",1,(IF(E1237="BE",2,(IF(E1237="GV",3,(IF(E1237="RA",4,(IF(E1237="RM",5,(IF(E1237="AC",1,(IF(E1237="AT",2,(IF(E1237="DS",3,(IF(E1237="IP",4,(IF(E1237="MA",5,(IF(E1237="PT",6,(IF(E1237="AE",1,(IF(E1237="CM",2,(IF(E1237="DP",3,(IF(E1237="AN",1,(IF(E1237="CO",2,(IF(E1237="IM",3,(IF(E1237="MI",4,(IF(E1237="RP",5,(IF(E1237="SC",6,0)))))))))))))))))))))))))))))))))))))))</f>
        <v>1</v>
      </c>
      <c r="G1237" s="52">
        <v>4</v>
      </c>
      <c r="H1237" s="99">
        <v>1</v>
      </c>
      <c r="I1237" s="94" t="s">
        <v>41</v>
      </c>
      <c r="J1237" s="86" t="s">
        <v>3675</v>
      </c>
      <c r="K1237" s="103" t="s">
        <v>3676</v>
      </c>
      <c r="L1237" s="117">
        <f>IF(O1237="","",N1237*O1237*M1237)</f>
        <v>0</v>
      </c>
      <c r="M1237" s="108">
        <v>1</v>
      </c>
      <c r="N1237" s="95">
        <v>1</v>
      </c>
      <c r="O1237" s="109">
        <f>IF(Key!D$1="ON",P1237,IF(SUM(Q1237:DL1237)&lt;1,"",SUM(Q1237:DL1237)/COUNTIF(Q1237:DL1237,"&gt;0")))</f>
        <v>0</v>
      </c>
      <c r="P1237" s="109">
        <f>SUMIFS(Q1237:DK1237,Q$1:DK$1,Dashboard!$K$31)</f>
        <v>0</v>
      </c>
      <c r="U1237" s="95">
        <v>33</v>
      </c>
    </row>
    <row r="1238" spans="1:34" ht="15.6" x14ac:dyDescent="0.3">
      <c r="A1238" s="89" t="str">
        <f>CONCATENATE(D1238,".",F1238,"-",G1238,".",H1238,"")</f>
        <v>2.1-4.1</v>
      </c>
      <c r="B1238" s="89" t="str">
        <f>IF(CONCATENATE(I1238,Key!F$2)=CONCATENATE(INDEX(Dashboard!J:J,MATCH(I1238,Dashboard!J:J,0),1),INDEX(Dashboard!J:K,MATCH(I1238,Dashboard!J:J,0),2)),"ON",IF(Dashboard!K$32="ALL","ON","-"))</f>
        <v>-</v>
      </c>
      <c r="C1238" s="88" t="s">
        <v>152</v>
      </c>
      <c r="D1238" s="89">
        <f>IF(C1238="ID",1,(IF(C1238="PR",2,(IF(C1238="DE",3,(IF(C1238="RS",4,(IF(C1238="RC",5,0)))))))))</f>
        <v>2</v>
      </c>
      <c r="E1238" s="89" t="s">
        <v>153</v>
      </c>
      <c r="F1238" s="89">
        <f>IF(E1238="AM",1,(IF(E1238="BE",2,(IF(E1238="GV",3,(IF(E1238="RA",4,(IF(E1238="RM",5,(IF(E1238="AC",1,(IF(E1238="AT",2,(IF(E1238="DS",3,(IF(E1238="IP",4,(IF(E1238="MA",5,(IF(E1238="PT",6,(IF(E1238="AE",1,(IF(E1238="CM",2,(IF(E1238="DP",3,(IF(E1238="AN",1,(IF(E1238="CO",2,(IF(E1238="IM",3,(IF(E1238="MI",4,(IF(E1238="RP",5,(IF(E1238="SC",6,0)))))))))))))))))))))))))))))))))))))))</f>
        <v>1</v>
      </c>
      <c r="G1238" s="52">
        <v>4</v>
      </c>
      <c r="H1238" s="99">
        <v>1</v>
      </c>
      <c r="I1238" s="94" t="s">
        <v>41</v>
      </c>
      <c r="J1238" s="86" t="s">
        <v>151</v>
      </c>
      <c r="K1238" s="103" t="s">
        <v>3677</v>
      </c>
      <c r="L1238" s="117">
        <f>IF(O1238="","",N1238*O1238*M1238)</f>
        <v>0</v>
      </c>
      <c r="M1238" s="108">
        <v>1</v>
      </c>
      <c r="N1238" s="95">
        <v>1</v>
      </c>
      <c r="O1238" s="109">
        <f>IF(Key!D$1="ON",P1238,IF(SUM(Q1238:DL1238)&lt;1,"",SUM(Q1238:DL1238)/COUNTIF(Q1238:DL1238,"&gt;0")))</f>
        <v>0</v>
      </c>
      <c r="P1238" s="109">
        <f>SUMIFS(Q1238:DK1238,Q$1:DK$1,Dashboard!$K$31)</f>
        <v>0</v>
      </c>
      <c r="U1238" s="95">
        <v>33</v>
      </c>
    </row>
    <row r="1239" spans="1:34" ht="15.6" x14ac:dyDescent="0.3">
      <c r="A1239" s="89" t="str">
        <f>CONCATENATE(D1239,".",F1239,"-",G1239,".",H1239,"")</f>
        <v>2.1-4.1</v>
      </c>
      <c r="B1239" s="89" t="str">
        <f>IF(CONCATENATE(I1239,Key!F$2)=CONCATENATE(INDEX(Dashboard!J:J,MATCH(I1239,Dashboard!J:J,0),1),INDEX(Dashboard!J:K,MATCH(I1239,Dashboard!J:J,0),2)),"ON",IF(Dashboard!K$32="ALL","ON","-"))</f>
        <v>-</v>
      </c>
      <c r="C1239" s="96" t="s">
        <v>152</v>
      </c>
      <c r="D1239" s="89">
        <f>IF(C1239="ID",1,(IF(C1239="PR",2,(IF(C1239="DE",3,(IF(C1239="RS",4,(IF(C1239="RC",5,0)))))))))</f>
        <v>2</v>
      </c>
      <c r="E1239" s="89" t="s">
        <v>153</v>
      </c>
      <c r="F1239" s="89">
        <f>IF(E1239="AM",1,(IF(E1239="BE",2,(IF(E1239="GV",3,(IF(E1239="RA",4,(IF(E1239="RM",5,(IF(E1239="AC",1,(IF(E1239="AT",2,(IF(E1239="DS",3,(IF(E1239="IP",4,(IF(E1239="MA",5,(IF(E1239="PT",6,(IF(E1239="AE",1,(IF(E1239="CM",2,(IF(E1239="DP",3,(IF(E1239="AN",1,(IF(E1239="CO",2,(IF(E1239="IM",3,(IF(E1239="MI",4,(IF(E1239="RP",5,(IF(E1239="SC",6,0)))))))))))))))))))))))))))))))))))))))</f>
        <v>1</v>
      </c>
      <c r="G1239" s="98">
        <v>4</v>
      </c>
      <c r="H1239" s="90" t="s">
        <v>115</v>
      </c>
      <c r="I1239" s="94" t="s">
        <v>52</v>
      </c>
      <c r="J1239" s="88" t="s">
        <v>3385</v>
      </c>
      <c r="K1239" s="102" t="s">
        <v>3386</v>
      </c>
      <c r="L1239" s="117">
        <f>IF(O1239="","",N1239*O1239*M1239)</f>
        <v>0</v>
      </c>
      <c r="M1239" s="108">
        <v>1</v>
      </c>
      <c r="N1239" s="95">
        <v>1</v>
      </c>
      <c r="O1239" s="109">
        <f>IF(Key!D$1="ON",P1239,IF(SUM(Q1239:DL1239)&lt;1,"",SUM(Q1239:DL1239)/COUNTIF(Q1239:DL1239,"&gt;0")))</f>
        <v>0</v>
      </c>
      <c r="P1239" s="109">
        <f>SUMIFS(Q1239:DK1239,Q$1:DK$1,Dashboard!$K$31)</f>
        <v>0</v>
      </c>
      <c r="U1239" s="95">
        <v>33</v>
      </c>
      <c r="AA1239" s="95">
        <v>25</v>
      </c>
      <c r="AH1239" s="95">
        <v>75</v>
      </c>
    </row>
    <row r="1240" spans="1:34" ht="15.6" x14ac:dyDescent="0.3">
      <c r="A1240" s="89" t="str">
        <f>CONCATENATE(D1240,".",F1240,"-",G1240,".",H1240,"")</f>
        <v>2.1-4.1</v>
      </c>
      <c r="B1240" s="89" t="str">
        <f>IF(CONCATENATE(I1240,Key!F$2)=CONCATENATE(INDEX(Dashboard!J:J,MATCH(I1240,Dashboard!J:J,0),1),INDEX(Dashboard!J:K,MATCH(I1240,Dashboard!J:J,0),2)),"ON",IF(Dashboard!K$32="ALL","ON","-"))</f>
        <v>-</v>
      </c>
      <c r="C1240" s="96" t="s">
        <v>152</v>
      </c>
      <c r="D1240" s="89">
        <f>IF(C1240="ID",1,(IF(C1240="PR",2,(IF(C1240="DE",3,(IF(C1240="RS",4,(IF(C1240="RC",5,0)))))))))</f>
        <v>2</v>
      </c>
      <c r="E1240" s="89" t="s">
        <v>153</v>
      </c>
      <c r="F1240" s="89">
        <f>IF(E1240="AM",1,(IF(E1240="BE",2,(IF(E1240="GV",3,(IF(E1240="RA",4,(IF(E1240="RM",5,(IF(E1240="AC",1,(IF(E1240="AT",2,(IF(E1240="DS",3,(IF(E1240="IP",4,(IF(E1240="MA",5,(IF(E1240="PT",6,(IF(E1240="AE",1,(IF(E1240="CM",2,(IF(E1240="DP",3,(IF(E1240="AN",1,(IF(E1240="CO",2,(IF(E1240="IM",3,(IF(E1240="MI",4,(IF(E1240="RP",5,(IF(E1240="SC",6,0)))))))))))))))))))))))))))))))))))))))</f>
        <v>1</v>
      </c>
      <c r="G1240" s="98">
        <v>4</v>
      </c>
      <c r="H1240" s="90" t="s">
        <v>115</v>
      </c>
      <c r="I1240" s="94" t="s">
        <v>52</v>
      </c>
      <c r="J1240" s="88" t="s">
        <v>3383</v>
      </c>
      <c r="K1240" s="103" t="s">
        <v>3384</v>
      </c>
      <c r="L1240" s="117">
        <f>IF(O1240="","",N1240*O1240*M1240)</f>
        <v>0</v>
      </c>
      <c r="M1240" s="108">
        <v>1</v>
      </c>
      <c r="N1240" s="95">
        <v>1</v>
      </c>
      <c r="O1240" s="109">
        <f>IF(Key!D$1="ON",P1240,IF(SUM(Q1240:DL1240)&lt;1,"",SUM(Q1240:DL1240)/COUNTIF(Q1240:DL1240,"&gt;0")))</f>
        <v>0</v>
      </c>
      <c r="P1240" s="109">
        <f>SUMIFS(Q1240:DK1240,Q$1:DK$1,Dashboard!$K$31)</f>
        <v>0</v>
      </c>
      <c r="U1240" s="95">
        <v>33</v>
      </c>
      <c r="AA1240" s="95">
        <v>25</v>
      </c>
      <c r="AH1240" s="95">
        <v>75</v>
      </c>
    </row>
    <row r="1241" spans="1:34" ht="15.6" x14ac:dyDescent="0.3">
      <c r="A1241" s="89" t="str">
        <f>CONCATENATE(D1241,".",F1241,"-",G1241,".",H1241,"")</f>
        <v>2.1-4.1</v>
      </c>
      <c r="B1241" s="89" t="str">
        <f>IF(CONCATENATE(I1241,Key!F$2)=CONCATENATE(INDEX(Dashboard!J:J,MATCH(I1241,Dashboard!J:J,0),1),INDEX(Dashboard!J:K,MATCH(I1241,Dashboard!J:J,0),2)),"ON",IF(Dashboard!K$32="ALL","ON","-"))</f>
        <v>-</v>
      </c>
      <c r="C1241" s="96" t="s">
        <v>152</v>
      </c>
      <c r="D1241" s="89">
        <f>IF(C1241="ID",1,(IF(C1241="PR",2,(IF(C1241="DE",3,(IF(C1241="RS",4,(IF(C1241="RC",5,0)))))))))</f>
        <v>2</v>
      </c>
      <c r="E1241" s="89" t="s">
        <v>153</v>
      </c>
      <c r="F1241" s="89">
        <f>IF(E1241="AM",1,(IF(E1241="BE",2,(IF(E1241="GV",3,(IF(E1241="RA",4,(IF(E1241="RM",5,(IF(E1241="AC",1,(IF(E1241="AT",2,(IF(E1241="DS",3,(IF(E1241="IP",4,(IF(E1241="MA",5,(IF(E1241="PT",6,(IF(E1241="AE",1,(IF(E1241="CM",2,(IF(E1241="DP",3,(IF(E1241="AN",1,(IF(E1241="CO",2,(IF(E1241="IM",3,(IF(E1241="MI",4,(IF(E1241="RP",5,(IF(E1241="SC",6,0)))))))))))))))))))))))))))))))))))))))</f>
        <v>1</v>
      </c>
      <c r="G1241" s="98">
        <v>4</v>
      </c>
      <c r="H1241" s="90" t="s">
        <v>115</v>
      </c>
      <c r="I1241" s="94" t="s">
        <v>52</v>
      </c>
      <c r="J1241" s="88" t="s">
        <v>3387</v>
      </c>
      <c r="K1241" s="103" t="s">
        <v>3388</v>
      </c>
      <c r="L1241" s="117">
        <f>IF(O1241="","",N1241*O1241*M1241)</f>
        <v>0</v>
      </c>
      <c r="M1241" s="108">
        <v>1</v>
      </c>
      <c r="N1241" s="95">
        <v>1</v>
      </c>
      <c r="O1241" s="109">
        <f>IF(Key!D$1="ON",P1241,IF(SUM(Q1241:DL1241)&lt;1,"",SUM(Q1241:DL1241)/COUNTIF(Q1241:DL1241,"&gt;0")))</f>
        <v>0</v>
      </c>
      <c r="P1241" s="109">
        <f>SUMIFS(Q1241:DK1241,Q$1:DK$1,Dashboard!$K$31)</f>
        <v>0</v>
      </c>
      <c r="U1241" s="95">
        <v>33</v>
      </c>
      <c r="AA1241" s="95">
        <v>25</v>
      </c>
      <c r="AH1241" s="95">
        <v>75</v>
      </c>
    </row>
    <row r="1242" spans="1:34" x14ac:dyDescent="0.3">
      <c r="A1242" s="89" t="str">
        <f>CONCATENATE(D1242,".",F1242,"-",G1242,".",H1242,"")</f>
        <v>2.1-4.1</v>
      </c>
      <c r="B1242" s="89" t="str">
        <f>IF(CONCATENATE(I1242,Key!F$2)=CONCATENATE(INDEX(Dashboard!J:J,MATCH(I1242,Dashboard!J:J,0),1),INDEX(Dashboard!J:K,MATCH(I1242,Dashboard!J:J,0),2)),"ON",IF(Dashboard!K$32="ALL","ON","-"))</f>
        <v>-</v>
      </c>
      <c r="C1242" s="96" t="s">
        <v>152</v>
      </c>
      <c r="D1242" s="89">
        <f>IF(C1242="ID",1,(IF(C1242="PR",2,(IF(C1242="DE",3,(IF(C1242="RS",4,(IF(C1242="RC",5,0)))))))))</f>
        <v>2</v>
      </c>
      <c r="E1242" s="89" t="s">
        <v>153</v>
      </c>
      <c r="F1242" s="89">
        <f>IF(E1242="AM",1,(IF(E1242="BE",2,(IF(E1242="GV",3,(IF(E1242="RA",4,(IF(E1242="RM",5,(IF(E1242="AC",1,(IF(E1242="AT",2,(IF(E1242="DS",3,(IF(E1242="IP",4,(IF(E1242="MA",5,(IF(E1242="PT",6,(IF(E1242="AE",1,(IF(E1242="CM",2,(IF(E1242="DP",3,(IF(E1242="AN",1,(IF(E1242="CO",2,(IF(E1242="IM",3,(IF(E1242="MI",4,(IF(E1242="RP",5,(IF(E1242="SC",6,0)))))))))))))))))))))))))))))))))))))))</f>
        <v>1</v>
      </c>
      <c r="G1242" s="98">
        <v>4</v>
      </c>
      <c r="H1242" s="90" t="s">
        <v>115</v>
      </c>
      <c r="I1242" s="94" t="s">
        <v>52</v>
      </c>
      <c r="J1242" s="88" t="s">
        <v>3389</v>
      </c>
      <c r="K1242" s="103" t="s">
        <v>3390</v>
      </c>
      <c r="L1242" s="117">
        <f>IF(O1242="","",N1242*O1242*M1242)</f>
        <v>0</v>
      </c>
      <c r="M1242" s="108">
        <v>1</v>
      </c>
      <c r="N1242" s="95">
        <v>1</v>
      </c>
      <c r="O1242" s="109">
        <f>IF(Key!D$1="ON",P1242,IF(SUM(Q1242:DL1242)&lt;1,"",SUM(Q1242:DL1242)/COUNTIF(Q1242:DL1242,"&gt;0")))</f>
        <v>0</v>
      </c>
      <c r="P1242" s="109">
        <f>SUMIFS(Q1242:DK1242,Q$1:DK$1,Dashboard!$K$31)</f>
        <v>0</v>
      </c>
      <c r="U1242" s="95">
        <v>33</v>
      </c>
      <c r="AA1242" s="95">
        <v>25</v>
      </c>
      <c r="AH1242" s="95">
        <v>75</v>
      </c>
    </row>
    <row r="1243" spans="1:34" x14ac:dyDescent="0.3">
      <c r="A1243" s="89" t="str">
        <f>CONCATENATE(D1243,".",F1243,"-",G1243,".",H1243,"")</f>
        <v>2.1-4.1</v>
      </c>
      <c r="B1243" s="89" t="str">
        <f>IF(CONCATENATE(I1243,Key!F$2)=CONCATENATE(INDEX(Dashboard!J:J,MATCH(I1243,Dashboard!J:J,0),1),INDEX(Dashboard!J:K,MATCH(I1243,Dashboard!J:J,0),2)),"ON",IF(Dashboard!K$32="ALL","ON","-"))</f>
        <v>-</v>
      </c>
      <c r="C1243" s="96" t="s">
        <v>152</v>
      </c>
      <c r="D1243" s="89">
        <f>IF(C1243="ID",1,(IF(C1243="PR",2,(IF(C1243="DE",3,(IF(C1243="RS",4,(IF(C1243="RC",5,0)))))))))</f>
        <v>2</v>
      </c>
      <c r="E1243" s="89" t="s">
        <v>153</v>
      </c>
      <c r="F1243" s="89">
        <f>IF(E1243="AM",1,(IF(E1243="BE",2,(IF(E1243="GV",3,(IF(E1243="RA",4,(IF(E1243="RM",5,(IF(E1243="AC",1,(IF(E1243="AT",2,(IF(E1243="DS",3,(IF(E1243="IP",4,(IF(E1243="MA",5,(IF(E1243="PT",6,(IF(E1243="AE",1,(IF(E1243="CM",2,(IF(E1243="DP",3,(IF(E1243="AN",1,(IF(E1243="CO",2,(IF(E1243="IM",3,(IF(E1243="MI",4,(IF(E1243="RP",5,(IF(E1243="SC",6,0)))))))))))))))))))))))))))))))))))))))</f>
        <v>1</v>
      </c>
      <c r="G1243" s="98">
        <v>4</v>
      </c>
      <c r="H1243" s="90" t="s">
        <v>115</v>
      </c>
      <c r="I1243" s="94" t="s">
        <v>52</v>
      </c>
      <c r="J1243" s="88" t="s">
        <v>3369</v>
      </c>
      <c r="K1243" s="103" t="s">
        <v>3370</v>
      </c>
      <c r="L1243" s="117">
        <f>IF(O1243="","",N1243*O1243*M1243)</f>
        <v>0</v>
      </c>
      <c r="M1243" s="108">
        <v>1</v>
      </c>
      <c r="N1243" s="95">
        <v>1</v>
      </c>
      <c r="O1243" s="109">
        <f>IF(Key!D$1="ON",P1243,IF(SUM(Q1243:DL1243)&lt;1,"",SUM(Q1243:DL1243)/COUNTIF(Q1243:DL1243,"&gt;0")))</f>
        <v>0</v>
      </c>
      <c r="P1243" s="109">
        <f>SUMIFS(Q1243:DK1243,Q$1:DK$1,Dashboard!$K$31)</f>
        <v>0</v>
      </c>
      <c r="U1243" s="95">
        <v>33</v>
      </c>
      <c r="AA1243" s="95">
        <v>25</v>
      </c>
      <c r="AH1243" s="95">
        <v>75</v>
      </c>
    </row>
    <row r="1244" spans="1:34" x14ac:dyDescent="0.3">
      <c r="A1244" s="89" t="str">
        <f>CONCATENATE(D1244,".",F1244,"-",G1244,".",H1244,"")</f>
        <v>2.1-4.1</v>
      </c>
      <c r="B1244" s="89" t="str">
        <f>IF(CONCATENATE(I1244,Key!F$2)=CONCATENATE(INDEX(Dashboard!J:J,MATCH(I1244,Dashboard!J:J,0),1),INDEX(Dashboard!J:K,MATCH(I1244,Dashboard!J:J,0),2)),"ON",IF(Dashboard!K$32="ALL","ON","-"))</f>
        <v>-</v>
      </c>
      <c r="C1244" s="96" t="s">
        <v>152</v>
      </c>
      <c r="D1244" s="89">
        <f>IF(C1244="ID",1,(IF(C1244="PR",2,(IF(C1244="DE",3,(IF(C1244="RS",4,(IF(C1244="RC",5,0)))))))))</f>
        <v>2</v>
      </c>
      <c r="E1244" s="89" t="s">
        <v>153</v>
      </c>
      <c r="F1244" s="89">
        <f>IF(E1244="AM",1,(IF(E1244="BE",2,(IF(E1244="GV",3,(IF(E1244="RA",4,(IF(E1244="RM",5,(IF(E1244="AC",1,(IF(E1244="AT",2,(IF(E1244="DS",3,(IF(E1244="IP",4,(IF(E1244="MA",5,(IF(E1244="PT",6,(IF(E1244="AE",1,(IF(E1244="CM",2,(IF(E1244="DP",3,(IF(E1244="AN",1,(IF(E1244="CO",2,(IF(E1244="IM",3,(IF(E1244="MI",4,(IF(E1244="RP",5,(IF(E1244="SC",6,0)))))))))))))))))))))))))))))))))))))))</f>
        <v>1</v>
      </c>
      <c r="G1244" s="98">
        <v>4</v>
      </c>
      <c r="H1244" s="90" t="s">
        <v>115</v>
      </c>
      <c r="I1244" s="94" t="s">
        <v>52</v>
      </c>
      <c r="J1244" s="88" t="s">
        <v>3373</v>
      </c>
      <c r="K1244" s="103" t="s">
        <v>3374</v>
      </c>
      <c r="L1244" s="117">
        <f>IF(O1244="","",N1244*O1244*M1244)</f>
        <v>0</v>
      </c>
      <c r="M1244" s="108">
        <v>1</v>
      </c>
      <c r="N1244" s="95">
        <v>1</v>
      </c>
      <c r="O1244" s="109">
        <f>IF(Key!D$1="ON",P1244,IF(SUM(Q1244:DL1244)&lt;1,"",SUM(Q1244:DL1244)/COUNTIF(Q1244:DL1244,"&gt;0")))</f>
        <v>0</v>
      </c>
      <c r="P1244" s="109">
        <f>SUMIFS(Q1244:DK1244,Q$1:DK$1,Dashboard!$K$31)</f>
        <v>0</v>
      </c>
      <c r="U1244" s="95">
        <v>33</v>
      </c>
      <c r="AA1244" s="95">
        <v>25</v>
      </c>
      <c r="AH1244" s="95">
        <v>75</v>
      </c>
    </row>
    <row r="1245" spans="1:34" x14ac:dyDescent="0.3">
      <c r="A1245" s="89" t="str">
        <f>CONCATENATE(D1245,".",F1245,"-",G1245,".",H1245,"")</f>
        <v>2.1-4.1</v>
      </c>
      <c r="B1245" s="89" t="str">
        <f>IF(CONCATENATE(I1245,Key!F$2)=CONCATENATE(INDEX(Dashboard!J:J,MATCH(I1245,Dashboard!J:J,0),1),INDEX(Dashboard!J:K,MATCH(I1245,Dashboard!J:J,0),2)),"ON",IF(Dashboard!K$32="ALL","ON","-"))</f>
        <v>-</v>
      </c>
      <c r="C1245" s="96" t="s">
        <v>152</v>
      </c>
      <c r="D1245" s="89">
        <f>IF(C1245="ID",1,(IF(C1245="PR",2,(IF(C1245="DE",3,(IF(C1245="RS",4,(IF(C1245="RC",5,0)))))))))</f>
        <v>2</v>
      </c>
      <c r="E1245" s="89" t="s">
        <v>153</v>
      </c>
      <c r="F1245" s="89">
        <f>IF(E1245="AM",1,(IF(E1245="BE",2,(IF(E1245="GV",3,(IF(E1245="RA",4,(IF(E1245="RM",5,(IF(E1245="AC",1,(IF(E1245="AT",2,(IF(E1245="DS",3,(IF(E1245="IP",4,(IF(E1245="MA",5,(IF(E1245="PT",6,(IF(E1245="AE",1,(IF(E1245="CM",2,(IF(E1245="DP",3,(IF(E1245="AN",1,(IF(E1245="CO",2,(IF(E1245="IM",3,(IF(E1245="MI",4,(IF(E1245="RP",5,(IF(E1245="SC",6,0)))))))))))))))))))))))))))))))))))))))</f>
        <v>1</v>
      </c>
      <c r="G1245" s="98">
        <v>4</v>
      </c>
      <c r="H1245" s="90" t="s">
        <v>115</v>
      </c>
      <c r="I1245" s="94" t="s">
        <v>52</v>
      </c>
      <c r="J1245" s="88" t="s">
        <v>3313</v>
      </c>
      <c r="K1245" s="103" t="s">
        <v>3314</v>
      </c>
      <c r="L1245" s="117">
        <f>IF(O1245="","",N1245*O1245*M1245)</f>
        <v>0</v>
      </c>
      <c r="M1245" s="108">
        <v>1</v>
      </c>
      <c r="N1245" s="95">
        <v>1</v>
      </c>
      <c r="O1245" s="109">
        <f>IF(Key!D$1="ON",P1245,IF(SUM(Q1245:DL1245)&lt;1,"",SUM(Q1245:DL1245)/COUNTIF(Q1245:DL1245,"&gt;0")))</f>
        <v>0</v>
      </c>
      <c r="P1245" s="109">
        <f>SUMIFS(Q1245:DK1245,Q$1:DK$1,Dashboard!$K$31)</f>
        <v>0</v>
      </c>
      <c r="U1245" s="95">
        <v>33</v>
      </c>
      <c r="AA1245" s="95">
        <v>25</v>
      </c>
      <c r="AH1245" s="95">
        <v>75</v>
      </c>
    </row>
    <row r="1246" spans="1:34" ht="15.6" x14ac:dyDescent="0.3">
      <c r="A1246" s="89" t="str">
        <f>CONCATENATE(D1246,".",F1246,"-",G1246,".",H1246,"")</f>
        <v>2.1-4.1</v>
      </c>
      <c r="B1246" s="89" t="str">
        <f>IF(CONCATENATE(I1246,Key!F$2)=CONCATENATE(INDEX(Dashboard!J:J,MATCH(I1246,Dashboard!J:J,0),1),INDEX(Dashboard!J:K,MATCH(I1246,Dashboard!J:J,0),2)),"ON",IF(Dashboard!K$32="ALL","ON","-"))</f>
        <v>-</v>
      </c>
      <c r="C1246" s="96" t="s">
        <v>152</v>
      </c>
      <c r="D1246" s="89">
        <f>IF(C1246="ID",1,(IF(C1246="PR",2,(IF(C1246="DE",3,(IF(C1246="RS",4,(IF(C1246="RC",5,0)))))))))</f>
        <v>2</v>
      </c>
      <c r="E1246" s="89" t="s">
        <v>153</v>
      </c>
      <c r="F1246" s="89">
        <f>IF(E1246="AM",1,(IF(E1246="BE",2,(IF(E1246="GV",3,(IF(E1246="RA",4,(IF(E1246="RM",5,(IF(E1246="AC",1,(IF(E1246="AT",2,(IF(E1246="DS",3,(IF(E1246="IP",4,(IF(E1246="MA",5,(IF(E1246="PT",6,(IF(E1246="AE",1,(IF(E1246="CM",2,(IF(E1246="DP",3,(IF(E1246="AN",1,(IF(E1246="CO",2,(IF(E1246="IM",3,(IF(E1246="MI",4,(IF(E1246="RP",5,(IF(E1246="SC",6,0)))))))))))))))))))))))))))))))))))))))</f>
        <v>1</v>
      </c>
      <c r="G1246" s="98">
        <v>4</v>
      </c>
      <c r="H1246" s="90" t="s">
        <v>115</v>
      </c>
      <c r="I1246" s="94" t="s">
        <v>52</v>
      </c>
      <c r="J1246" s="88" t="s">
        <v>3391</v>
      </c>
      <c r="K1246" s="103" t="s">
        <v>3392</v>
      </c>
      <c r="L1246" s="117">
        <f>IF(O1246="","",N1246*O1246*M1246)</f>
        <v>0</v>
      </c>
      <c r="M1246" s="108">
        <v>1</v>
      </c>
      <c r="N1246" s="95">
        <v>1</v>
      </c>
      <c r="O1246" s="109">
        <f>IF(Key!D$1="ON",P1246,IF(SUM(Q1246:DL1246)&lt;1,"",SUM(Q1246:DL1246)/COUNTIF(Q1246:DL1246,"&gt;0")))</f>
        <v>0</v>
      </c>
      <c r="P1246" s="109">
        <f>SUMIFS(Q1246:DK1246,Q$1:DK$1,Dashboard!$K$31)</f>
        <v>0</v>
      </c>
      <c r="U1246" s="95">
        <v>33</v>
      </c>
      <c r="AA1246" s="95">
        <v>25</v>
      </c>
      <c r="AH1246" s="95">
        <v>75</v>
      </c>
    </row>
    <row r="1247" spans="1:34" ht="15.6" x14ac:dyDescent="0.3">
      <c r="A1247" s="89" t="str">
        <f>CONCATENATE(D1247,".",F1247,"-",G1247,".",H1247,"")</f>
        <v>2.1-4.1</v>
      </c>
      <c r="B1247" s="89" t="str">
        <f>IF(CONCATENATE(I1247,Key!F$2)=CONCATENATE(INDEX(Dashboard!J:J,MATCH(I1247,Dashboard!J:J,0),1),INDEX(Dashboard!J:K,MATCH(I1247,Dashboard!J:J,0),2)),"ON",IF(Dashboard!K$32="ALL","ON","-"))</f>
        <v>-</v>
      </c>
      <c r="C1247" s="96" t="s">
        <v>152</v>
      </c>
      <c r="D1247" s="89">
        <f>IF(C1247="ID",1,(IF(C1247="PR",2,(IF(C1247="DE",3,(IF(C1247="RS",4,(IF(C1247="RC",5,0)))))))))</f>
        <v>2</v>
      </c>
      <c r="E1247" s="89" t="s">
        <v>153</v>
      </c>
      <c r="F1247" s="89">
        <f>IF(E1247="AM",1,(IF(E1247="BE",2,(IF(E1247="GV",3,(IF(E1247="RA",4,(IF(E1247="RM",5,(IF(E1247="AC",1,(IF(E1247="AT",2,(IF(E1247="DS",3,(IF(E1247="IP",4,(IF(E1247="MA",5,(IF(E1247="PT",6,(IF(E1247="AE",1,(IF(E1247="CM",2,(IF(E1247="DP",3,(IF(E1247="AN",1,(IF(E1247="CO",2,(IF(E1247="IM",3,(IF(E1247="MI",4,(IF(E1247="RP",5,(IF(E1247="SC",6,0)))))))))))))))))))))))))))))))))))))))</f>
        <v>1</v>
      </c>
      <c r="G1247" s="98">
        <v>4</v>
      </c>
      <c r="H1247" s="90" t="s">
        <v>115</v>
      </c>
      <c r="I1247" s="94" t="s">
        <v>52</v>
      </c>
      <c r="J1247" s="88" t="s">
        <v>3393</v>
      </c>
      <c r="K1247" s="103" t="s">
        <v>3394</v>
      </c>
      <c r="L1247" s="117">
        <f>IF(O1247="","",N1247*O1247*M1247)</f>
        <v>0</v>
      </c>
      <c r="M1247" s="108">
        <v>1</v>
      </c>
      <c r="N1247" s="95">
        <v>1</v>
      </c>
      <c r="O1247" s="109">
        <f>IF(Key!D$1="ON",P1247,IF(SUM(Q1247:DL1247)&lt;1,"",SUM(Q1247:DL1247)/COUNTIF(Q1247:DL1247,"&gt;0")))</f>
        <v>0</v>
      </c>
      <c r="P1247" s="109">
        <f>SUMIFS(Q1247:DK1247,Q$1:DK$1,Dashboard!$K$31)</f>
        <v>0</v>
      </c>
      <c r="U1247" s="95">
        <v>33</v>
      </c>
      <c r="AA1247" s="95">
        <v>25</v>
      </c>
      <c r="AH1247" s="95">
        <v>75</v>
      </c>
    </row>
    <row r="1248" spans="1:34" ht="15.6" x14ac:dyDescent="0.3">
      <c r="A1248" s="89" t="str">
        <f>CONCATENATE(D1248,".",F1248,"-",G1248,".",H1248,"")</f>
        <v>2.1-4.1</v>
      </c>
      <c r="B1248" s="89" t="str">
        <f>IF(CONCATENATE(I1248,Key!F$2)=CONCATENATE(INDEX(Dashboard!J:J,MATCH(I1248,Dashboard!J:J,0),1),INDEX(Dashboard!J:K,MATCH(I1248,Dashboard!J:J,0),2)),"ON",IF(Dashboard!K$32="ALL","ON","-"))</f>
        <v>-</v>
      </c>
      <c r="C1248" s="96" t="s">
        <v>152</v>
      </c>
      <c r="D1248" s="89">
        <f>IF(C1248="ID",1,(IF(C1248="PR",2,(IF(C1248="DE",3,(IF(C1248="RS",4,(IF(C1248="RC",5,0)))))))))</f>
        <v>2</v>
      </c>
      <c r="E1248" s="89" t="s">
        <v>153</v>
      </c>
      <c r="F1248" s="89">
        <f>IF(E1248="AM",1,(IF(E1248="BE",2,(IF(E1248="GV",3,(IF(E1248="RA",4,(IF(E1248="RM",5,(IF(E1248="AC",1,(IF(E1248="AT",2,(IF(E1248="DS",3,(IF(E1248="IP",4,(IF(E1248="MA",5,(IF(E1248="PT",6,(IF(E1248="AE",1,(IF(E1248="CM",2,(IF(E1248="DP",3,(IF(E1248="AN",1,(IF(E1248="CO",2,(IF(E1248="IM",3,(IF(E1248="MI",4,(IF(E1248="RP",5,(IF(E1248="SC",6,0)))))))))))))))))))))))))))))))))))))))</f>
        <v>1</v>
      </c>
      <c r="G1248" s="98">
        <v>4</v>
      </c>
      <c r="H1248" s="90" t="s">
        <v>115</v>
      </c>
      <c r="I1248" s="94" t="s">
        <v>52</v>
      </c>
      <c r="J1248" s="129" t="s">
        <v>3327</v>
      </c>
      <c r="K1248" s="102" t="s">
        <v>3395</v>
      </c>
      <c r="L1248" s="117">
        <f>IF(O1248="","",N1248*O1248*M1248)</f>
        <v>0</v>
      </c>
      <c r="M1248" s="108">
        <v>1</v>
      </c>
      <c r="N1248" s="95">
        <v>1</v>
      </c>
      <c r="O1248" s="109">
        <f>IF(Key!D$1="ON",P1248,IF(SUM(Q1248:DL1248)&lt;1,"",SUM(Q1248:DL1248)/COUNTIF(Q1248:DL1248,"&gt;0")))</f>
        <v>0</v>
      </c>
      <c r="P1248" s="109">
        <f>SUMIFS(Q1248:DK1248,Q$1:DK$1,Dashboard!$K$31)</f>
        <v>0</v>
      </c>
      <c r="U1248" s="95">
        <v>33</v>
      </c>
      <c r="AA1248" s="95">
        <v>25</v>
      </c>
      <c r="AH1248" s="95">
        <v>75</v>
      </c>
    </row>
    <row r="1249" spans="1:34" x14ac:dyDescent="0.3">
      <c r="A1249" s="89" t="str">
        <f>CONCATENATE(D1249,".",F1249,"-",G1249,".",H1249,"")</f>
        <v>2.1-4.1</v>
      </c>
      <c r="B1249" s="89" t="str">
        <f>IF(CONCATENATE(I1249,Key!F$2)=CONCATENATE(INDEX(Dashboard!J:J,MATCH(I1249,Dashboard!J:J,0),1),INDEX(Dashboard!J:K,MATCH(I1249,Dashboard!J:J,0),2)),"ON",IF(Dashboard!K$32="ALL","ON","-"))</f>
        <v>-</v>
      </c>
      <c r="C1249" s="88" t="s">
        <v>152</v>
      </c>
      <c r="D1249" s="89">
        <f>IF(C1249="ID",1,(IF(C1249="PR",2,(IF(C1249="DE",3,(IF(C1249="RS",4,(IF(C1249="RC",5,0)))))))))</f>
        <v>2</v>
      </c>
      <c r="E1249" s="89" t="s">
        <v>153</v>
      </c>
      <c r="F1249" s="89">
        <f>IF(E1249="AM",1,(IF(E1249="BE",2,(IF(E1249="GV",3,(IF(E1249="RA",4,(IF(E1249="RM",5,(IF(E1249="AC",1,(IF(E1249="AT",2,(IF(E1249="DS",3,(IF(E1249="IP",4,(IF(E1249="MA",5,(IF(E1249="PT",6,(IF(E1249="AE",1,(IF(E1249="CM",2,(IF(E1249="DP",3,(IF(E1249="AN",1,(IF(E1249="CO",2,(IF(E1249="IM",3,(IF(E1249="MI",4,(IF(E1249="RP",5,(IF(E1249="SC",6,0)))))))))))))))))))))))))))))))))))))))</f>
        <v>1</v>
      </c>
      <c r="G1249" s="52">
        <v>4</v>
      </c>
      <c r="H1249" s="90" t="s">
        <v>115</v>
      </c>
      <c r="I1249" s="94" t="s">
        <v>60</v>
      </c>
      <c r="J1249" s="87" t="s">
        <v>3180</v>
      </c>
      <c r="K1249" s="51" t="s">
        <v>5293</v>
      </c>
      <c r="L1249" s="117">
        <f>IF(O1249="","",N1249*O1249*M1249)</f>
        <v>0</v>
      </c>
      <c r="M1249" s="108">
        <v>1</v>
      </c>
      <c r="N1249" s="95">
        <v>1</v>
      </c>
      <c r="O1249" s="109">
        <f>IF(Key!D$1="ON",P1249,IF(SUM(Q1249:DL1249)&lt;1,"",SUM(Q1249:DL1249)/COUNTIF(Q1249:DL1249,"&gt;0")))</f>
        <v>0</v>
      </c>
      <c r="P1249" s="109">
        <f>SUMIFS(Q1249:DK1249,Q$1:DK$1,Dashboard!$K$31)</f>
        <v>0</v>
      </c>
      <c r="U1249" s="95">
        <v>33</v>
      </c>
      <c r="AA1249" s="95">
        <v>25</v>
      </c>
      <c r="AH1249" s="95">
        <v>75</v>
      </c>
    </row>
    <row r="1250" spans="1:34" x14ac:dyDescent="0.3">
      <c r="A1250" s="89" t="str">
        <f>CONCATENATE(D1250,".",F1250,"-",G1250,".",H1250,"")</f>
        <v>2.1-4.1</v>
      </c>
      <c r="B1250" s="89" t="str">
        <f>IF(CONCATENATE(I1250,Key!F$2)=CONCATENATE(INDEX(Dashboard!J:J,MATCH(I1250,Dashboard!J:J,0),1),INDEX(Dashboard!J:K,MATCH(I1250,Dashboard!J:J,0),2)),"ON",IF(Dashboard!K$32="ALL","ON","-"))</f>
        <v>-</v>
      </c>
      <c r="C1250" s="88" t="s">
        <v>152</v>
      </c>
      <c r="D1250" s="89">
        <f>IF(C1250="ID",1,(IF(C1250="PR",2,(IF(C1250="DE",3,(IF(C1250="RS",4,(IF(C1250="RC",5,0)))))))))</f>
        <v>2</v>
      </c>
      <c r="E1250" s="89" t="s">
        <v>153</v>
      </c>
      <c r="F1250" s="89">
        <f>IF(E1250="AM",1,(IF(E1250="BE",2,(IF(E1250="GV",3,(IF(E1250="RA",4,(IF(E1250="RM",5,(IF(E1250="AC",1,(IF(E1250="AT",2,(IF(E1250="DS",3,(IF(E1250="IP",4,(IF(E1250="MA",5,(IF(E1250="PT",6,(IF(E1250="AE",1,(IF(E1250="CM",2,(IF(E1250="DP",3,(IF(E1250="AN",1,(IF(E1250="CO",2,(IF(E1250="IM",3,(IF(E1250="MI",4,(IF(E1250="RP",5,(IF(E1250="SC",6,0)))))))))))))))))))))))))))))))))))))))</f>
        <v>1</v>
      </c>
      <c r="G1250" s="52">
        <v>4</v>
      </c>
      <c r="H1250" s="90" t="s">
        <v>115</v>
      </c>
      <c r="I1250" s="94" t="s">
        <v>60</v>
      </c>
      <c r="J1250" s="87" t="s">
        <v>3181</v>
      </c>
      <c r="K1250" s="51" t="s">
        <v>5294</v>
      </c>
      <c r="L1250" s="117">
        <f>IF(O1250="","",N1250*O1250*M1250)</f>
        <v>0</v>
      </c>
      <c r="M1250" s="108">
        <v>1</v>
      </c>
      <c r="N1250" s="95">
        <v>1</v>
      </c>
      <c r="O1250" s="109">
        <f>IF(Key!D$1="ON",P1250,IF(SUM(Q1250:DL1250)&lt;1,"",SUM(Q1250:DL1250)/COUNTIF(Q1250:DL1250,"&gt;0")))</f>
        <v>0</v>
      </c>
      <c r="P1250" s="109">
        <f>SUMIFS(Q1250:DK1250,Q$1:DK$1,Dashboard!$K$31)</f>
        <v>0</v>
      </c>
      <c r="U1250" s="95">
        <v>33</v>
      </c>
      <c r="AA1250" s="95">
        <v>25</v>
      </c>
      <c r="AH1250" s="95">
        <v>75</v>
      </c>
    </row>
    <row r="1251" spans="1:34" x14ac:dyDescent="0.3">
      <c r="A1251" s="89" t="str">
        <f>CONCATENATE(D1251,".",F1251,"-",G1251,".",H1251,"")</f>
        <v>2.1-4.1</v>
      </c>
      <c r="B1251" s="89" t="str">
        <f>IF(CONCATENATE(I1251,Key!F$2)=CONCATENATE(INDEX(Dashboard!J:J,MATCH(I1251,Dashboard!J:J,0),1),INDEX(Dashboard!J:K,MATCH(I1251,Dashboard!J:J,0),2)),"ON",IF(Dashboard!K$32="ALL","ON","-"))</f>
        <v>-</v>
      </c>
      <c r="C1251" s="88" t="s">
        <v>152</v>
      </c>
      <c r="D1251" s="89">
        <f>IF(C1251="ID",1,(IF(C1251="PR",2,(IF(C1251="DE",3,(IF(C1251="RS",4,(IF(C1251="RC",5,0)))))))))</f>
        <v>2</v>
      </c>
      <c r="E1251" s="89" t="s">
        <v>153</v>
      </c>
      <c r="F1251" s="89">
        <f>IF(E1251="AM",1,(IF(E1251="BE",2,(IF(E1251="GV",3,(IF(E1251="RA",4,(IF(E1251="RM",5,(IF(E1251="AC",1,(IF(E1251="AT",2,(IF(E1251="DS",3,(IF(E1251="IP",4,(IF(E1251="MA",5,(IF(E1251="PT",6,(IF(E1251="AE",1,(IF(E1251="CM",2,(IF(E1251="DP",3,(IF(E1251="AN",1,(IF(E1251="CO",2,(IF(E1251="IM",3,(IF(E1251="MI",4,(IF(E1251="RP",5,(IF(E1251="SC",6,0)))))))))))))))))))))))))))))))))))))))</f>
        <v>1</v>
      </c>
      <c r="G1251" s="52">
        <v>4</v>
      </c>
      <c r="H1251" s="90" t="s">
        <v>115</v>
      </c>
      <c r="I1251" s="94" t="s">
        <v>60</v>
      </c>
      <c r="J1251" s="87" t="s">
        <v>3182</v>
      </c>
      <c r="K1251" s="51" t="s">
        <v>5295</v>
      </c>
      <c r="L1251" s="117">
        <f>IF(O1251="","",N1251*O1251*M1251)</f>
        <v>0</v>
      </c>
      <c r="M1251" s="108">
        <v>1</v>
      </c>
      <c r="N1251" s="95">
        <v>1</v>
      </c>
      <c r="O1251" s="109">
        <f>IF(Key!D$1="ON",P1251,IF(SUM(Q1251:DL1251)&lt;1,"",SUM(Q1251:DL1251)/COUNTIF(Q1251:DL1251,"&gt;0")))</f>
        <v>0</v>
      </c>
      <c r="P1251" s="109">
        <f>SUMIFS(Q1251:DK1251,Q$1:DK$1,Dashboard!$K$31)</f>
        <v>0</v>
      </c>
      <c r="U1251" s="95">
        <v>33</v>
      </c>
      <c r="AA1251" s="95">
        <v>25</v>
      </c>
      <c r="AH1251" s="95">
        <v>75</v>
      </c>
    </row>
    <row r="1252" spans="1:34" x14ac:dyDescent="0.3">
      <c r="A1252" s="89" t="str">
        <f>CONCATENATE(D1252,".",F1252,"-",G1252,".",H1252,"")</f>
        <v>2.1-4.1</v>
      </c>
      <c r="B1252" s="89" t="str">
        <f>IF(CONCATENATE(I1252,Key!F$2)=CONCATENATE(INDEX(Dashboard!J:J,MATCH(I1252,Dashboard!J:J,0),1),INDEX(Dashboard!J:K,MATCH(I1252,Dashboard!J:J,0),2)),"ON",IF(Dashboard!K$32="ALL","ON","-"))</f>
        <v>-</v>
      </c>
      <c r="C1252" s="88" t="s">
        <v>152</v>
      </c>
      <c r="D1252" s="89">
        <f>IF(C1252="ID",1,(IF(C1252="PR",2,(IF(C1252="DE",3,(IF(C1252="RS",4,(IF(C1252="RC",5,0)))))))))</f>
        <v>2</v>
      </c>
      <c r="E1252" s="89" t="s">
        <v>153</v>
      </c>
      <c r="F1252" s="89">
        <f>IF(E1252="AM",1,(IF(E1252="BE",2,(IF(E1252="GV",3,(IF(E1252="RA",4,(IF(E1252="RM",5,(IF(E1252="AC",1,(IF(E1252="AT",2,(IF(E1252="DS",3,(IF(E1252="IP",4,(IF(E1252="MA",5,(IF(E1252="PT",6,(IF(E1252="AE",1,(IF(E1252="CM",2,(IF(E1252="DP",3,(IF(E1252="AN",1,(IF(E1252="CO",2,(IF(E1252="IM",3,(IF(E1252="MI",4,(IF(E1252="RP",5,(IF(E1252="SC",6,0)))))))))))))))))))))))))))))))))))))))</f>
        <v>1</v>
      </c>
      <c r="G1252" s="52">
        <v>4</v>
      </c>
      <c r="H1252" s="90" t="s">
        <v>115</v>
      </c>
      <c r="I1252" s="94" t="s">
        <v>60</v>
      </c>
      <c r="J1252" s="87" t="s">
        <v>3183</v>
      </c>
      <c r="K1252" s="51" t="s">
        <v>5296</v>
      </c>
      <c r="L1252" s="117">
        <f>IF(O1252="","",N1252*O1252*M1252)</f>
        <v>0</v>
      </c>
      <c r="M1252" s="108">
        <v>1</v>
      </c>
      <c r="N1252" s="95">
        <v>1</v>
      </c>
      <c r="O1252" s="109">
        <f>IF(Key!D$1="ON",P1252,IF(SUM(Q1252:DL1252)&lt;1,"",SUM(Q1252:DL1252)/COUNTIF(Q1252:DL1252,"&gt;0")))</f>
        <v>0</v>
      </c>
      <c r="P1252" s="109">
        <f>SUMIFS(Q1252:DK1252,Q$1:DK$1,Dashboard!$K$31)</f>
        <v>0</v>
      </c>
      <c r="U1252" s="95">
        <v>33</v>
      </c>
      <c r="AA1252" s="95">
        <v>25</v>
      </c>
      <c r="AH1252" s="95">
        <v>75</v>
      </c>
    </row>
    <row r="1253" spans="1:34" x14ac:dyDescent="0.3">
      <c r="A1253" s="89" t="str">
        <f>CONCATENATE(D1253,".",F1253,"-",G1253,".",H1253,"")</f>
        <v>2.1-4.1</v>
      </c>
      <c r="B1253" s="89" t="str">
        <f>IF(CONCATENATE(I1253,Key!F$2)=CONCATENATE(INDEX(Dashboard!J:J,MATCH(I1253,Dashboard!J:J,0),1),INDEX(Dashboard!J:K,MATCH(I1253,Dashboard!J:J,0),2)),"ON",IF(Dashboard!K$32="ALL","ON","-"))</f>
        <v>-</v>
      </c>
      <c r="C1253" s="88" t="s">
        <v>152</v>
      </c>
      <c r="D1253" s="89">
        <f>IF(C1253="ID",1,(IF(C1253="PR",2,(IF(C1253="DE",3,(IF(C1253="RS",4,(IF(C1253="RC",5,0)))))))))</f>
        <v>2</v>
      </c>
      <c r="E1253" s="89" t="s">
        <v>153</v>
      </c>
      <c r="F1253" s="89">
        <f>IF(E1253="AM",1,(IF(E1253="BE",2,(IF(E1253="GV",3,(IF(E1253="RA",4,(IF(E1253="RM",5,(IF(E1253="AC",1,(IF(E1253="AT",2,(IF(E1253="DS",3,(IF(E1253="IP",4,(IF(E1253="MA",5,(IF(E1253="PT",6,(IF(E1253="AE",1,(IF(E1253="CM",2,(IF(E1253="DP",3,(IF(E1253="AN",1,(IF(E1253="CO",2,(IF(E1253="IM",3,(IF(E1253="MI",4,(IF(E1253="RP",5,(IF(E1253="SC",6,0)))))))))))))))))))))))))))))))))))))))</f>
        <v>1</v>
      </c>
      <c r="G1253" s="52">
        <v>4</v>
      </c>
      <c r="H1253" s="90" t="s">
        <v>115</v>
      </c>
      <c r="I1253" s="94" t="s">
        <v>60</v>
      </c>
      <c r="J1253" s="87" t="s">
        <v>3184</v>
      </c>
      <c r="K1253" s="51" t="s">
        <v>5297</v>
      </c>
      <c r="L1253" s="117">
        <f>IF(O1253="","",N1253*O1253*M1253)</f>
        <v>0</v>
      </c>
      <c r="M1253" s="108">
        <v>1</v>
      </c>
      <c r="N1253" s="95">
        <v>1</v>
      </c>
      <c r="O1253" s="109">
        <f>IF(Key!D$1="ON",P1253,IF(SUM(Q1253:DL1253)&lt;1,"",SUM(Q1253:DL1253)/COUNTIF(Q1253:DL1253,"&gt;0")))</f>
        <v>0</v>
      </c>
      <c r="P1253" s="109">
        <f>SUMIFS(Q1253:DK1253,Q$1:DK$1,Dashboard!$K$31)</f>
        <v>0</v>
      </c>
      <c r="U1253" s="95">
        <v>33</v>
      </c>
      <c r="AA1253" s="95">
        <v>25</v>
      </c>
      <c r="AH1253" s="95">
        <v>75</v>
      </c>
    </row>
    <row r="1254" spans="1:34" x14ac:dyDescent="0.3">
      <c r="A1254" s="89" t="str">
        <f>CONCATENATE(D1254,".",F1254,"-",G1254,".",H1254,"")</f>
        <v>2.1-4.1</v>
      </c>
      <c r="B1254" s="89" t="str">
        <f>IF(CONCATENATE(I1254,Key!F$2)=CONCATENATE(INDEX(Dashboard!J:J,MATCH(I1254,Dashboard!J:J,0),1),INDEX(Dashboard!J:K,MATCH(I1254,Dashboard!J:J,0),2)),"ON",IF(Dashboard!K$32="ALL","ON","-"))</f>
        <v>-</v>
      </c>
      <c r="C1254" s="88" t="s">
        <v>152</v>
      </c>
      <c r="D1254" s="89">
        <f>IF(C1254="ID",1,(IF(C1254="PR",2,(IF(C1254="DE",3,(IF(C1254="RS",4,(IF(C1254="RC",5,0)))))))))</f>
        <v>2</v>
      </c>
      <c r="E1254" s="89" t="s">
        <v>153</v>
      </c>
      <c r="F1254" s="89">
        <f>IF(E1254="AM",1,(IF(E1254="BE",2,(IF(E1254="GV",3,(IF(E1254="RA",4,(IF(E1254="RM",5,(IF(E1254="AC",1,(IF(E1254="AT",2,(IF(E1254="DS",3,(IF(E1254="IP",4,(IF(E1254="MA",5,(IF(E1254="PT",6,(IF(E1254="AE",1,(IF(E1254="CM",2,(IF(E1254="DP",3,(IF(E1254="AN",1,(IF(E1254="CO",2,(IF(E1254="IM",3,(IF(E1254="MI",4,(IF(E1254="RP",5,(IF(E1254="SC",6,0)))))))))))))))))))))))))))))))))))))))</f>
        <v>1</v>
      </c>
      <c r="G1254" s="52">
        <v>4</v>
      </c>
      <c r="H1254" s="89">
        <v>1</v>
      </c>
      <c r="I1254" s="94" t="s">
        <v>60</v>
      </c>
      <c r="J1254" s="88" t="s">
        <v>3185</v>
      </c>
      <c r="K1254" s="51" t="s">
        <v>5298</v>
      </c>
      <c r="L1254" s="117">
        <f>IF(O1254="","",N1254*O1254*M1254)</f>
        <v>0</v>
      </c>
      <c r="M1254" s="108">
        <v>1</v>
      </c>
      <c r="N1254" s="95">
        <v>1</v>
      </c>
      <c r="O1254" s="109">
        <f>IF(Key!D$1="ON",P1254,IF(SUM(Q1254:DL1254)&lt;1,"",SUM(Q1254:DL1254)/COUNTIF(Q1254:DL1254,"&gt;0")))</f>
        <v>0</v>
      </c>
      <c r="P1254" s="109">
        <f>SUMIFS(Q1254:DK1254,Q$1:DK$1,Dashboard!$K$31)</f>
        <v>0</v>
      </c>
      <c r="U1254" s="95">
        <v>33</v>
      </c>
      <c r="AA1254" s="95">
        <v>25</v>
      </c>
      <c r="AH1254" s="95">
        <v>75</v>
      </c>
    </row>
    <row r="1255" spans="1:34" ht="15.6" x14ac:dyDescent="0.3">
      <c r="A1255" s="89" t="str">
        <f>CONCATENATE(D1255,".",F1255,"-",G1255,".",H1255,"")</f>
        <v>2.1-4.1</v>
      </c>
      <c r="B1255" s="89" t="str">
        <f>IF(CONCATENATE(I1255,Key!F$2)=CONCATENATE(INDEX(Dashboard!J:J,MATCH(I1255,Dashboard!J:J,0),1),INDEX(Dashboard!J:K,MATCH(I1255,Dashboard!J:J,0),2)),"ON",IF(Dashboard!K$32="ALL","ON","-"))</f>
        <v>-</v>
      </c>
      <c r="C1255" s="88" t="s">
        <v>152</v>
      </c>
      <c r="D1255" s="89">
        <f>IF(C1255="ID",1,(IF(C1255="PR",2,(IF(C1255="DE",3,(IF(C1255="RS",4,(IF(C1255="RC",5,0)))))))))</f>
        <v>2</v>
      </c>
      <c r="E1255" s="89" t="s">
        <v>153</v>
      </c>
      <c r="F1255" s="89">
        <f>IF(E1255="AM",1,(IF(E1255="BE",2,(IF(E1255="GV",3,(IF(E1255="RA",4,(IF(E1255="RM",5,(IF(E1255="AC",1,(IF(E1255="AT",2,(IF(E1255="DS",3,(IF(E1255="IP",4,(IF(E1255="MA",5,(IF(E1255="PT",6,(IF(E1255="AE",1,(IF(E1255="CM",2,(IF(E1255="DP",3,(IF(E1255="AN",1,(IF(E1255="CO",2,(IF(E1255="IM",3,(IF(E1255="MI",4,(IF(E1255="RP",5,(IF(E1255="SC",6,0)))))))))))))))))))))))))))))))))))))))</f>
        <v>1</v>
      </c>
      <c r="G1255" s="52">
        <v>4</v>
      </c>
      <c r="H1255" s="90" t="s">
        <v>115</v>
      </c>
      <c r="I1255" s="94" t="s">
        <v>64</v>
      </c>
      <c r="J1255" s="87" t="s">
        <v>1234</v>
      </c>
      <c r="K1255" s="102" t="s">
        <v>2254</v>
      </c>
      <c r="L1255" s="117">
        <f>IF(O1255="","",N1255*O1255*M1255)</f>
        <v>0</v>
      </c>
      <c r="M1255" s="108">
        <v>1</v>
      </c>
      <c r="N1255" s="95">
        <v>1</v>
      </c>
      <c r="O1255" s="109">
        <f>IF(Key!D$1="ON",P1255,IF(SUM(Q1255:DL1255)&lt;1,"",SUM(Q1255:DL1255)/COUNTIF(Q1255:DL1255,"&gt;0")))</f>
        <v>0</v>
      </c>
      <c r="P1255" s="109">
        <f>SUMIFS(Q1255:DK1255,Q$1:DK$1,Dashboard!$K$31)</f>
        <v>0</v>
      </c>
      <c r="U1255" s="95">
        <v>33</v>
      </c>
      <c r="AA1255" s="95">
        <v>25</v>
      </c>
      <c r="AH1255" s="95">
        <v>75</v>
      </c>
    </row>
    <row r="1256" spans="1:34" ht="15.6" x14ac:dyDescent="0.3">
      <c r="A1256" s="89" t="str">
        <f>CONCATENATE(D1256,".",F1256,"-",G1256,".",H1256,"")</f>
        <v>2.1-4.1</v>
      </c>
      <c r="B1256" s="89" t="str">
        <f>IF(CONCATENATE(I1256,Key!F$2)=CONCATENATE(INDEX(Dashboard!J:J,MATCH(I1256,Dashboard!J:J,0),1),INDEX(Dashboard!J:K,MATCH(I1256,Dashboard!J:J,0),2)),"ON",IF(Dashboard!K$32="ALL","ON","-"))</f>
        <v>-</v>
      </c>
      <c r="C1256" s="88" t="s">
        <v>152</v>
      </c>
      <c r="D1256" s="89">
        <f>IF(C1256="ID",1,(IF(C1256="PR",2,(IF(C1256="DE",3,(IF(C1256="RS",4,(IF(C1256="RC",5,0)))))))))</f>
        <v>2</v>
      </c>
      <c r="E1256" s="89" t="s">
        <v>153</v>
      </c>
      <c r="F1256" s="89">
        <f>IF(E1256="AM",1,(IF(E1256="BE",2,(IF(E1256="GV",3,(IF(E1256="RA",4,(IF(E1256="RM",5,(IF(E1256="AC",1,(IF(E1256="AT",2,(IF(E1256="DS",3,(IF(E1256="IP",4,(IF(E1256="MA",5,(IF(E1256="PT",6,(IF(E1256="AE",1,(IF(E1256="CM",2,(IF(E1256="DP",3,(IF(E1256="AN",1,(IF(E1256="CO",2,(IF(E1256="IM",3,(IF(E1256="MI",4,(IF(E1256="RP",5,(IF(E1256="SC",6,0)))))))))))))))))))))))))))))))))))))))</f>
        <v>1</v>
      </c>
      <c r="G1256" s="52">
        <v>4</v>
      </c>
      <c r="H1256" s="90" t="s">
        <v>115</v>
      </c>
      <c r="I1256" s="94" t="s">
        <v>64</v>
      </c>
      <c r="J1256" s="87" t="s">
        <v>1235</v>
      </c>
      <c r="K1256" s="102" t="s">
        <v>2255</v>
      </c>
      <c r="L1256" s="117">
        <f>IF(O1256="","",N1256*O1256*M1256)</f>
        <v>0</v>
      </c>
      <c r="M1256" s="108">
        <v>1</v>
      </c>
      <c r="N1256" s="95">
        <v>1</v>
      </c>
      <c r="O1256" s="109">
        <f>IF(Key!D$1="ON",P1256,IF(SUM(Q1256:DL1256)&lt;1,"",SUM(Q1256:DL1256)/COUNTIF(Q1256:DL1256,"&gt;0")))</f>
        <v>0</v>
      </c>
      <c r="P1256" s="109">
        <f>SUMIFS(Q1256:DK1256,Q$1:DK$1,Dashboard!$K$31)</f>
        <v>0</v>
      </c>
      <c r="U1256" s="95">
        <v>33</v>
      </c>
      <c r="AA1256" s="95">
        <v>25</v>
      </c>
      <c r="AH1256" s="95">
        <v>75</v>
      </c>
    </row>
    <row r="1257" spans="1:34" x14ac:dyDescent="0.3">
      <c r="A1257" s="89" t="str">
        <f>CONCATENATE(D1257,".",F1257,"-",G1257,".",H1257,"")</f>
        <v>2.1-4.1</v>
      </c>
      <c r="B1257" s="89" t="str">
        <f>IF(CONCATENATE(I1257,Key!F$2)=CONCATENATE(INDEX(Dashboard!J:J,MATCH(I1257,Dashboard!J:J,0),1),INDEX(Dashboard!J:K,MATCH(I1257,Dashboard!J:J,0),2)),"ON",IF(Dashboard!K$32="ALL","ON","-"))</f>
        <v>-</v>
      </c>
      <c r="C1257" s="88" t="s">
        <v>152</v>
      </c>
      <c r="D1257" s="89">
        <f>IF(C1257="ID",1,(IF(C1257="PR",2,(IF(C1257="DE",3,(IF(C1257="RS",4,(IF(C1257="RC",5,0)))))))))</f>
        <v>2</v>
      </c>
      <c r="E1257" s="89" t="s">
        <v>153</v>
      </c>
      <c r="F1257" s="89">
        <f>IF(E1257="AM",1,(IF(E1257="BE",2,(IF(E1257="GV",3,(IF(E1257="RA",4,(IF(E1257="RM",5,(IF(E1257="AC",1,(IF(E1257="AT",2,(IF(E1257="DS",3,(IF(E1257="IP",4,(IF(E1257="MA",5,(IF(E1257="PT",6,(IF(E1257="AE",1,(IF(E1257="CM",2,(IF(E1257="DP",3,(IF(E1257="AN",1,(IF(E1257="CO",2,(IF(E1257="IM",3,(IF(E1257="MI",4,(IF(E1257="RP",5,(IF(E1257="SC",6,0)))))))))))))))))))))))))))))))))))))))</f>
        <v>1</v>
      </c>
      <c r="G1257" s="52">
        <v>4</v>
      </c>
      <c r="H1257" s="90" t="s">
        <v>115</v>
      </c>
      <c r="I1257" s="94" t="s">
        <v>64</v>
      </c>
      <c r="J1257" s="87" t="s">
        <v>1256</v>
      </c>
      <c r="K1257" s="102" t="s">
        <v>2272</v>
      </c>
      <c r="L1257" s="117">
        <f>IF(O1257="","",N1257*O1257*M1257)</f>
        <v>0</v>
      </c>
      <c r="M1257" s="108">
        <v>1</v>
      </c>
      <c r="N1257" s="95">
        <v>1</v>
      </c>
      <c r="O1257" s="109">
        <f>IF(Key!D$1="ON",P1257,IF(SUM(Q1257:DL1257)&lt;1,"",SUM(Q1257:DL1257)/COUNTIF(Q1257:DL1257,"&gt;0")))</f>
        <v>0</v>
      </c>
      <c r="P1257" s="109">
        <f>SUMIFS(Q1257:DK1257,Q$1:DK$1,Dashboard!$K$31)</f>
        <v>0</v>
      </c>
      <c r="U1257" s="95">
        <v>33</v>
      </c>
      <c r="AA1257" s="95">
        <v>25</v>
      </c>
      <c r="AH1257" s="95">
        <v>75</v>
      </c>
    </row>
    <row r="1258" spans="1:34" x14ac:dyDescent="0.3">
      <c r="A1258" s="89" t="str">
        <f>CONCATENATE(D1258,".",F1258,"-",G1258,".",H1258,"")</f>
        <v>2.1-4.1</v>
      </c>
      <c r="B1258" s="89" t="str">
        <f>IF(CONCATENATE(I1258,Key!F$2)=CONCATENATE(INDEX(Dashboard!J:J,MATCH(I1258,Dashboard!J:J,0),1),INDEX(Dashboard!J:K,MATCH(I1258,Dashboard!J:J,0),2)),"ON",IF(Dashboard!K$32="ALL","ON","-"))</f>
        <v>-</v>
      </c>
      <c r="C1258" s="96" t="s">
        <v>152</v>
      </c>
      <c r="D1258" s="89">
        <f>IF(C1258="ID",1,(IF(C1258="PR",2,(IF(C1258="DE",3,(IF(C1258="RS",4,(IF(C1258="RC",5,0)))))))))</f>
        <v>2</v>
      </c>
      <c r="E1258" s="89" t="s">
        <v>153</v>
      </c>
      <c r="F1258" s="89">
        <f>IF(E1258="AM",1,(IF(E1258="BE",2,(IF(E1258="GV",3,(IF(E1258="RA",4,(IF(E1258="RM",5,(IF(E1258="AC",1,(IF(E1258="AT",2,(IF(E1258="DS",3,(IF(E1258="IP",4,(IF(E1258="MA",5,(IF(E1258="PT",6,(IF(E1258="AE",1,(IF(E1258="CM",2,(IF(E1258="DP",3,(IF(E1258="AN",1,(IF(E1258="CO",2,(IF(E1258="IM",3,(IF(E1258="MI",4,(IF(E1258="RP",5,(IF(E1258="SC",6,0)))))))))))))))))))))))))))))))))))))))</f>
        <v>1</v>
      </c>
      <c r="G1258" s="98">
        <v>4</v>
      </c>
      <c r="H1258" s="90" t="s">
        <v>115</v>
      </c>
      <c r="I1258" s="94" t="s">
        <v>64</v>
      </c>
      <c r="J1258" s="86" t="s">
        <v>1236</v>
      </c>
      <c r="K1258" s="103" t="s">
        <v>2256</v>
      </c>
      <c r="L1258" s="117">
        <f>IF(O1258="","",N1258*O1258*M1258)</f>
        <v>0</v>
      </c>
      <c r="M1258" s="108">
        <v>1</v>
      </c>
      <c r="N1258" s="95">
        <v>1</v>
      </c>
      <c r="O1258" s="109">
        <f>IF(Key!D$1="ON",P1258,IF(SUM(Q1258:DL1258)&lt;1,"",SUM(Q1258:DL1258)/COUNTIF(Q1258:DL1258,"&gt;0")))</f>
        <v>0</v>
      </c>
      <c r="P1258" s="109">
        <f>SUMIFS(Q1258:DK1258,Q$1:DK$1,Dashboard!$K$31)</f>
        <v>0</v>
      </c>
      <c r="U1258" s="95">
        <v>33</v>
      </c>
      <c r="AA1258" s="95">
        <v>25</v>
      </c>
      <c r="AH1258" s="95">
        <v>75</v>
      </c>
    </row>
    <row r="1259" spans="1:34" x14ac:dyDescent="0.3">
      <c r="A1259" s="89" t="str">
        <f>CONCATENATE(D1259,".",F1259,"-",G1259,".",H1259,"")</f>
        <v>2.1-4.1</v>
      </c>
      <c r="B1259" s="89" t="str">
        <f>IF(CONCATENATE(I1259,Key!F$2)=CONCATENATE(INDEX(Dashboard!J:J,MATCH(I1259,Dashboard!J:J,0),1),INDEX(Dashboard!J:K,MATCH(I1259,Dashboard!J:J,0),2)),"ON",IF(Dashboard!K$32="ALL","ON","-"))</f>
        <v>-</v>
      </c>
      <c r="C1259" s="88" t="s">
        <v>152</v>
      </c>
      <c r="D1259" s="89">
        <f>IF(C1259="ID",1,(IF(C1259="PR",2,(IF(C1259="DE",3,(IF(C1259="RS",4,(IF(C1259="RC",5,0)))))))))</f>
        <v>2</v>
      </c>
      <c r="E1259" s="89" t="s">
        <v>153</v>
      </c>
      <c r="F1259" s="89">
        <f>IF(E1259="AM",1,(IF(E1259="BE",2,(IF(E1259="GV",3,(IF(E1259="RA",4,(IF(E1259="RM",5,(IF(E1259="AC",1,(IF(E1259="AT",2,(IF(E1259="DS",3,(IF(E1259="IP",4,(IF(E1259="MA",5,(IF(E1259="PT",6,(IF(E1259="AE",1,(IF(E1259="CM",2,(IF(E1259="DP",3,(IF(E1259="AN",1,(IF(E1259="CO",2,(IF(E1259="IM",3,(IF(E1259="MI",4,(IF(E1259="RP",5,(IF(E1259="SC",6,0)))))))))))))))))))))))))))))))))))))))</f>
        <v>1</v>
      </c>
      <c r="G1259" s="52">
        <v>4</v>
      </c>
      <c r="H1259" s="90" t="s">
        <v>115</v>
      </c>
      <c r="I1259" s="94" t="s">
        <v>64</v>
      </c>
      <c r="J1259" s="87" t="s">
        <v>1238</v>
      </c>
      <c r="K1259" s="102" t="s">
        <v>2257</v>
      </c>
      <c r="L1259" s="117">
        <f>IF(O1259="","",N1259*O1259*M1259)</f>
        <v>0</v>
      </c>
      <c r="M1259" s="108">
        <v>1</v>
      </c>
      <c r="N1259" s="95">
        <v>1</v>
      </c>
      <c r="O1259" s="109">
        <f>IF(Key!D$1="ON",P1259,IF(SUM(Q1259:DL1259)&lt;1,"",SUM(Q1259:DL1259)/COUNTIF(Q1259:DL1259,"&gt;0")))</f>
        <v>0</v>
      </c>
      <c r="P1259" s="109">
        <f>SUMIFS(Q1259:DK1259,Q$1:DK$1,Dashboard!$K$31)</f>
        <v>0</v>
      </c>
      <c r="U1259" s="95">
        <v>33</v>
      </c>
      <c r="AA1259" s="95">
        <v>25</v>
      </c>
      <c r="AH1259" s="95">
        <v>75</v>
      </c>
    </row>
    <row r="1260" spans="1:34" x14ac:dyDescent="0.3">
      <c r="A1260" s="89" t="str">
        <f>CONCATENATE(D1260,".",F1260,"-",G1260,".",H1260,"")</f>
        <v>2.1-4.1</v>
      </c>
      <c r="B1260" s="89" t="str">
        <f>IF(CONCATENATE(I1260,Key!F$2)=CONCATENATE(INDEX(Dashboard!J:J,MATCH(I1260,Dashboard!J:J,0),1),INDEX(Dashboard!J:K,MATCH(I1260,Dashboard!J:J,0),2)),"ON",IF(Dashboard!K$32="ALL","ON","-"))</f>
        <v>-</v>
      </c>
      <c r="C1260" s="88" t="s">
        <v>152</v>
      </c>
      <c r="D1260" s="89">
        <f>IF(C1260="ID",1,(IF(C1260="PR",2,(IF(C1260="DE",3,(IF(C1260="RS",4,(IF(C1260="RC",5,0)))))))))</f>
        <v>2</v>
      </c>
      <c r="E1260" s="89" t="s">
        <v>153</v>
      </c>
      <c r="F1260" s="89">
        <f>IF(E1260="AM",1,(IF(E1260="BE",2,(IF(E1260="GV",3,(IF(E1260="RA",4,(IF(E1260="RM",5,(IF(E1260="AC",1,(IF(E1260="AT",2,(IF(E1260="DS",3,(IF(E1260="IP",4,(IF(E1260="MA",5,(IF(E1260="PT",6,(IF(E1260="AE",1,(IF(E1260="CM",2,(IF(E1260="DP",3,(IF(E1260="AN",1,(IF(E1260="CO",2,(IF(E1260="IM",3,(IF(E1260="MI",4,(IF(E1260="RP",5,(IF(E1260="SC",6,0)))))))))))))))))))))))))))))))))))))))</f>
        <v>1</v>
      </c>
      <c r="G1260" s="52">
        <v>4</v>
      </c>
      <c r="H1260" s="90" t="s">
        <v>115</v>
      </c>
      <c r="I1260" s="94" t="s">
        <v>64</v>
      </c>
      <c r="J1260" s="87" t="s">
        <v>1239</v>
      </c>
      <c r="K1260" s="102" t="s">
        <v>2258</v>
      </c>
      <c r="L1260" s="117">
        <f>IF(O1260="","",N1260*O1260*M1260)</f>
        <v>0</v>
      </c>
      <c r="M1260" s="108">
        <v>1</v>
      </c>
      <c r="N1260" s="95">
        <v>1</v>
      </c>
      <c r="O1260" s="109">
        <f>IF(Key!D$1="ON",P1260,IF(SUM(Q1260:DL1260)&lt;1,"",SUM(Q1260:DL1260)/COUNTIF(Q1260:DL1260,"&gt;0")))</f>
        <v>0</v>
      </c>
      <c r="P1260" s="109">
        <f>SUMIFS(Q1260:DK1260,Q$1:DK$1,Dashboard!$K$31)</f>
        <v>0</v>
      </c>
      <c r="U1260" s="95">
        <v>33</v>
      </c>
      <c r="AA1260" s="95">
        <v>25</v>
      </c>
      <c r="AH1260" s="95">
        <v>75</v>
      </c>
    </row>
    <row r="1261" spans="1:34" x14ac:dyDescent="0.3">
      <c r="A1261" s="89" t="str">
        <f>CONCATENATE(D1261,".",F1261,"-",G1261,".",H1261,"")</f>
        <v>2.1-4.1</v>
      </c>
      <c r="B1261" s="89" t="str">
        <f>IF(CONCATENATE(I1261,Key!F$2)=CONCATENATE(INDEX(Dashboard!J:J,MATCH(I1261,Dashboard!J:J,0),1),INDEX(Dashboard!J:K,MATCH(I1261,Dashboard!J:J,0),2)),"ON",IF(Dashboard!K$32="ALL","ON","-"))</f>
        <v>-</v>
      </c>
      <c r="C1261" s="96" t="s">
        <v>152</v>
      </c>
      <c r="D1261" s="89">
        <f>IF(C1261="ID",1,(IF(C1261="PR",2,(IF(C1261="DE",3,(IF(C1261="RS",4,(IF(C1261="RC",5,0)))))))))</f>
        <v>2</v>
      </c>
      <c r="E1261" s="89" t="s">
        <v>153</v>
      </c>
      <c r="F1261" s="89">
        <f>IF(E1261="AM",1,(IF(E1261="BE",2,(IF(E1261="GV",3,(IF(E1261="RA",4,(IF(E1261="RM",5,(IF(E1261="AC",1,(IF(E1261="AT",2,(IF(E1261="DS",3,(IF(E1261="IP",4,(IF(E1261="MA",5,(IF(E1261="PT",6,(IF(E1261="AE",1,(IF(E1261="CM",2,(IF(E1261="DP",3,(IF(E1261="AN",1,(IF(E1261="CO",2,(IF(E1261="IM",3,(IF(E1261="MI",4,(IF(E1261="RP",5,(IF(E1261="SC",6,0)))))))))))))))))))))))))))))))))))))))</f>
        <v>1</v>
      </c>
      <c r="G1261" s="98">
        <v>4</v>
      </c>
      <c r="H1261" s="90" t="s">
        <v>115</v>
      </c>
      <c r="I1261" s="94" t="s">
        <v>64</v>
      </c>
      <c r="J1261" s="86" t="s">
        <v>1240</v>
      </c>
      <c r="K1261" s="103" t="s">
        <v>2259</v>
      </c>
      <c r="L1261" s="117">
        <f>IF(O1261="","",N1261*O1261*M1261)</f>
        <v>0</v>
      </c>
      <c r="M1261" s="108">
        <v>1</v>
      </c>
      <c r="N1261" s="95">
        <v>1</v>
      </c>
      <c r="O1261" s="109">
        <f>IF(Key!D$1="ON",P1261,IF(SUM(Q1261:DL1261)&lt;1,"",SUM(Q1261:DL1261)/COUNTIF(Q1261:DL1261,"&gt;0")))</f>
        <v>0</v>
      </c>
      <c r="P1261" s="109">
        <f>SUMIFS(Q1261:DK1261,Q$1:DK$1,Dashboard!$K$31)</f>
        <v>0</v>
      </c>
      <c r="U1261" s="95">
        <v>33</v>
      </c>
      <c r="AA1261" s="95">
        <v>25</v>
      </c>
      <c r="AH1261" s="95">
        <v>75</v>
      </c>
    </row>
    <row r="1262" spans="1:34" x14ac:dyDescent="0.3">
      <c r="A1262" s="89" t="str">
        <f>CONCATENATE(D1262,".",F1262,"-",G1262,".",H1262,"")</f>
        <v>2.1-4.1</v>
      </c>
      <c r="B1262" s="89" t="str">
        <f>IF(CONCATENATE(I1262,Key!F$2)=CONCATENATE(INDEX(Dashboard!J:J,MATCH(I1262,Dashboard!J:J,0),1),INDEX(Dashboard!J:K,MATCH(I1262,Dashboard!J:J,0),2)),"ON",IF(Dashboard!K$32="ALL","ON","-"))</f>
        <v>-</v>
      </c>
      <c r="C1262" s="88" t="s">
        <v>152</v>
      </c>
      <c r="D1262" s="89">
        <f>IF(C1262="ID",1,(IF(C1262="PR",2,(IF(C1262="DE",3,(IF(C1262="RS",4,(IF(C1262="RC",5,0)))))))))</f>
        <v>2</v>
      </c>
      <c r="E1262" s="89" t="s">
        <v>153</v>
      </c>
      <c r="F1262" s="89">
        <f>IF(E1262="AM",1,(IF(E1262="BE",2,(IF(E1262="GV",3,(IF(E1262="RA",4,(IF(E1262="RM",5,(IF(E1262="AC",1,(IF(E1262="AT",2,(IF(E1262="DS",3,(IF(E1262="IP",4,(IF(E1262="MA",5,(IF(E1262="PT",6,(IF(E1262="AE",1,(IF(E1262="CM",2,(IF(E1262="DP",3,(IF(E1262="AN",1,(IF(E1262="CO",2,(IF(E1262="IM",3,(IF(E1262="MI",4,(IF(E1262="RP",5,(IF(E1262="SC",6,0)))))))))))))))))))))))))))))))))))))))</f>
        <v>1</v>
      </c>
      <c r="G1262" s="52">
        <v>4</v>
      </c>
      <c r="H1262" s="90" t="s">
        <v>115</v>
      </c>
      <c r="I1262" s="94" t="s">
        <v>64</v>
      </c>
      <c r="J1262" s="87" t="s">
        <v>1242</v>
      </c>
      <c r="K1262" s="102" t="s">
        <v>2260</v>
      </c>
      <c r="L1262" s="117">
        <f>IF(O1262="","",N1262*O1262*M1262)</f>
        <v>0</v>
      </c>
      <c r="M1262" s="108">
        <v>1</v>
      </c>
      <c r="N1262" s="95">
        <v>1</v>
      </c>
      <c r="O1262" s="109">
        <f>IF(Key!D$1="ON",P1262,IF(SUM(Q1262:DL1262)&lt;1,"",SUM(Q1262:DL1262)/COUNTIF(Q1262:DL1262,"&gt;0")))</f>
        <v>0</v>
      </c>
      <c r="P1262" s="109">
        <f>SUMIFS(Q1262:DK1262,Q$1:DK$1,Dashboard!$K$31)</f>
        <v>0</v>
      </c>
      <c r="U1262" s="95">
        <v>33</v>
      </c>
      <c r="AA1262" s="95">
        <v>25</v>
      </c>
      <c r="AH1262" s="95">
        <v>75</v>
      </c>
    </row>
    <row r="1263" spans="1:34" x14ac:dyDescent="0.3">
      <c r="A1263" s="89" t="str">
        <f>CONCATENATE(D1263,".",F1263,"-",G1263,".",H1263,"")</f>
        <v>2.1-4.1</v>
      </c>
      <c r="B1263" s="89" t="str">
        <f>IF(CONCATENATE(I1263,Key!F$2)=CONCATENATE(INDEX(Dashboard!J:J,MATCH(I1263,Dashboard!J:J,0),1),INDEX(Dashboard!J:K,MATCH(I1263,Dashboard!J:J,0),2)),"ON",IF(Dashboard!K$32="ALL","ON","-"))</f>
        <v>-</v>
      </c>
      <c r="C1263" s="88" t="s">
        <v>152</v>
      </c>
      <c r="D1263" s="89">
        <f>IF(C1263="ID",1,(IF(C1263="PR",2,(IF(C1263="DE",3,(IF(C1263="RS",4,(IF(C1263="RC",5,0)))))))))</f>
        <v>2</v>
      </c>
      <c r="E1263" s="89" t="s">
        <v>153</v>
      </c>
      <c r="F1263" s="89">
        <f>IF(E1263="AM",1,(IF(E1263="BE",2,(IF(E1263="GV",3,(IF(E1263="RA",4,(IF(E1263="RM",5,(IF(E1263="AC",1,(IF(E1263="AT",2,(IF(E1263="DS",3,(IF(E1263="IP",4,(IF(E1263="MA",5,(IF(E1263="PT",6,(IF(E1263="AE",1,(IF(E1263="CM",2,(IF(E1263="DP",3,(IF(E1263="AN",1,(IF(E1263="CO",2,(IF(E1263="IM",3,(IF(E1263="MI",4,(IF(E1263="RP",5,(IF(E1263="SC",6,0)))))))))))))))))))))))))))))))))))))))</f>
        <v>1</v>
      </c>
      <c r="G1263" s="52">
        <v>4</v>
      </c>
      <c r="H1263" s="90" t="s">
        <v>115</v>
      </c>
      <c r="I1263" s="94" t="s">
        <v>64</v>
      </c>
      <c r="J1263" s="87" t="s">
        <v>1243</v>
      </c>
      <c r="K1263" s="102" t="s">
        <v>2261</v>
      </c>
      <c r="L1263" s="117">
        <f>IF(O1263="","",N1263*O1263*M1263)</f>
        <v>0</v>
      </c>
      <c r="M1263" s="108">
        <v>1</v>
      </c>
      <c r="N1263" s="95">
        <v>1</v>
      </c>
      <c r="O1263" s="109">
        <f>IF(Key!D$1="ON",P1263,IF(SUM(Q1263:DL1263)&lt;1,"",SUM(Q1263:DL1263)/COUNTIF(Q1263:DL1263,"&gt;0")))</f>
        <v>0</v>
      </c>
      <c r="P1263" s="109">
        <f>SUMIFS(Q1263:DK1263,Q$1:DK$1,Dashboard!$K$31)</f>
        <v>0</v>
      </c>
      <c r="U1263" s="95">
        <v>33</v>
      </c>
      <c r="AA1263" s="95">
        <v>25</v>
      </c>
      <c r="AH1263" s="95">
        <v>75</v>
      </c>
    </row>
    <row r="1264" spans="1:34" x14ac:dyDescent="0.3">
      <c r="A1264" s="89" t="str">
        <f>CONCATENATE(D1264,".",F1264,"-",G1264,".",H1264,"")</f>
        <v>2.1-4.1</v>
      </c>
      <c r="B1264" s="89" t="str">
        <f>IF(CONCATENATE(I1264,Key!F$2)=CONCATENATE(INDEX(Dashboard!J:J,MATCH(I1264,Dashboard!J:J,0),1),INDEX(Dashboard!J:K,MATCH(I1264,Dashboard!J:J,0),2)),"ON",IF(Dashboard!K$32="ALL","ON","-"))</f>
        <v>-</v>
      </c>
      <c r="C1264" s="88" t="s">
        <v>152</v>
      </c>
      <c r="D1264" s="89">
        <f>IF(C1264="ID",1,(IF(C1264="PR",2,(IF(C1264="DE",3,(IF(C1264="RS",4,(IF(C1264="RC",5,0)))))))))</f>
        <v>2</v>
      </c>
      <c r="E1264" s="89" t="s">
        <v>153</v>
      </c>
      <c r="F1264" s="89">
        <f>IF(E1264="AM",1,(IF(E1264="BE",2,(IF(E1264="GV",3,(IF(E1264="RA",4,(IF(E1264="RM",5,(IF(E1264="AC",1,(IF(E1264="AT",2,(IF(E1264="DS",3,(IF(E1264="IP",4,(IF(E1264="MA",5,(IF(E1264="PT",6,(IF(E1264="AE",1,(IF(E1264="CM",2,(IF(E1264="DP",3,(IF(E1264="AN",1,(IF(E1264="CO",2,(IF(E1264="IM",3,(IF(E1264="MI",4,(IF(E1264="RP",5,(IF(E1264="SC",6,0)))))))))))))))))))))))))))))))))))))))</f>
        <v>1</v>
      </c>
      <c r="G1264" s="52">
        <v>4</v>
      </c>
      <c r="H1264" s="90" t="s">
        <v>115</v>
      </c>
      <c r="I1264" s="94" t="s">
        <v>64</v>
      </c>
      <c r="J1264" s="87" t="s">
        <v>1244</v>
      </c>
      <c r="K1264" s="102" t="s">
        <v>2262</v>
      </c>
      <c r="L1264" s="117">
        <f>IF(O1264="","",N1264*O1264*M1264)</f>
        <v>0</v>
      </c>
      <c r="M1264" s="108">
        <v>1</v>
      </c>
      <c r="N1264" s="95">
        <v>1</v>
      </c>
      <c r="O1264" s="109">
        <f>IF(Key!D$1="ON",P1264,IF(SUM(Q1264:DL1264)&lt;1,"",SUM(Q1264:DL1264)/COUNTIF(Q1264:DL1264,"&gt;0")))</f>
        <v>0</v>
      </c>
      <c r="P1264" s="109">
        <f>SUMIFS(Q1264:DK1264,Q$1:DK$1,Dashboard!$K$31)</f>
        <v>0</v>
      </c>
      <c r="U1264" s="95">
        <v>33</v>
      </c>
      <c r="AA1264" s="95">
        <v>25</v>
      </c>
      <c r="AH1264" s="95">
        <v>75</v>
      </c>
    </row>
    <row r="1265" spans="1:34" x14ac:dyDescent="0.3">
      <c r="A1265" s="89" t="str">
        <f>CONCATENATE(D1265,".",F1265,"-",G1265,".",H1265,"")</f>
        <v>2.1-4.1</v>
      </c>
      <c r="B1265" s="89" t="str">
        <f>IF(CONCATENATE(I1265,Key!F$2)=CONCATENATE(INDEX(Dashboard!J:J,MATCH(I1265,Dashboard!J:J,0),1),INDEX(Dashboard!J:K,MATCH(I1265,Dashboard!J:J,0),2)),"ON",IF(Dashboard!K$32="ALL","ON","-"))</f>
        <v>-</v>
      </c>
      <c r="C1265" s="88" t="s">
        <v>152</v>
      </c>
      <c r="D1265" s="89">
        <f>IF(C1265="ID",1,(IF(C1265="PR",2,(IF(C1265="DE",3,(IF(C1265="RS",4,(IF(C1265="RC",5,0)))))))))</f>
        <v>2</v>
      </c>
      <c r="E1265" s="89" t="s">
        <v>153</v>
      </c>
      <c r="F1265" s="89">
        <f>IF(E1265="AM",1,(IF(E1265="BE",2,(IF(E1265="GV",3,(IF(E1265="RA",4,(IF(E1265="RM",5,(IF(E1265="AC",1,(IF(E1265="AT",2,(IF(E1265="DS",3,(IF(E1265="IP",4,(IF(E1265="MA",5,(IF(E1265="PT",6,(IF(E1265="AE",1,(IF(E1265="CM",2,(IF(E1265="DP",3,(IF(E1265="AN",1,(IF(E1265="CO",2,(IF(E1265="IM",3,(IF(E1265="MI",4,(IF(E1265="RP",5,(IF(E1265="SC",6,0)))))))))))))))))))))))))))))))))))))))</f>
        <v>1</v>
      </c>
      <c r="G1265" s="52">
        <v>4</v>
      </c>
      <c r="H1265" s="90" t="s">
        <v>115</v>
      </c>
      <c r="I1265" s="94" t="s">
        <v>64</v>
      </c>
      <c r="J1265" s="87" t="s">
        <v>1245</v>
      </c>
      <c r="K1265" s="102" t="s">
        <v>2263</v>
      </c>
      <c r="L1265" s="117">
        <f>IF(O1265="","",N1265*O1265*M1265)</f>
        <v>0</v>
      </c>
      <c r="M1265" s="108">
        <v>1</v>
      </c>
      <c r="N1265" s="95">
        <v>1</v>
      </c>
      <c r="O1265" s="109">
        <f>IF(Key!D$1="ON",P1265,IF(SUM(Q1265:DL1265)&lt;1,"",SUM(Q1265:DL1265)/COUNTIF(Q1265:DL1265,"&gt;0")))</f>
        <v>0</v>
      </c>
      <c r="P1265" s="109">
        <f>SUMIFS(Q1265:DK1265,Q$1:DK$1,Dashboard!$K$31)</f>
        <v>0</v>
      </c>
      <c r="U1265" s="95">
        <v>33</v>
      </c>
      <c r="AA1265" s="95">
        <v>25</v>
      </c>
      <c r="AH1265" s="95">
        <v>75</v>
      </c>
    </row>
    <row r="1266" spans="1:34" x14ac:dyDescent="0.3">
      <c r="A1266" s="89" t="str">
        <f>CONCATENATE(D1266,".",F1266,"-",G1266,".",H1266,"")</f>
        <v>2.1-4.1</v>
      </c>
      <c r="B1266" s="89" t="str">
        <f>IF(CONCATENATE(I1266,Key!F$2)=CONCATENATE(INDEX(Dashboard!J:J,MATCH(I1266,Dashboard!J:J,0),1),INDEX(Dashboard!J:K,MATCH(I1266,Dashboard!J:J,0),2)),"ON",IF(Dashboard!K$32="ALL","ON","-"))</f>
        <v>-</v>
      </c>
      <c r="C1266" s="88" t="s">
        <v>152</v>
      </c>
      <c r="D1266" s="89">
        <f>IF(C1266="ID",1,(IF(C1266="PR",2,(IF(C1266="DE",3,(IF(C1266="RS",4,(IF(C1266="RC",5,0)))))))))</f>
        <v>2</v>
      </c>
      <c r="E1266" s="89" t="s">
        <v>153</v>
      </c>
      <c r="F1266" s="89">
        <f>IF(E1266="AM",1,(IF(E1266="BE",2,(IF(E1266="GV",3,(IF(E1266="RA",4,(IF(E1266="RM",5,(IF(E1266="AC",1,(IF(E1266="AT",2,(IF(E1266="DS",3,(IF(E1266="IP",4,(IF(E1266="MA",5,(IF(E1266="PT",6,(IF(E1266="AE",1,(IF(E1266="CM",2,(IF(E1266="DP",3,(IF(E1266="AN",1,(IF(E1266="CO",2,(IF(E1266="IM",3,(IF(E1266="MI",4,(IF(E1266="RP",5,(IF(E1266="SC",6,0)))))))))))))))))))))))))))))))))))))))</f>
        <v>1</v>
      </c>
      <c r="G1266" s="52">
        <v>4</v>
      </c>
      <c r="H1266" s="90" t="s">
        <v>115</v>
      </c>
      <c r="I1266" s="94" t="s">
        <v>64</v>
      </c>
      <c r="J1266" s="87" t="s">
        <v>1246</v>
      </c>
      <c r="K1266" s="102" t="s">
        <v>2264</v>
      </c>
      <c r="L1266" s="117">
        <f>IF(O1266="","",N1266*O1266*M1266)</f>
        <v>0</v>
      </c>
      <c r="M1266" s="108">
        <v>1</v>
      </c>
      <c r="N1266" s="95">
        <v>1</v>
      </c>
      <c r="O1266" s="109">
        <f>IF(Key!D$1="ON",P1266,IF(SUM(Q1266:DL1266)&lt;1,"",SUM(Q1266:DL1266)/COUNTIF(Q1266:DL1266,"&gt;0")))</f>
        <v>0</v>
      </c>
      <c r="P1266" s="109">
        <f>SUMIFS(Q1266:DK1266,Q$1:DK$1,Dashboard!$K$31)</f>
        <v>0</v>
      </c>
      <c r="U1266" s="95">
        <v>33</v>
      </c>
      <c r="AA1266" s="95">
        <v>25</v>
      </c>
      <c r="AH1266" s="95">
        <v>75</v>
      </c>
    </row>
    <row r="1267" spans="1:34" x14ac:dyDescent="0.3">
      <c r="A1267" s="89" t="str">
        <f>CONCATENATE(D1267,".",F1267,"-",G1267,".",H1267,"")</f>
        <v>2.1-4.1</v>
      </c>
      <c r="B1267" s="89" t="str">
        <f>IF(CONCATENATE(I1267,Key!F$2)=CONCATENATE(INDEX(Dashboard!J:J,MATCH(I1267,Dashboard!J:J,0),1),INDEX(Dashboard!J:K,MATCH(I1267,Dashboard!J:J,0),2)),"ON",IF(Dashboard!K$32="ALL","ON","-"))</f>
        <v>-</v>
      </c>
      <c r="C1267" s="88" t="s">
        <v>152</v>
      </c>
      <c r="D1267" s="89">
        <f>IF(C1267="ID",1,(IF(C1267="PR",2,(IF(C1267="DE",3,(IF(C1267="RS",4,(IF(C1267="RC",5,0)))))))))</f>
        <v>2</v>
      </c>
      <c r="E1267" s="89" t="s">
        <v>153</v>
      </c>
      <c r="F1267" s="89">
        <f>IF(E1267="AM",1,(IF(E1267="BE",2,(IF(E1267="GV",3,(IF(E1267="RA",4,(IF(E1267="RM",5,(IF(E1267="AC",1,(IF(E1267="AT",2,(IF(E1267="DS",3,(IF(E1267="IP",4,(IF(E1267="MA",5,(IF(E1267="PT",6,(IF(E1267="AE",1,(IF(E1267="CM",2,(IF(E1267="DP",3,(IF(E1267="AN",1,(IF(E1267="CO",2,(IF(E1267="IM",3,(IF(E1267="MI",4,(IF(E1267="RP",5,(IF(E1267="SC",6,0)))))))))))))))))))))))))))))))))))))))</f>
        <v>1</v>
      </c>
      <c r="G1267" s="52">
        <v>4</v>
      </c>
      <c r="H1267" s="90" t="s">
        <v>115</v>
      </c>
      <c r="I1267" s="94" t="s">
        <v>64</v>
      </c>
      <c r="J1267" s="87" t="s">
        <v>1247</v>
      </c>
      <c r="K1267" s="102" t="s">
        <v>2265</v>
      </c>
      <c r="L1267" s="117">
        <f>IF(O1267="","",N1267*O1267*M1267)</f>
        <v>0</v>
      </c>
      <c r="M1267" s="108">
        <v>1</v>
      </c>
      <c r="N1267" s="95">
        <v>1</v>
      </c>
      <c r="O1267" s="109">
        <f>IF(Key!D$1="ON",P1267,IF(SUM(Q1267:DL1267)&lt;1,"",SUM(Q1267:DL1267)/COUNTIF(Q1267:DL1267,"&gt;0")))</f>
        <v>0</v>
      </c>
      <c r="P1267" s="109">
        <f>SUMIFS(Q1267:DK1267,Q$1:DK$1,Dashboard!$K$31)</f>
        <v>0</v>
      </c>
      <c r="U1267" s="95">
        <v>33</v>
      </c>
      <c r="AA1267" s="95">
        <v>25</v>
      </c>
      <c r="AH1267" s="95">
        <v>75</v>
      </c>
    </row>
    <row r="1268" spans="1:34" ht="15.6" x14ac:dyDescent="0.3">
      <c r="A1268" s="89" t="str">
        <f>CONCATENATE(D1268,".",F1268,"-",G1268,".",H1268,"")</f>
        <v>2.1-4.1</v>
      </c>
      <c r="B1268" s="89" t="str">
        <f>IF(CONCATENATE(I1268,Key!F$2)=CONCATENATE(INDEX(Dashboard!J:J,MATCH(I1268,Dashboard!J:J,0),1),INDEX(Dashboard!J:K,MATCH(I1268,Dashboard!J:J,0),2)),"ON",IF(Dashboard!K$32="ALL","ON","-"))</f>
        <v>-</v>
      </c>
      <c r="C1268" s="88" t="s">
        <v>152</v>
      </c>
      <c r="D1268" s="89">
        <f>IF(C1268="ID",1,(IF(C1268="PR",2,(IF(C1268="DE",3,(IF(C1268="RS",4,(IF(C1268="RC",5,0)))))))))</f>
        <v>2</v>
      </c>
      <c r="E1268" s="89" t="s">
        <v>153</v>
      </c>
      <c r="F1268" s="89">
        <f>IF(E1268="AM",1,(IF(E1268="BE",2,(IF(E1268="GV",3,(IF(E1268="RA",4,(IF(E1268="RM",5,(IF(E1268="AC",1,(IF(E1268="AT",2,(IF(E1268="DS",3,(IF(E1268="IP",4,(IF(E1268="MA",5,(IF(E1268="PT",6,(IF(E1268="AE",1,(IF(E1268="CM",2,(IF(E1268="DP",3,(IF(E1268="AN",1,(IF(E1268="CO",2,(IF(E1268="IM",3,(IF(E1268="MI",4,(IF(E1268="RP",5,(IF(E1268="SC",6,0)))))))))))))))))))))))))))))))))))))))</f>
        <v>1</v>
      </c>
      <c r="G1268" s="52">
        <v>4</v>
      </c>
      <c r="H1268" s="90" t="s">
        <v>115</v>
      </c>
      <c r="I1268" s="94" t="s">
        <v>64</v>
      </c>
      <c r="J1268" s="87" t="s">
        <v>1257</v>
      </c>
      <c r="K1268" s="102" t="s">
        <v>2273</v>
      </c>
      <c r="L1268" s="117">
        <f>IF(O1268="","",N1268*O1268*M1268)</f>
        <v>0</v>
      </c>
      <c r="M1268" s="108">
        <v>1</v>
      </c>
      <c r="N1268" s="95">
        <v>1</v>
      </c>
      <c r="O1268" s="109">
        <f>IF(Key!D$1="ON",P1268,IF(SUM(Q1268:DL1268)&lt;1,"",SUM(Q1268:DL1268)/COUNTIF(Q1268:DL1268,"&gt;0")))</f>
        <v>0</v>
      </c>
      <c r="P1268" s="109">
        <f>SUMIFS(Q1268:DK1268,Q$1:DK$1,Dashboard!$K$31)</f>
        <v>0</v>
      </c>
      <c r="U1268" s="95">
        <v>33</v>
      </c>
      <c r="AA1268" s="95">
        <v>25</v>
      </c>
      <c r="AH1268" s="95">
        <v>75</v>
      </c>
    </row>
    <row r="1269" spans="1:34" x14ac:dyDescent="0.3">
      <c r="A1269" s="89" t="str">
        <f>CONCATENATE(D1269,".",F1269,"-",G1269,".",H1269,"")</f>
        <v>2.1-4.1</v>
      </c>
      <c r="B1269" s="89" t="str">
        <f>IF(CONCATENATE(I1269,Key!F$2)=CONCATENATE(INDEX(Dashboard!J:J,MATCH(I1269,Dashboard!J:J,0),1),INDEX(Dashboard!J:K,MATCH(I1269,Dashboard!J:J,0),2)),"ON",IF(Dashboard!K$32="ALL","ON","-"))</f>
        <v>-</v>
      </c>
      <c r="C1269" s="88" t="s">
        <v>152</v>
      </c>
      <c r="D1269" s="89">
        <f>IF(C1269="ID",1,(IF(C1269="PR",2,(IF(C1269="DE",3,(IF(C1269="RS",4,(IF(C1269="RC",5,0)))))))))</f>
        <v>2</v>
      </c>
      <c r="E1269" s="89" t="s">
        <v>153</v>
      </c>
      <c r="F1269" s="89">
        <f>IF(E1269="AM",1,(IF(E1269="BE",2,(IF(E1269="GV",3,(IF(E1269="RA",4,(IF(E1269="RM",5,(IF(E1269="AC",1,(IF(E1269="AT",2,(IF(E1269="DS",3,(IF(E1269="IP",4,(IF(E1269="MA",5,(IF(E1269="PT",6,(IF(E1269="AE",1,(IF(E1269="CM",2,(IF(E1269="DP",3,(IF(E1269="AN",1,(IF(E1269="CO",2,(IF(E1269="IM",3,(IF(E1269="MI",4,(IF(E1269="RP",5,(IF(E1269="SC",6,0)))))))))))))))))))))))))))))))))))))))</f>
        <v>1</v>
      </c>
      <c r="G1269" s="98">
        <v>4</v>
      </c>
      <c r="H1269" s="89">
        <v>1</v>
      </c>
      <c r="I1269" s="94" t="s">
        <v>73</v>
      </c>
      <c r="J1269" s="86" t="s">
        <v>4111</v>
      </c>
      <c r="K1269" s="107" t="s">
        <v>4250</v>
      </c>
      <c r="L1269" s="117">
        <f>IF(O1269="","",N1269*O1269*M1269)</f>
        <v>0</v>
      </c>
      <c r="M1269" s="108">
        <v>1</v>
      </c>
      <c r="N1269" s="95">
        <v>1</v>
      </c>
      <c r="O1269" s="109">
        <f>IF(Key!D$1="ON",P1269,IF(SUM(Q1269:DL1269)&lt;1,"",SUM(Q1269:DL1269)/COUNTIF(Q1269:DL1269,"&gt;0")))</f>
        <v>0</v>
      </c>
      <c r="P1269" s="109">
        <f>SUMIFS(Q1269:DK1269,Q$1:DK$1,Dashboard!$K$31)</f>
        <v>0</v>
      </c>
      <c r="U1269" s="95">
        <v>33</v>
      </c>
      <c r="AA1269" s="95">
        <v>25</v>
      </c>
      <c r="AH1269" s="95">
        <v>75</v>
      </c>
    </row>
    <row r="1270" spans="1:34" x14ac:dyDescent="0.3">
      <c r="A1270" s="89" t="str">
        <f>CONCATENATE(D1270,".",F1270,"-",G1270,".",H1270,"")</f>
        <v>2.1-4.1</v>
      </c>
      <c r="B1270" s="89" t="str">
        <f>IF(CONCATENATE(I1270,Key!F$2)=CONCATENATE(INDEX(Dashboard!J:J,MATCH(I1270,Dashboard!J:J,0),1),INDEX(Dashboard!J:K,MATCH(I1270,Dashboard!J:J,0),2)),"ON",IF(Dashboard!K$32="ALL","ON","-"))</f>
        <v>-</v>
      </c>
      <c r="C1270" s="88" t="s">
        <v>152</v>
      </c>
      <c r="D1270" s="89">
        <f>IF(C1270="ID",1,(IF(C1270="PR",2,(IF(C1270="DE",3,(IF(C1270="RS",4,(IF(C1270="RC",5,0)))))))))</f>
        <v>2</v>
      </c>
      <c r="E1270" s="89" t="s">
        <v>153</v>
      </c>
      <c r="F1270" s="89">
        <f>IF(E1270="AM",1,(IF(E1270="BE",2,(IF(E1270="GV",3,(IF(E1270="RA",4,(IF(E1270="RM",5,(IF(E1270="AC",1,(IF(E1270="AT",2,(IF(E1270="DS",3,(IF(E1270="IP",4,(IF(E1270="MA",5,(IF(E1270="PT",6,(IF(E1270="AE",1,(IF(E1270="CM",2,(IF(E1270="DP",3,(IF(E1270="AN",1,(IF(E1270="CO",2,(IF(E1270="IM",3,(IF(E1270="MI",4,(IF(E1270="RP",5,(IF(E1270="SC",6,0)))))))))))))))))))))))))))))))))))))))</f>
        <v>1</v>
      </c>
      <c r="G1270" s="98">
        <v>4</v>
      </c>
      <c r="H1270" s="99">
        <v>1</v>
      </c>
      <c r="I1270" s="94" t="s">
        <v>73</v>
      </c>
      <c r="J1270" s="86" t="s">
        <v>4125</v>
      </c>
      <c r="K1270" s="107" t="s">
        <v>4258</v>
      </c>
      <c r="L1270" s="117">
        <f>IF(O1270="","",N1270*O1270*M1270)</f>
        <v>0</v>
      </c>
      <c r="M1270" s="108">
        <v>1</v>
      </c>
      <c r="N1270" s="95">
        <v>1</v>
      </c>
      <c r="O1270" s="109">
        <f>IF(Key!D$1="ON",P1270,IF(SUM(Q1270:DL1270)&lt;1,"",SUM(Q1270:DL1270)/COUNTIF(Q1270:DL1270,"&gt;0")))</f>
        <v>0</v>
      </c>
      <c r="P1270" s="109">
        <f>SUMIFS(Q1270:DK1270,Q$1:DK$1,Dashboard!$K$31)</f>
        <v>0</v>
      </c>
      <c r="U1270" s="95">
        <v>33</v>
      </c>
      <c r="AA1270" s="95">
        <v>25</v>
      </c>
      <c r="AH1270" s="95">
        <v>75</v>
      </c>
    </row>
    <row r="1271" spans="1:34" ht="15.6" x14ac:dyDescent="0.3">
      <c r="A1271" s="89" t="str">
        <f>CONCATENATE(D1271,".",F1271,"-",G1271,".",H1271,"")</f>
        <v>2.1-4.1</v>
      </c>
      <c r="B1271" s="89" t="str">
        <f>IF(CONCATENATE(I1271,Key!F$2)=CONCATENATE(INDEX(Dashboard!J:J,MATCH(I1271,Dashboard!J:J,0),1),INDEX(Dashboard!J:K,MATCH(I1271,Dashboard!J:J,0),2)),"ON",IF(Dashboard!K$32="ALL","ON","-"))</f>
        <v>-</v>
      </c>
      <c r="C1271" s="88" t="s">
        <v>152</v>
      </c>
      <c r="D1271" s="89">
        <f>IF(C1271="ID",1,(IF(C1271="PR",2,(IF(C1271="DE",3,(IF(C1271="RS",4,(IF(C1271="RC",5,0)))))))))</f>
        <v>2</v>
      </c>
      <c r="E1271" s="89" t="s">
        <v>153</v>
      </c>
      <c r="F1271" s="89">
        <f>IF(E1271="AM",1,(IF(E1271="BE",2,(IF(E1271="GV",3,(IF(E1271="RA",4,(IF(E1271="RM",5,(IF(E1271="AC",1,(IF(E1271="AT",2,(IF(E1271="DS",3,(IF(E1271="IP",4,(IF(E1271="MA",5,(IF(E1271="PT",6,(IF(E1271="AE",1,(IF(E1271="CM",2,(IF(E1271="DP",3,(IF(E1271="AN",1,(IF(E1271="CO",2,(IF(E1271="IM",3,(IF(E1271="MI",4,(IF(E1271="RP",5,(IF(E1271="SC",6,0)))))))))))))))))))))))))))))))))))))))</f>
        <v>1</v>
      </c>
      <c r="G1271" s="98">
        <v>4</v>
      </c>
      <c r="H1271" s="99">
        <v>1</v>
      </c>
      <c r="I1271" s="94" t="s">
        <v>73</v>
      </c>
      <c r="J1271" s="86" t="s">
        <v>4126</v>
      </c>
      <c r="K1271" s="107" t="s">
        <v>4259</v>
      </c>
      <c r="L1271" s="117">
        <f>IF(O1271="","",N1271*O1271*M1271)</f>
        <v>0</v>
      </c>
      <c r="M1271" s="108">
        <v>1</v>
      </c>
      <c r="N1271" s="95">
        <v>1</v>
      </c>
      <c r="O1271" s="109">
        <f>IF(Key!D$1="ON",P1271,IF(SUM(Q1271:DL1271)&lt;1,"",SUM(Q1271:DL1271)/COUNTIF(Q1271:DL1271,"&gt;0")))</f>
        <v>0</v>
      </c>
      <c r="P1271" s="109">
        <f>SUMIFS(Q1271:DK1271,Q$1:DK$1,Dashboard!$K$31)</f>
        <v>0</v>
      </c>
      <c r="U1271" s="95">
        <v>33</v>
      </c>
      <c r="AA1271" s="95">
        <v>25</v>
      </c>
      <c r="AH1271" s="95">
        <v>75</v>
      </c>
    </row>
    <row r="1272" spans="1:34" x14ac:dyDescent="0.3">
      <c r="A1272" s="89" t="str">
        <f>CONCATENATE(D1272,".",F1272,"-",G1272,".",H1272,"")</f>
        <v>2.1-4.1</v>
      </c>
      <c r="B1272" s="89" t="str">
        <f>IF(CONCATENATE(I1272,Key!F$2)=CONCATENATE(INDEX(Dashboard!J:J,MATCH(I1272,Dashboard!J:J,0),1),INDEX(Dashboard!J:K,MATCH(I1272,Dashboard!J:J,0),2)),"ON",IF(Dashboard!K$32="ALL","ON","-"))</f>
        <v>-</v>
      </c>
      <c r="C1272" s="88" t="s">
        <v>152</v>
      </c>
      <c r="D1272" s="89">
        <f>IF(C1272="ID",1,(IF(C1272="PR",2,(IF(C1272="DE",3,(IF(C1272="RS",4,(IF(C1272="RC",5,0)))))))))</f>
        <v>2</v>
      </c>
      <c r="E1272" s="89" t="s">
        <v>153</v>
      </c>
      <c r="F1272" s="89">
        <f>IF(E1272="AM",1,(IF(E1272="BE",2,(IF(E1272="GV",3,(IF(E1272="RA",4,(IF(E1272="RM",5,(IF(E1272="AC",1,(IF(E1272="AT",2,(IF(E1272="DS",3,(IF(E1272="IP",4,(IF(E1272="MA",5,(IF(E1272="PT",6,(IF(E1272="AE",1,(IF(E1272="CM",2,(IF(E1272="DP",3,(IF(E1272="AN",1,(IF(E1272="CO",2,(IF(E1272="IM",3,(IF(E1272="MI",4,(IF(E1272="RP",5,(IF(E1272="SC",6,0)))))))))))))))))))))))))))))))))))))))</f>
        <v>1</v>
      </c>
      <c r="G1272" s="52">
        <v>4</v>
      </c>
      <c r="H1272" s="90" t="s">
        <v>115</v>
      </c>
      <c r="I1272" s="94" t="s">
        <v>73</v>
      </c>
      <c r="J1272" s="86" t="s">
        <v>4112</v>
      </c>
      <c r="K1272" s="101" t="s">
        <v>5189</v>
      </c>
      <c r="L1272" s="117">
        <f>IF(O1272="","",N1272*O1272*M1272)</f>
        <v>0</v>
      </c>
      <c r="M1272" s="108">
        <v>1</v>
      </c>
      <c r="N1272" s="95">
        <v>1</v>
      </c>
      <c r="O1272" s="109">
        <f>IF(Key!D$1="ON",P1272,IF(SUM(Q1272:DL1272)&lt;1,"",SUM(Q1272:DL1272)/COUNTIF(Q1272:DL1272,"&gt;0")))</f>
        <v>0</v>
      </c>
      <c r="P1272" s="109">
        <f>SUMIFS(Q1272:DK1272,Q$1:DK$1,Dashboard!$K$31)</f>
        <v>0</v>
      </c>
      <c r="U1272" s="95">
        <v>33</v>
      </c>
      <c r="AA1272" s="95">
        <v>25</v>
      </c>
      <c r="AH1272" s="95">
        <v>75</v>
      </c>
    </row>
    <row r="1273" spans="1:34" ht="15.6" x14ac:dyDescent="0.3">
      <c r="A1273" s="89" t="str">
        <f>CONCATENATE(D1273,".",F1273,"-",G1273,".",H1273,"")</f>
        <v>2.1-4.1</v>
      </c>
      <c r="B1273" s="89" t="str">
        <f>IF(CONCATENATE(I1273,Key!F$2)=CONCATENATE(INDEX(Dashboard!J:J,MATCH(I1273,Dashboard!J:J,0),1),INDEX(Dashboard!J:K,MATCH(I1273,Dashboard!J:J,0),2)),"ON",IF(Dashboard!K$32="ALL","ON","-"))</f>
        <v>-</v>
      </c>
      <c r="C1273" s="88" t="s">
        <v>152</v>
      </c>
      <c r="D1273" s="89">
        <f>IF(C1273="ID",1,(IF(C1273="PR",2,(IF(C1273="DE",3,(IF(C1273="RS",4,(IF(C1273="RC",5,0)))))))))</f>
        <v>2</v>
      </c>
      <c r="E1273" s="89" t="s">
        <v>153</v>
      </c>
      <c r="F1273" s="89">
        <f>IF(E1273="AM",1,(IF(E1273="BE",2,(IF(E1273="GV",3,(IF(E1273="RA",4,(IF(E1273="RM",5,(IF(E1273="AC",1,(IF(E1273="AT",2,(IF(E1273="DS",3,(IF(E1273="IP",4,(IF(E1273="MA",5,(IF(E1273="PT",6,(IF(E1273="AE",1,(IF(E1273="CM",2,(IF(E1273="DP",3,(IF(E1273="AN",1,(IF(E1273="CO",2,(IF(E1273="IM",3,(IF(E1273="MI",4,(IF(E1273="RP",5,(IF(E1273="SC",6,0)))))))))))))))))))))))))))))))))))))))</f>
        <v>1</v>
      </c>
      <c r="G1273" s="98">
        <v>4</v>
      </c>
      <c r="H1273" s="99">
        <v>1</v>
      </c>
      <c r="I1273" s="94" t="s">
        <v>73</v>
      </c>
      <c r="J1273" s="86" t="s">
        <v>4116</v>
      </c>
      <c r="K1273" s="107" t="s">
        <v>4253</v>
      </c>
      <c r="L1273" s="117">
        <f>IF(O1273="","",N1273*O1273*M1273)</f>
        <v>0</v>
      </c>
      <c r="M1273" s="108">
        <v>1</v>
      </c>
      <c r="N1273" s="95">
        <v>1</v>
      </c>
      <c r="O1273" s="109">
        <f>IF(Key!D$1="ON",P1273,IF(SUM(Q1273:DL1273)&lt;1,"",SUM(Q1273:DL1273)/COUNTIF(Q1273:DL1273,"&gt;0")))</f>
        <v>0</v>
      </c>
      <c r="P1273" s="109">
        <f>SUMIFS(Q1273:DK1273,Q$1:DK$1,Dashboard!$K$31)</f>
        <v>0</v>
      </c>
      <c r="U1273" s="95">
        <v>33</v>
      </c>
      <c r="AA1273" s="95">
        <v>25</v>
      </c>
      <c r="AH1273" s="95">
        <v>75</v>
      </c>
    </row>
    <row r="1274" spans="1:34" ht="15.6" x14ac:dyDescent="0.3">
      <c r="A1274" s="89" t="str">
        <f>CONCATENATE(D1274,".",F1274,"-",G1274,".",H1274,"")</f>
        <v>2.1-4.1</v>
      </c>
      <c r="B1274" s="89" t="str">
        <f>IF(CONCATENATE(I1274,Key!F$2)=CONCATENATE(INDEX(Dashboard!J:J,MATCH(I1274,Dashboard!J:J,0),1),INDEX(Dashboard!J:K,MATCH(I1274,Dashboard!J:J,0),2)),"ON",IF(Dashboard!K$32="ALL","ON","-"))</f>
        <v>-</v>
      </c>
      <c r="C1274" s="88" t="s">
        <v>152</v>
      </c>
      <c r="D1274" s="89">
        <f>IF(C1274="ID",1,(IF(C1274="PR",2,(IF(C1274="DE",3,(IF(C1274="RS",4,(IF(C1274="RC",5,0)))))))))</f>
        <v>2</v>
      </c>
      <c r="E1274" s="89" t="s">
        <v>153</v>
      </c>
      <c r="F1274" s="89">
        <f>IF(E1274="AM",1,(IF(E1274="BE",2,(IF(E1274="GV",3,(IF(E1274="RA",4,(IF(E1274="RM",5,(IF(E1274="AC",1,(IF(E1274="AT",2,(IF(E1274="DS",3,(IF(E1274="IP",4,(IF(E1274="MA",5,(IF(E1274="PT",6,(IF(E1274="AE",1,(IF(E1274="CM",2,(IF(E1274="DP",3,(IF(E1274="AN",1,(IF(E1274="CO",2,(IF(E1274="IM",3,(IF(E1274="MI",4,(IF(E1274="RP",5,(IF(E1274="SC",6,0)))))))))))))))))))))))))))))))))))))))</f>
        <v>1</v>
      </c>
      <c r="G1274" s="98">
        <v>4</v>
      </c>
      <c r="H1274" s="99">
        <v>1</v>
      </c>
      <c r="I1274" s="94" t="s">
        <v>73</v>
      </c>
      <c r="J1274" s="86" t="s">
        <v>4118</v>
      </c>
      <c r="K1274" s="107" t="s">
        <v>4254</v>
      </c>
      <c r="L1274" s="117">
        <f>IF(O1274="","",N1274*O1274*M1274)</f>
        <v>0</v>
      </c>
      <c r="M1274" s="108">
        <v>1</v>
      </c>
      <c r="N1274" s="95">
        <v>1</v>
      </c>
      <c r="O1274" s="109">
        <f>IF(Key!D$1="ON",P1274,IF(SUM(Q1274:DL1274)&lt;1,"",SUM(Q1274:DL1274)/COUNTIF(Q1274:DL1274,"&gt;0")))</f>
        <v>0</v>
      </c>
      <c r="P1274" s="109">
        <f>SUMIFS(Q1274:DK1274,Q$1:DK$1,Dashboard!$K$31)</f>
        <v>0</v>
      </c>
      <c r="U1274" s="95">
        <v>33</v>
      </c>
      <c r="AA1274" s="95">
        <v>25</v>
      </c>
      <c r="AH1274" s="95">
        <v>75</v>
      </c>
    </row>
    <row r="1275" spans="1:34" ht="15.6" x14ac:dyDescent="0.3">
      <c r="A1275" s="89" t="str">
        <f>CONCATENATE(D1275,".",F1275,"-",G1275,".",H1275,"")</f>
        <v>2.1-4.1</v>
      </c>
      <c r="B1275" s="89" t="str">
        <f>IF(CONCATENATE(I1275,Key!F$2)=CONCATENATE(INDEX(Dashboard!J:J,MATCH(I1275,Dashboard!J:J,0),1),INDEX(Dashboard!J:K,MATCH(I1275,Dashboard!J:J,0),2)),"ON",IF(Dashboard!K$32="ALL","ON","-"))</f>
        <v>-</v>
      </c>
      <c r="C1275" s="88" t="s">
        <v>152</v>
      </c>
      <c r="D1275" s="89">
        <f>IF(C1275="ID",1,(IF(C1275="PR",2,(IF(C1275="DE",3,(IF(C1275="RS",4,(IF(C1275="RC",5,0)))))))))</f>
        <v>2</v>
      </c>
      <c r="E1275" s="89" t="s">
        <v>153</v>
      </c>
      <c r="F1275" s="89">
        <f>IF(E1275="AM",1,(IF(E1275="BE",2,(IF(E1275="GV",3,(IF(E1275="RA",4,(IF(E1275="RM",5,(IF(E1275="AC",1,(IF(E1275="AT",2,(IF(E1275="DS",3,(IF(E1275="IP",4,(IF(E1275="MA",5,(IF(E1275="PT",6,(IF(E1275="AE",1,(IF(E1275="CM",2,(IF(E1275="DP",3,(IF(E1275="AN",1,(IF(E1275="CO",2,(IF(E1275="IM",3,(IF(E1275="MI",4,(IF(E1275="RP",5,(IF(E1275="SC",6,0)))))))))))))))))))))))))))))))))))))))</f>
        <v>1</v>
      </c>
      <c r="G1275" s="98">
        <v>4</v>
      </c>
      <c r="H1275" s="99">
        <v>1</v>
      </c>
      <c r="I1275" s="94" t="s">
        <v>73</v>
      </c>
      <c r="J1275" s="86" t="s">
        <v>4119</v>
      </c>
      <c r="K1275" s="107" t="s">
        <v>4255</v>
      </c>
      <c r="L1275" s="117">
        <f>IF(O1275="","",N1275*O1275*M1275)</f>
        <v>0</v>
      </c>
      <c r="M1275" s="108">
        <v>1</v>
      </c>
      <c r="N1275" s="95">
        <v>1</v>
      </c>
      <c r="O1275" s="109">
        <f>IF(Key!D$1="ON",P1275,IF(SUM(Q1275:DL1275)&lt;1,"",SUM(Q1275:DL1275)/COUNTIF(Q1275:DL1275,"&gt;0")))</f>
        <v>0</v>
      </c>
      <c r="P1275" s="109">
        <f>SUMIFS(Q1275:DK1275,Q$1:DK$1,Dashboard!$K$31)</f>
        <v>0</v>
      </c>
      <c r="U1275" s="95">
        <v>33</v>
      </c>
      <c r="AA1275" s="95">
        <v>25</v>
      </c>
      <c r="AH1275" s="95">
        <v>75</v>
      </c>
    </row>
    <row r="1276" spans="1:34" x14ac:dyDescent="0.3">
      <c r="A1276" s="89" t="str">
        <f>CONCATENATE(D1276,".",F1276,"-",G1276,".",H1276,"")</f>
        <v>2.1-4.1</v>
      </c>
      <c r="B1276" s="89" t="str">
        <f>IF(CONCATENATE(I1276,Key!F$2)=CONCATENATE(INDEX(Dashboard!J:J,MATCH(I1276,Dashboard!J:J,0),1),INDEX(Dashboard!J:K,MATCH(I1276,Dashboard!J:J,0),2)),"ON",IF(Dashboard!K$32="ALL","ON","-"))</f>
        <v>-</v>
      </c>
      <c r="C1276" s="88" t="s">
        <v>152</v>
      </c>
      <c r="D1276" s="89">
        <f>IF(C1276="ID",1,(IF(C1276="PR",2,(IF(C1276="DE",3,(IF(C1276="RS",4,(IF(C1276="RC",5,0)))))))))</f>
        <v>2</v>
      </c>
      <c r="E1276" s="89" t="s">
        <v>153</v>
      </c>
      <c r="F1276" s="89">
        <f>IF(E1276="AM",1,(IF(E1276="BE",2,(IF(E1276="GV",3,(IF(E1276="RA",4,(IF(E1276="RM",5,(IF(E1276="AC",1,(IF(E1276="AT",2,(IF(E1276="DS",3,(IF(E1276="IP",4,(IF(E1276="MA",5,(IF(E1276="PT",6,(IF(E1276="AE",1,(IF(E1276="CM",2,(IF(E1276="DP",3,(IF(E1276="AN",1,(IF(E1276="CO",2,(IF(E1276="IM",3,(IF(E1276="MI",4,(IF(E1276="RP",5,(IF(E1276="SC",6,0)))))))))))))))))))))))))))))))))))))))</f>
        <v>1</v>
      </c>
      <c r="G1276" s="98">
        <v>4</v>
      </c>
      <c r="H1276" s="99">
        <v>1</v>
      </c>
      <c r="I1276" s="94" t="s">
        <v>73</v>
      </c>
      <c r="J1276" s="86" t="s">
        <v>4120</v>
      </c>
      <c r="K1276" s="107" t="s">
        <v>4256</v>
      </c>
      <c r="L1276" s="117">
        <f>IF(O1276="","",N1276*O1276*M1276)</f>
        <v>0</v>
      </c>
      <c r="M1276" s="108">
        <v>1</v>
      </c>
      <c r="N1276" s="95">
        <v>1</v>
      </c>
      <c r="O1276" s="109">
        <f>IF(Key!D$1="ON",P1276,IF(SUM(Q1276:DL1276)&lt;1,"",SUM(Q1276:DL1276)/COUNTIF(Q1276:DL1276,"&gt;0")))</f>
        <v>0</v>
      </c>
      <c r="P1276" s="109">
        <f>SUMIFS(Q1276:DK1276,Q$1:DK$1,Dashboard!$K$31)</f>
        <v>0</v>
      </c>
      <c r="U1276" s="95">
        <v>33</v>
      </c>
      <c r="AA1276" s="95">
        <v>25</v>
      </c>
      <c r="AH1276" s="95">
        <v>75</v>
      </c>
    </row>
    <row r="1277" spans="1:34" x14ac:dyDescent="0.3">
      <c r="A1277" s="89" t="str">
        <f>CONCATENATE(D1277,".",F1277,"-",G1277,".",H1277,"")</f>
        <v>2.1-4.1</v>
      </c>
      <c r="B1277" s="89" t="str">
        <f>IF(CONCATENATE(I1277,Key!F$2)=CONCATENATE(INDEX(Dashboard!J:J,MATCH(I1277,Dashboard!J:J,0),1),INDEX(Dashboard!J:K,MATCH(I1277,Dashboard!J:J,0),2)),"ON",IF(Dashboard!K$32="ALL","ON","-"))</f>
        <v>-</v>
      </c>
      <c r="C1277" s="88" t="s">
        <v>152</v>
      </c>
      <c r="D1277" s="89">
        <f>IF(C1277="ID",1,(IF(C1277="PR",2,(IF(C1277="DE",3,(IF(C1277="RS",4,(IF(C1277="RC",5,0)))))))))</f>
        <v>2</v>
      </c>
      <c r="E1277" s="89" t="s">
        <v>153</v>
      </c>
      <c r="F1277" s="89">
        <f>IF(E1277="AM",1,(IF(E1277="BE",2,(IF(E1277="GV",3,(IF(E1277="RA",4,(IF(E1277="RM",5,(IF(E1277="AC",1,(IF(E1277="AT",2,(IF(E1277="DS",3,(IF(E1277="IP",4,(IF(E1277="MA",5,(IF(E1277="PT",6,(IF(E1277="AE",1,(IF(E1277="CM",2,(IF(E1277="DP",3,(IF(E1277="AN",1,(IF(E1277="CO",2,(IF(E1277="IM",3,(IF(E1277="MI",4,(IF(E1277="RP",5,(IF(E1277="SC",6,0)))))))))))))))))))))))))))))))))))))))</f>
        <v>1</v>
      </c>
      <c r="G1277" s="98">
        <v>4</v>
      </c>
      <c r="H1277" s="99">
        <v>1</v>
      </c>
      <c r="I1277" s="94" t="s">
        <v>73</v>
      </c>
      <c r="J1277" s="86" t="s">
        <v>4121</v>
      </c>
      <c r="K1277" s="107" t="s">
        <v>4257</v>
      </c>
      <c r="L1277" s="117">
        <f>IF(O1277="","",N1277*O1277*M1277)</f>
        <v>0</v>
      </c>
      <c r="M1277" s="108">
        <v>1</v>
      </c>
      <c r="N1277" s="95">
        <v>1</v>
      </c>
      <c r="O1277" s="109">
        <f>IF(Key!D$1="ON",P1277,IF(SUM(Q1277:DL1277)&lt;1,"",SUM(Q1277:DL1277)/COUNTIF(Q1277:DL1277,"&gt;0")))</f>
        <v>0</v>
      </c>
      <c r="P1277" s="109">
        <f>SUMIFS(Q1277:DK1277,Q$1:DK$1,Dashboard!$K$31)</f>
        <v>0</v>
      </c>
      <c r="U1277" s="95">
        <v>33</v>
      </c>
      <c r="AA1277" s="95">
        <v>25</v>
      </c>
      <c r="AH1277" s="95">
        <v>75</v>
      </c>
    </row>
    <row r="1278" spans="1:34" x14ac:dyDescent="0.3">
      <c r="A1278" s="89" t="str">
        <f>CONCATENATE(D1278,".",F1278,"-",G1278,".",H1278,"")</f>
        <v>2.1-4.1</v>
      </c>
      <c r="B1278" s="89" t="str">
        <f>IF(CONCATENATE(I1278,Key!F$2)=CONCATENATE(INDEX(Dashboard!J:J,MATCH(I1278,Dashboard!J:J,0),1),INDEX(Dashboard!J:K,MATCH(I1278,Dashboard!J:J,0),2)),"ON",IF(Dashboard!K$32="ALL","ON","-"))</f>
        <v>-</v>
      </c>
      <c r="C1278" s="88" t="s">
        <v>152</v>
      </c>
      <c r="D1278" s="89">
        <f>IF(C1278="ID",1,(IF(C1278="PR",2,(IF(C1278="DE",3,(IF(C1278="RS",4,(IF(C1278="RC",5,0)))))))))</f>
        <v>2</v>
      </c>
      <c r="E1278" s="89" t="s">
        <v>153</v>
      </c>
      <c r="F1278" s="89">
        <f>IF(E1278="AM",1,(IF(E1278="BE",2,(IF(E1278="GV",3,(IF(E1278="RA",4,(IF(E1278="RM",5,(IF(E1278="AC",1,(IF(E1278="AT",2,(IF(E1278="DS",3,(IF(E1278="IP",4,(IF(E1278="MA",5,(IF(E1278="PT",6,(IF(E1278="AE",1,(IF(E1278="CM",2,(IF(E1278="DP",3,(IF(E1278="AN",1,(IF(E1278="CO",2,(IF(E1278="IM",3,(IF(E1278="MI",4,(IF(E1278="RP",5,(IF(E1278="SC",6,0)))))))))))))))))))))))))))))))))))))))</f>
        <v>1</v>
      </c>
      <c r="G1278" s="98">
        <v>4</v>
      </c>
      <c r="H1278" s="89">
        <v>1</v>
      </c>
      <c r="I1278" s="94" t="s">
        <v>73</v>
      </c>
      <c r="J1278" s="86" t="s">
        <v>4209</v>
      </c>
      <c r="K1278" s="107" t="s">
        <v>4327</v>
      </c>
      <c r="L1278" s="117">
        <f>IF(O1278="","",N1278*O1278*M1278)</f>
        <v>0</v>
      </c>
      <c r="M1278" s="108">
        <v>1</v>
      </c>
      <c r="N1278" s="95">
        <v>1</v>
      </c>
      <c r="O1278" s="109">
        <f>IF(Key!D$1="ON",P1278,IF(SUM(Q1278:DL1278)&lt;1,"",SUM(Q1278:DL1278)/COUNTIF(Q1278:DL1278,"&gt;0")))</f>
        <v>0</v>
      </c>
      <c r="P1278" s="109">
        <f>SUMIFS(Q1278:DK1278,Q$1:DK$1,Dashboard!$K$31)</f>
        <v>0</v>
      </c>
      <c r="U1278" s="95">
        <v>33</v>
      </c>
      <c r="AA1278" s="95">
        <v>25</v>
      </c>
      <c r="AH1278" s="95">
        <v>75</v>
      </c>
    </row>
    <row r="1279" spans="1:34" x14ac:dyDescent="0.3">
      <c r="A1279" s="89" t="str">
        <f>CONCATENATE(D1279,".",F1279,"-",G1279,".",H1279,"")</f>
        <v>2.1-4.1</v>
      </c>
      <c r="B1279" s="89" t="str">
        <f>IF(CONCATENATE(I1279,Key!F$2)=CONCATENATE(INDEX(Dashboard!J:J,MATCH(I1279,Dashboard!J:J,0),1),INDEX(Dashboard!J:K,MATCH(I1279,Dashboard!J:J,0),2)),"ON",IF(Dashboard!K$32="ALL","ON","-"))</f>
        <v>-</v>
      </c>
      <c r="C1279" s="88" t="s">
        <v>152</v>
      </c>
      <c r="D1279" s="89">
        <f>IF(C1279="ID",1,(IF(C1279="PR",2,(IF(C1279="DE",3,(IF(C1279="RS",4,(IF(C1279="RC",5,0)))))))))</f>
        <v>2</v>
      </c>
      <c r="E1279" s="89" t="s">
        <v>153</v>
      </c>
      <c r="F1279" s="89">
        <f>IF(E1279="AM",1,(IF(E1279="BE",2,(IF(E1279="GV",3,(IF(E1279="RA",4,(IF(E1279="RM",5,(IF(E1279="AC",1,(IF(E1279="AT",2,(IF(E1279="DS",3,(IF(E1279="IP",4,(IF(E1279="MA",5,(IF(E1279="PT",6,(IF(E1279="AE",1,(IF(E1279="CM",2,(IF(E1279="DP",3,(IF(E1279="AN",1,(IF(E1279="CO",2,(IF(E1279="IM",3,(IF(E1279="MI",4,(IF(E1279="RP",5,(IF(E1279="SC",6,0)))))))))))))))))))))))))))))))))))))))</f>
        <v>1</v>
      </c>
      <c r="G1279" s="98">
        <v>4</v>
      </c>
      <c r="H1279" s="99">
        <v>1</v>
      </c>
      <c r="I1279" s="94" t="s">
        <v>73</v>
      </c>
      <c r="J1279" s="86" t="s">
        <v>4218</v>
      </c>
      <c r="K1279" s="107" t="s">
        <v>4334</v>
      </c>
      <c r="L1279" s="117">
        <f>IF(O1279="","",N1279*O1279*M1279)</f>
        <v>0</v>
      </c>
      <c r="M1279" s="108">
        <v>1</v>
      </c>
      <c r="N1279" s="95">
        <v>1</v>
      </c>
      <c r="O1279" s="109">
        <f>IF(Key!D$1="ON",P1279,IF(SUM(Q1279:DL1279)&lt;1,"",SUM(Q1279:DL1279)/COUNTIF(Q1279:DL1279,"&gt;0")))</f>
        <v>0</v>
      </c>
      <c r="P1279" s="109">
        <f>SUMIFS(Q1279:DK1279,Q$1:DK$1,Dashboard!$K$31)</f>
        <v>0</v>
      </c>
      <c r="U1279" s="95">
        <v>33</v>
      </c>
      <c r="AA1279" s="95">
        <v>25</v>
      </c>
      <c r="AH1279" s="95">
        <v>75</v>
      </c>
    </row>
    <row r="1280" spans="1:34" ht="15.6" x14ac:dyDescent="0.3">
      <c r="A1280" s="89" t="str">
        <f>CONCATENATE(D1280,".",F1280,"-",G1280,".",H1280,"")</f>
        <v>2.1-4.1</v>
      </c>
      <c r="B1280" s="89" t="str">
        <f>IF(CONCATENATE(I1280,Key!F$2)=CONCATENATE(INDEX(Dashboard!J:J,MATCH(I1280,Dashboard!J:J,0),1),INDEX(Dashboard!J:K,MATCH(I1280,Dashboard!J:J,0),2)),"ON",IF(Dashboard!K$32="ALL","ON","-"))</f>
        <v>-</v>
      </c>
      <c r="C1280" s="88" t="s">
        <v>152</v>
      </c>
      <c r="D1280" s="89">
        <f>IF(C1280="ID",1,(IF(C1280="PR",2,(IF(C1280="DE",3,(IF(C1280="RS",4,(IF(C1280="RC",5,0)))))))))</f>
        <v>2</v>
      </c>
      <c r="E1280" s="89" t="s">
        <v>153</v>
      </c>
      <c r="F1280" s="89">
        <f>IF(E1280="AM",1,(IF(E1280="BE",2,(IF(E1280="GV",3,(IF(E1280="RA",4,(IF(E1280="RM",5,(IF(E1280="AC",1,(IF(E1280="AT",2,(IF(E1280="DS",3,(IF(E1280="IP",4,(IF(E1280="MA",5,(IF(E1280="PT",6,(IF(E1280="AE",1,(IF(E1280="CM",2,(IF(E1280="DP",3,(IF(E1280="AN",1,(IF(E1280="CO",2,(IF(E1280="IM",3,(IF(E1280="MI",4,(IF(E1280="RP",5,(IF(E1280="SC",6,0)))))))))))))))))))))))))))))))))))))))</f>
        <v>1</v>
      </c>
      <c r="G1280" s="98">
        <v>4</v>
      </c>
      <c r="H1280" s="99">
        <v>1</v>
      </c>
      <c r="I1280" s="94" t="s">
        <v>73</v>
      </c>
      <c r="J1280" s="86" t="s">
        <v>4219</v>
      </c>
      <c r="K1280" s="107" t="s">
        <v>4335</v>
      </c>
      <c r="L1280" s="117">
        <f>IF(O1280="","",N1280*O1280*M1280)</f>
        <v>0</v>
      </c>
      <c r="M1280" s="108">
        <v>1</v>
      </c>
      <c r="N1280" s="95">
        <v>1</v>
      </c>
      <c r="O1280" s="109">
        <f>IF(Key!D$1="ON",P1280,IF(SUM(Q1280:DL1280)&lt;1,"",SUM(Q1280:DL1280)/COUNTIF(Q1280:DL1280,"&gt;0")))</f>
        <v>0</v>
      </c>
      <c r="P1280" s="109">
        <f>SUMIFS(Q1280:DK1280,Q$1:DK$1,Dashboard!$K$31)</f>
        <v>0</v>
      </c>
      <c r="U1280" s="95">
        <v>33</v>
      </c>
      <c r="AA1280" s="95">
        <v>25</v>
      </c>
      <c r="AH1280" s="95">
        <v>75</v>
      </c>
    </row>
    <row r="1281" spans="1:34" ht="15.6" x14ac:dyDescent="0.3">
      <c r="A1281" s="89" t="str">
        <f>CONCATENATE(D1281,".",F1281,"-",G1281,".",H1281,"")</f>
        <v>2.1-4.1</v>
      </c>
      <c r="B1281" s="89" t="str">
        <f>IF(CONCATENATE(I1281,Key!F$2)=CONCATENATE(INDEX(Dashboard!J:J,MATCH(I1281,Dashboard!J:J,0),1),INDEX(Dashboard!J:K,MATCH(I1281,Dashboard!J:J,0),2)),"ON",IF(Dashboard!K$32="ALL","ON","-"))</f>
        <v>-</v>
      </c>
      <c r="C1281" s="88" t="s">
        <v>152</v>
      </c>
      <c r="D1281" s="89">
        <f>IF(C1281="ID",1,(IF(C1281="PR",2,(IF(C1281="DE",3,(IF(C1281="RS",4,(IF(C1281="RC",5,0)))))))))</f>
        <v>2</v>
      </c>
      <c r="E1281" s="89" t="s">
        <v>153</v>
      </c>
      <c r="F1281" s="89">
        <f>IF(E1281="AM",1,(IF(E1281="BE",2,(IF(E1281="GV",3,(IF(E1281="RA",4,(IF(E1281="RM",5,(IF(E1281="AC",1,(IF(E1281="AT",2,(IF(E1281="DS",3,(IF(E1281="IP",4,(IF(E1281="MA",5,(IF(E1281="PT",6,(IF(E1281="AE",1,(IF(E1281="CM",2,(IF(E1281="DP",3,(IF(E1281="AN",1,(IF(E1281="CO",2,(IF(E1281="IM",3,(IF(E1281="MI",4,(IF(E1281="RP",5,(IF(E1281="SC",6,0)))))))))))))))))))))))))))))))))))))))</f>
        <v>1</v>
      </c>
      <c r="G1281" s="98">
        <v>4</v>
      </c>
      <c r="H1281" s="99">
        <v>1</v>
      </c>
      <c r="I1281" s="94" t="s">
        <v>73</v>
      </c>
      <c r="J1281" s="86" t="s">
        <v>294</v>
      </c>
      <c r="K1281" s="107" t="s">
        <v>4293</v>
      </c>
      <c r="L1281" s="117">
        <f>IF(O1281="","",N1281*O1281*M1281)</f>
        <v>0</v>
      </c>
      <c r="M1281" s="108">
        <v>1</v>
      </c>
      <c r="N1281" s="95">
        <v>1</v>
      </c>
      <c r="O1281" s="109">
        <f>IF(Key!D$1="ON",P1281,IF(SUM(Q1281:DL1281)&lt;1,"",SUM(Q1281:DL1281)/COUNTIF(Q1281:DL1281,"&gt;0")))</f>
        <v>0</v>
      </c>
      <c r="P1281" s="109">
        <f>SUMIFS(Q1281:DK1281,Q$1:DK$1,Dashboard!$K$31)</f>
        <v>0</v>
      </c>
      <c r="U1281" s="95">
        <v>33</v>
      </c>
      <c r="AA1281" s="95">
        <v>25</v>
      </c>
      <c r="AH1281" s="95">
        <v>75</v>
      </c>
    </row>
    <row r="1282" spans="1:34" x14ac:dyDescent="0.3">
      <c r="A1282" s="89" t="str">
        <f>CONCATENATE(D1282,".",F1282,"-",G1282,".",H1282,"")</f>
        <v>2.1-4.1</v>
      </c>
      <c r="B1282" s="89" t="str">
        <f>IF(CONCATENATE(I1282,Key!F$2)=CONCATENATE(INDEX(Dashboard!J:J,MATCH(I1282,Dashboard!J:J,0),1),INDEX(Dashboard!J:K,MATCH(I1282,Dashboard!J:J,0),2)),"ON",IF(Dashboard!K$32="ALL","ON","-"))</f>
        <v>-</v>
      </c>
      <c r="C1282" s="88" t="s">
        <v>152</v>
      </c>
      <c r="D1282" s="89">
        <f>IF(C1282="ID",1,(IF(C1282="PR",2,(IF(C1282="DE",3,(IF(C1282="RS",4,(IF(C1282="RC",5,0)))))))))</f>
        <v>2</v>
      </c>
      <c r="E1282" s="89" t="s">
        <v>153</v>
      </c>
      <c r="F1282" s="89">
        <f>IF(E1282="AM",1,(IF(E1282="BE",2,(IF(E1282="GV",3,(IF(E1282="RA",4,(IF(E1282="RM",5,(IF(E1282="AC",1,(IF(E1282="AT",2,(IF(E1282="DS",3,(IF(E1282="IP",4,(IF(E1282="MA",5,(IF(E1282="PT",6,(IF(E1282="AE",1,(IF(E1282="CM",2,(IF(E1282="DP",3,(IF(E1282="AN",1,(IF(E1282="CO",2,(IF(E1282="IM",3,(IF(E1282="MI",4,(IF(E1282="RP",5,(IF(E1282="SC",6,0)))))))))))))))))))))))))))))))))))))))</f>
        <v>1</v>
      </c>
      <c r="G1282" s="98">
        <v>4</v>
      </c>
      <c r="H1282" s="99">
        <v>1</v>
      </c>
      <c r="I1282" s="94" t="s">
        <v>73</v>
      </c>
      <c r="J1282" s="86" t="s">
        <v>178</v>
      </c>
      <c r="K1282" s="107" t="s">
        <v>4294</v>
      </c>
      <c r="L1282" s="117">
        <f>IF(O1282="","",N1282*O1282*M1282)</f>
        <v>0</v>
      </c>
      <c r="M1282" s="108">
        <v>1</v>
      </c>
      <c r="N1282" s="95">
        <v>1</v>
      </c>
      <c r="O1282" s="109">
        <f>IF(Key!D$1="ON",P1282,IF(SUM(Q1282:DL1282)&lt;1,"",SUM(Q1282:DL1282)/COUNTIF(Q1282:DL1282,"&gt;0")))</f>
        <v>0</v>
      </c>
      <c r="P1282" s="109">
        <f>SUMIFS(Q1282:DK1282,Q$1:DK$1,Dashboard!$K$31)</f>
        <v>0</v>
      </c>
      <c r="U1282" s="95">
        <v>33</v>
      </c>
      <c r="AA1282" s="95">
        <v>25</v>
      </c>
      <c r="AH1282" s="95">
        <v>75</v>
      </c>
    </row>
    <row r="1283" spans="1:34" x14ac:dyDescent="0.3">
      <c r="A1283" s="89" t="str">
        <f>CONCATENATE(D1283,".",F1283,"-",G1283,".",H1283,"")</f>
        <v>2.1-4.1</v>
      </c>
      <c r="B1283" s="89" t="str">
        <f>IF(CONCATENATE(I1283,Key!F$2)=CONCATENATE(INDEX(Dashboard!J:J,MATCH(I1283,Dashboard!J:J,0),1),INDEX(Dashboard!J:K,MATCH(I1283,Dashboard!J:J,0),2)),"ON",IF(Dashboard!K$32="ALL","ON","-"))</f>
        <v>-</v>
      </c>
      <c r="C1283" s="88" t="s">
        <v>152</v>
      </c>
      <c r="D1283" s="89">
        <f>IF(C1283="ID",1,(IF(C1283="PR",2,(IF(C1283="DE",3,(IF(C1283="RS",4,(IF(C1283="RC",5,0)))))))))</f>
        <v>2</v>
      </c>
      <c r="E1283" s="89" t="s">
        <v>153</v>
      </c>
      <c r="F1283" s="89">
        <f>IF(E1283="AM",1,(IF(E1283="BE",2,(IF(E1283="GV",3,(IF(E1283="RA",4,(IF(E1283="RM",5,(IF(E1283="AC",1,(IF(E1283="AT",2,(IF(E1283="DS",3,(IF(E1283="IP",4,(IF(E1283="MA",5,(IF(E1283="PT",6,(IF(E1283="AE",1,(IF(E1283="CM",2,(IF(E1283="DP",3,(IF(E1283="AN",1,(IF(E1283="CO",2,(IF(E1283="IM",3,(IF(E1283="MI",4,(IF(E1283="RP",5,(IF(E1283="SC",6,0)))))))))))))))))))))))))))))))))))))))</f>
        <v>1</v>
      </c>
      <c r="G1283" s="52">
        <v>4</v>
      </c>
      <c r="H1283" s="90" t="s">
        <v>115</v>
      </c>
      <c r="I1283" s="94" t="s">
        <v>77</v>
      </c>
      <c r="J1283" s="87" t="s">
        <v>1230</v>
      </c>
      <c r="K1283" s="102" t="s">
        <v>2250</v>
      </c>
      <c r="L1283" s="117">
        <f>IF(O1283="","",N1283*O1283*M1283)</f>
        <v>0</v>
      </c>
      <c r="M1283" s="108">
        <v>1</v>
      </c>
      <c r="N1283" s="95">
        <v>1</v>
      </c>
      <c r="O1283" s="109">
        <f>IF(Key!D$1="ON",P1283,IF(SUM(Q1283:DL1283)&lt;1,"",SUM(Q1283:DL1283)/COUNTIF(Q1283:DL1283,"&gt;0")))</f>
        <v>0</v>
      </c>
      <c r="P1283" s="109">
        <f>SUMIFS(Q1283:DK1283,Q$1:DK$1,Dashboard!$K$31)</f>
        <v>0</v>
      </c>
      <c r="U1283" s="95">
        <v>33</v>
      </c>
      <c r="AA1283" s="95">
        <v>25</v>
      </c>
      <c r="AH1283" s="95">
        <v>75</v>
      </c>
    </row>
    <row r="1284" spans="1:34" x14ac:dyDescent="0.3">
      <c r="A1284" s="89" t="str">
        <f>CONCATENATE(D1284,".",F1284,"-",G1284,".",H1284,"")</f>
        <v>2.1-4.1</v>
      </c>
      <c r="B1284" s="89" t="str">
        <f>IF(CONCATENATE(I1284,Key!F$2)=CONCATENATE(INDEX(Dashboard!J:J,MATCH(I1284,Dashboard!J:J,0),1),INDEX(Dashboard!J:K,MATCH(I1284,Dashboard!J:J,0),2)),"ON",IF(Dashboard!K$32="ALL","ON","-"))</f>
        <v>-</v>
      </c>
      <c r="C1284" s="88" t="s">
        <v>152</v>
      </c>
      <c r="D1284" s="89">
        <f>IF(C1284="ID",1,(IF(C1284="PR",2,(IF(C1284="DE",3,(IF(C1284="RS",4,(IF(C1284="RC",5,0)))))))))</f>
        <v>2</v>
      </c>
      <c r="E1284" s="89" t="s">
        <v>153</v>
      </c>
      <c r="F1284" s="89">
        <f>IF(E1284="AM",1,(IF(E1284="BE",2,(IF(E1284="GV",3,(IF(E1284="RA",4,(IF(E1284="RM",5,(IF(E1284="AC",1,(IF(E1284="AT",2,(IF(E1284="DS",3,(IF(E1284="IP",4,(IF(E1284="MA",5,(IF(E1284="PT",6,(IF(E1284="AE",1,(IF(E1284="CM",2,(IF(E1284="DP",3,(IF(E1284="AN",1,(IF(E1284="CO",2,(IF(E1284="IM",3,(IF(E1284="MI",4,(IF(E1284="RP",5,(IF(E1284="SC",6,0)))))))))))))))))))))))))))))))))))))))</f>
        <v>1</v>
      </c>
      <c r="G1284" s="52">
        <v>4</v>
      </c>
      <c r="H1284" s="90" t="s">
        <v>115</v>
      </c>
      <c r="I1284" s="94" t="s">
        <v>77</v>
      </c>
      <c r="J1284" s="87" t="s">
        <v>1231</v>
      </c>
      <c r="K1284" s="102" t="s">
        <v>2251</v>
      </c>
      <c r="L1284" s="117">
        <f>IF(O1284="","",N1284*O1284*M1284)</f>
        <v>0</v>
      </c>
      <c r="M1284" s="108">
        <v>1</v>
      </c>
      <c r="N1284" s="95">
        <v>1</v>
      </c>
      <c r="O1284" s="109">
        <f>IF(Key!D$1="ON",P1284,IF(SUM(Q1284:DL1284)&lt;1,"",SUM(Q1284:DL1284)/COUNTIF(Q1284:DL1284,"&gt;0")))</f>
        <v>0</v>
      </c>
      <c r="P1284" s="109">
        <f>SUMIFS(Q1284:DK1284,Q$1:DK$1,Dashboard!$K$31)</f>
        <v>0</v>
      </c>
      <c r="U1284" s="95">
        <v>33</v>
      </c>
      <c r="AA1284" s="95">
        <v>25</v>
      </c>
      <c r="AH1284" s="95">
        <v>75</v>
      </c>
    </row>
    <row r="1285" spans="1:34" ht="15.6" x14ac:dyDescent="0.3">
      <c r="A1285" s="89" t="str">
        <f>CONCATENATE(D1285,".",F1285,"-",G1285,".",H1285,"")</f>
        <v>2.1-4.1</v>
      </c>
      <c r="B1285" s="89" t="str">
        <f>IF(CONCATENATE(I1285,Key!F$2)=CONCATENATE(INDEX(Dashboard!J:J,MATCH(I1285,Dashboard!J:J,0),1),INDEX(Dashboard!J:K,MATCH(I1285,Dashboard!J:J,0),2)),"ON",IF(Dashboard!K$32="ALL","ON","-"))</f>
        <v>-</v>
      </c>
      <c r="C1285" s="88" t="s">
        <v>152</v>
      </c>
      <c r="D1285" s="89">
        <f>IF(C1285="ID",1,(IF(C1285="PR",2,(IF(C1285="DE",3,(IF(C1285="RS",4,(IF(C1285="RC",5,0)))))))))</f>
        <v>2</v>
      </c>
      <c r="E1285" s="89" t="s">
        <v>153</v>
      </c>
      <c r="F1285" s="89">
        <f>IF(E1285="AM",1,(IF(E1285="BE",2,(IF(E1285="GV",3,(IF(E1285="RA",4,(IF(E1285="RM",5,(IF(E1285="AC",1,(IF(E1285="AT",2,(IF(E1285="DS",3,(IF(E1285="IP",4,(IF(E1285="MA",5,(IF(E1285="PT",6,(IF(E1285="AE",1,(IF(E1285="CM",2,(IF(E1285="DP",3,(IF(E1285="AN",1,(IF(E1285="CO",2,(IF(E1285="IM",3,(IF(E1285="MI",4,(IF(E1285="RP",5,(IF(E1285="SC",6,0)))))))))))))))))))))))))))))))))))))))</f>
        <v>1</v>
      </c>
      <c r="G1285" s="52">
        <v>4</v>
      </c>
      <c r="H1285" s="90" t="s">
        <v>115</v>
      </c>
      <c r="I1285" s="94" t="s">
        <v>77</v>
      </c>
      <c r="J1285" s="87" t="s">
        <v>1232</v>
      </c>
      <c r="K1285" s="102" t="s">
        <v>2252</v>
      </c>
      <c r="L1285" s="117">
        <f>IF(O1285="","",N1285*O1285*M1285)</f>
        <v>0</v>
      </c>
      <c r="M1285" s="108">
        <v>1</v>
      </c>
      <c r="N1285" s="95">
        <v>1</v>
      </c>
      <c r="O1285" s="109">
        <f>IF(Key!D$1="ON",P1285,IF(SUM(Q1285:DL1285)&lt;1,"",SUM(Q1285:DL1285)/COUNTIF(Q1285:DL1285,"&gt;0")))</f>
        <v>0</v>
      </c>
      <c r="P1285" s="109">
        <f>SUMIFS(Q1285:DK1285,Q$1:DK$1,Dashboard!$K$31)</f>
        <v>0</v>
      </c>
      <c r="U1285" s="95">
        <v>33</v>
      </c>
      <c r="AA1285" s="95">
        <v>25</v>
      </c>
      <c r="AH1285" s="95">
        <v>75</v>
      </c>
    </row>
    <row r="1286" spans="1:34" x14ac:dyDescent="0.3">
      <c r="A1286" s="89" t="str">
        <f>CONCATENATE(D1286,".",F1286,"-",G1286,".",H1286,"")</f>
        <v>2.1-4.1</v>
      </c>
      <c r="B1286" s="89" t="str">
        <f>IF(CONCATENATE(I1286,Key!F$2)=CONCATENATE(INDEX(Dashboard!J:J,MATCH(I1286,Dashboard!J:J,0),1),INDEX(Dashboard!J:K,MATCH(I1286,Dashboard!J:J,0),2)),"ON",IF(Dashboard!K$32="ALL","ON","-"))</f>
        <v>-</v>
      </c>
      <c r="C1286" s="88" t="s">
        <v>152</v>
      </c>
      <c r="D1286" s="89">
        <f>IF(C1286="ID",1,(IF(C1286="PR",2,(IF(C1286="DE",3,(IF(C1286="RS",4,(IF(C1286="RC",5,0)))))))))</f>
        <v>2</v>
      </c>
      <c r="E1286" s="89" t="s">
        <v>153</v>
      </c>
      <c r="F1286" s="89">
        <f>IF(E1286="AM",1,(IF(E1286="BE",2,(IF(E1286="GV",3,(IF(E1286="RA",4,(IF(E1286="RM",5,(IF(E1286="AC",1,(IF(E1286="AT",2,(IF(E1286="DS",3,(IF(E1286="IP",4,(IF(E1286="MA",5,(IF(E1286="PT",6,(IF(E1286="AE",1,(IF(E1286="CM",2,(IF(E1286="DP",3,(IF(E1286="AN",1,(IF(E1286="CO",2,(IF(E1286="IM",3,(IF(E1286="MI",4,(IF(E1286="RP",5,(IF(E1286="SC",6,0)))))))))))))))))))))))))))))))))))))))</f>
        <v>1</v>
      </c>
      <c r="G1286" s="52">
        <v>4</v>
      </c>
      <c r="H1286" s="90" t="s">
        <v>115</v>
      </c>
      <c r="I1286" s="94" t="s">
        <v>77</v>
      </c>
      <c r="J1286" s="87" t="s">
        <v>1233</v>
      </c>
      <c r="K1286" s="102" t="s">
        <v>2253</v>
      </c>
      <c r="L1286" s="117">
        <f>IF(O1286="","",N1286*O1286*M1286)</f>
        <v>0</v>
      </c>
      <c r="M1286" s="108">
        <v>1</v>
      </c>
      <c r="N1286" s="95">
        <v>1</v>
      </c>
      <c r="O1286" s="109">
        <f>IF(Key!D$1="ON",P1286,IF(SUM(Q1286:DL1286)&lt;1,"",SUM(Q1286:DL1286)/COUNTIF(Q1286:DL1286,"&gt;0")))</f>
        <v>0</v>
      </c>
      <c r="P1286" s="109">
        <f>SUMIFS(Q1286:DK1286,Q$1:DK$1,Dashboard!$K$31)</f>
        <v>0</v>
      </c>
      <c r="U1286" s="95">
        <v>33</v>
      </c>
      <c r="AA1286" s="95">
        <v>25</v>
      </c>
      <c r="AH1286" s="95">
        <v>75</v>
      </c>
    </row>
    <row r="1287" spans="1:34" x14ac:dyDescent="0.3">
      <c r="A1287" s="89" t="str">
        <f>CONCATENATE(D1287,".",F1287,"-",G1287,".",H1287,"")</f>
        <v>2.1-4.1</v>
      </c>
      <c r="B1287" s="89" t="str">
        <f>IF(CONCATENATE(I1287,Key!F$2)=CONCATENATE(INDEX(Dashboard!J:J,MATCH(I1287,Dashboard!J:J,0),1),INDEX(Dashboard!J:K,MATCH(I1287,Dashboard!J:J,0),2)),"ON",IF(Dashboard!K$32="ALL","ON","-"))</f>
        <v>-</v>
      </c>
      <c r="C1287" s="88" t="s">
        <v>152</v>
      </c>
      <c r="D1287" s="89">
        <f>IF(C1287="ID",1,(IF(C1287="PR",2,(IF(C1287="DE",3,(IF(C1287="RS",4,(IF(C1287="RC",5,0)))))))))</f>
        <v>2</v>
      </c>
      <c r="E1287" s="89" t="s">
        <v>153</v>
      </c>
      <c r="F1287" s="89">
        <f>IF(E1287="AM",1,(IF(E1287="BE",2,(IF(E1287="GV",3,(IF(E1287="RA",4,(IF(E1287="RM",5,(IF(E1287="AC",1,(IF(E1287="AT",2,(IF(E1287="DS",3,(IF(E1287="IP",4,(IF(E1287="MA",5,(IF(E1287="PT",6,(IF(E1287="AE",1,(IF(E1287="CM",2,(IF(E1287="DP",3,(IF(E1287="AN",1,(IF(E1287="CO",2,(IF(E1287="IM",3,(IF(E1287="MI",4,(IF(E1287="RP",5,(IF(E1287="SC",6,0)))))))))))))))))))))))))))))))))))))))</f>
        <v>1</v>
      </c>
      <c r="G1287" s="52">
        <v>4</v>
      </c>
      <c r="H1287" s="90" t="s">
        <v>115</v>
      </c>
      <c r="I1287" s="94" t="s">
        <v>77</v>
      </c>
      <c r="J1287" s="87" t="s">
        <v>1234</v>
      </c>
      <c r="K1287" s="102" t="s">
        <v>2254</v>
      </c>
      <c r="L1287" s="117">
        <f>IF(O1287="","",N1287*O1287*M1287)</f>
        <v>0</v>
      </c>
      <c r="M1287" s="108">
        <v>1</v>
      </c>
      <c r="N1287" s="95">
        <v>1</v>
      </c>
      <c r="O1287" s="109">
        <f>IF(Key!D$1="ON",P1287,IF(SUM(Q1287:DL1287)&lt;1,"",SUM(Q1287:DL1287)/COUNTIF(Q1287:DL1287,"&gt;0")))</f>
        <v>0</v>
      </c>
      <c r="P1287" s="109">
        <f>SUMIFS(Q1287:DK1287,Q$1:DK$1,Dashboard!$K$31)</f>
        <v>0</v>
      </c>
      <c r="U1287" s="95">
        <v>33</v>
      </c>
      <c r="AA1287" s="95">
        <v>25</v>
      </c>
      <c r="AH1287" s="95">
        <v>75</v>
      </c>
    </row>
    <row r="1288" spans="1:34" ht="15.6" x14ac:dyDescent="0.3">
      <c r="A1288" s="89" t="str">
        <f>CONCATENATE(D1288,".",F1288,"-",G1288,".",H1288,"")</f>
        <v>2.1-4.1</v>
      </c>
      <c r="B1288" s="89" t="str">
        <f>IF(CONCATENATE(I1288,Key!F$2)=CONCATENATE(INDEX(Dashboard!J:J,MATCH(I1288,Dashboard!J:J,0),1),INDEX(Dashboard!J:K,MATCH(I1288,Dashboard!J:J,0),2)),"ON",IF(Dashboard!K$32="ALL","ON","-"))</f>
        <v>-</v>
      </c>
      <c r="C1288" s="88" t="s">
        <v>152</v>
      </c>
      <c r="D1288" s="89">
        <f>IF(C1288="ID",1,(IF(C1288="PR",2,(IF(C1288="DE",3,(IF(C1288="RS",4,(IF(C1288="RC",5,0)))))))))</f>
        <v>2</v>
      </c>
      <c r="E1288" s="89" t="s">
        <v>153</v>
      </c>
      <c r="F1288" s="89">
        <f>IF(E1288="AM",1,(IF(E1288="BE",2,(IF(E1288="GV",3,(IF(E1288="RA",4,(IF(E1288="RM",5,(IF(E1288="AC",1,(IF(E1288="AT",2,(IF(E1288="DS",3,(IF(E1288="IP",4,(IF(E1288="MA",5,(IF(E1288="PT",6,(IF(E1288="AE",1,(IF(E1288="CM",2,(IF(E1288="DP",3,(IF(E1288="AN",1,(IF(E1288="CO",2,(IF(E1288="IM",3,(IF(E1288="MI",4,(IF(E1288="RP",5,(IF(E1288="SC",6,0)))))))))))))))))))))))))))))))))))))))</f>
        <v>1</v>
      </c>
      <c r="G1288" s="52">
        <v>4</v>
      </c>
      <c r="H1288" s="90" t="s">
        <v>115</v>
      </c>
      <c r="I1288" s="94" t="s">
        <v>77</v>
      </c>
      <c r="J1288" s="87" t="s">
        <v>1235</v>
      </c>
      <c r="K1288" s="102" t="s">
        <v>2255</v>
      </c>
      <c r="L1288" s="117">
        <f>IF(O1288="","",N1288*O1288*M1288)</f>
        <v>0</v>
      </c>
      <c r="M1288" s="108">
        <v>1</v>
      </c>
      <c r="N1288" s="95">
        <v>1</v>
      </c>
      <c r="O1288" s="109">
        <f>IF(Key!D$1="ON",P1288,IF(SUM(Q1288:DL1288)&lt;1,"",SUM(Q1288:DL1288)/COUNTIF(Q1288:DL1288,"&gt;0")))</f>
        <v>0</v>
      </c>
      <c r="P1288" s="109">
        <f>SUMIFS(Q1288:DK1288,Q$1:DK$1,Dashboard!$K$31)</f>
        <v>0</v>
      </c>
      <c r="U1288" s="95">
        <v>33</v>
      </c>
      <c r="AA1288" s="95">
        <v>25</v>
      </c>
      <c r="AH1288" s="95">
        <v>75</v>
      </c>
    </row>
    <row r="1289" spans="1:34" x14ac:dyDescent="0.3">
      <c r="A1289" s="89" t="str">
        <f>CONCATENATE(D1289,".",F1289,"-",G1289,".",H1289,"")</f>
        <v>2.1-4.1</v>
      </c>
      <c r="B1289" s="89" t="str">
        <f>IF(CONCATENATE(I1289,Key!F$2)=CONCATENATE(INDEX(Dashboard!J:J,MATCH(I1289,Dashboard!J:J,0),1),INDEX(Dashboard!J:K,MATCH(I1289,Dashboard!J:J,0),2)),"ON",IF(Dashboard!K$32="ALL","ON","-"))</f>
        <v>-</v>
      </c>
      <c r="C1289" s="96" t="s">
        <v>152</v>
      </c>
      <c r="D1289" s="89">
        <f>IF(C1289="ID",1,(IF(C1289="PR",2,(IF(C1289="DE",3,(IF(C1289="RS",4,(IF(C1289="RC",5,0)))))))))</f>
        <v>2</v>
      </c>
      <c r="E1289" s="89" t="s">
        <v>153</v>
      </c>
      <c r="F1289" s="89">
        <f>IF(E1289="AM",1,(IF(E1289="BE",2,(IF(E1289="GV",3,(IF(E1289="RA",4,(IF(E1289="RM",5,(IF(E1289="AC",1,(IF(E1289="AT",2,(IF(E1289="DS",3,(IF(E1289="IP",4,(IF(E1289="MA",5,(IF(E1289="PT",6,(IF(E1289="AE",1,(IF(E1289="CM",2,(IF(E1289="DP",3,(IF(E1289="AN",1,(IF(E1289="CO",2,(IF(E1289="IM",3,(IF(E1289="MI",4,(IF(E1289="RP",5,(IF(E1289="SC",6,0)))))))))))))))))))))))))))))))))))))))</f>
        <v>1</v>
      </c>
      <c r="G1289" s="98">
        <v>4</v>
      </c>
      <c r="H1289" s="90" t="s">
        <v>115</v>
      </c>
      <c r="I1289" s="94" t="s">
        <v>77</v>
      </c>
      <c r="J1289" s="87" t="s">
        <v>1236</v>
      </c>
      <c r="K1289" s="102" t="s">
        <v>2256</v>
      </c>
      <c r="L1289" s="117">
        <f>IF(O1289="","",N1289*O1289*M1289)</f>
        <v>0</v>
      </c>
      <c r="M1289" s="108">
        <v>1</v>
      </c>
      <c r="N1289" s="95">
        <v>1</v>
      </c>
      <c r="O1289" s="109">
        <f>IF(Key!D$1="ON",P1289,IF(SUM(Q1289:DL1289)&lt;1,"",SUM(Q1289:DL1289)/COUNTIF(Q1289:DL1289,"&gt;0")))</f>
        <v>0</v>
      </c>
      <c r="P1289" s="109">
        <f>SUMIFS(Q1289:DK1289,Q$1:DK$1,Dashboard!$K$31)</f>
        <v>0</v>
      </c>
      <c r="U1289" s="95">
        <v>33</v>
      </c>
      <c r="AA1289" s="95">
        <v>25</v>
      </c>
      <c r="AH1289" s="95">
        <v>75</v>
      </c>
    </row>
    <row r="1290" spans="1:34" x14ac:dyDescent="0.3">
      <c r="A1290" s="89" t="str">
        <f>CONCATENATE(D1290,".",F1290,"-",G1290,".",H1290,"")</f>
        <v>2.1-4.1</v>
      </c>
      <c r="B1290" s="89" t="str">
        <f>IF(CONCATENATE(I1290,Key!F$2)=CONCATENATE(INDEX(Dashboard!J:J,MATCH(I1290,Dashboard!J:J,0),1),INDEX(Dashboard!J:K,MATCH(I1290,Dashboard!J:J,0),2)),"ON",IF(Dashboard!K$32="ALL","ON","-"))</f>
        <v>-</v>
      </c>
      <c r="C1290" s="88" t="s">
        <v>152</v>
      </c>
      <c r="D1290" s="89">
        <f>IF(C1290="ID",1,(IF(C1290="PR",2,(IF(C1290="DE",3,(IF(C1290="RS",4,(IF(C1290="RC",5,0)))))))))</f>
        <v>2</v>
      </c>
      <c r="E1290" s="89" t="s">
        <v>153</v>
      </c>
      <c r="F1290" s="89">
        <f>IF(E1290="AM",1,(IF(E1290="BE",2,(IF(E1290="GV",3,(IF(E1290="RA",4,(IF(E1290="RM",5,(IF(E1290="AC",1,(IF(E1290="AT",2,(IF(E1290="DS",3,(IF(E1290="IP",4,(IF(E1290="MA",5,(IF(E1290="PT",6,(IF(E1290="AE",1,(IF(E1290="CM",2,(IF(E1290="DP",3,(IF(E1290="AN",1,(IF(E1290="CO",2,(IF(E1290="IM",3,(IF(E1290="MI",4,(IF(E1290="RP",5,(IF(E1290="SC",6,0)))))))))))))))))))))))))))))))))))))))</f>
        <v>1</v>
      </c>
      <c r="G1290" s="52">
        <v>4</v>
      </c>
      <c r="H1290" s="90" t="s">
        <v>115</v>
      </c>
      <c r="I1290" s="94" t="s">
        <v>77</v>
      </c>
      <c r="J1290" s="87" t="s">
        <v>1238</v>
      </c>
      <c r="K1290" s="102" t="s">
        <v>2257</v>
      </c>
      <c r="L1290" s="117">
        <f>IF(O1290="","",N1290*O1290*M1290)</f>
        <v>0</v>
      </c>
      <c r="M1290" s="108">
        <v>1</v>
      </c>
      <c r="N1290" s="95">
        <v>1</v>
      </c>
      <c r="O1290" s="109">
        <f>IF(Key!D$1="ON",P1290,IF(SUM(Q1290:DL1290)&lt;1,"",SUM(Q1290:DL1290)/COUNTIF(Q1290:DL1290,"&gt;0")))</f>
        <v>0</v>
      </c>
      <c r="P1290" s="109">
        <f>SUMIFS(Q1290:DK1290,Q$1:DK$1,Dashboard!$K$31)</f>
        <v>0</v>
      </c>
      <c r="U1290" s="95">
        <v>33</v>
      </c>
      <c r="AA1290" s="95">
        <v>25</v>
      </c>
      <c r="AH1290" s="95">
        <v>75</v>
      </c>
    </row>
    <row r="1291" spans="1:34" ht="15.6" x14ac:dyDescent="0.3">
      <c r="A1291" s="89" t="str">
        <f>CONCATENATE(D1291,".",F1291,"-",G1291,".",H1291,"")</f>
        <v>2.1-4.1</v>
      </c>
      <c r="B1291" s="89" t="str">
        <f>IF(CONCATENATE(I1291,Key!F$2)=CONCATENATE(INDEX(Dashboard!J:J,MATCH(I1291,Dashboard!J:J,0),1),INDEX(Dashboard!J:K,MATCH(I1291,Dashboard!J:J,0),2)),"ON",IF(Dashboard!K$32="ALL","ON","-"))</f>
        <v>-</v>
      </c>
      <c r="C1291" s="88" t="s">
        <v>152</v>
      </c>
      <c r="D1291" s="89">
        <f>IF(C1291="ID",1,(IF(C1291="PR",2,(IF(C1291="DE",3,(IF(C1291="RS",4,(IF(C1291="RC",5,0)))))))))</f>
        <v>2</v>
      </c>
      <c r="E1291" s="89" t="s">
        <v>153</v>
      </c>
      <c r="F1291" s="89">
        <f>IF(E1291="AM",1,(IF(E1291="BE",2,(IF(E1291="GV",3,(IF(E1291="RA",4,(IF(E1291="RM",5,(IF(E1291="AC",1,(IF(E1291="AT",2,(IF(E1291="DS",3,(IF(E1291="IP",4,(IF(E1291="MA",5,(IF(E1291="PT",6,(IF(E1291="AE",1,(IF(E1291="CM",2,(IF(E1291="DP",3,(IF(E1291="AN",1,(IF(E1291="CO",2,(IF(E1291="IM",3,(IF(E1291="MI",4,(IF(E1291="RP",5,(IF(E1291="SC",6,0)))))))))))))))))))))))))))))))))))))))</f>
        <v>1</v>
      </c>
      <c r="G1291" s="52">
        <v>4</v>
      </c>
      <c r="H1291" s="90" t="s">
        <v>115</v>
      </c>
      <c r="I1291" s="94" t="s">
        <v>77</v>
      </c>
      <c r="J1291" s="87" t="s">
        <v>1239</v>
      </c>
      <c r="K1291" s="102" t="s">
        <v>2258</v>
      </c>
      <c r="L1291" s="117">
        <f>IF(O1291="","",N1291*O1291*M1291)</f>
        <v>0</v>
      </c>
      <c r="M1291" s="108">
        <v>1</v>
      </c>
      <c r="N1291" s="95">
        <v>1</v>
      </c>
      <c r="O1291" s="109">
        <f>IF(Key!D$1="ON",P1291,IF(SUM(Q1291:DL1291)&lt;1,"",SUM(Q1291:DL1291)/COUNTIF(Q1291:DL1291,"&gt;0")))</f>
        <v>0</v>
      </c>
      <c r="P1291" s="109">
        <f>SUMIFS(Q1291:DK1291,Q$1:DK$1,Dashboard!$K$31)</f>
        <v>0</v>
      </c>
      <c r="U1291" s="95">
        <v>33</v>
      </c>
      <c r="AA1291" s="95">
        <v>25</v>
      </c>
      <c r="AH1291" s="95">
        <v>75</v>
      </c>
    </row>
    <row r="1292" spans="1:34" x14ac:dyDescent="0.3">
      <c r="A1292" s="89" t="str">
        <f>CONCATENATE(D1292,".",F1292,"-",G1292,".",H1292,"")</f>
        <v>2.1-4.1</v>
      </c>
      <c r="B1292" s="89" t="str">
        <f>IF(CONCATENATE(I1292,Key!F$2)=CONCATENATE(INDEX(Dashboard!J:J,MATCH(I1292,Dashboard!J:J,0),1),INDEX(Dashboard!J:K,MATCH(I1292,Dashboard!J:J,0),2)),"ON",IF(Dashboard!K$32="ALL","ON","-"))</f>
        <v>-</v>
      </c>
      <c r="C1292" s="96" t="s">
        <v>152</v>
      </c>
      <c r="D1292" s="89">
        <f>IF(C1292="ID",1,(IF(C1292="PR",2,(IF(C1292="DE",3,(IF(C1292="RS",4,(IF(C1292="RC",5,0)))))))))</f>
        <v>2</v>
      </c>
      <c r="E1292" s="89" t="s">
        <v>153</v>
      </c>
      <c r="F1292" s="89">
        <f>IF(E1292="AM",1,(IF(E1292="BE",2,(IF(E1292="GV",3,(IF(E1292="RA",4,(IF(E1292="RM",5,(IF(E1292="AC",1,(IF(E1292="AT",2,(IF(E1292="DS",3,(IF(E1292="IP",4,(IF(E1292="MA",5,(IF(E1292="PT",6,(IF(E1292="AE",1,(IF(E1292="CM",2,(IF(E1292="DP",3,(IF(E1292="AN",1,(IF(E1292="CO",2,(IF(E1292="IM",3,(IF(E1292="MI",4,(IF(E1292="RP",5,(IF(E1292="SC",6,0)))))))))))))))))))))))))))))))))))))))</f>
        <v>1</v>
      </c>
      <c r="G1292" s="98">
        <v>4</v>
      </c>
      <c r="H1292" s="90" t="s">
        <v>115</v>
      </c>
      <c r="I1292" s="94" t="s">
        <v>77</v>
      </c>
      <c r="J1292" s="87" t="s">
        <v>1240</v>
      </c>
      <c r="K1292" s="102" t="s">
        <v>2259</v>
      </c>
      <c r="L1292" s="117">
        <f>IF(O1292="","",N1292*O1292*M1292)</f>
        <v>0</v>
      </c>
      <c r="M1292" s="108">
        <v>1</v>
      </c>
      <c r="N1292" s="95">
        <v>1</v>
      </c>
      <c r="O1292" s="109">
        <f>IF(Key!D$1="ON",P1292,IF(SUM(Q1292:DL1292)&lt;1,"",SUM(Q1292:DL1292)/COUNTIF(Q1292:DL1292,"&gt;0")))</f>
        <v>0</v>
      </c>
      <c r="P1292" s="109">
        <f>SUMIFS(Q1292:DK1292,Q$1:DK$1,Dashboard!$K$31)</f>
        <v>0</v>
      </c>
      <c r="U1292" s="95">
        <v>33</v>
      </c>
      <c r="AA1292" s="95">
        <v>25</v>
      </c>
      <c r="AH1292" s="95">
        <v>75</v>
      </c>
    </row>
    <row r="1293" spans="1:34" ht="15.6" x14ac:dyDescent="0.3">
      <c r="A1293" s="89" t="str">
        <f>CONCATENATE(D1293,".",F1293,"-",G1293,".",H1293,"")</f>
        <v>2.1-4.1</v>
      </c>
      <c r="B1293" s="89" t="str">
        <f>IF(CONCATENATE(I1293,Key!F$2)=CONCATENATE(INDEX(Dashboard!J:J,MATCH(I1293,Dashboard!J:J,0),1),INDEX(Dashboard!J:K,MATCH(I1293,Dashboard!J:J,0),2)),"ON",IF(Dashboard!K$32="ALL","ON","-"))</f>
        <v>-</v>
      </c>
      <c r="C1293" s="88" t="s">
        <v>152</v>
      </c>
      <c r="D1293" s="89">
        <f>IF(C1293="ID",1,(IF(C1293="PR",2,(IF(C1293="DE",3,(IF(C1293="RS",4,(IF(C1293="RC",5,0)))))))))</f>
        <v>2</v>
      </c>
      <c r="E1293" s="89" t="s">
        <v>153</v>
      </c>
      <c r="F1293" s="89">
        <f>IF(E1293="AM",1,(IF(E1293="BE",2,(IF(E1293="GV",3,(IF(E1293="RA",4,(IF(E1293="RM",5,(IF(E1293="AC",1,(IF(E1293="AT",2,(IF(E1293="DS",3,(IF(E1293="IP",4,(IF(E1293="MA",5,(IF(E1293="PT",6,(IF(E1293="AE",1,(IF(E1293="CM",2,(IF(E1293="DP",3,(IF(E1293="AN",1,(IF(E1293="CO",2,(IF(E1293="IM",3,(IF(E1293="MI",4,(IF(E1293="RP",5,(IF(E1293="SC",6,0)))))))))))))))))))))))))))))))))))))))</f>
        <v>1</v>
      </c>
      <c r="G1293" s="52">
        <v>4</v>
      </c>
      <c r="H1293" s="90" t="s">
        <v>115</v>
      </c>
      <c r="I1293" s="94" t="s">
        <v>77</v>
      </c>
      <c r="J1293" s="87" t="s">
        <v>1242</v>
      </c>
      <c r="K1293" s="102" t="s">
        <v>2260</v>
      </c>
      <c r="L1293" s="117">
        <f>IF(O1293="","",N1293*O1293*M1293)</f>
        <v>0</v>
      </c>
      <c r="M1293" s="108">
        <v>1</v>
      </c>
      <c r="N1293" s="95">
        <v>1</v>
      </c>
      <c r="O1293" s="109">
        <f>IF(Key!D$1="ON",P1293,IF(SUM(Q1293:DL1293)&lt;1,"",SUM(Q1293:DL1293)/COUNTIF(Q1293:DL1293,"&gt;0")))</f>
        <v>0</v>
      </c>
      <c r="P1293" s="109">
        <f>SUMIFS(Q1293:DK1293,Q$1:DK$1,Dashboard!$K$31)</f>
        <v>0</v>
      </c>
      <c r="U1293" s="95">
        <v>33</v>
      </c>
      <c r="AA1293" s="95">
        <v>25</v>
      </c>
      <c r="AH1293" s="95">
        <v>75</v>
      </c>
    </row>
    <row r="1294" spans="1:34" x14ac:dyDescent="0.3">
      <c r="A1294" s="89" t="str">
        <f>CONCATENATE(D1294,".",F1294,"-",G1294,".",H1294,"")</f>
        <v>2.1-4.1</v>
      </c>
      <c r="B1294" s="89" t="str">
        <f>IF(CONCATENATE(I1294,Key!F$2)=CONCATENATE(INDEX(Dashboard!J:J,MATCH(I1294,Dashboard!J:J,0),1),INDEX(Dashboard!J:K,MATCH(I1294,Dashboard!J:J,0),2)),"ON",IF(Dashboard!K$32="ALL","ON","-"))</f>
        <v>-</v>
      </c>
      <c r="C1294" s="88" t="s">
        <v>152</v>
      </c>
      <c r="D1294" s="89">
        <f>IF(C1294="ID",1,(IF(C1294="PR",2,(IF(C1294="DE",3,(IF(C1294="RS",4,(IF(C1294="RC",5,0)))))))))</f>
        <v>2</v>
      </c>
      <c r="E1294" s="89" t="s">
        <v>153</v>
      </c>
      <c r="F1294" s="89">
        <f>IF(E1294="AM",1,(IF(E1294="BE",2,(IF(E1294="GV",3,(IF(E1294="RA",4,(IF(E1294="RM",5,(IF(E1294="AC",1,(IF(E1294="AT",2,(IF(E1294="DS",3,(IF(E1294="IP",4,(IF(E1294="MA",5,(IF(E1294="PT",6,(IF(E1294="AE",1,(IF(E1294="CM",2,(IF(E1294="DP",3,(IF(E1294="AN",1,(IF(E1294="CO",2,(IF(E1294="IM",3,(IF(E1294="MI",4,(IF(E1294="RP",5,(IF(E1294="SC",6,0)))))))))))))))))))))))))))))))))))))))</f>
        <v>1</v>
      </c>
      <c r="G1294" s="52">
        <v>4</v>
      </c>
      <c r="H1294" s="90" t="s">
        <v>115</v>
      </c>
      <c r="I1294" s="94" t="s">
        <v>77</v>
      </c>
      <c r="J1294" s="87" t="s">
        <v>1243</v>
      </c>
      <c r="K1294" s="102" t="s">
        <v>2261</v>
      </c>
      <c r="L1294" s="117">
        <f>IF(O1294="","",N1294*O1294*M1294)</f>
        <v>0</v>
      </c>
      <c r="M1294" s="108">
        <v>1</v>
      </c>
      <c r="N1294" s="95">
        <v>1</v>
      </c>
      <c r="O1294" s="109">
        <f>IF(Key!D$1="ON",P1294,IF(SUM(Q1294:DL1294)&lt;1,"",SUM(Q1294:DL1294)/COUNTIF(Q1294:DL1294,"&gt;0")))</f>
        <v>0</v>
      </c>
      <c r="P1294" s="109">
        <f>SUMIFS(Q1294:DK1294,Q$1:DK$1,Dashboard!$K$31)</f>
        <v>0</v>
      </c>
      <c r="U1294" s="95">
        <v>33</v>
      </c>
      <c r="AA1294" s="95">
        <v>25</v>
      </c>
      <c r="AH1294" s="95">
        <v>75</v>
      </c>
    </row>
    <row r="1295" spans="1:34" ht="15.6" x14ac:dyDescent="0.3">
      <c r="A1295" s="89" t="str">
        <f>CONCATENATE(D1295,".",F1295,"-",G1295,".",H1295,"")</f>
        <v>2.1-4.1</v>
      </c>
      <c r="B1295" s="89" t="str">
        <f>IF(CONCATENATE(I1295,Key!F$2)=CONCATENATE(INDEX(Dashboard!J:J,MATCH(I1295,Dashboard!J:J,0),1),INDEX(Dashboard!J:K,MATCH(I1295,Dashboard!J:J,0),2)),"ON",IF(Dashboard!K$32="ALL","ON","-"))</f>
        <v>-</v>
      </c>
      <c r="C1295" s="88" t="s">
        <v>152</v>
      </c>
      <c r="D1295" s="89">
        <f>IF(C1295="ID",1,(IF(C1295="PR",2,(IF(C1295="DE",3,(IF(C1295="RS",4,(IF(C1295="RC",5,0)))))))))</f>
        <v>2</v>
      </c>
      <c r="E1295" s="89" t="s">
        <v>153</v>
      </c>
      <c r="F1295" s="89">
        <f>IF(E1295="AM",1,(IF(E1295="BE",2,(IF(E1295="GV",3,(IF(E1295="RA",4,(IF(E1295="RM",5,(IF(E1295="AC",1,(IF(E1295="AT",2,(IF(E1295="DS",3,(IF(E1295="IP",4,(IF(E1295="MA",5,(IF(E1295="PT",6,(IF(E1295="AE",1,(IF(E1295="CM",2,(IF(E1295="DP",3,(IF(E1295="AN",1,(IF(E1295="CO",2,(IF(E1295="IM",3,(IF(E1295="MI",4,(IF(E1295="RP",5,(IF(E1295="SC",6,0)))))))))))))))))))))))))))))))))))))))</f>
        <v>1</v>
      </c>
      <c r="G1295" s="52">
        <v>4</v>
      </c>
      <c r="H1295" s="90" t="s">
        <v>115</v>
      </c>
      <c r="I1295" s="94" t="s">
        <v>77</v>
      </c>
      <c r="J1295" s="87" t="s">
        <v>1244</v>
      </c>
      <c r="K1295" s="102" t="s">
        <v>2262</v>
      </c>
      <c r="L1295" s="117">
        <f>IF(O1295="","",N1295*O1295*M1295)</f>
        <v>0</v>
      </c>
      <c r="M1295" s="108">
        <v>1</v>
      </c>
      <c r="N1295" s="95">
        <v>1</v>
      </c>
      <c r="O1295" s="109">
        <f>IF(Key!D$1="ON",P1295,IF(SUM(Q1295:DL1295)&lt;1,"",SUM(Q1295:DL1295)/COUNTIF(Q1295:DL1295,"&gt;0")))</f>
        <v>0</v>
      </c>
      <c r="P1295" s="109">
        <f>SUMIFS(Q1295:DK1295,Q$1:DK$1,Dashboard!$K$31)</f>
        <v>0</v>
      </c>
      <c r="U1295" s="95">
        <v>33</v>
      </c>
      <c r="AA1295" s="95">
        <v>25</v>
      </c>
      <c r="AH1295" s="95">
        <v>75</v>
      </c>
    </row>
    <row r="1296" spans="1:34" x14ac:dyDescent="0.3">
      <c r="A1296" s="89" t="str">
        <f>CONCATENATE(D1296,".",F1296,"-",G1296,".",H1296,"")</f>
        <v>2.1-4.1</v>
      </c>
      <c r="B1296" s="89" t="str">
        <f>IF(CONCATENATE(I1296,Key!F$2)=CONCATENATE(INDEX(Dashboard!J:J,MATCH(I1296,Dashboard!J:J,0),1),INDEX(Dashboard!J:K,MATCH(I1296,Dashboard!J:J,0),2)),"ON",IF(Dashboard!K$32="ALL","ON","-"))</f>
        <v>-</v>
      </c>
      <c r="C1296" s="88" t="s">
        <v>152</v>
      </c>
      <c r="D1296" s="89">
        <f>IF(C1296="ID",1,(IF(C1296="PR",2,(IF(C1296="DE",3,(IF(C1296="RS",4,(IF(C1296="RC",5,0)))))))))</f>
        <v>2</v>
      </c>
      <c r="E1296" s="89" t="s">
        <v>153</v>
      </c>
      <c r="F1296" s="89">
        <f>IF(E1296="AM",1,(IF(E1296="BE",2,(IF(E1296="GV",3,(IF(E1296="RA",4,(IF(E1296="RM",5,(IF(E1296="AC",1,(IF(E1296="AT",2,(IF(E1296="DS",3,(IF(E1296="IP",4,(IF(E1296="MA",5,(IF(E1296="PT",6,(IF(E1296="AE",1,(IF(E1296="CM",2,(IF(E1296="DP",3,(IF(E1296="AN",1,(IF(E1296="CO",2,(IF(E1296="IM",3,(IF(E1296="MI",4,(IF(E1296="RP",5,(IF(E1296="SC",6,0)))))))))))))))))))))))))))))))))))))))</f>
        <v>1</v>
      </c>
      <c r="G1296" s="52">
        <v>4</v>
      </c>
      <c r="H1296" s="90" t="s">
        <v>115</v>
      </c>
      <c r="I1296" s="94" t="s">
        <v>77</v>
      </c>
      <c r="J1296" s="87" t="s">
        <v>1245</v>
      </c>
      <c r="K1296" s="102" t="s">
        <v>2263</v>
      </c>
      <c r="L1296" s="117">
        <f>IF(O1296="","",N1296*O1296*M1296)</f>
        <v>0</v>
      </c>
      <c r="M1296" s="108">
        <v>1</v>
      </c>
      <c r="N1296" s="95">
        <v>1</v>
      </c>
      <c r="O1296" s="109">
        <f>IF(Key!D$1="ON",P1296,IF(SUM(Q1296:DL1296)&lt;1,"",SUM(Q1296:DL1296)/COUNTIF(Q1296:DL1296,"&gt;0")))</f>
        <v>0</v>
      </c>
      <c r="P1296" s="109">
        <f>SUMIFS(Q1296:DK1296,Q$1:DK$1,Dashboard!$K$31)</f>
        <v>0</v>
      </c>
      <c r="U1296" s="95">
        <v>33</v>
      </c>
      <c r="AA1296" s="95">
        <v>25</v>
      </c>
      <c r="AH1296" s="95">
        <v>75</v>
      </c>
    </row>
    <row r="1297" spans="1:34" x14ac:dyDescent="0.3">
      <c r="A1297" s="89" t="str">
        <f>CONCATENATE(D1297,".",F1297,"-",G1297,".",H1297,"")</f>
        <v>2.1-4.1</v>
      </c>
      <c r="B1297" s="89" t="str">
        <f>IF(CONCATENATE(I1297,Key!F$2)=CONCATENATE(INDEX(Dashboard!J:J,MATCH(I1297,Dashboard!J:J,0),1),INDEX(Dashboard!J:K,MATCH(I1297,Dashboard!J:J,0),2)),"ON",IF(Dashboard!K$32="ALL","ON","-"))</f>
        <v>-</v>
      </c>
      <c r="C1297" s="88" t="s">
        <v>152</v>
      </c>
      <c r="D1297" s="89">
        <f>IF(C1297="ID",1,(IF(C1297="PR",2,(IF(C1297="DE",3,(IF(C1297="RS",4,(IF(C1297="RC",5,0)))))))))</f>
        <v>2</v>
      </c>
      <c r="E1297" s="89" t="s">
        <v>153</v>
      </c>
      <c r="F1297" s="89">
        <f>IF(E1297="AM",1,(IF(E1297="BE",2,(IF(E1297="GV",3,(IF(E1297="RA",4,(IF(E1297="RM",5,(IF(E1297="AC",1,(IF(E1297="AT",2,(IF(E1297="DS",3,(IF(E1297="IP",4,(IF(E1297="MA",5,(IF(E1297="PT",6,(IF(E1297="AE",1,(IF(E1297="CM",2,(IF(E1297="DP",3,(IF(E1297="AN",1,(IF(E1297="CO",2,(IF(E1297="IM",3,(IF(E1297="MI",4,(IF(E1297="RP",5,(IF(E1297="SC",6,0)))))))))))))))))))))))))))))))))))))))</f>
        <v>1</v>
      </c>
      <c r="G1297" s="52">
        <v>4</v>
      </c>
      <c r="H1297" s="90" t="s">
        <v>115</v>
      </c>
      <c r="I1297" s="94" t="s">
        <v>77</v>
      </c>
      <c r="J1297" s="87" t="s">
        <v>1246</v>
      </c>
      <c r="K1297" s="102" t="s">
        <v>2264</v>
      </c>
      <c r="L1297" s="117">
        <f>IF(O1297="","",N1297*O1297*M1297)</f>
        <v>0</v>
      </c>
      <c r="M1297" s="108">
        <v>1</v>
      </c>
      <c r="N1297" s="95">
        <v>1</v>
      </c>
      <c r="O1297" s="109">
        <f>IF(Key!D$1="ON",P1297,IF(SUM(Q1297:DL1297)&lt;1,"",SUM(Q1297:DL1297)/COUNTIF(Q1297:DL1297,"&gt;0")))</f>
        <v>0</v>
      </c>
      <c r="P1297" s="109">
        <f>SUMIFS(Q1297:DK1297,Q$1:DK$1,Dashboard!$K$31)</f>
        <v>0</v>
      </c>
      <c r="U1297" s="95">
        <v>33</v>
      </c>
      <c r="AA1297" s="95">
        <v>25</v>
      </c>
      <c r="AH1297" s="95">
        <v>75</v>
      </c>
    </row>
    <row r="1298" spans="1:34" x14ac:dyDescent="0.3">
      <c r="A1298" s="89" t="str">
        <f>CONCATENATE(D1298,".",F1298,"-",G1298,".",H1298,"")</f>
        <v>2.1-4.1</v>
      </c>
      <c r="B1298" s="89" t="str">
        <f>IF(CONCATENATE(I1298,Key!F$2)=CONCATENATE(INDEX(Dashboard!J:J,MATCH(I1298,Dashboard!J:J,0),1),INDEX(Dashboard!J:K,MATCH(I1298,Dashboard!J:J,0),2)),"ON",IF(Dashboard!K$32="ALL","ON","-"))</f>
        <v>-</v>
      </c>
      <c r="C1298" s="88" t="s">
        <v>152</v>
      </c>
      <c r="D1298" s="89">
        <f>IF(C1298="ID",1,(IF(C1298="PR",2,(IF(C1298="DE",3,(IF(C1298="RS",4,(IF(C1298="RC",5,0)))))))))</f>
        <v>2</v>
      </c>
      <c r="E1298" s="89" t="s">
        <v>153</v>
      </c>
      <c r="F1298" s="89">
        <f>IF(E1298="AM",1,(IF(E1298="BE",2,(IF(E1298="GV",3,(IF(E1298="RA",4,(IF(E1298="RM",5,(IF(E1298="AC",1,(IF(E1298="AT",2,(IF(E1298="DS",3,(IF(E1298="IP",4,(IF(E1298="MA",5,(IF(E1298="PT",6,(IF(E1298="AE",1,(IF(E1298="CM",2,(IF(E1298="DP",3,(IF(E1298="AN",1,(IF(E1298="CO",2,(IF(E1298="IM",3,(IF(E1298="MI",4,(IF(E1298="RP",5,(IF(E1298="SC",6,0)))))))))))))))))))))))))))))))))))))))</f>
        <v>1</v>
      </c>
      <c r="G1298" s="52">
        <v>4</v>
      </c>
      <c r="H1298" s="90" t="s">
        <v>115</v>
      </c>
      <c r="I1298" s="94" t="s">
        <v>77</v>
      </c>
      <c r="J1298" s="87" t="s">
        <v>1247</v>
      </c>
      <c r="K1298" s="102" t="s">
        <v>2265</v>
      </c>
      <c r="L1298" s="117">
        <f>IF(O1298="","",N1298*O1298*M1298)</f>
        <v>0</v>
      </c>
      <c r="M1298" s="108">
        <v>1</v>
      </c>
      <c r="N1298" s="95">
        <v>1</v>
      </c>
      <c r="O1298" s="109">
        <f>IF(Key!D$1="ON",P1298,IF(SUM(Q1298:DL1298)&lt;1,"",SUM(Q1298:DL1298)/COUNTIF(Q1298:DL1298,"&gt;0")))</f>
        <v>0</v>
      </c>
      <c r="P1298" s="109">
        <f>SUMIFS(Q1298:DK1298,Q$1:DK$1,Dashboard!$K$31)</f>
        <v>0</v>
      </c>
      <c r="U1298" s="95">
        <v>33</v>
      </c>
      <c r="AA1298" s="95">
        <v>25</v>
      </c>
      <c r="AH1298" s="95">
        <v>75</v>
      </c>
    </row>
    <row r="1299" spans="1:34" x14ac:dyDescent="0.3">
      <c r="A1299" s="89" t="str">
        <f>CONCATENATE(D1299,".",F1299,"-",G1299,".",H1299,"")</f>
        <v>2.1-4.1</v>
      </c>
      <c r="B1299" s="89" t="str">
        <f>IF(CONCATENATE(I1299,Key!F$2)=CONCATENATE(INDEX(Dashboard!J:J,MATCH(I1299,Dashboard!J:J,0),1),INDEX(Dashboard!J:K,MATCH(I1299,Dashboard!J:J,0),2)),"ON",IF(Dashboard!K$32="ALL","ON","-"))</f>
        <v>-</v>
      </c>
      <c r="C1299" s="88" t="s">
        <v>152</v>
      </c>
      <c r="D1299" s="89">
        <f>IF(C1299="ID",1,(IF(C1299="PR",2,(IF(C1299="DE",3,(IF(C1299="RS",4,(IF(C1299="RC",5,0)))))))))</f>
        <v>2</v>
      </c>
      <c r="E1299" s="89" t="s">
        <v>153</v>
      </c>
      <c r="F1299" s="89">
        <f>IF(E1299="AM",1,(IF(E1299="BE",2,(IF(E1299="GV",3,(IF(E1299="RA",4,(IF(E1299="RM",5,(IF(E1299="AC",1,(IF(E1299="AT",2,(IF(E1299="DS",3,(IF(E1299="IP",4,(IF(E1299="MA",5,(IF(E1299="PT",6,(IF(E1299="AE",1,(IF(E1299="CM",2,(IF(E1299="DP",3,(IF(E1299="AN",1,(IF(E1299="CO",2,(IF(E1299="IM",3,(IF(E1299="MI",4,(IF(E1299="RP",5,(IF(E1299="SC",6,0)))))))))))))))))))))))))))))))))))))))</f>
        <v>1</v>
      </c>
      <c r="G1299" s="52">
        <v>4</v>
      </c>
      <c r="H1299" s="90" t="s">
        <v>115</v>
      </c>
      <c r="I1299" s="94" t="s">
        <v>77</v>
      </c>
      <c r="J1299" s="87" t="s">
        <v>1248</v>
      </c>
      <c r="K1299" s="103" t="s">
        <v>2266</v>
      </c>
      <c r="L1299" s="117">
        <f>IF(O1299="","",N1299*O1299*M1299)</f>
        <v>0</v>
      </c>
      <c r="M1299" s="108">
        <v>1</v>
      </c>
      <c r="N1299" s="95">
        <v>1</v>
      </c>
      <c r="O1299" s="109">
        <f>IF(Key!D$1="ON",P1299,IF(SUM(Q1299:DL1299)&lt;1,"",SUM(Q1299:DL1299)/COUNTIF(Q1299:DL1299,"&gt;0")))</f>
        <v>0</v>
      </c>
      <c r="P1299" s="109">
        <f>SUMIFS(Q1299:DK1299,Q$1:DK$1,Dashboard!$K$31)</f>
        <v>0</v>
      </c>
      <c r="U1299" s="95">
        <v>33</v>
      </c>
      <c r="AA1299" s="95">
        <v>25</v>
      </c>
      <c r="AH1299" s="95">
        <v>75</v>
      </c>
    </row>
    <row r="1300" spans="1:34" x14ac:dyDescent="0.3">
      <c r="A1300" s="89" t="str">
        <f>CONCATENATE(D1300,".",F1300,"-",G1300,".",H1300,"")</f>
        <v>2.1-4.1</v>
      </c>
      <c r="B1300" s="89" t="str">
        <f>IF(CONCATENATE(I1300,Key!F$2)=CONCATENATE(INDEX(Dashboard!J:J,MATCH(I1300,Dashboard!J:J,0),1),INDEX(Dashboard!J:K,MATCH(I1300,Dashboard!J:J,0),2)),"ON",IF(Dashboard!K$32="ALL","ON","-"))</f>
        <v>-</v>
      </c>
      <c r="C1300" s="88" t="s">
        <v>152</v>
      </c>
      <c r="D1300" s="89">
        <f>IF(C1300="ID",1,(IF(C1300="PR",2,(IF(C1300="DE",3,(IF(C1300="RS",4,(IF(C1300="RC",5,0)))))))))</f>
        <v>2</v>
      </c>
      <c r="E1300" s="89" t="s">
        <v>153</v>
      </c>
      <c r="F1300" s="89">
        <f>IF(E1300="AM",1,(IF(E1300="BE",2,(IF(E1300="GV",3,(IF(E1300="RA",4,(IF(E1300="RM",5,(IF(E1300="AC",1,(IF(E1300="AT",2,(IF(E1300="DS",3,(IF(E1300="IP",4,(IF(E1300="MA",5,(IF(E1300="PT",6,(IF(E1300="AE",1,(IF(E1300="CM",2,(IF(E1300="DP",3,(IF(E1300="AN",1,(IF(E1300="CO",2,(IF(E1300="IM",3,(IF(E1300="MI",4,(IF(E1300="RP",5,(IF(E1300="SC",6,0)))))))))))))))))))))))))))))))))))))))</f>
        <v>1</v>
      </c>
      <c r="G1300" s="52">
        <v>4</v>
      </c>
      <c r="H1300" s="90" t="s">
        <v>115</v>
      </c>
      <c r="I1300" s="94" t="s">
        <v>77</v>
      </c>
      <c r="J1300" s="87" t="s">
        <v>1249</v>
      </c>
      <c r="K1300" s="102" t="s">
        <v>2267</v>
      </c>
      <c r="L1300" s="117">
        <f>IF(O1300="","",N1300*O1300*M1300)</f>
        <v>0</v>
      </c>
      <c r="M1300" s="108">
        <v>1</v>
      </c>
      <c r="N1300" s="95">
        <v>1</v>
      </c>
      <c r="O1300" s="109">
        <f>IF(Key!D$1="ON",P1300,IF(SUM(Q1300:DL1300)&lt;1,"",SUM(Q1300:DL1300)/COUNTIF(Q1300:DL1300,"&gt;0")))</f>
        <v>0</v>
      </c>
      <c r="P1300" s="109">
        <f>SUMIFS(Q1300:DK1300,Q$1:DK$1,Dashboard!$K$31)</f>
        <v>0</v>
      </c>
      <c r="U1300" s="95">
        <v>33</v>
      </c>
      <c r="AA1300" s="95">
        <v>25</v>
      </c>
      <c r="AH1300" s="95">
        <v>75</v>
      </c>
    </row>
    <row r="1301" spans="1:34" x14ac:dyDescent="0.3">
      <c r="A1301" s="89" t="str">
        <f>CONCATENATE(D1301,".",F1301,"-",G1301,".",H1301,"")</f>
        <v>2.1-4.1</v>
      </c>
      <c r="B1301" s="89" t="str">
        <f>IF(CONCATENATE(I1301,Key!F$2)=CONCATENATE(INDEX(Dashboard!J:J,MATCH(I1301,Dashboard!J:J,0),1),INDEX(Dashboard!J:K,MATCH(I1301,Dashboard!J:J,0),2)),"ON",IF(Dashboard!K$32="ALL","ON","-"))</f>
        <v>-</v>
      </c>
      <c r="C1301" s="88" t="s">
        <v>152</v>
      </c>
      <c r="D1301" s="89">
        <f>IF(C1301="ID",1,(IF(C1301="PR",2,(IF(C1301="DE",3,(IF(C1301="RS",4,(IF(C1301="RC",5,0)))))))))</f>
        <v>2</v>
      </c>
      <c r="E1301" s="89" t="s">
        <v>153</v>
      </c>
      <c r="F1301" s="89">
        <f>IF(E1301="AM",1,(IF(E1301="BE",2,(IF(E1301="GV",3,(IF(E1301="RA",4,(IF(E1301="RM",5,(IF(E1301="AC",1,(IF(E1301="AT",2,(IF(E1301="DS",3,(IF(E1301="IP",4,(IF(E1301="MA",5,(IF(E1301="PT",6,(IF(E1301="AE",1,(IF(E1301="CM",2,(IF(E1301="DP",3,(IF(E1301="AN",1,(IF(E1301="CO",2,(IF(E1301="IM",3,(IF(E1301="MI",4,(IF(E1301="RP",5,(IF(E1301="SC",6,0)))))))))))))))))))))))))))))))))))))))</f>
        <v>1</v>
      </c>
      <c r="G1301" s="52">
        <v>4</v>
      </c>
      <c r="H1301" s="90" t="s">
        <v>115</v>
      </c>
      <c r="I1301" s="94" t="s">
        <v>77</v>
      </c>
      <c r="J1301" s="87" t="s">
        <v>1251</v>
      </c>
      <c r="K1301" s="102" t="s">
        <v>2268</v>
      </c>
      <c r="L1301" s="117">
        <f>IF(O1301="","",N1301*O1301*M1301)</f>
        <v>0</v>
      </c>
      <c r="M1301" s="108">
        <v>1</v>
      </c>
      <c r="N1301" s="95">
        <v>1</v>
      </c>
      <c r="O1301" s="109">
        <f>IF(Key!D$1="ON",P1301,IF(SUM(Q1301:DL1301)&lt;1,"",SUM(Q1301:DL1301)/COUNTIF(Q1301:DL1301,"&gt;0")))</f>
        <v>0</v>
      </c>
      <c r="P1301" s="109">
        <f>SUMIFS(Q1301:DK1301,Q$1:DK$1,Dashboard!$K$31)</f>
        <v>0</v>
      </c>
      <c r="U1301" s="95">
        <v>33</v>
      </c>
      <c r="AA1301" s="95">
        <v>25</v>
      </c>
      <c r="AH1301" s="95">
        <v>75</v>
      </c>
    </row>
    <row r="1302" spans="1:34" x14ac:dyDescent="0.3">
      <c r="A1302" s="89" t="str">
        <f>CONCATENATE(D1302,".",F1302,"-",G1302,".",H1302,"")</f>
        <v>2.1-4.1</v>
      </c>
      <c r="B1302" s="89" t="str">
        <f>IF(CONCATENATE(I1302,Key!F$2)=CONCATENATE(INDEX(Dashboard!J:J,MATCH(I1302,Dashboard!J:J,0),1),INDEX(Dashboard!J:K,MATCH(I1302,Dashboard!J:J,0),2)),"ON",IF(Dashboard!K$32="ALL","ON","-"))</f>
        <v>-</v>
      </c>
      <c r="C1302" s="88" t="s">
        <v>152</v>
      </c>
      <c r="D1302" s="89">
        <f>IF(C1302="ID",1,(IF(C1302="PR",2,(IF(C1302="DE",3,(IF(C1302="RS",4,(IF(C1302="RC",5,0)))))))))</f>
        <v>2</v>
      </c>
      <c r="E1302" s="89" t="s">
        <v>153</v>
      </c>
      <c r="F1302" s="89">
        <f>IF(E1302="AM",1,(IF(E1302="BE",2,(IF(E1302="GV",3,(IF(E1302="RA",4,(IF(E1302="RM",5,(IF(E1302="AC",1,(IF(E1302="AT",2,(IF(E1302="DS",3,(IF(E1302="IP",4,(IF(E1302="MA",5,(IF(E1302="PT",6,(IF(E1302="AE",1,(IF(E1302="CM",2,(IF(E1302="DP",3,(IF(E1302="AN",1,(IF(E1302="CO",2,(IF(E1302="IM",3,(IF(E1302="MI",4,(IF(E1302="RP",5,(IF(E1302="SC",6,0)))))))))))))))))))))))))))))))))))))))</f>
        <v>1</v>
      </c>
      <c r="G1302" s="98">
        <v>4</v>
      </c>
      <c r="H1302" s="90" t="s">
        <v>115</v>
      </c>
      <c r="I1302" s="94" t="s">
        <v>81</v>
      </c>
      <c r="J1302" s="129" t="s">
        <v>1982</v>
      </c>
      <c r="K1302" s="103" t="s">
        <v>1983</v>
      </c>
      <c r="L1302" s="117">
        <f>IF(O1302="","",N1302*O1302*M1302)</f>
        <v>0</v>
      </c>
      <c r="M1302" s="108">
        <v>1</v>
      </c>
      <c r="N1302" s="95">
        <v>1</v>
      </c>
      <c r="O1302" s="109">
        <f>IF(Key!D$1="ON",P1302,IF(SUM(Q1302:DL1302)&lt;1,"",SUM(Q1302:DL1302)/COUNTIF(Q1302:DL1302,"&gt;0")))</f>
        <v>0</v>
      </c>
      <c r="P1302" s="109">
        <f>SUMIFS(Q1302:DK1302,Q$1:DK$1,Dashboard!$K$31)</f>
        <v>0</v>
      </c>
      <c r="U1302" s="95">
        <v>33</v>
      </c>
      <c r="AA1302" s="95">
        <v>25</v>
      </c>
      <c r="AH1302" s="95">
        <v>75</v>
      </c>
    </row>
    <row r="1303" spans="1:34" x14ac:dyDescent="0.3">
      <c r="A1303" s="89" t="str">
        <f>CONCATENATE(D1303,".",F1303,"-",G1303,".",H1303,"")</f>
        <v>2.1-4.1</v>
      </c>
      <c r="B1303" s="89" t="str">
        <f>IF(CONCATENATE(I1303,Key!F$2)=CONCATENATE(INDEX(Dashboard!J:J,MATCH(I1303,Dashboard!J:J,0),1),INDEX(Dashboard!J:K,MATCH(I1303,Dashboard!J:J,0),2)),"ON",IF(Dashboard!K$32="ALL","ON","-"))</f>
        <v>-</v>
      </c>
      <c r="C1303" s="88" t="s">
        <v>152</v>
      </c>
      <c r="D1303" s="89">
        <f>IF(C1303="ID",1,(IF(C1303="PR",2,(IF(C1303="DE",3,(IF(C1303="RS",4,(IF(C1303="RC",5,0)))))))))</f>
        <v>2</v>
      </c>
      <c r="E1303" s="89" t="s">
        <v>153</v>
      </c>
      <c r="F1303" s="89">
        <f>IF(E1303="AM",1,(IF(E1303="BE",2,(IF(E1303="GV",3,(IF(E1303="RA",4,(IF(E1303="RM",5,(IF(E1303="AC",1,(IF(E1303="AT",2,(IF(E1303="DS",3,(IF(E1303="IP",4,(IF(E1303="MA",5,(IF(E1303="PT",6,(IF(E1303="AE",1,(IF(E1303="CM",2,(IF(E1303="DP",3,(IF(E1303="AN",1,(IF(E1303="CO",2,(IF(E1303="IM",3,(IF(E1303="MI",4,(IF(E1303="RP",5,(IF(E1303="SC",6,0)))))))))))))))))))))))))))))))))))))))</f>
        <v>1</v>
      </c>
      <c r="G1303" s="98">
        <v>4</v>
      </c>
      <c r="H1303" s="90" t="s">
        <v>115</v>
      </c>
      <c r="I1303" s="94" t="s">
        <v>81</v>
      </c>
      <c r="J1303" s="129" t="s">
        <v>2004</v>
      </c>
      <c r="K1303" s="103" t="s">
        <v>2005</v>
      </c>
      <c r="L1303" s="117">
        <f>IF(O1303="","",N1303*O1303*M1303)</f>
        <v>0</v>
      </c>
      <c r="M1303" s="108">
        <v>1</v>
      </c>
      <c r="N1303" s="95">
        <v>1</v>
      </c>
      <c r="O1303" s="109">
        <f>IF(Key!D$1="ON",P1303,IF(SUM(Q1303:DL1303)&lt;1,"",SUM(Q1303:DL1303)/COUNTIF(Q1303:DL1303,"&gt;0")))</f>
        <v>0</v>
      </c>
      <c r="P1303" s="109">
        <f>SUMIFS(Q1303:DK1303,Q$1:DK$1,Dashboard!$K$31)</f>
        <v>0</v>
      </c>
      <c r="U1303" s="95">
        <v>33</v>
      </c>
      <c r="AA1303" s="95">
        <v>25</v>
      </c>
      <c r="AH1303" s="95">
        <v>75</v>
      </c>
    </row>
    <row r="1304" spans="1:34" x14ac:dyDescent="0.3">
      <c r="A1304" s="89" t="str">
        <f>CONCATENATE(D1304,".",F1304,"-",G1304,".",H1304,"")</f>
        <v>2.1-4.1</v>
      </c>
      <c r="B1304" s="89" t="str">
        <f>IF(CONCATENATE(I1304,Key!F$2)=CONCATENATE(INDEX(Dashboard!J:J,MATCH(I1304,Dashboard!J:J,0),1),INDEX(Dashboard!J:K,MATCH(I1304,Dashboard!J:J,0),2)),"ON",IF(Dashboard!K$32="ALL","ON","-"))</f>
        <v>-</v>
      </c>
      <c r="C1304" s="88" t="s">
        <v>152</v>
      </c>
      <c r="D1304" s="89">
        <f>IF(C1304="ID",1,(IF(C1304="PR",2,(IF(C1304="DE",3,(IF(C1304="RS",4,(IF(C1304="RC",5,0)))))))))</f>
        <v>2</v>
      </c>
      <c r="E1304" s="89" t="s">
        <v>153</v>
      </c>
      <c r="F1304" s="89">
        <f>IF(E1304="AM",1,(IF(E1304="BE",2,(IF(E1304="GV",3,(IF(E1304="RA",4,(IF(E1304="RM",5,(IF(E1304="AC",1,(IF(E1304="AT",2,(IF(E1304="DS",3,(IF(E1304="IP",4,(IF(E1304="MA",5,(IF(E1304="PT",6,(IF(E1304="AE",1,(IF(E1304="CM",2,(IF(E1304="DP",3,(IF(E1304="AN",1,(IF(E1304="CO",2,(IF(E1304="IM",3,(IF(E1304="MI",4,(IF(E1304="RP",5,(IF(E1304="SC",6,0)))))))))))))))))))))))))))))))))))))))</f>
        <v>1</v>
      </c>
      <c r="G1304" s="98">
        <v>4</v>
      </c>
      <c r="H1304" s="90" t="s">
        <v>115</v>
      </c>
      <c r="I1304" s="94" t="s">
        <v>81</v>
      </c>
      <c r="J1304" s="129" t="s">
        <v>1972</v>
      </c>
      <c r="K1304" s="103" t="s">
        <v>1973</v>
      </c>
      <c r="L1304" s="117">
        <f>IF(O1304="","",N1304*O1304*M1304)</f>
        <v>0</v>
      </c>
      <c r="M1304" s="108">
        <v>1</v>
      </c>
      <c r="N1304" s="95">
        <v>1</v>
      </c>
      <c r="O1304" s="109">
        <f>IF(Key!D$1="ON",P1304,IF(SUM(Q1304:DL1304)&lt;1,"",SUM(Q1304:DL1304)/COUNTIF(Q1304:DL1304,"&gt;0")))</f>
        <v>0</v>
      </c>
      <c r="P1304" s="109">
        <f>SUMIFS(Q1304:DK1304,Q$1:DK$1,Dashboard!$K$31)</f>
        <v>0</v>
      </c>
      <c r="U1304" s="95">
        <v>33</v>
      </c>
      <c r="AA1304" s="95">
        <v>25</v>
      </c>
      <c r="AH1304" s="95">
        <v>75</v>
      </c>
    </row>
    <row r="1305" spans="1:34" ht="15.6" x14ac:dyDescent="0.3">
      <c r="A1305" s="89" t="str">
        <f>CONCATENATE(D1305,".",F1305,"-",G1305,".",H1305,"")</f>
        <v>2.1-4.1</v>
      </c>
      <c r="B1305" s="89" t="str">
        <f>IF(CONCATENATE(I1305,Key!F$2)=CONCATENATE(INDEX(Dashboard!J:J,MATCH(I1305,Dashboard!J:J,0),1),INDEX(Dashboard!J:K,MATCH(I1305,Dashboard!J:J,0),2)),"ON",IF(Dashboard!K$32="ALL","ON","-"))</f>
        <v>-</v>
      </c>
      <c r="C1305" s="88" t="s">
        <v>152</v>
      </c>
      <c r="D1305" s="89">
        <f>IF(C1305="ID",1,(IF(C1305="PR",2,(IF(C1305="DE",3,(IF(C1305="RS",4,(IF(C1305="RC",5,0)))))))))</f>
        <v>2</v>
      </c>
      <c r="E1305" s="89" t="s">
        <v>153</v>
      </c>
      <c r="F1305" s="89">
        <f>IF(E1305="AM",1,(IF(E1305="BE",2,(IF(E1305="GV",3,(IF(E1305="RA",4,(IF(E1305="RM",5,(IF(E1305="AC",1,(IF(E1305="AT",2,(IF(E1305="DS",3,(IF(E1305="IP",4,(IF(E1305="MA",5,(IF(E1305="PT",6,(IF(E1305="AE",1,(IF(E1305="CM",2,(IF(E1305="DP",3,(IF(E1305="AN",1,(IF(E1305="CO",2,(IF(E1305="IM",3,(IF(E1305="MI",4,(IF(E1305="RP",5,(IF(E1305="SC",6,0)))))))))))))))))))))))))))))))))))))))</f>
        <v>1</v>
      </c>
      <c r="G1305" s="98">
        <v>4</v>
      </c>
      <c r="H1305" s="90" t="s">
        <v>115</v>
      </c>
      <c r="I1305" s="94" t="s">
        <v>81</v>
      </c>
      <c r="J1305" s="129" t="s">
        <v>1976</v>
      </c>
      <c r="K1305" s="103" t="s">
        <v>1977</v>
      </c>
      <c r="L1305" s="117">
        <f>IF(O1305="","",N1305*O1305*M1305)</f>
        <v>0</v>
      </c>
      <c r="M1305" s="108">
        <v>1</v>
      </c>
      <c r="N1305" s="95">
        <v>1</v>
      </c>
      <c r="O1305" s="109">
        <f>IF(Key!D$1="ON",P1305,IF(SUM(Q1305:DL1305)&lt;1,"",SUM(Q1305:DL1305)/COUNTIF(Q1305:DL1305,"&gt;0")))</f>
        <v>0</v>
      </c>
      <c r="P1305" s="109">
        <f>SUMIFS(Q1305:DK1305,Q$1:DK$1,Dashboard!$K$31)</f>
        <v>0</v>
      </c>
      <c r="U1305" s="95">
        <v>33</v>
      </c>
      <c r="AA1305" s="95">
        <v>25</v>
      </c>
      <c r="AH1305" s="95">
        <v>75</v>
      </c>
    </row>
    <row r="1306" spans="1:34" x14ac:dyDescent="0.3">
      <c r="A1306" s="89" t="str">
        <f>CONCATENATE(D1306,".",F1306,"-",G1306,".",H1306,"")</f>
        <v>2.1-4.1</v>
      </c>
      <c r="B1306" s="89" t="str">
        <f>IF(CONCATENATE(I1306,Key!F$2)=CONCATENATE(INDEX(Dashboard!J:J,MATCH(I1306,Dashboard!J:J,0),1),INDEX(Dashboard!J:K,MATCH(I1306,Dashboard!J:J,0),2)),"ON",IF(Dashboard!K$32="ALL","ON","-"))</f>
        <v>-</v>
      </c>
      <c r="C1306" s="88" t="s">
        <v>152</v>
      </c>
      <c r="D1306" s="89">
        <f>IF(C1306="ID",1,(IF(C1306="PR",2,(IF(C1306="DE",3,(IF(C1306="RS",4,(IF(C1306="RC",5,0)))))))))</f>
        <v>2</v>
      </c>
      <c r="E1306" s="89" t="s">
        <v>153</v>
      </c>
      <c r="F1306" s="89">
        <f>IF(E1306="AM",1,(IF(E1306="BE",2,(IF(E1306="GV",3,(IF(E1306="RA",4,(IF(E1306="RM",5,(IF(E1306="AC",1,(IF(E1306="AT",2,(IF(E1306="DS",3,(IF(E1306="IP",4,(IF(E1306="MA",5,(IF(E1306="PT",6,(IF(E1306="AE",1,(IF(E1306="CM",2,(IF(E1306="DP",3,(IF(E1306="AN",1,(IF(E1306="CO",2,(IF(E1306="IM",3,(IF(E1306="MI",4,(IF(E1306="RP",5,(IF(E1306="SC",6,0)))))))))))))))))))))))))))))))))))))))</f>
        <v>1</v>
      </c>
      <c r="G1306" s="52">
        <v>4</v>
      </c>
      <c r="H1306" s="90" t="s">
        <v>115</v>
      </c>
      <c r="I1306" s="94" t="s">
        <v>85</v>
      </c>
      <c r="J1306" s="87" t="s">
        <v>1251</v>
      </c>
      <c r="K1306" s="119" t="s">
        <v>4627</v>
      </c>
      <c r="L1306" s="117">
        <f>IF(O1306="","",N1306*O1306*M1306)</f>
        <v>0</v>
      </c>
      <c r="M1306" s="108">
        <v>1</v>
      </c>
      <c r="N1306" s="95">
        <v>1</v>
      </c>
      <c r="O1306" s="109">
        <f>IF(Key!D$1="ON",P1306,IF(SUM(Q1306:DL1306)&lt;1,"",SUM(Q1306:DL1306)/COUNTIF(Q1306:DL1306,"&gt;0")))</f>
        <v>0</v>
      </c>
      <c r="P1306" s="109">
        <f>SUMIFS(Q1306:DK1306,Q$1:DK$1,Dashboard!$K$31)</f>
        <v>0</v>
      </c>
      <c r="U1306" s="95">
        <v>33</v>
      </c>
      <c r="AA1306" s="95">
        <v>25</v>
      </c>
      <c r="AH1306" s="95">
        <v>75</v>
      </c>
    </row>
    <row r="1307" spans="1:34" x14ac:dyDescent="0.3">
      <c r="A1307" s="89" t="str">
        <f>CONCATENATE(D1307,".",F1307,"-",G1307,".",H1307,"")</f>
        <v>2.1-4.1</v>
      </c>
      <c r="B1307" s="89" t="str">
        <f>IF(CONCATENATE(I1307,Key!F$2)=CONCATENATE(INDEX(Dashboard!J:J,MATCH(I1307,Dashboard!J:J,0),1),INDEX(Dashboard!J:K,MATCH(I1307,Dashboard!J:J,0),2)),"ON",IF(Dashboard!K$32="ALL","ON","-"))</f>
        <v>-</v>
      </c>
      <c r="C1307" s="96" t="s">
        <v>152</v>
      </c>
      <c r="D1307" s="89">
        <f>IF(C1307="ID",1,(IF(C1307="PR",2,(IF(C1307="DE",3,(IF(C1307="RS",4,(IF(C1307="RC",5,0)))))))))</f>
        <v>2</v>
      </c>
      <c r="E1307" s="89" t="s">
        <v>153</v>
      </c>
      <c r="F1307" s="89">
        <f>IF(E1307="AM",1,(IF(E1307="BE",2,(IF(E1307="GV",3,(IF(E1307="RA",4,(IF(E1307="RM",5,(IF(E1307="AC",1,(IF(E1307="AT",2,(IF(E1307="DS",3,(IF(E1307="IP",4,(IF(E1307="MA",5,(IF(E1307="PT",6,(IF(E1307="AE",1,(IF(E1307="CM",2,(IF(E1307="DP",3,(IF(E1307="AN",1,(IF(E1307="CO",2,(IF(E1307="IM",3,(IF(E1307="MI",4,(IF(E1307="RP",5,(IF(E1307="SC",6,0)))))))))))))))))))))))))))))))))))))))</f>
        <v>1</v>
      </c>
      <c r="G1307" s="98">
        <v>4</v>
      </c>
      <c r="H1307" s="90" t="s">
        <v>115</v>
      </c>
      <c r="I1307" s="94" t="s">
        <v>85</v>
      </c>
      <c r="J1307" s="87" t="s">
        <v>1236</v>
      </c>
      <c r="K1307" s="119" t="s">
        <v>1237</v>
      </c>
      <c r="L1307" s="117">
        <f>IF(O1307="","",N1307*O1307*M1307)</f>
        <v>0</v>
      </c>
      <c r="M1307" s="108">
        <v>1</v>
      </c>
      <c r="N1307" s="95">
        <v>1</v>
      </c>
      <c r="O1307" s="109">
        <f>IF(Key!D$1="ON",P1307,IF(SUM(Q1307:DL1307)&lt;1,"",SUM(Q1307:DL1307)/COUNTIF(Q1307:DL1307,"&gt;0")))</f>
        <v>0</v>
      </c>
      <c r="P1307" s="109">
        <f>SUMIFS(Q1307:DK1307,Q$1:DK$1,Dashboard!$K$31)</f>
        <v>0</v>
      </c>
      <c r="U1307" s="95">
        <v>33</v>
      </c>
      <c r="AA1307" s="95">
        <v>25</v>
      </c>
      <c r="AH1307" s="95">
        <v>75</v>
      </c>
    </row>
    <row r="1308" spans="1:34" x14ac:dyDescent="0.3">
      <c r="A1308" s="89" t="str">
        <f>CONCATENATE(D1308,".",F1308,"-",G1308,".",H1308,"")</f>
        <v>2.1-4.1</v>
      </c>
      <c r="B1308" s="89" t="str">
        <f>IF(CONCATENATE(I1308,Key!F$2)=CONCATENATE(INDEX(Dashboard!J:J,MATCH(I1308,Dashboard!J:J,0),1),INDEX(Dashboard!J:K,MATCH(I1308,Dashboard!J:J,0),2)),"ON",IF(Dashboard!K$32="ALL","ON","-"))</f>
        <v>-</v>
      </c>
      <c r="C1308" s="88" t="s">
        <v>152</v>
      </c>
      <c r="D1308" s="89">
        <f>IF(C1308="ID",1,(IF(C1308="PR",2,(IF(C1308="DE",3,(IF(C1308="RS",4,(IF(C1308="RC",5,0)))))))))</f>
        <v>2</v>
      </c>
      <c r="E1308" s="89" t="s">
        <v>153</v>
      </c>
      <c r="F1308" s="89">
        <f>IF(E1308="AM",1,(IF(E1308="BE",2,(IF(E1308="GV",3,(IF(E1308="RA",4,(IF(E1308="RM",5,(IF(E1308="AC",1,(IF(E1308="AT",2,(IF(E1308="DS",3,(IF(E1308="IP",4,(IF(E1308="MA",5,(IF(E1308="PT",6,(IF(E1308="AE",1,(IF(E1308="CM",2,(IF(E1308="DP",3,(IF(E1308="AN",1,(IF(E1308="CO",2,(IF(E1308="IM",3,(IF(E1308="MI",4,(IF(E1308="RP",5,(IF(E1308="SC",6,0)))))))))))))))))))))))))))))))))))))))</f>
        <v>1</v>
      </c>
      <c r="G1308" s="52">
        <v>4</v>
      </c>
      <c r="H1308" s="90" t="s">
        <v>115</v>
      </c>
      <c r="I1308" s="94" t="s">
        <v>85</v>
      </c>
      <c r="J1308" s="87" t="s">
        <v>1233</v>
      </c>
      <c r="K1308" s="119" t="s">
        <v>4567</v>
      </c>
      <c r="L1308" s="117">
        <f>IF(O1308="","",N1308*O1308*M1308)</f>
        <v>0</v>
      </c>
      <c r="M1308" s="108">
        <v>1</v>
      </c>
      <c r="N1308" s="95">
        <v>1</v>
      </c>
      <c r="O1308" s="109">
        <f>IF(Key!D$1="ON",P1308,IF(SUM(Q1308:DL1308)&lt;1,"",SUM(Q1308:DL1308)/COUNTIF(Q1308:DL1308,"&gt;0")))</f>
        <v>0</v>
      </c>
      <c r="P1308" s="109">
        <f>SUMIFS(Q1308:DK1308,Q$1:DK$1,Dashboard!$K$31)</f>
        <v>0</v>
      </c>
      <c r="U1308" s="95">
        <v>33</v>
      </c>
      <c r="AA1308" s="95">
        <v>25</v>
      </c>
      <c r="AH1308" s="95">
        <v>75</v>
      </c>
    </row>
    <row r="1309" spans="1:34" x14ac:dyDescent="0.3">
      <c r="A1309" s="89" t="str">
        <f>CONCATENATE(D1309,".",F1309,"-",G1309,".",H1309,"")</f>
        <v>2.1-4.1</v>
      </c>
      <c r="B1309" s="89" t="str">
        <f>IF(CONCATENATE(I1309,Key!F$2)=CONCATENATE(INDEX(Dashboard!J:J,MATCH(I1309,Dashboard!J:J,0),1),INDEX(Dashboard!J:K,MATCH(I1309,Dashboard!J:J,0),2)),"ON",IF(Dashboard!K$32="ALL","ON","-"))</f>
        <v>-</v>
      </c>
      <c r="C1309" s="88" t="s">
        <v>152</v>
      </c>
      <c r="D1309" s="89">
        <f>IF(C1309="ID",1,(IF(C1309="PR",2,(IF(C1309="DE",3,(IF(C1309="RS",4,(IF(C1309="RC",5,0)))))))))</f>
        <v>2</v>
      </c>
      <c r="E1309" s="89" t="s">
        <v>153</v>
      </c>
      <c r="F1309" s="89">
        <f>IF(E1309="AM",1,(IF(E1309="BE",2,(IF(E1309="GV",3,(IF(E1309="RA",4,(IF(E1309="RM",5,(IF(E1309="AC",1,(IF(E1309="AT",2,(IF(E1309="DS",3,(IF(E1309="IP",4,(IF(E1309="MA",5,(IF(E1309="PT",6,(IF(E1309="AE",1,(IF(E1309="CM",2,(IF(E1309="DP",3,(IF(E1309="AN",1,(IF(E1309="CO",2,(IF(E1309="IM",3,(IF(E1309="MI",4,(IF(E1309="RP",5,(IF(E1309="SC",6,0)))))))))))))))))))))))))))))))))))))))</f>
        <v>1</v>
      </c>
      <c r="G1309" s="52">
        <v>4</v>
      </c>
      <c r="H1309" s="90" t="s">
        <v>115</v>
      </c>
      <c r="I1309" s="94" t="s">
        <v>85</v>
      </c>
      <c r="J1309" s="87" t="s">
        <v>1231</v>
      </c>
      <c r="K1309" s="119" t="s">
        <v>4573</v>
      </c>
      <c r="L1309" s="117">
        <f>IF(O1309="","",N1309*O1309*M1309)</f>
        <v>0</v>
      </c>
      <c r="M1309" s="108">
        <v>1</v>
      </c>
      <c r="N1309" s="95">
        <v>1</v>
      </c>
      <c r="O1309" s="109">
        <f>IF(Key!D$1="ON",P1309,IF(SUM(Q1309:DL1309)&lt;1,"",SUM(Q1309:DL1309)/COUNTIF(Q1309:DL1309,"&gt;0")))</f>
        <v>0</v>
      </c>
      <c r="P1309" s="109">
        <f>SUMIFS(Q1309:DK1309,Q$1:DK$1,Dashboard!$K$31)</f>
        <v>0</v>
      </c>
      <c r="U1309" s="95">
        <v>33</v>
      </c>
      <c r="AA1309" s="95">
        <v>25</v>
      </c>
      <c r="AH1309" s="95">
        <v>75</v>
      </c>
    </row>
    <row r="1310" spans="1:34" x14ac:dyDescent="0.3">
      <c r="A1310" s="89" t="str">
        <f>CONCATENATE(D1310,".",F1310,"-",G1310,".",H1310,"")</f>
        <v>2.1-4.1</v>
      </c>
      <c r="B1310" s="89" t="str">
        <f>IF(CONCATENATE(I1310,Key!F$2)=CONCATENATE(INDEX(Dashboard!J:J,MATCH(I1310,Dashboard!J:J,0),1),INDEX(Dashboard!J:K,MATCH(I1310,Dashboard!J:J,0),2)),"ON",IF(Dashboard!K$32="ALL","ON","-"))</f>
        <v>-</v>
      </c>
      <c r="C1310" s="88" t="s">
        <v>152</v>
      </c>
      <c r="D1310" s="89">
        <f>IF(C1310="ID",1,(IF(C1310="PR",2,(IF(C1310="DE",3,(IF(C1310="RS",4,(IF(C1310="RC",5,0)))))))))</f>
        <v>2</v>
      </c>
      <c r="E1310" s="89" t="s">
        <v>153</v>
      </c>
      <c r="F1310" s="89">
        <f>IF(E1310="AM",1,(IF(E1310="BE",2,(IF(E1310="GV",3,(IF(E1310="RA",4,(IF(E1310="RM",5,(IF(E1310="AC",1,(IF(E1310="AT",2,(IF(E1310="DS",3,(IF(E1310="IP",4,(IF(E1310="MA",5,(IF(E1310="PT",6,(IF(E1310="AE",1,(IF(E1310="CM",2,(IF(E1310="DP",3,(IF(E1310="AN",1,(IF(E1310="CO",2,(IF(E1310="IM",3,(IF(E1310="MI",4,(IF(E1310="RP",5,(IF(E1310="SC",6,0)))))))))))))))))))))))))))))))))))))))</f>
        <v>1</v>
      </c>
      <c r="G1310" s="52">
        <v>4</v>
      </c>
      <c r="H1310" s="90" t="s">
        <v>115</v>
      </c>
      <c r="I1310" s="94" t="s">
        <v>85</v>
      </c>
      <c r="J1310" s="87" t="s">
        <v>1232</v>
      </c>
      <c r="K1310" s="119" t="s">
        <v>4565</v>
      </c>
      <c r="L1310" s="117">
        <f>IF(O1310="","",N1310*O1310*M1310)</f>
        <v>0</v>
      </c>
      <c r="M1310" s="108">
        <v>1</v>
      </c>
      <c r="N1310" s="95">
        <v>1</v>
      </c>
      <c r="O1310" s="109">
        <f>IF(Key!D$1="ON",P1310,IF(SUM(Q1310:DL1310)&lt;1,"",SUM(Q1310:DL1310)/COUNTIF(Q1310:DL1310,"&gt;0")))</f>
        <v>0</v>
      </c>
      <c r="P1310" s="109">
        <f>SUMIFS(Q1310:DK1310,Q$1:DK$1,Dashboard!$K$31)</f>
        <v>0</v>
      </c>
      <c r="U1310" s="95">
        <v>33</v>
      </c>
      <c r="AA1310" s="95">
        <v>25</v>
      </c>
      <c r="AH1310" s="95">
        <v>75</v>
      </c>
    </row>
    <row r="1311" spans="1:34" x14ac:dyDescent="0.3">
      <c r="A1311" s="89" t="str">
        <f>CONCATENATE(D1311,".",F1311,"-",G1311,".",H1311,"")</f>
        <v>2.1-4.1</v>
      </c>
      <c r="B1311" s="89" t="str">
        <f>IF(CONCATENATE(I1311,Key!F$2)=CONCATENATE(INDEX(Dashboard!J:J,MATCH(I1311,Dashboard!J:J,0),1),INDEX(Dashboard!J:K,MATCH(I1311,Dashboard!J:J,0),2)),"ON",IF(Dashboard!K$32="ALL","ON","-"))</f>
        <v>-</v>
      </c>
      <c r="C1311" s="88" t="s">
        <v>152</v>
      </c>
      <c r="D1311" s="89">
        <f>IF(C1311="ID",1,(IF(C1311="PR",2,(IF(C1311="DE",3,(IF(C1311="RS",4,(IF(C1311="RC",5,0)))))))))</f>
        <v>2</v>
      </c>
      <c r="E1311" s="89" t="s">
        <v>153</v>
      </c>
      <c r="F1311" s="89">
        <f>IF(E1311="AM",1,(IF(E1311="BE",2,(IF(E1311="GV",3,(IF(E1311="RA",4,(IF(E1311="RM",5,(IF(E1311="AC",1,(IF(E1311="AT",2,(IF(E1311="DS",3,(IF(E1311="IP",4,(IF(E1311="MA",5,(IF(E1311="PT",6,(IF(E1311="AE",1,(IF(E1311="CM",2,(IF(E1311="DP",3,(IF(E1311="AN",1,(IF(E1311="CO",2,(IF(E1311="IM",3,(IF(E1311="MI",4,(IF(E1311="RP",5,(IF(E1311="SC",6,0)))))))))))))))))))))))))))))))))))))))</f>
        <v>1</v>
      </c>
      <c r="G1311" s="52">
        <v>4</v>
      </c>
      <c r="H1311" s="90" t="s">
        <v>115</v>
      </c>
      <c r="I1311" s="94" t="s">
        <v>85</v>
      </c>
      <c r="J1311" s="87" t="s">
        <v>1258</v>
      </c>
      <c r="K1311" s="119" t="s">
        <v>1259</v>
      </c>
      <c r="L1311" s="117">
        <f>IF(O1311="","",N1311*O1311*M1311)</f>
        <v>0</v>
      </c>
      <c r="M1311" s="108">
        <v>1</v>
      </c>
      <c r="N1311" s="95">
        <v>1</v>
      </c>
      <c r="O1311" s="109">
        <f>IF(Key!D$1="ON",P1311,IF(SUM(Q1311:DL1311)&lt;1,"",SUM(Q1311:DL1311)/COUNTIF(Q1311:DL1311,"&gt;0")))</f>
        <v>0</v>
      </c>
      <c r="P1311" s="109">
        <f>SUMIFS(Q1311:DK1311,Q$1:DK$1,Dashboard!$K$31)</f>
        <v>0</v>
      </c>
      <c r="U1311" s="95">
        <v>33</v>
      </c>
      <c r="AA1311" s="95">
        <v>25</v>
      </c>
      <c r="AH1311" s="95">
        <v>75</v>
      </c>
    </row>
    <row r="1312" spans="1:34" x14ac:dyDescent="0.3">
      <c r="A1312" s="89" t="str">
        <f>CONCATENATE(D1312,".",F1312,"-",G1312,".",H1312,"")</f>
        <v>2.1-4.1</v>
      </c>
      <c r="B1312" s="89" t="str">
        <f>IF(CONCATENATE(I1312,Key!F$2)=CONCATENATE(INDEX(Dashboard!J:J,MATCH(I1312,Dashboard!J:J,0),1),INDEX(Dashboard!J:K,MATCH(I1312,Dashboard!J:J,0),2)),"ON",IF(Dashboard!K$32="ALL","ON","-"))</f>
        <v>-</v>
      </c>
      <c r="C1312" s="88" t="s">
        <v>152</v>
      </c>
      <c r="D1312" s="89">
        <f>IF(C1312="ID",1,(IF(C1312="PR",2,(IF(C1312="DE",3,(IF(C1312="RS",4,(IF(C1312="RC",5,0)))))))))</f>
        <v>2</v>
      </c>
      <c r="E1312" s="89" t="s">
        <v>153</v>
      </c>
      <c r="F1312" s="89">
        <f>IF(E1312="AM",1,(IF(E1312="BE",2,(IF(E1312="GV",3,(IF(E1312="RA",4,(IF(E1312="RM",5,(IF(E1312="AC",1,(IF(E1312="AT",2,(IF(E1312="DS",3,(IF(E1312="IP",4,(IF(E1312="MA",5,(IF(E1312="PT",6,(IF(E1312="AE",1,(IF(E1312="CM",2,(IF(E1312="DP",3,(IF(E1312="AN",1,(IF(E1312="CO",2,(IF(E1312="IM",3,(IF(E1312="MI",4,(IF(E1312="RP",5,(IF(E1312="SC",6,0)))))))))))))))))))))))))))))))))))))))</f>
        <v>1</v>
      </c>
      <c r="G1312" s="52">
        <v>4</v>
      </c>
      <c r="H1312" s="90" t="s">
        <v>115</v>
      </c>
      <c r="I1312" s="94" t="s">
        <v>85</v>
      </c>
      <c r="J1312" s="87" t="s">
        <v>1242</v>
      </c>
      <c r="K1312" s="119" t="s">
        <v>4542</v>
      </c>
      <c r="L1312" s="117">
        <f>IF(O1312="","",N1312*O1312*M1312)</f>
        <v>0</v>
      </c>
      <c r="M1312" s="108">
        <v>1</v>
      </c>
      <c r="N1312" s="95">
        <v>1</v>
      </c>
      <c r="O1312" s="109">
        <f>IF(Key!D$1="ON",P1312,IF(SUM(Q1312:DL1312)&lt;1,"",SUM(Q1312:DL1312)/COUNTIF(Q1312:DL1312,"&gt;0")))</f>
        <v>0</v>
      </c>
      <c r="P1312" s="109">
        <f>SUMIFS(Q1312:DK1312,Q$1:DK$1,Dashboard!$K$31)</f>
        <v>0</v>
      </c>
      <c r="U1312" s="95">
        <v>33</v>
      </c>
      <c r="AA1312" s="95">
        <v>25</v>
      </c>
      <c r="AH1312" s="95">
        <v>75</v>
      </c>
    </row>
    <row r="1313" spans="1:34" x14ac:dyDescent="0.3">
      <c r="A1313" s="89" t="str">
        <f>CONCATENATE(D1313,".",F1313,"-",G1313,".",H1313,"")</f>
        <v>2.1-4.1</v>
      </c>
      <c r="B1313" s="89" t="str">
        <f>IF(CONCATENATE(I1313,Key!F$2)=CONCATENATE(INDEX(Dashboard!J:J,MATCH(I1313,Dashboard!J:J,0),1),INDEX(Dashboard!J:K,MATCH(I1313,Dashboard!J:J,0),2)),"ON",IF(Dashboard!K$32="ALL","ON","-"))</f>
        <v>-</v>
      </c>
      <c r="C1313" s="88" t="s">
        <v>152</v>
      </c>
      <c r="D1313" s="89">
        <f>IF(C1313="ID",1,(IF(C1313="PR",2,(IF(C1313="DE",3,(IF(C1313="RS",4,(IF(C1313="RC",5,0)))))))))</f>
        <v>2</v>
      </c>
      <c r="E1313" s="89" t="s">
        <v>153</v>
      </c>
      <c r="F1313" s="89">
        <f>IF(E1313="AM",1,(IF(E1313="BE",2,(IF(E1313="GV",3,(IF(E1313="RA",4,(IF(E1313="RM",5,(IF(E1313="AC",1,(IF(E1313="AT",2,(IF(E1313="DS",3,(IF(E1313="IP",4,(IF(E1313="MA",5,(IF(E1313="PT",6,(IF(E1313="AE",1,(IF(E1313="CM",2,(IF(E1313="DP",3,(IF(E1313="AN",1,(IF(E1313="CO",2,(IF(E1313="IM",3,(IF(E1313="MI",4,(IF(E1313="RP",5,(IF(E1313="SC",6,0)))))))))))))))))))))))))))))))))))))))</f>
        <v>1</v>
      </c>
      <c r="G1313" s="52">
        <v>4</v>
      </c>
      <c r="H1313" s="90" t="s">
        <v>115</v>
      </c>
      <c r="I1313" s="94" t="s">
        <v>85</v>
      </c>
      <c r="J1313" s="87" t="s">
        <v>1248</v>
      </c>
      <c r="K1313" s="119" t="s">
        <v>4637</v>
      </c>
      <c r="L1313" s="117">
        <f>IF(O1313="","",N1313*O1313*M1313)</f>
        <v>0</v>
      </c>
      <c r="M1313" s="108">
        <v>1</v>
      </c>
      <c r="N1313" s="95">
        <v>1</v>
      </c>
      <c r="O1313" s="109">
        <f>IF(Key!D$1="ON",P1313,IF(SUM(Q1313:DL1313)&lt;1,"",SUM(Q1313:DL1313)/COUNTIF(Q1313:DL1313,"&gt;0")))</f>
        <v>0</v>
      </c>
      <c r="P1313" s="109">
        <f>SUMIFS(Q1313:DK1313,Q$1:DK$1,Dashboard!$K$31)</f>
        <v>0</v>
      </c>
      <c r="U1313" s="95">
        <v>33</v>
      </c>
      <c r="AA1313" s="95">
        <v>25</v>
      </c>
      <c r="AH1313" s="95">
        <v>75</v>
      </c>
    </row>
    <row r="1314" spans="1:34" x14ac:dyDescent="0.3">
      <c r="A1314" s="89" t="str">
        <f>CONCATENATE(D1314,".",F1314,"-",G1314,".",H1314,"")</f>
        <v>2.1-4.1</v>
      </c>
      <c r="B1314" s="89" t="str">
        <f>IF(CONCATENATE(I1314,Key!F$2)=CONCATENATE(INDEX(Dashboard!J:J,MATCH(I1314,Dashboard!J:J,0),1),INDEX(Dashboard!J:K,MATCH(I1314,Dashboard!J:J,0),2)),"ON",IF(Dashboard!K$32="ALL","ON","-"))</f>
        <v>-</v>
      </c>
      <c r="C1314" s="88" t="s">
        <v>152</v>
      </c>
      <c r="D1314" s="89">
        <f>IF(C1314="ID",1,(IF(C1314="PR",2,(IF(C1314="DE",3,(IF(C1314="RS",4,(IF(C1314="RC",5,0)))))))))</f>
        <v>2</v>
      </c>
      <c r="E1314" s="89" t="s">
        <v>153</v>
      </c>
      <c r="F1314" s="89">
        <f>IF(E1314="AM",1,(IF(E1314="BE",2,(IF(E1314="GV",3,(IF(E1314="RA",4,(IF(E1314="RM",5,(IF(E1314="AC",1,(IF(E1314="AT",2,(IF(E1314="DS",3,(IF(E1314="IP",4,(IF(E1314="MA",5,(IF(E1314="PT",6,(IF(E1314="AE",1,(IF(E1314="CM",2,(IF(E1314="DP",3,(IF(E1314="AN",1,(IF(E1314="CO",2,(IF(E1314="IM",3,(IF(E1314="MI",4,(IF(E1314="RP",5,(IF(E1314="SC",6,0)))))))))))))))))))))))))))))))))))))))</f>
        <v>1</v>
      </c>
      <c r="G1314" s="52">
        <v>4</v>
      </c>
      <c r="H1314" s="90" t="s">
        <v>115</v>
      </c>
      <c r="I1314" s="94" t="s">
        <v>85</v>
      </c>
      <c r="J1314" s="87" t="s">
        <v>1239</v>
      </c>
      <c r="K1314" s="119" t="s">
        <v>4502</v>
      </c>
      <c r="L1314" s="117">
        <f>IF(O1314="","",N1314*O1314*M1314)</f>
        <v>0</v>
      </c>
      <c r="M1314" s="108">
        <v>1</v>
      </c>
      <c r="N1314" s="95">
        <v>1</v>
      </c>
      <c r="O1314" s="109">
        <f>IF(Key!D$1="ON",P1314,IF(SUM(Q1314:DL1314)&lt;1,"",SUM(Q1314:DL1314)/COUNTIF(Q1314:DL1314,"&gt;0")))</f>
        <v>0</v>
      </c>
      <c r="P1314" s="109">
        <f>SUMIFS(Q1314:DK1314,Q$1:DK$1,Dashboard!$K$31)</f>
        <v>0</v>
      </c>
      <c r="U1314" s="95">
        <v>33</v>
      </c>
      <c r="AA1314" s="95">
        <v>25</v>
      </c>
      <c r="AH1314" s="95">
        <v>75</v>
      </c>
    </row>
    <row r="1315" spans="1:34" ht="15.6" x14ac:dyDescent="0.3">
      <c r="A1315" s="89" t="str">
        <f>CONCATENATE(D1315,".",F1315,"-",G1315,".",H1315,"")</f>
        <v>2.1-4.1</v>
      </c>
      <c r="B1315" s="89" t="str">
        <f>IF(CONCATENATE(I1315,Key!F$2)=CONCATENATE(INDEX(Dashboard!J:J,MATCH(I1315,Dashboard!J:J,0),1),INDEX(Dashboard!J:K,MATCH(I1315,Dashboard!J:J,0),2)),"ON",IF(Dashboard!K$32="ALL","ON","-"))</f>
        <v>-</v>
      </c>
      <c r="C1315" s="88" t="s">
        <v>152</v>
      </c>
      <c r="D1315" s="89">
        <f>IF(C1315="ID",1,(IF(C1315="PR",2,(IF(C1315="DE",3,(IF(C1315="RS",4,(IF(C1315="RC",5,0)))))))))</f>
        <v>2</v>
      </c>
      <c r="E1315" s="89" t="s">
        <v>153</v>
      </c>
      <c r="F1315" s="89">
        <f>IF(E1315="AM",1,(IF(E1315="BE",2,(IF(E1315="GV",3,(IF(E1315="RA",4,(IF(E1315="RM",5,(IF(E1315="AC",1,(IF(E1315="AT",2,(IF(E1315="DS",3,(IF(E1315="IP",4,(IF(E1315="MA",5,(IF(E1315="PT",6,(IF(E1315="AE",1,(IF(E1315="CM",2,(IF(E1315="DP",3,(IF(E1315="AN",1,(IF(E1315="CO",2,(IF(E1315="IM",3,(IF(E1315="MI",4,(IF(E1315="RP",5,(IF(E1315="SC",6,0)))))))))))))))))))))))))))))))))))))))</f>
        <v>1</v>
      </c>
      <c r="G1315" s="52">
        <v>4</v>
      </c>
      <c r="H1315" s="90" t="s">
        <v>115</v>
      </c>
      <c r="I1315" s="94" t="s">
        <v>85</v>
      </c>
      <c r="J1315" s="87" t="s">
        <v>1230</v>
      </c>
      <c r="K1315" s="119" t="s">
        <v>4564</v>
      </c>
      <c r="L1315" s="117">
        <f>IF(O1315="","",N1315*O1315*M1315)</f>
        <v>0</v>
      </c>
      <c r="M1315" s="108">
        <v>1</v>
      </c>
      <c r="N1315" s="95">
        <v>1</v>
      </c>
      <c r="O1315" s="109">
        <f>IF(Key!D$1="ON",P1315,IF(SUM(Q1315:DL1315)&lt;1,"",SUM(Q1315:DL1315)/COUNTIF(Q1315:DL1315,"&gt;0")))</f>
        <v>0</v>
      </c>
      <c r="P1315" s="109">
        <f>SUMIFS(Q1315:DK1315,Q$1:DK$1,Dashboard!$K$31)</f>
        <v>0</v>
      </c>
      <c r="U1315" s="95">
        <v>33</v>
      </c>
      <c r="AA1315" s="95">
        <v>25</v>
      </c>
      <c r="AH1315" s="95">
        <v>75</v>
      </c>
    </row>
    <row r="1316" spans="1:34" x14ac:dyDescent="0.3">
      <c r="A1316" s="89" t="str">
        <f>CONCATENATE(D1316,".",F1316,"-",G1316,".",H1316,"")</f>
        <v>2.1-4.1</v>
      </c>
      <c r="B1316" s="89" t="str">
        <f>IF(CONCATENATE(I1316,Key!F$2)=CONCATENATE(INDEX(Dashboard!J:J,MATCH(I1316,Dashboard!J:J,0),1),INDEX(Dashboard!J:K,MATCH(I1316,Dashboard!J:J,0),2)),"ON",IF(Dashboard!K$32="ALL","ON","-"))</f>
        <v>-</v>
      </c>
      <c r="C1316" s="88" t="s">
        <v>152</v>
      </c>
      <c r="D1316" s="89">
        <f>IF(C1316="ID",1,(IF(C1316="PR",2,(IF(C1316="DE",3,(IF(C1316="RS",4,(IF(C1316="RC",5,0)))))))))</f>
        <v>2</v>
      </c>
      <c r="E1316" s="89" t="s">
        <v>153</v>
      </c>
      <c r="F1316" s="89">
        <f>IF(E1316="AM",1,(IF(E1316="BE",2,(IF(E1316="GV",3,(IF(E1316="RA",4,(IF(E1316="RM",5,(IF(E1316="AC",1,(IF(E1316="AT",2,(IF(E1316="DS",3,(IF(E1316="IP",4,(IF(E1316="MA",5,(IF(E1316="PT",6,(IF(E1316="AE",1,(IF(E1316="CM",2,(IF(E1316="DP",3,(IF(E1316="AN",1,(IF(E1316="CO",2,(IF(E1316="IM",3,(IF(E1316="MI",4,(IF(E1316="RP",5,(IF(E1316="SC",6,0)))))))))))))))))))))))))))))))))))))))</f>
        <v>1</v>
      </c>
      <c r="G1316" s="52">
        <v>4</v>
      </c>
      <c r="H1316" s="90" t="s">
        <v>115</v>
      </c>
      <c r="I1316" s="94" t="s">
        <v>85</v>
      </c>
      <c r="J1316" s="86" t="s">
        <v>636</v>
      </c>
      <c r="K1316" s="119" t="s">
        <v>1983</v>
      </c>
      <c r="L1316" s="117">
        <f>IF(O1316="","",N1316*O1316*M1316)</f>
        <v>0</v>
      </c>
      <c r="M1316" s="108">
        <v>1</v>
      </c>
      <c r="N1316" s="95">
        <v>1</v>
      </c>
      <c r="O1316" s="109">
        <f>IF(Key!D$1="ON",P1316,IF(SUM(Q1316:DL1316)&lt;1,"",SUM(Q1316:DL1316)/COUNTIF(Q1316:DL1316,"&gt;0")))</f>
        <v>0</v>
      </c>
      <c r="P1316" s="109">
        <f>SUMIFS(Q1316:DK1316,Q$1:DK$1,Dashboard!$K$31)</f>
        <v>0</v>
      </c>
      <c r="U1316" s="95">
        <v>33</v>
      </c>
      <c r="AA1316" s="95">
        <v>25</v>
      </c>
      <c r="AH1316" s="95">
        <v>75</v>
      </c>
    </row>
    <row r="1317" spans="1:34" ht="15.6" x14ac:dyDescent="0.3">
      <c r="A1317" s="89" t="str">
        <f>CONCATENATE(D1317,".",F1317,"-",G1317,".",H1317,"")</f>
        <v>2.1-4.1</v>
      </c>
      <c r="B1317" s="89" t="str">
        <f>IF(CONCATENATE(I1317,Key!F$2)=CONCATENATE(INDEX(Dashboard!J:J,MATCH(I1317,Dashboard!J:J,0),1),INDEX(Dashboard!J:K,MATCH(I1317,Dashboard!J:J,0),2)),"ON",IF(Dashboard!K$32="ALL","ON","-"))</f>
        <v>-</v>
      </c>
      <c r="C1317" s="96" t="s">
        <v>152</v>
      </c>
      <c r="D1317" s="89">
        <f>IF(C1317="ID",1,(IF(C1317="PR",2,(IF(C1317="DE",3,(IF(C1317="RS",4,(IF(C1317="RC",5,0)))))))))</f>
        <v>2</v>
      </c>
      <c r="E1317" s="89" t="s">
        <v>153</v>
      </c>
      <c r="F1317" s="89">
        <f>IF(E1317="AM",1,(IF(E1317="BE",2,(IF(E1317="GV",3,(IF(E1317="RA",4,(IF(E1317="RM",5,(IF(E1317="AC",1,(IF(E1317="AT",2,(IF(E1317="DS",3,(IF(E1317="IP",4,(IF(E1317="MA",5,(IF(E1317="PT",6,(IF(E1317="AE",1,(IF(E1317="CM",2,(IF(E1317="DP",3,(IF(E1317="AN",1,(IF(E1317="CO",2,(IF(E1317="IM",3,(IF(E1317="MI",4,(IF(E1317="RP",5,(IF(E1317="SC",6,0)))))))))))))))))))))))))))))))))))))))</f>
        <v>1</v>
      </c>
      <c r="G1317" s="98">
        <v>4</v>
      </c>
      <c r="H1317" s="90" t="s">
        <v>115</v>
      </c>
      <c r="I1317" s="94" t="s">
        <v>85</v>
      </c>
      <c r="J1317" s="87" t="s">
        <v>1240</v>
      </c>
      <c r="K1317" s="119" t="s">
        <v>1241</v>
      </c>
      <c r="L1317" s="117">
        <f>IF(O1317="","",N1317*O1317*M1317)</f>
        <v>0</v>
      </c>
      <c r="M1317" s="108">
        <v>1</v>
      </c>
      <c r="N1317" s="95">
        <v>1</v>
      </c>
      <c r="O1317" s="109">
        <f>IF(Key!D$1="ON",P1317,IF(SUM(Q1317:DL1317)&lt;1,"",SUM(Q1317:DL1317)/COUNTIF(Q1317:DL1317,"&gt;0")))</f>
        <v>0</v>
      </c>
      <c r="P1317" s="109">
        <f>SUMIFS(Q1317:DK1317,Q$1:DK$1,Dashboard!$K$31)</f>
        <v>0</v>
      </c>
      <c r="U1317" s="95">
        <v>33</v>
      </c>
      <c r="AA1317" s="95">
        <v>25</v>
      </c>
      <c r="AH1317" s="95">
        <v>75</v>
      </c>
    </row>
    <row r="1318" spans="1:34" x14ac:dyDescent="0.3">
      <c r="A1318" s="89" t="str">
        <f>CONCATENATE(D1318,".",F1318,"-",G1318,".",H1318,"")</f>
        <v>2.1-4.1</v>
      </c>
      <c r="B1318" s="89" t="str">
        <f>IF(CONCATENATE(I1318,Key!F$2)=CONCATENATE(INDEX(Dashboard!J:J,MATCH(I1318,Dashboard!J:J,0),1),INDEX(Dashboard!J:K,MATCH(I1318,Dashboard!J:J,0),2)),"ON",IF(Dashboard!K$32="ALL","ON","-"))</f>
        <v>-</v>
      </c>
      <c r="C1318" s="88" t="s">
        <v>152</v>
      </c>
      <c r="D1318" s="89">
        <f>IF(C1318="ID",1,(IF(C1318="PR",2,(IF(C1318="DE",3,(IF(C1318="RS",4,(IF(C1318="RC",5,0)))))))))</f>
        <v>2</v>
      </c>
      <c r="E1318" s="89" t="s">
        <v>153</v>
      </c>
      <c r="F1318" s="89">
        <f>IF(E1318="AM",1,(IF(E1318="BE",2,(IF(E1318="GV",3,(IF(E1318="RA",4,(IF(E1318="RM",5,(IF(E1318="AC",1,(IF(E1318="AT",2,(IF(E1318="DS",3,(IF(E1318="IP",4,(IF(E1318="MA",5,(IF(E1318="PT",6,(IF(E1318="AE",1,(IF(E1318="CM",2,(IF(E1318="DP",3,(IF(E1318="AN",1,(IF(E1318="CO",2,(IF(E1318="IM",3,(IF(E1318="MI",4,(IF(E1318="RP",5,(IF(E1318="SC",6,0)))))))))))))))))))))))))))))))))))))))</f>
        <v>1</v>
      </c>
      <c r="G1318" s="52">
        <v>4</v>
      </c>
      <c r="H1318" s="90" t="s">
        <v>115</v>
      </c>
      <c r="I1318" s="94" t="s">
        <v>85</v>
      </c>
      <c r="J1318" s="87" t="s">
        <v>1238</v>
      </c>
      <c r="K1318" s="119" t="s">
        <v>4501</v>
      </c>
      <c r="L1318" s="117">
        <f>IF(O1318="","",N1318*O1318*M1318)</f>
        <v>0</v>
      </c>
      <c r="M1318" s="108">
        <v>1</v>
      </c>
      <c r="N1318" s="95">
        <v>1</v>
      </c>
      <c r="O1318" s="109">
        <f>IF(Key!D$1="ON",P1318,IF(SUM(Q1318:DL1318)&lt;1,"",SUM(Q1318:DL1318)/COUNTIF(Q1318:DL1318,"&gt;0")))</f>
        <v>0</v>
      </c>
      <c r="P1318" s="109">
        <f>SUMIFS(Q1318:DK1318,Q$1:DK$1,Dashboard!$K$31)</f>
        <v>0</v>
      </c>
      <c r="U1318" s="95">
        <v>33</v>
      </c>
      <c r="AA1318" s="95">
        <v>25</v>
      </c>
      <c r="AH1318" s="95">
        <v>75</v>
      </c>
    </row>
    <row r="1319" spans="1:34" x14ac:dyDescent="0.3">
      <c r="A1319" s="89" t="str">
        <f>CONCATENATE(D1319,".",F1319,"-",G1319,".",H1319,"")</f>
        <v>2.1-4.1</v>
      </c>
      <c r="B1319" s="89" t="str">
        <f>IF(CONCATENATE(I1319,Key!F$2)=CONCATENATE(INDEX(Dashboard!J:J,MATCH(I1319,Dashboard!J:J,0),1),INDEX(Dashboard!J:K,MATCH(I1319,Dashboard!J:J,0),2)),"ON",IF(Dashboard!K$32="ALL","ON","-"))</f>
        <v>-</v>
      </c>
      <c r="C1319" s="88" t="s">
        <v>152</v>
      </c>
      <c r="D1319" s="89">
        <f>IF(C1319="ID",1,(IF(C1319="PR",2,(IF(C1319="DE",3,(IF(C1319="RS",4,(IF(C1319="RC",5,0)))))))))</f>
        <v>2</v>
      </c>
      <c r="E1319" s="89" t="s">
        <v>153</v>
      </c>
      <c r="F1319" s="89">
        <f>IF(E1319="AM",1,(IF(E1319="BE",2,(IF(E1319="GV",3,(IF(E1319="RA",4,(IF(E1319="RM",5,(IF(E1319="AC",1,(IF(E1319="AT",2,(IF(E1319="DS",3,(IF(E1319="IP",4,(IF(E1319="MA",5,(IF(E1319="PT",6,(IF(E1319="AE",1,(IF(E1319="CM",2,(IF(E1319="DP",3,(IF(E1319="AN",1,(IF(E1319="CO",2,(IF(E1319="IM",3,(IF(E1319="MI",4,(IF(E1319="RP",5,(IF(E1319="SC",6,0)))))))))))))))))))))))))))))))))))))))</f>
        <v>1</v>
      </c>
      <c r="G1319" s="52">
        <v>4</v>
      </c>
      <c r="H1319" s="90" t="s">
        <v>115</v>
      </c>
      <c r="I1319" s="94" t="s">
        <v>85</v>
      </c>
      <c r="J1319" s="87" t="s">
        <v>1468</v>
      </c>
      <c r="K1319" s="119" t="s">
        <v>5137</v>
      </c>
      <c r="L1319" s="117">
        <f>IF(O1319="","",N1319*O1319*M1319)</f>
        <v>0</v>
      </c>
      <c r="M1319" s="108">
        <v>1</v>
      </c>
      <c r="N1319" s="95">
        <v>1</v>
      </c>
      <c r="O1319" s="109">
        <f>IF(Key!D$1="ON",P1319,IF(SUM(Q1319:DL1319)&lt;1,"",SUM(Q1319:DL1319)/COUNTIF(Q1319:DL1319,"&gt;0")))</f>
        <v>0</v>
      </c>
      <c r="P1319" s="109">
        <f>SUMIFS(Q1319:DK1319,Q$1:DK$1,Dashboard!$K$31)</f>
        <v>0</v>
      </c>
      <c r="U1319" s="95">
        <v>33</v>
      </c>
      <c r="AA1319" s="95">
        <v>25</v>
      </c>
      <c r="AH1319" s="95">
        <v>75</v>
      </c>
    </row>
    <row r="1320" spans="1:34" x14ac:dyDescent="0.3">
      <c r="A1320" s="89" t="str">
        <f>CONCATENATE(D1320,".",F1320,"-",G1320,".",H1320,"")</f>
        <v>2.1-4.1</v>
      </c>
      <c r="B1320" s="89" t="str">
        <f>IF(CONCATENATE(I1320,Key!F$2)=CONCATENATE(INDEX(Dashboard!J:J,MATCH(I1320,Dashboard!J:J,0),1),INDEX(Dashboard!J:K,MATCH(I1320,Dashboard!J:J,0),2)),"ON",IF(Dashboard!K$32="ALL","ON","-"))</f>
        <v>-</v>
      </c>
      <c r="C1320" s="88" t="s">
        <v>152</v>
      </c>
      <c r="D1320" s="89">
        <f>IF(C1320="ID",1,(IF(C1320="PR",2,(IF(C1320="DE",3,(IF(C1320="RS",4,(IF(C1320="RC",5,0)))))))))</f>
        <v>2</v>
      </c>
      <c r="E1320" s="89" t="s">
        <v>153</v>
      </c>
      <c r="F1320" s="89">
        <f>IF(E1320="AM",1,(IF(E1320="BE",2,(IF(E1320="GV",3,(IF(E1320="RA",4,(IF(E1320="RM",5,(IF(E1320="AC",1,(IF(E1320="AT",2,(IF(E1320="DS",3,(IF(E1320="IP",4,(IF(E1320="MA",5,(IF(E1320="PT",6,(IF(E1320="AE",1,(IF(E1320="CM",2,(IF(E1320="DP",3,(IF(E1320="AN",1,(IF(E1320="CO",2,(IF(E1320="IM",3,(IF(E1320="MI",4,(IF(E1320="RP",5,(IF(E1320="SC",6,0)))))))))))))))))))))))))))))))))))))))</f>
        <v>1</v>
      </c>
      <c r="G1320" s="52">
        <v>4</v>
      </c>
      <c r="H1320" s="90" t="s">
        <v>115</v>
      </c>
      <c r="I1320" s="94" t="s">
        <v>85</v>
      </c>
      <c r="J1320" s="86" t="s">
        <v>854</v>
      </c>
      <c r="K1320" s="119" t="s">
        <v>5143</v>
      </c>
      <c r="L1320" s="117">
        <f>IF(O1320="","",N1320*O1320*M1320)</f>
        <v>0</v>
      </c>
      <c r="M1320" s="108">
        <v>0.9</v>
      </c>
      <c r="N1320" s="95">
        <v>1</v>
      </c>
      <c r="O1320" s="109">
        <f>IF(Key!D$1="ON",P1320,IF(SUM(Q1320:DL1320)&lt;1,"",SUM(Q1320:DL1320)/COUNTIF(Q1320:DL1320,"&gt;0")))</f>
        <v>0</v>
      </c>
      <c r="P1320" s="109">
        <f>SUMIFS(Q1320:DK1320,Q$1:DK$1,Dashboard!$K$31)</f>
        <v>0</v>
      </c>
      <c r="S1320" s="95">
        <v>1</v>
      </c>
      <c r="T1320" s="95">
        <v>80</v>
      </c>
      <c r="U1320" s="95">
        <v>33</v>
      </c>
      <c r="AA1320" s="95">
        <v>25</v>
      </c>
      <c r="AH1320" s="95">
        <v>75</v>
      </c>
    </row>
    <row r="1321" spans="1:34" ht="15.6" x14ac:dyDescent="0.3">
      <c r="A1321" s="89" t="str">
        <f>CONCATENATE(D1321,".",F1321,"-",G1321,".",H1321,"")</f>
        <v>2.1-4.1</v>
      </c>
      <c r="B1321" s="89" t="str">
        <f>IF(CONCATENATE(I1321,Key!F$2)=CONCATENATE(INDEX(Dashboard!J:J,MATCH(I1321,Dashboard!J:J,0),1),INDEX(Dashboard!J:K,MATCH(I1321,Dashboard!J:J,0),2)),"ON",IF(Dashboard!K$32="ALL","ON","-"))</f>
        <v>-</v>
      </c>
      <c r="C1321" s="88" t="s">
        <v>152</v>
      </c>
      <c r="D1321" s="89">
        <f>IF(C1321="ID",1,(IF(C1321="PR",2,(IF(C1321="DE",3,(IF(C1321="RS",4,(IF(C1321="RC",5,0)))))))))</f>
        <v>2</v>
      </c>
      <c r="E1321" s="89" t="s">
        <v>153</v>
      </c>
      <c r="F1321" s="89">
        <f>IF(E1321="AM",1,(IF(E1321="BE",2,(IF(E1321="GV",3,(IF(E1321="RA",4,(IF(E1321="RM",5,(IF(E1321="AC",1,(IF(E1321="AT",2,(IF(E1321="DS",3,(IF(E1321="IP",4,(IF(E1321="MA",5,(IF(E1321="PT",6,(IF(E1321="AE",1,(IF(E1321="CM",2,(IF(E1321="DP",3,(IF(E1321="AN",1,(IF(E1321="CO",2,(IF(E1321="IM",3,(IF(E1321="MI",4,(IF(E1321="RP",5,(IF(E1321="SC",6,0)))))))))))))))))))))))))))))))))))))))</f>
        <v>1</v>
      </c>
      <c r="G1321" s="52">
        <v>4</v>
      </c>
      <c r="H1321" s="90" t="s">
        <v>115</v>
      </c>
      <c r="I1321" s="94" t="s">
        <v>85</v>
      </c>
      <c r="J1321" s="87" t="s">
        <v>1244</v>
      </c>
      <c r="K1321" s="119" t="s">
        <v>4543</v>
      </c>
      <c r="L1321" s="117">
        <f>IF(O1321="","",N1321*O1321*M1321)</f>
        <v>0</v>
      </c>
      <c r="M1321" s="108">
        <v>1</v>
      </c>
      <c r="N1321" s="95">
        <v>1</v>
      </c>
      <c r="O1321" s="109">
        <f>IF(Key!D$1="ON",P1321,IF(SUM(Q1321:DL1321)&lt;1,"",SUM(Q1321:DL1321)/COUNTIF(Q1321:DL1321,"&gt;0")))</f>
        <v>0</v>
      </c>
      <c r="P1321" s="109">
        <f>SUMIFS(Q1321:DK1321,Q$1:DK$1,Dashboard!$K$31)</f>
        <v>0</v>
      </c>
      <c r="U1321" s="95">
        <v>33</v>
      </c>
      <c r="AA1321" s="95">
        <v>25</v>
      </c>
      <c r="AH1321" s="95">
        <v>75</v>
      </c>
    </row>
    <row r="1322" spans="1:34" ht="15.6" x14ac:dyDescent="0.3">
      <c r="A1322" s="89" t="str">
        <f>CONCATENATE(D1322,".",F1322,"-",G1322,".",H1322,"")</f>
        <v>2.1-4.1</v>
      </c>
      <c r="B1322" s="89" t="str">
        <f>IF(CONCATENATE(I1322,Key!F$2)=CONCATENATE(INDEX(Dashboard!J:J,MATCH(I1322,Dashboard!J:J,0),1),INDEX(Dashboard!J:K,MATCH(I1322,Dashboard!J:J,0),2)),"ON",IF(Dashboard!K$32="ALL","ON","-"))</f>
        <v>-</v>
      </c>
      <c r="C1322" s="88" t="s">
        <v>152</v>
      </c>
      <c r="D1322" s="89">
        <f>IF(C1322="ID",1,(IF(C1322="PR",2,(IF(C1322="DE",3,(IF(C1322="RS",4,(IF(C1322="RC",5,0)))))))))</f>
        <v>2</v>
      </c>
      <c r="E1322" s="89" t="s">
        <v>153</v>
      </c>
      <c r="F1322" s="89">
        <f>IF(E1322="AM",1,(IF(E1322="BE",2,(IF(E1322="GV",3,(IF(E1322="RA",4,(IF(E1322="RM",5,(IF(E1322="AC",1,(IF(E1322="AT",2,(IF(E1322="DS",3,(IF(E1322="IP",4,(IF(E1322="MA",5,(IF(E1322="PT",6,(IF(E1322="AE",1,(IF(E1322="CM",2,(IF(E1322="DP",3,(IF(E1322="AN",1,(IF(E1322="CO",2,(IF(E1322="IM",3,(IF(E1322="MI",4,(IF(E1322="RP",5,(IF(E1322="SC",6,0)))))))))))))))))))))))))))))))))))))))</f>
        <v>1</v>
      </c>
      <c r="G1322" s="52">
        <v>4</v>
      </c>
      <c r="H1322" s="90" t="s">
        <v>115</v>
      </c>
      <c r="I1322" s="94" t="s">
        <v>85</v>
      </c>
      <c r="J1322" s="87" t="s">
        <v>1255</v>
      </c>
      <c r="K1322" s="119" t="s">
        <v>4563</v>
      </c>
      <c r="L1322" s="117">
        <f>IF(O1322="","",N1322*O1322*M1322)</f>
        <v>0</v>
      </c>
      <c r="M1322" s="108">
        <v>1</v>
      </c>
      <c r="N1322" s="95">
        <v>1</v>
      </c>
      <c r="O1322" s="109">
        <f>IF(Key!D$1="ON",P1322,IF(SUM(Q1322:DL1322)&lt;1,"",SUM(Q1322:DL1322)/COUNTIF(Q1322:DL1322,"&gt;0")))</f>
        <v>0</v>
      </c>
      <c r="P1322" s="109">
        <f>SUMIFS(Q1322:DK1322,Q$1:DK$1,Dashboard!$K$31)</f>
        <v>0</v>
      </c>
      <c r="U1322" s="95">
        <v>33</v>
      </c>
      <c r="AA1322" s="95">
        <v>25</v>
      </c>
      <c r="AH1322" s="95">
        <v>75</v>
      </c>
    </row>
    <row r="1323" spans="1:34" ht="15.6" x14ac:dyDescent="0.3">
      <c r="A1323" s="89" t="str">
        <f>CONCATENATE(D1323,".",F1323,"-",G1323,".",H1323,"")</f>
        <v>2.1-4.1</v>
      </c>
      <c r="B1323" s="89" t="str">
        <f>IF(CONCATENATE(I1323,Key!F$2)=CONCATENATE(INDEX(Dashboard!J:J,MATCH(I1323,Dashboard!J:J,0),1),INDEX(Dashboard!J:K,MATCH(I1323,Dashboard!J:J,0),2)),"ON",IF(Dashboard!K$32="ALL","ON","-"))</f>
        <v>-</v>
      </c>
      <c r="C1323" s="88" t="s">
        <v>152</v>
      </c>
      <c r="D1323" s="89">
        <f>IF(C1323="ID",1,(IF(C1323="PR",2,(IF(C1323="DE",3,(IF(C1323="RS",4,(IF(C1323="RC",5,0)))))))))</f>
        <v>2</v>
      </c>
      <c r="E1323" s="89" t="s">
        <v>153</v>
      </c>
      <c r="F1323" s="89">
        <f>IF(E1323="AM",1,(IF(E1323="BE",2,(IF(E1323="GV",3,(IF(E1323="RA",4,(IF(E1323="RM",5,(IF(E1323="AC",1,(IF(E1323="AT",2,(IF(E1323="DS",3,(IF(E1323="IP",4,(IF(E1323="MA",5,(IF(E1323="PT",6,(IF(E1323="AE",1,(IF(E1323="CM",2,(IF(E1323="DP",3,(IF(E1323="AN",1,(IF(E1323="CO",2,(IF(E1323="IM",3,(IF(E1323="MI",4,(IF(E1323="RP",5,(IF(E1323="SC",6,0)))))))))))))))))))))))))))))))))))))))</f>
        <v>1</v>
      </c>
      <c r="G1323" s="52">
        <v>4</v>
      </c>
      <c r="H1323" s="90" t="s">
        <v>115</v>
      </c>
      <c r="I1323" s="94" t="s">
        <v>85</v>
      </c>
      <c r="J1323" s="87" t="s">
        <v>1247</v>
      </c>
      <c r="K1323" s="119" t="s">
        <v>4549</v>
      </c>
      <c r="L1323" s="117">
        <f>IF(O1323="","",N1323*O1323*M1323)</f>
        <v>0</v>
      </c>
      <c r="M1323" s="108">
        <v>1</v>
      </c>
      <c r="N1323" s="95">
        <v>1</v>
      </c>
      <c r="O1323" s="109">
        <f>IF(Key!D$1="ON",P1323,IF(SUM(Q1323:DL1323)&lt;1,"",SUM(Q1323:DL1323)/COUNTIF(Q1323:DL1323,"&gt;0")))</f>
        <v>0</v>
      </c>
      <c r="P1323" s="109">
        <f>SUMIFS(Q1323:DK1323,Q$1:DK$1,Dashboard!$K$31)</f>
        <v>0</v>
      </c>
      <c r="U1323" s="95">
        <v>33</v>
      </c>
      <c r="AA1323" s="95">
        <v>25</v>
      </c>
      <c r="AH1323" s="95">
        <v>75</v>
      </c>
    </row>
    <row r="1324" spans="1:34" ht="15.6" x14ac:dyDescent="0.3">
      <c r="A1324" s="89" t="str">
        <f>CONCATENATE(D1324,".",F1324,"-",G1324,".",H1324,"")</f>
        <v>2.1-4.1</v>
      </c>
      <c r="B1324" s="89" t="str">
        <f>IF(CONCATENATE(I1324,Key!F$2)=CONCATENATE(INDEX(Dashboard!J:J,MATCH(I1324,Dashboard!J:J,0),1),INDEX(Dashboard!J:K,MATCH(I1324,Dashboard!J:J,0),2)),"ON",IF(Dashboard!K$32="ALL","ON","-"))</f>
        <v>-</v>
      </c>
      <c r="C1324" s="88" t="s">
        <v>152</v>
      </c>
      <c r="D1324" s="89">
        <f>IF(C1324="ID",1,(IF(C1324="PR",2,(IF(C1324="DE",3,(IF(C1324="RS",4,(IF(C1324="RC",5,0)))))))))</f>
        <v>2</v>
      </c>
      <c r="E1324" s="89" t="s">
        <v>153</v>
      </c>
      <c r="F1324" s="89">
        <f>IF(E1324="AM",1,(IF(E1324="BE",2,(IF(E1324="GV",3,(IF(E1324="RA",4,(IF(E1324="RM",5,(IF(E1324="AC",1,(IF(E1324="AT",2,(IF(E1324="DS",3,(IF(E1324="IP",4,(IF(E1324="MA",5,(IF(E1324="PT",6,(IF(E1324="AE",1,(IF(E1324="CM",2,(IF(E1324="DP",3,(IF(E1324="AN",1,(IF(E1324="CO",2,(IF(E1324="IM",3,(IF(E1324="MI",4,(IF(E1324="RP",5,(IF(E1324="SC",6,0)))))))))))))))))))))))))))))))))))))))</f>
        <v>1</v>
      </c>
      <c r="G1324" s="52">
        <v>4</v>
      </c>
      <c r="H1324" s="90" t="s">
        <v>115</v>
      </c>
      <c r="I1324" s="94" t="s">
        <v>85</v>
      </c>
      <c r="J1324" s="87" t="s">
        <v>1246</v>
      </c>
      <c r="K1324" s="119" t="s">
        <v>4547</v>
      </c>
      <c r="L1324" s="117">
        <f>IF(O1324="","",N1324*O1324*M1324)</f>
        <v>0</v>
      </c>
      <c r="M1324" s="108">
        <v>1</v>
      </c>
      <c r="N1324" s="95">
        <v>1</v>
      </c>
      <c r="O1324" s="109">
        <f>IF(Key!D$1="ON",P1324,IF(SUM(Q1324:DL1324)&lt;1,"",SUM(Q1324:DL1324)/COUNTIF(Q1324:DL1324,"&gt;0")))</f>
        <v>0</v>
      </c>
      <c r="P1324" s="109">
        <f>SUMIFS(Q1324:DK1324,Q$1:DK$1,Dashboard!$K$31)</f>
        <v>0</v>
      </c>
      <c r="U1324" s="95">
        <v>33</v>
      </c>
      <c r="AA1324" s="95">
        <v>25</v>
      </c>
      <c r="AH1324" s="95">
        <v>75</v>
      </c>
    </row>
    <row r="1325" spans="1:34" ht="15.6" x14ac:dyDescent="0.3">
      <c r="A1325" s="89" t="str">
        <f>CONCATENATE(D1325,".",F1325,"-",G1325,".",H1325,"")</f>
        <v>2.1-4.1</v>
      </c>
      <c r="B1325" s="89" t="str">
        <f>IF(CONCATENATE(I1325,Key!F$2)=CONCATENATE(INDEX(Dashboard!J:J,MATCH(I1325,Dashboard!J:J,0),1),INDEX(Dashboard!J:K,MATCH(I1325,Dashboard!J:J,0),2)),"ON",IF(Dashboard!K$32="ALL","ON","-"))</f>
        <v>-</v>
      </c>
      <c r="C1325" s="88" t="s">
        <v>152</v>
      </c>
      <c r="D1325" s="89">
        <f>IF(C1325="ID",1,(IF(C1325="PR",2,(IF(C1325="DE",3,(IF(C1325="RS",4,(IF(C1325="RC",5,0)))))))))</f>
        <v>2</v>
      </c>
      <c r="E1325" s="89" t="s">
        <v>153</v>
      </c>
      <c r="F1325" s="89">
        <f>IF(E1325="AM",1,(IF(E1325="BE",2,(IF(E1325="GV",3,(IF(E1325="RA",4,(IF(E1325="RM",5,(IF(E1325="AC",1,(IF(E1325="AT",2,(IF(E1325="DS",3,(IF(E1325="IP",4,(IF(E1325="MA",5,(IF(E1325="PT",6,(IF(E1325="AE",1,(IF(E1325="CM",2,(IF(E1325="DP",3,(IF(E1325="AN",1,(IF(E1325="CO",2,(IF(E1325="IM",3,(IF(E1325="MI",4,(IF(E1325="RP",5,(IF(E1325="SC",6,0)))))))))))))))))))))))))))))))))))))))</f>
        <v>1</v>
      </c>
      <c r="G1325" s="52">
        <v>4</v>
      </c>
      <c r="H1325" s="90" t="s">
        <v>115</v>
      </c>
      <c r="I1325" s="94" t="s">
        <v>85</v>
      </c>
      <c r="J1325" s="87" t="s">
        <v>1245</v>
      </c>
      <c r="K1325" s="119" t="s">
        <v>4546</v>
      </c>
      <c r="L1325" s="117">
        <f>IF(O1325="","",N1325*O1325*M1325)</f>
        <v>0</v>
      </c>
      <c r="M1325" s="108">
        <v>1</v>
      </c>
      <c r="N1325" s="95">
        <v>1</v>
      </c>
      <c r="O1325" s="109">
        <f>IF(Key!D$1="ON",P1325,IF(SUM(Q1325:DL1325)&lt;1,"",SUM(Q1325:DL1325)/COUNTIF(Q1325:DL1325,"&gt;0")))</f>
        <v>0</v>
      </c>
      <c r="P1325" s="109">
        <f>SUMIFS(Q1325:DK1325,Q$1:DK$1,Dashboard!$K$31)</f>
        <v>0</v>
      </c>
      <c r="U1325" s="95">
        <v>33</v>
      </c>
      <c r="AA1325" s="95">
        <v>25</v>
      </c>
      <c r="AH1325" s="95">
        <v>75</v>
      </c>
    </row>
    <row r="1326" spans="1:34" x14ac:dyDescent="0.3">
      <c r="A1326" s="89" t="str">
        <f>CONCATENATE(D1326,".",F1326,"-",G1326,".",H1326,"")</f>
        <v>2.1-4.1</v>
      </c>
      <c r="B1326" s="89" t="str">
        <f>IF(CONCATENATE(I1326,Key!F$2)=CONCATENATE(INDEX(Dashboard!J:J,MATCH(I1326,Dashboard!J:J,0),1),INDEX(Dashboard!J:K,MATCH(I1326,Dashboard!J:J,0),2)),"ON",IF(Dashboard!K$32="ALL","ON","-"))</f>
        <v>-</v>
      </c>
      <c r="C1326" s="88" t="s">
        <v>152</v>
      </c>
      <c r="D1326" s="89">
        <f>IF(C1326="ID",1,(IF(C1326="PR",2,(IF(C1326="DE",3,(IF(C1326="RS",4,(IF(C1326="RC",5,0)))))))))</f>
        <v>2</v>
      </c>
      <c r="E1326" s="89" t="s">
        <v>153</v>
      </c>
      <c r="F1326" s="89">
        <f>IF(E1326="AM",1,(IF(E1326="BE",2,(IF(E1326="GV",3,(IF(E1326="RA",4,(IF(E1326="RM",5,(IF(E1326="AC",1,(IF(E1326="AT",2,(IF(E1326="DS",3,(IF(E1326="IP",4,(IF(E1326="MA",5,(IF(E1326="PT",6,(IF(E1326="AE",1,(IF(E1326="CM",2,(IF(E1326="DP",3,(IF(E1326="AN",1,(IF(E1326="CO",2,(IF(E1326="IM",3,(IF(E1326="MI",4,(IF(E1326="RP",5,(IF(E1326="SC",6,0)))))))))))))))))))))))))))))))))))))))</f>
        <v>1</v>
      </c>
      <c r="G1326" s="52">
        <v>4</v>
      </c>
      <c r="H1326" s="90" t="s">
        <v>115</v>
      </c>
      <c r="I1326" s="94" t="s">
        <v>85</v>
      </c>
      <c r="J1326" s="87" t="s">
        <v>1234</v>
      </c>
      <c r="K1326" s="119" t="s">
        <v>4577</v>
      </c>
      <c r="L1326" s="117">
        <f>IF(O1326="","",N1326*O1326*M1326)</f>
        <v>0</v>
      </c>
      <c r="M1326" s="108">
        <v>1</v>
      </c>
      <c r="N1326" s="95">
        <v>1</v>
      </c>
      <c r="O1326" s="109">
        <f>IF(Key!D$1="ON",P1326,IF(SUM(Q1326:DL1326)&lt;1,"",SUM(Q1326:DL1326)/COUNTIF(Q1326:DL1326,"&gt;0")))</f>
        <v>0</v>
      </c>
      <c r="P1326" s="109">
        <f>SUMIFS(Q1326:DK1326,Q$1:DK$1,Dashboard!$K$31)</f>
        <v>0</v>
      </c>
      <c r="U1326" s="95">
        <v>33</v>
      </c>
      <c r="AA1326" s="95">
        <v>25</v>
      </c>
      <c r="AH1326" s="95">
        <v>75</v>
      </c>
    </row>
    <row r="1327" spans="1:34" x14ac:dyDescent="0.3">
      <c r="A1327" s="89" t="str">
        <f>CONCATENATE(D1327,".",F1327,"-",G1327,".",H1327,"")</f>
        <v>2.1-4.1</v>
      </c>
      <c r="B1327" s="89" t="str">
        <f>IF(CONCATENATE(I1327,Key!F$2)=CONCATENATE(INDEX(Dashboard!J:J,MATCH(I1327,Dashboard!J:J,0),1),INDEX(Dashboard!J:K,MATCH(I1327,Dashboard!J:J,0),2)),"ON",IF(Dashboard!K$32="ALL","ON","-"))</f>
        <v>-</v>
      </c>
      <c r="C1327" s="88" t="s">
        <v>152</v>
      </c>
      <c r="D1327" s="89">
        <f>IF(C1327="ID",1,(IF(C1327="PR",2,(IF(C1327="DE",3,(IF(C1327="RS",4,(IF(C1327="RC",5,0)))))))))</f>
        <v>2</v>
      </c>
      <c r="E1327" s="89" t="s">
        <v>153</v>
      </c>
      <c r="F1327" s="89">
        <f>IF(E1327="AM",1,(IF(E1327="BE",2,(IF(E1327="GV",3,(IF(E1327="RA",4,(IF(E1327="RM",5,(IF(E1327="AC",1,(IF(E1327="AT",2,(IF(E1327="DS",3,(IF(E1327="IP",4,(IF(E1327="MA",5,(IF(E1327="PT",6,(IF(E1327="AE",1,(IF(E1327="CM",2,(IF(E1327="DP",3,(IF(E1327="AN",1,(IF(E1327="CO",2,(IF(E1327="IM",3,(IF(E1327="MI",4,(IF(E1327="RP",5,(IF(E1327="SC",6,0)))))))))))))))))))))))))))))))))))))))</f>
        <v>1</v>
      </c>
      <c r="G1327" s="52">
        <v>4</v>
      </c>
      <c r="H1327" s="90" t="s">
        <v>115</v>
      </c>
      <c r="I1327" s="94" t="s">
        <v>85</v>
      </c>
      <c r="J1327" s="86" t="s">
        <v>1256</v>
      </c>
      <c r="K1327" s="119" t="s">
        <v>4494</v>
      </c>
      <c r="L1327" s="117">
        <f>IF(O1327="","",N1327*O1327*M1327)</f>
        <v>0</v>
      </c>
      <c r="M1327" s="108">
        <v>1</v>
      </c>
      <c r="N1327" s="95">
        <v>1</v>
      </c>
      <c r="O1327" s="109">
        <f>IF(Key!D$1="ON",P1327,IF(SUM(Q1327:DL1327)&lt;1,"",SUM(Q1327:DL1327)/COUNTIF(Q1327:DL1327,"&gt;0")))</f>
        <v>0</v>
      </c>
      <c r="P1327" s="109">
        <f>SUMIFS(Q1327:DK1327,Q$1:DK$1,Dashboard!$K$31)</f>
        <v>0</v>
      </c>
      <c r="U1327" s="95">
        <v>33</v>
      </c>
      <c r="AA1327" s="95">
        <v>25</v>
      </c>
      <c r="AH1327" s="95">
        <v>75</v>
      </c>
    </row>
    <row r="1328" spans="1:34" x14ac:dyDescent="0.3">
      <c r="A1328" s="89" t="str">
        <f>CONCATENATE(D1328,".",F1328,"-",G1328,".",H1328,"")</f>
        <v>2.1-4.1</v>
      </c>
      <c r="B1328" s="89" t="str">
        <f>IF(CONCATENATE(I1328,Key!F$2)=CONCATENATE(INDEX(Dashboard!J:J,MATCH(I1328,Dashboard!J:J,0),1),INDEX(Dashboard!J:K,MATCH(I1328,Dashboard!J:J,0),2)),"ON",IF(Dashboard!K$32="ALL","ON","-"))</f>
        <v>-</v>
      </c>
      <c r="C1328" s="88" t="s">
        <v>152</v>
      </c>
      <c r="D1328" s="89">
        <f>IF(C1328="ID",1,(IF(C1328="PR",2,(IF(C1328="DE",3,(IF(C1328="RS",4,(IF(C1328="RC",5,0)))))))))</f>
        <v>2</v>
      </c>
      <c r="E1328" s="89" t="s">
        <v>153</v>
      </c>
      <c r="F1328" s="89">
        <f>IF(E1328="AM",1,(IF(E1328="BE",2,(IF(E1328="GV",3,(IF(E1328="RA",4,(IF(E1328="RM",5,(IF(E1328="AC",1,(IF(E1328="AT",2,(IF(E1328="DS",3,(IF(E1328="IP",4,(IF(E1328="MA",5,(IF(E1328="PT",6,(IF(E1328="AE",1,(IF(E1328="CM",2,(IF(E1328="DP",3,(IF(E1328="AN",1,(IF(E1328="CO",2,(IF(E1328="IM",3,(IF(E1328="MI",4,(IF(E1328="RP",5,(IF(E1328="SC",6,0)))))))))))))))))))))))))))))))))))))))</f>
        <v>1</v>
      </c>
      <c r="G1328" s="52">
        <v>4</v>
      </c>
      <c r="H1328" s="90" t="s">
        <v>115</v>
      </c>
      <c r="I1328" s="94" t="s">
        <v>85</v>
      </c>
      <c r="J1328" s="87" t="s">
        <v>1243</v>
      </c>
      <c r="K1328" s="119" t="s">
        <v>4551</v>
      </c>
      <c r="L1328" s="117">
        <f>IF(O1328="","",N1328*O1328*M1328)</f>
        <v>0</v>
      </c>
      <c r="M1328" s="108">
        <v>1</v>
      </c>
      <c r="N1328" s="95">
        <v>1</v>
      </c>
      <c r="O1328" s="109">
        <f>IF(Key!D$1="ON",P1328,IF(SUM(Q1328:DL1328)&lt;1,"",SUM(Q1328:DL1328)/COUNTIF(Q1328:DL1328,"&gt;0")))</f>
        <v>0</v>
      </c>
      <c r="P1328" s="109">
        <f>SUMIFS(Q1328:DK1328,Q$1:DK$1,Dashboard!$K$31)</f>
        <v>0</v>
      </c>
      <c r="U1328" s="95">
        <v>33</v>
      </c>
      <c r="AA1328" s="95">
        <v>25</v>
      </c>
      <c r="AH1328" s="95">
        <v>75</v>
      </c>
    </row>
    <row r="1329" spans="1:34" x14ac:dyDescent="0.3">
      <c r="A1329" s="89" t="str">
        <f>CONCATENATE(D1329,".",F1329,"-",G1329,".",H1329,"")</f>
        <v>2.1-4.1</v>
      </c>
      <c r="B1329" s="89" t="str">
        <f>IF(CONCATENATE(I1329,Key!F$2)=CONCATENATE(INDEX(Dashboard!J:J,MATCH(I1329,Dashboard!J:J,0),1),INDEX(Dashboard!J:K,MATCH(I1329,Dashboard!J:J,0),2)),"ON",IF(Dashboard!K$32="ALL","ON","-"))</f>
        <v>-</v>
      </c>
      <c r="C1329" s="88" t="s">
        <v>152</v>
      </c>
      <c r="D1329" s="89">
        <f>IF(C1329="ID",1,(IF(C1329="PR",2,(IF(C1329="DE",3,(IF(C1329="RS",4,(IF(C1329="RC",5,0)))))))))</f>
        <v>2</v>
      </c>
      <c r="E1329" s="89" t="s">
        <v>153</v>
      </c>
      <c r="F1329" s="89">
        <f>IF(E1329="AM",1,(IF(E1329="BE",2,(IF(E1329="GV",3,(IF(E1329="RA",4,(IF(E1329="RM",5,(IF(E1329="AC",1,(IF(E1329="AT",2,(IF(E1329="DS",3,(IF(E1329="IP",4,(IF(E1329="MA",5,(IF(E1329="PT",6,(IF(E1329="AE",1,(IF(E1329="CM",2,(IF(E1329="DP",3,(IF(E1329="AN",1,(IF(E1329="CO",2,(IF(E1329="IM",3,(IF(E1329="MI",4,(IF(E1329="RP",5,(IF(E1329="SC",6,0)))))))))))))))))))))))))))))))))))))))</f>
        <v>1</v>
      </c>
      <c r="G1329" s="52">
        <v>4</v>
      </c>
      <c r="H1329" s="90" t="s">
        <v>115</v>
      </c>
      <c r="I1329" s="94" t="s">
        <v>85</v>
      </c>
      <c r="J1329" s="87" t="s">
        <v>1249</v>
      </c>
      <c r="K1329" s="119" t="s">
        <v>1250</v>
      </c>
      <c r="L1329" s="117">
        <f>IF(O1329="","",N1329*O1329*M1329)</f>
        <v>0</v>
      </c>
      <c r="M1329" s="108">
        <v>1</v>
      </c>
      <c r="N1329" s="95">
        <v>1</v>
      </c>
      <c r="O1329" s="109">
        <f>IF(Key!D$1="ON",P1329,IF(SUM(Q1329:DL1329)&lt;1,"",SUM(Q1329:DL1329)/COUNTIF(Q1329:DL1329,"&gt;0")))</f>
        <v>0</v>
      </c>
      <c r="P1329" s="109">
        <f>SUMIFS(Q1329:DK1329,Q$1:DK$1,Dashboard!$K$31)</f>
        <v>0</v>
      </c>
      <c r="U1329" s="95">
        <v>33</v>
      </c>
      <c r="AA1329" s="95">
        <v>25</v>
      </c>
      <c r="AH1329" s="95">
        <v>75</v>
      </c>
    </row>
    <row r="1330" spans="1:34" x14ac:dyDescent="0.3">
      <c r="A1330" s="89" t="str">
        <f>CONCATENATE(D1330,".",F1330,"-",G1330,".",H1330,"")</f>
        <v>2.1-4.1</v>
      </c>
      <c r="B1330" s="89" t="str">
        <f>IF(CONCATENATE(I1330,Key!F$2)=CONCATENATE(INDEX(Dashboard!J:J,MATCH(I1330,Dashboard!J:J,0),1),INDEX(Dashboard!J:K,MATCH(I1330,Dashboard!J:J,0),2)),"ON",IF(Dashboard!K$32="ALL","ON","-"))</f>
        <v>-</v>
      </c>
      <c r="C1330" s="88" t="s">
        <v>152</v>
      </c>
      <c r="D1330" s="89">
        <f>IF(C1330="ID",1,(IF(C1330="PR",2,(IF(C1330="DE",3,(IF(C1330="RS",4,(IF(C1330="RC",5,0)))))))))</f>
        <v>2</v>
      </c>
      <c r="E1330" s="89" t="s">
        <v>153</v>
      </c>
      <c r="F1330" s="89">
        <f>IF(E1330="AM",1,(IF(E1330="BE",2,(IF(E1330="GV",3,(IF(E1330="RA",4,(IF(E1330="RM",5,(IF(E1330="AC",1,(IF(E1330="AT",2,(IF(E1330="DS",3,(IF(E1330="IP",4,(IF(E1330="MA",5,(IF(E1330="PT",6,(IF(E1330="AE",1,(IF(E1330="CM",2,(IF(E1330="DP",3,(IF(E1330="AN",1,(IF(E1330="CO",2,(IF(E1330="IM",3,(IF(E1330="MI",4,(IF(E1330="RP",5,(IF(E1330="SC",6,0)))))))))))))))))))))))))))))))))))))))</f>
        <v>1</v>
      </c>
      <c r="G1330" s="52">
        <v>4</v>
      </c>
      <c r="H1330" s="90" t="s">
        <v>115</v>
      </c>
      <c r="I1330" s="94" t="s">
        <v>85</v>
      </c>
      <c r="J1330" s="87" t="s">
        <v>1235</v>
      </c>
      <c r="K1330" s="119" t="s">
        <v>4497</v>
      </c>
      <c r="L1330" s="117">
        <f>IF(O1330="","",N1330*O1330*M1330)</f>
        <v>0</v>
      </c>
      <c r="M1330" s="108">
        <v>1</v>
      </c>
      <c r="N1330" s="95">
        <v>1</v>
      </c>
      <c r="O1330" s="109">
        <f>IF(Key!D$1="ON",P1330,IF(SUM(Q1330:DL1330)&lt;1,"",SUM(Q1330:DL1330)/COUNTIF(Q1330:DL1330,"&gt;0")))</f>
        <v>0</v>
      </c>
      <c r="P1330" s="109">
        <f>SUMIFS(Q1330:DK1330,Q$1:DK$1,Dashboard!$K$31)</f>
        <v>0</v>
      </c>
      <c r="U1330" s="95">
        <v>33</v>
      </c>
      <c r="AA1330" s="95">
        <v>25</v>
      </c>
      <c r="AH1330" s="95">
        <v>75</v>
      </c>
    </row>
    <row r="1331" spans="1:34" x14ac:dyDescent="0.3">
      <c r="A1331" s="89" t="str">
        <f>CONCATENATE(D1331,".",F1331,"-",G1331,".",H1331,"")</f>
        <v>2.1-4.1</v>
      </c>
      <c r="B1331" s="89" t="str">
        <f>IF(CONCATENATE(I1331,Key!F$2)=CONCATENATE(INDEX(Dashboard!J:J,MATCH(I1331,Dashboard!J:J,0),1),INDEX(Dashboard!J:K,MATCH(I1331,Dashboard!J:J,0),2)),"ON",IF(Dashboard!K$32="ALL","ON","-"))</f>
        <v>-</v>
      </c>
      <c r="C1331" s="88" t="s">
        <v>152</v>
      </c>
      <c r="D1331" s="89">
        <f>IF(C1331="ID",1,(IF(C1331="PR",2,(IF(C1331="DE",3,(IF(C1331="RS",4,(IF(C1331="RC",5,0)))))))))</f>
        <v>2</v>
      </c>
      <c r="E1331" s="89" t="s">
        <v>153</v>
      </c>
      <c r="F1331" s="89">
        <f>IF(E1331="AM",1,(IF(E1331="BE",2,(IF(E1331="GV",3,(IF(E1331="RA",4,(IF(E1331="RM",5,(IF(E1331="AC",1,(IF(E1331="AT",2,(IF(E1331="DS",3,(IF(E1331="IP",4,(IF(E1331="MA",5,(IF(E1331="PT",6,(IF(E1331="AE",1,(IF(E1331="CM",2,(IF(E1331="DP",3,(IF(E1331="AN",1,(IF(E1331="CO",2,(IF(E1331="IM",3,(IF(E1331="MI",4,(IF(E1331="RP",5,(IF(E1331="SC",6,0)))))))))))))))))))))))))))))))))))))))</f>
        <v>1</v>
      </c>
      <c r="G1331" s="52">
        <v>4</v>
      </c>
      <c r="H1331" s="90" t="s">
        <v>115</v>
      </c>
      <c r="I1331" s="94" t="s">
        <v>85</v>
      </c>
      <c r="J1331" s="87" t="s">
        <v>1769</v>
      </c>
      <c r="K1331" s="119" t="s">
        <v>5000</v>
      </c>
      <c r="L1331" s="117">
        <f>IF(O1331="","",N1331*O1331*M1331)</f>
        <v>0</v>
      </c>
      <c r="M1331" s="108">
        <v>1</v>
      </c>
      <c r="N1331" s="95">
        <v>1</v>
      </c>
      <c r="O1331" s="109">
        <f>IF(Key!D$1="ON",P1331,IF(SUM(Q1331:DL1331)&lt;1,"",SUM(Q1331:DL1331)/COUNTIF(Q1331:DL1331,"&gt;0")))</f>
        <v>0</v>
      </c>
      <c r="P1331" s="109">
        <f>SUMIFS(Q1331:DK1331,Q$1:DK$1,Dashboard!$K$31)</f>
        <v>0</v>
      </c>
      <c r="U1331" s="95">
        <v>33</v>
      </c>
      <c r="AA1331" s="95">
        <v>25</v>
      </c>
      <c r="AH1331" s="95">
        <v>75</v>
      </c>
    </row>
    <row r="1332" spans="1:34" x14ac:dyDescent="0.3">
      <c r="A1332" s="89" t="str">
        <f>CONCATENATE(D1332,".",F1332,"-",G1332,".",H1332,"")</f>
        <v>2.1-4.1</v>
      </c>
      <c r="B1332" s="89" t="str">
        <f>IF(CONCATENATE(I1332,Key!F$2)=CONCATENATE(INDEX(Dashboard!J:J,MATCH(I1332,Dashboard!J:J,0),1),INDEX(Dashboard!J:K,MATCH(I1332,Dashboard!J:J,0),2)),"ON",IF(Dashboard!K$32="ALL","ON","-"))</f>
        <v>-</v>
      </c>
      <c r="C1332" s="88" t="s">
        <v>152</v>
      </c>
      <c r="D1332" s="89">
        <f>IF(C1332="ID",1,(IF(C1332="PR",2,(IF(C1332="DE",3,(IF(C1332="RS",4,(IF(C1332="RC",5,0)))))))))</f>
        <v>2</v>
      </c>
      <c r="E1332" s="89" t="s">
        <v>153</v>
      </c>
      <c r="F1332" s="89">
        <f>IF(E1332="AM",1,(IF(E1332="BE",2,(IF(E1332="GV",3,(IF(E1332="RA",4,(IF(E1332="RM",5,(IF(E1332="AC",1,(IF(E1332="AT",2,(IF(E1332="DS",3,(IF(E1332="IP",4,(IF(E1332="MA",5,(IF(E1332="PT",6,(IF(E1332="AE",1,(IF(E1332="CM",2,(IF(E1332="DP",3,(IF(E1332="AN",1,(IF(E1332="CO",2,(IF(E1332="IM",3,(IF(E1332="MI",4,(IF(E1332="RP",5,(IF(E1332="SC",6,0)))))))))))))))))))))))))))))))))))))))</f>
        <v>1</v>
      </c>
      <c r="G1332" s="52">
        <v>4</v>
      </c>
      <c r="H1332" s="90" t="s">
        <v>115</v>
      </c>
      <c r="I1332" s="94" t="s">
        <v>85</v>
      </c>
      <c r="J1332" s="87" t="s">
        <v>1782</v>
      </c>
      <c r="K1332" s="119" t="s">
        <v>5082</v>
      </c>
      <c r="L1332" s="117">
        <f>IF(O1332="","",N1332*O1332*M1332)</f>
        <v>0</v>
      </c>
      <c r="M1332" s="108">
        <v>1</v>
      </c>
      <c r="N1332" s="95">
        <v>1</v>
      </c>
      <c r="O1332" s="109">
        <f>IF(Key!D$1="ON",P1332,IF(SUM(Q1332:DL1332)&lt;1,"",SUM(Q1332:DL1332)/COUNTIF(Q1332:DL1332,"&gt;0")))</f>
        <v>0</v>
      </c>
      <c r="P1332" s="109">
        <f>SUMIFS(Q1332:DK1332,Q$1:DK$1,Dashboard!$K$31)</f>
        <v>0</v>
      </c>
      <c r="U1332" s="95">
        <v>33</v>
      </c>
      <c r="AA1332" s="95">
        <v>25</v>
      </c>
      <c r="AH1332" s="95">
        <v>75</v>
      </c>
    </row>
    <row r="1333" spans="1:34" ht="15.6" x14ac:dyDescent="0.3">
      <c r="A1333" s="89" t="str">
        <f>CONCATENATE(D1333,".",F1333,"-",G1333,".",H1333,"")</f>
        <v>2.1-4.1</v>
      </c>
      <c r="B1333" s="89" t="str">
        <f>IF(CONCATENATE(I1333,Key!F$2)=CONCATENATE(INDEX(Dashboard!J:J,MATCH(I1333,Dashboard!J:J,0),1),INDEX(Dashboard!J:K,MATCH(I1333,Dashboard!J:J,0),2)),"ON",IF(Dashboard!K$32="ALL","ON","-"))</f>
        <v>-</v>
      </c>
      <c r="C1333" s="88" t="s">
        <v>152</v>
      </c>
      <c r="D1333" s="89">
        <f>IF(C1333="ID",1,(IF(C1333="PR",2,(IF(C1333="DE",3,(IF(C1333="RS",4,(IF(C1333="RC",5,0)))))))))</f>
        <v>2</v>
      </c>
      <c r="E1333" s="89" t="s">
        <v>153</v>
      </c>
      <c r="F1333" s="89">
        <f>IF(E1333="AM",1,(IF(E1333="BE",2,(IF(E1333="GV",3,(IF(E1333="RA",4,(IF(E1333="RM",5,(IF(E1333="AC",1,(IF(E1333="AT",2,(IF(E1333="DS",3,(IF(E1333="IP",4,(IF(E1333="MA",5,(IF(E1333="PT",6,(IF(E1333="AE",1,(IF(E1333="CM",2,(IF(E1333="DP",3,(IF(E1333="AN",1,(IF(E1333="CO",2,(IF(E1333="IM",3,(IF(E1333="MI",4,(IF(E1333="RP",5,(IF(E1333="SC",6,0)))))))))))))))))))))))))))))))))))))))</f>
        <v>1</v>
      </c>
      <c r="G1333" s="52">
        <v>4</v>
      </c>
      <c r="H1333" s="90" t="s">
        <v>115</v>
      </c>
      <c r="I1333" s="94" t="s">
        <v>85</v>
      </c>
      <c r="J1333" s="135" t="s">
        <v>655</v>
      </c>
      <c r="K1333" s="143" t="s">
        <v>4647</v>
      </c>
      <c r="L1333" s="117">
        <f>IF(O1333="","",N1333*O1333*M1333)</f>
        <v>0</v>
      </c>
      <c r="M1333" s="108">
        <v>1</v>
      </c>
      <c r="N1333" s="95">
        <v>1</v>
      </c>
      <c r="O1333" s="109">
        <f>IF(Key!D$1="ON",P1333,IF(SUM(Q1333:DL1333)&lt;1,"",SUM(Q1333:DL1333)/COUNTIF(Q1333:DL1333,"&gt;0")))</f>
        <v>0</v>
      </c>
      <c r="P1333" s="109">
        <f>SUMIFS(Q1333:DK1333,Q$1:DK$1,Dashboard!$K$31)</f>
        <v>0</v>
      </c>
      <c r="U1333" s="95">
        <v>33</v>
      </c>
      <c r="AA1333" s="95">
        <v>25</v>
      </c>
      <c r="AH1333" s="95">
        <v>75</v>
      </c>
    </row>
    <row r="1334" spans="1:34" ht="15.6" x14ac:dyDescent="0.3">
      <c r="A1334" s="89" t="str">
        <f>CONCATENATE(D1334,".",F1334,"-",G1334,".",H1334,"")</f>
        <v>2.1-4.1</v>
      </c>
      <c r="B1334" s="89" t="str">
        <f>IF(CONCATENATE(I1334,Key!F$2)=CONCATENATE(INDEX(Dashboard!J:J,MATCH(I1334,Dashboard!J:J,0),1),INDEX(Dashboard!J:K,MATCH(I1334,Dashboard!J:J,0),2)),"ON",IF(Dashboard!K$32="ALL","ON","-"))</f>
        <v>-</v>
      </c>
      <c r="C1334" s="88" t="s">
        <v>152</v>
      </c>
      <c r="D1334" s="89">
        <f>IF(C1334="ID",1,(IF(C1334="PR",2,(IF(C1334="DE",3,(IF(C1334="RS",4,(IF(C1334="RC",5,0)))))))))</f>
        <v>2</v>
      </c>
      <c r="E1334" s="89" t="s">
        <v>153</v>
      </c>
      <c r="F1334" s="89">
        <f>IF(E1334="AM",1,(IF(E1334="BE",2,(IF(E1334="GV",3,(IF(E1334="RA",4,(IF(E1334="RM",5,(IF(E1334="AC",1,(IF(E1334="AT",2,(IF(E1334="DS",3,(IF(E1334="IP",4,(IF(E1334="MA",5,(IF(E1334="PT",6,(IF(E1334="AE",1,(IF(E1334="CM",2,(IF(E1334="DP",3,(IF(E1334="AN",1,(IF(E1334="CO",2,(IF(E1334="IM",3,(IF(E1334="MI",4,(IF(E1334="RP",5,(IF(E1334="SC",6,0)))))))))))))))))))))))))))))))))))))))</f>
        <v>1</v>
      </c>
      <c r="G1334" s="52">
        <v>4</v>
      </c>
      <c r="H1334" s="90" t="s">
        <v>115</v>
      </c>
      <c r="I1334" s="94" t="s">
        <v>85</v>
      </c>
      <c r="J1334" s="135" t="s">
        <v>634</v>
      </c>
      <c r="K1334" s="143" t="s">
        <v>4509</v>
      </c>
      <c r="L1334" s="117">
        <f>IF(O1334="","",N1334*O1334*M1334)</f>
        <v>0</v>
      </c>
      <c r="M1334" s="108">
        <v>1</v>
      </c>
      <c r="N1334" s="95">
        <v>1</v>
      </c>
      <c r="O1334" s="109">
        <f>IF(Key!D$1="ON",P1334,IF(SUM(Q1334:DL1334)&lt;1,"",SUM(Q1334:DL1334)/COUNTIF(Q1334:DL1334,"&gt;0")))</f>
        <v>0</v>
      </c>
      <c r="P1334" s="109">
        <f>SUMIFS(Q1334:DK1334,Q$1:DK$1,Dashboard!$K$31)</f>
        <v>0</v>
      </c>
      <c r="U1334" s="95">
        <v>33</v>
      </c>
      <c r="AA1334" s="95">
        <v>25</v>
      </c>
      <c r="AH1334" s="95">
        <v>75</v>
      </c>
    </row>
    <row r="1335" spans="1:34" ht="15.6" x14ac:dyDescent="0.3">
      <c r="A1335" s="89" t="str">
        <f>CONCATENATE(D1335,".",F1335,"-",G1335,".",H1335,"")</f>
        <v>2.1-4.1</v>
      </c>
      <c r="B1335" s="89" t="str">
        <f>IF(CONCATENATE(I1335,Key!F$2)=CONCATENATE(INDEX(Dashboard!J:J,MATCH(I1335,Dashboard!J:J,0),1),INDEX(Dashboard!J:K,MATCH(I1335,Dashboard!J:J,0),2)),"ON",IF(Dashboard!K$32="ALL","ON","-"))</f>
        <v>-</v>
      </c>
      <c r="C1335" s="88" t="s">
        <v>152</v>
      </c>
      <c r="D1335" s="89">
        <f>IF(C1335="ID",1,(IF(C1335="PR",2,(IF(C1335="DE",3,(IF(C1335="RS",4,(IF(C1335="RC",5,0)))))))))</f>
        <v>2</v>
      </c>
      <c r="E1335" s="89" t="s">
        <v>153</v>
      </c>
      <c r="F1335" s="89">
        <f>IF(E1335="AM",1,(IF(E1335="BE",2,(IF(E1335="GV",3,(IF(E1335="RA",4,(IF(E1335="RM",5,(IF(E1335="AC",1,(IF(E1335="AT",2,(IF(E1335="DS",3,(IF(E1335="IP",4,(IF(E1335="MA",5,(IF(E1335="PT",6,(IF(E1335="AE",1,(IF(E1335="CM",2,(IF(E1335="DP",3,(IF(E1335="AN",1,(IF(E1335="CO",2,(IF(E1335="IM",3,(IF(E1335="MI",4,(IF(E1335="RP",5,(IF(E1335="SC",6,0)))))))))))))))))))))))))))))))))))))))</f>
        <v>1</v>
      </c>
      <c r="G1335" s="52">
        <v>4</v>
      </c>
      <c r="H1335" s="89">
        <v>1</v>
      </c>
      <c r="I1335" s="94" t="s">
        <v>85</v>
      </c>
      <c r="J1335" s="135" t="s">
        <v>5221</v>
      </c>
      <c r="K1335" s="143" t="s">
        <v>742</v>
      </c>
      <c r="L1335" s="117">
        <f>IF(O1335="","",N1335*O1335*M1335)</f>
        <v>0</v>
      </c>
      <c r="M1335" s="108">
        <v>1</v>
      </c>
      <c r="N1335" s="95">
        <v>1</v>
      </c>
      <c r="O1335" s="109">
        <f>IF(Key!D$1="ON",P1335,IF(SUM(Q1335:DL1335)&lt;1,"",SUM(Q1335:DL1335)/COUNTIF(Q1335:DL1335,"&gt;0")))</f>
        <v>0</v>
      </c>
      <c r="P1335" s="109">
        <f>SUMIFS(Q1335:DK1335,Q$1:DK$1,Dashboard!$K$31)</f>
        <v>0</v>
      </c>
      <c r="U1335" s="95">
        <v>33</v>
      </c>
      <c r="AA1335" s="95">
        <v>25</v>
      </c>
      <c r="AH1335" s="95">
        <v>75</v>
      </c>
    </row>
    <row r="1336" spans="1:34" ht="15.6" x14ac:dyDescent="0.3">
      <c r="A1336" s="89" t="str">
        <f>CONCATENATE(D1336,".",F1336,"-",G1336,".",H1336,"")</f>
        <v>2.1-4.1</v>
      </c>
      <c r="B1336" s="89" t="str">
        <f>IF(CONCATENATE(I1336,Key!F$2)=CONCATENATE(INDEX(Dashboard!J:J,MATCH(I1336,Dashboard!J:J,0),1),INDEX(Dashboard!J:K,MATCH(I1336,Dashboard!J:J,0),2)),"ON",IF(Dashboard!K$32="ALL","ON","-"))</f>
        <v>-</v>
      </c>
      <c r="C1336" s="96" t="s">
        <v>152</v>
      </c>
      <c r="D1336" s="89">
        <f>IF(C1336="ID",1,(IF(C1336="PR",2,(IF(C1336="DE",3,(IF(C1336="RS",4,(IF(C1336="RC",5,0)))))))))</f>
        <v>2</v>
      </c>
      <c r="E1336" s="89" t="s">
        <v>153</v>
      </c>
      <c r="F1336" s="89">
        <f>IF(E1336="AM",1,(IF(E1336="BE",2,(IF(E1336="GV",3,(IF(E1336="RA",4,(IF(E1336="RM",5,(IF(E1336="AC",1,(IF(E1336="AT",2,(IF(E1336="DS",3,(IF(E1336="IP",4,(IF(E1336="MA",5,(IF(E1336="PT",6,(IF(E1336="AE",1,(IF(E1336="CM",2,(IF(E1336="DP",3,(IF(E1336="AN",1,(IF(E1336="CO",2,(IF(E1336="IM",3,(IF(E1336="MI",4,(IF(E1336="RP",5,(IF(E1336="SC",6,0)))))))))))))))))))))))))))))))))))))))</f>
        <v>1</v>
      </c>
      <c r="G1336" s="52">
        <v>4</v>
      </c>
      <c r="H1336" s="90" t="s">
        <v>115</v>
      </c>
      <c r="I1336" s="94" t="s">
        <v>85</v>
      </c>
      <c r="J1336" s="135" t="s">
        <v>790</v>
      </c>
      <c r="K1336" s="143" t="s">
        <v>2259</v>
      </c>
      <c r="L1336" s="117">
        <f>IF(O1336="","",N1336*O1336*M1336)</f>
        <v>0</v>
      </c>
      <c r="M1336" s="108">
        <v>1</v>
      </c>
      <c r="N1336" s="95">
        <v>1</v>
      </c>
      <c r="O1336" s="109">
        <f>IF(Key!D$1="ON",P1336,IF(SUM(Q1336:DL1336)&lt;1,"",SUM(Q1336:DL1336)/COUNTIF(Q1336:DL1336,"&gt;0")))</f>
        <v>0</v>
      </c>
      <c r="P1336" s="109">
        <f>SUMIFS(Q1336:DK1336,Q$1:DK$1,Dashboard!$K$31)</f>
        <v>0</v>
      </c>
      <c r="U1336" s="95">
        <v>33</v>
      </c>
      <c r="AA1336" s="95">
        <v>25</v>
      </c>
      <c r="AH1336" s="95">
        <v>75</v>
      </c>
    </row>
    <row r="1337" spans="1:34" ht="15.6" x14ac:dyDescent="0.3">
      <c r="A1337" s="89" t="str">
        <f>CONCATENATE(D1337,".",F1337,"-",G1337,".",H1337,"")</f>
        <v>2.1-4.1</v>
      </c>
      <c r="B1337" s="89" t="str">
        <f>IF(CONCATENATE(I1337,Key!F$2)=CONCATENATE(INDEX(Dashboard!J:J,MATCH(I1337,Dashboard!J:J,0),1),INDEX(Dashboard!J:K,MATCH(I1337,Dashboard!J:J,0),2)),"ON",IF(Dashboard!K$32="ALL","ON","-"))</f>
        <v>-</v>
      </c>
      <c r="C1337" s="96" t="s">
        <v>152</v>
      </c>
      <c r="D1337" s="89">
        <f>IF(C1337="ID",1,(IF(C1337="PR",2,(IF(C1337="DE",3,(IF(C1337="RS",4,(IF(C1337="RC",5,0)))))))))</f>
        <v>2</v>
      </c>
      <c r="E1337" s="89" t="s">
        <v>153</v>
      </c>
      <c r="F1337" s="89">
        <f>IF(E1337="AM",1,(IF(E1337="BE",2,(IF(E1337="GV",3,(IF(E1337="RA",4,(IF(E1337="RM",5,(IF(E1337="AC",1,(IF(E1337="AT",2,(IF(E1337="DS",3,(IF(E1337="IP",4,(IF(E1337="MA",5,(IF(E1337="PT",6,(IF(E1337="AE",1,(IF(E1337="CM",2,(IF(E1337="DP",3,(IF(E1337="AN",1,(IF(E1337="CO",2,(IF(E1337="IM",3,(IF(E1337="MI",4,(IF(E1337="RP",5,(IF(E1337="SC",6,0)))))))))))))))))))))))))))))))))))))))</f>
        <v>1</v>
      </c>
      <c r="G1337" s="52">
        <v>4</v>
      </c>
      <c r="H1337" s="90" t="s">
        <v>115</v>
      </c>
      <c r="I1337" s="94" t="s">
        <v>85</v>
      </c>
      <c r="J1337" s="135" t="s">
        <v>786</v>
      </c>
      <c r="K1337" s="143" t="s">
        <v>4933</v>
      </c>
      <c r="L1337" s="117">
        <f>IF(O1337="","",N1337*O1337*M1337)</f>
        <v>0</v>
      </c>
      <c r="M1337" s="108">
        <v>1</v>
      </c>
      <c r="N1337" s="95">
        <v>1</v>
      </c>
      <c r="O1337" s="109">
        <f>IF(Key!D$1="ON",P1337,IF(SUM(Q1337:DL1337)&lt;1,"",SUM(Q1337:DL1337)/COUNTIF(Q1337:DL1337,"&gt;0")))</f>
        <v>0</v>
      </c>
      <c r="P1337" s="109">
        <f>SUMIFS(Q1337:DK1337,Q$1:DK$1,Dashboard!$K$31)</f>
        <v>0</v>
      </c>
      <c r="U1337" s="95">
        <v>33</v>
      </c>
      <c r="AA1337" s="95">
        <v>25</v>
      </c>
      <c r="AH1337" s="95">
        <v>75</v>
      </c>
    </row>
    <row r="1338" spans="1:34" x14ac:dyDescent="0.3">
      <c r="A1338" s="89" t="str">
        <f>CONCATENATE(D1338,".",F1338,"-",G1338,".",H1338,"")</f>
        <v>2.1-4.1</v>
      </c>
      <c r="B1338" s="89" t="str">
        <f>IF(CONCATENATE(I1338,Key!F$2)=CONCATENATE(INDEX(Dashboard!J:J,MATCH(I1338,Dashboard!J:J,0),1),INDEX(Dashboard!J:K,MATCH(I1338,Dashboard!J:J,0),2)),"ON",IF(Dashboard!K$32="ALL","ON","-"))</f>
        <v>-</v>
      </c>
      <c r="C1338" s="88" t="s">
        <v>152</v>
      </c>
      <c r="D1338" s="89">
        <f>IF(C1338="ID",1,(IF(C1338="PR",2,(IF(C1338="DE",3,(IF(C1338="RS",4,(IF(C1338="RC",5,0)))))))))</f>
        <v>2</v>
      </c>
      <c r="E1338" s="89" t="s">
        <v>153</v>
      </c>
      <c r="F1338" s="89">
        <f>IF(E1338="AM",1,(IF(E1338="BE",2,(IF(E1338="GV",3,(IF(E1338="RA",4,(IF(E1338="RM",5,(IF(E1338="AC",1,(IF(E1338="AT",2,(IF(E1338="DS",3,(IF(E1338="IP",4,(IF(E1338="MA",5,(IF(E1338="PT",6,(IF(E1338="AE",1,(IF(E1338="CM",2,(IF(E1338="DP",3,(IF(E1338="AN",1,(IF(E1338="CO",2,(IF(E1338="IM",3,(IF(E1338="MI",4,(IF(E1338="RP",5,(IF(E1338="SC",6,0)))))))))))))))))))))))))))))))))))))))</f>
        <v>1</v>
      </c>
      <c r="G1338" s="52">
        <v>4</v>
      </c>
      <c r="H1338" s="89">
        <v>1</v>
      </c>
      <c r="I1338" s="94" t="s">
        <v>85</v>
      </c>
      <c r="J1338" s="135" t="s">
        <v>743</v>
      </c>
      <c r="K1338" s="143" t="s">
        <v>4886</v>
      </c>
      <c r="L1338" s="117">
        <f>IF(O1338="","",N1338*O1338*M1338)</f>
        <v>0</v>
      </c>
      <c r="M1338" s="108">
        <v>1</v>
      </c>
      <c r="N1338" s="95">
        <v>1</v>
      </c>
      <c r="O1338" s="109">
        <f>IF(Key!D$1="ON",P1338,IF(SUM(Q1338:DL1338)&lt;1,"",SUM(Q1338:DL1338)/COUNTIF(Q1338:DL1338,"&gt;0")))</f>
        <v>0</v>
      </c>
      <c r="P1338" s="109">
        <f>SUMIFS(Q1338:DK1338,Q$1:DK$1,Dashboard!$K$31)</f>
        <v>0</v>
      </c>
      <c r="U1338" s="95">
        <v>33</v>
      </c>
      <c r="AA1338" s="95">
        <v>25</v>
      </c>
      <c r="AH1338" s="95">
        <v>75</v>
      </c>
    </row>
    <row r="1339" spans="1:34" x14ac:dyDescent="0.3">
      <c r="A1339" s="89" t="str">
        <f>CONCATENATE(D1339,".",F1339,"-",G1339,".",H1339,"")</f>
        <v>2.1-4.1</v>
      </c>
      <c r="B1339" s="89" t="str">
        <f>IF(CONCATENATE(I1339,Key!F$2)=CONCATENATE(INDEX(Dashboard!J:J,MATCH(I1339,Dashboard!J:J,0),1),INDEX(Dashboard!J:K,MATCH(I1339,Dashboard!J:J,0),2)),"ON",IF(Dashboard!K$32="ALL","ON","-"))</f>
        <v>-</v>
      </c>
      <c r="C1339" s="88" t="s">
        <v>152</v>
      </c>
      <c r="D1339" s="89">
        <f>IF(C1339="ID",1,(IF(C1339="PR",2,(IF(C1339="DE",3,(IF(C1339="RS",4,(IF(C1339="RC",5,0)))))))))</f>
        <v>2</v>
      </c>
      <c r="E1339" s="89" t="s">
        <v>153</v>
      </c>
      <c r="F1339" s="89">
        <f>IF(E1339="AM",1,(IF(E1339="BE",2,(IF(E1339="GV",3,(IF(E1339="RA",4,(IF(E1339="RM",5,(IF(E1339="AC",1,(IF(E1339="AT",2,(IF(E1339="DS",3,(IF(E1339="IP",4,(IF(E1339="MA",5,(IF(E1339="PT",6,(IF(E1339="AE",1,(IF(E1339="CM",2,(IF(E1339="DP",3,(IF(E1339="AN",1,(IF(E1339="CO",2,(IF(E1339="IM",3,(IF(E1339="MI",4,(IF(E1339="RP",5,(IF(E1339="SC",6,0)))))))))))))))))))))))))))))))))))))))</f>
        <v>1</v>
      </c>
      <c r="G1339" s="52">
        <v>4</v>
      </c>
      <c r="H1339" s="89">
        <v>1</v>
      </c>
      <c r="I1339" s="94" t="s">
        <v>85</v>
      </c>
      <c r="J1339" s="135" t="s">
        <v>747</v>
      </c>
      <c r="K1339" s="143" t="s">
        <v>4886</v>
      </c>
      <c r="L1339" s="117">
        <f>IF(O1339="","",N1339*O1339*M1339)</f>
        <v>0</v>
      </c>
      <c r="M1339" s="108">
        <v>1</v>
      </c>
      <c r="N1339" s="95">
        <v>1</v>
      </c>
      <c r="O1339" s="109">
        <f>IF(Key!D$1="ON",P1339,IF(SUM(Q1339:DL1339)&lt;1,"",SUM(Q1339:DL1339)/COUNTIF(Q1339:DL1339,"&gt;0")))</f>
        <v>0</v>
      </c>
      <c r="P1339" s="109">
        <f>SUMIFS(Q1339:DK1339,Q$1:DK$1,Dashboard!$K$31)</f>
        <v>0</v>
      </c>
      <c r="U1339" s="95">
        <v>33</v>
      </c>
      <c r="AA1339" s="95">
        <v>25</v>
      </c>
      <c r="AH1339" s="95">
        <v>75</v>
      </c>
    </row>
    <row r="1340" spans="1:34" x14ac:dyDescent="0.3">
      <c r="A1340" s="89" t="str">
        <f>CONCATENATE(D1340,".",F1340,"-",G1340,".",H1340,"")</f>
        <v>2.1-4.1</v>
      </c>
      <c r="B1340" s="89" t="str">
        <f>IF(CONCATENATE(I1340,Key!F$2)=CONCATENATE(INDEX(Dashboard!J:J,MATCH(I1340,Dashboard!J:J,0),1),INDEX(Dashboard!J:K,MATCH(I1340,Dashboard!J:J,0),2)),"ON",IF(Dashboard!K$32="ALL","ON","-"))</f>
        <v>-</v>
      </c>
      <c r="C1340" s="88" t="s">
        <v>152</v>
      </c>
      <c r="D1340" s="89">
        <f>IF(C1340="ID",1,(IF(C1340="PR",2,(IF(C1340="DE",3,(IF(C1340="RS",4,(IF(C1340="RC",5,0)))))))))</f>
        <v>2</v>
      </c>
      <c r="E1340" s="89" t="s">
        <v>153</v>
      </c>
      <c r="F1340" s="89">
        <f>IF(E1340="AM",1,(IF(E1340="BE",2,(IF(E1340="GV",3,(IF(E1340="RA",4,(IF(E1340="RM",5,(IF(E1340="AC",1,(IF(E1340="AT",2,(IF(E1340="DS",3,(IF(E1340="IP",4,(IF(E1340="MA",5,(IF(E1340="PT",6,(IF(E1340="AE",1,(IF(E1340="CM",2,(IF(E1340="DP",3,(IF(E1340="AN",1,(IF(E1340="CO",2,(IF(E1340="IM",3,(IF(E1340="MI",4,(IF(E1340="RP",5,(IF(E1340="SC",6,0)))))))))))))))))))))))))))))))))))))))</f>
        <v>1</v>
      </c>
      <c r="G1340" s="52">
        <v>4</v>
      </c>
      <c r="H1340" s="90" t="s">
        <v>115</v>
      </c>
      <c r="I1340" s="94" t="s">
        <v>85</v>
      </c>
      <c r="J1340" s="135" t="s">
        <v>682</v>
      </c>
      <c r="K1340" s="143" t="s">
        <v>2400</v>
      </c>
      <c r="L1340" s="117">
        <f>IF(O1340="","",N1340*O1340*M1340)</f>
        <v>0</v>
      </c>
      <c r="M1340" s="108">
        <v>1</v>
      </c>
      <c r="N1340" s="95">
        <v>1</v>
      </c>
      <c r="O1340" s="109">
        <f>IF(Key!D$1="ON",P1340,IF(SUM(Q1340:DL1340)&lt;1,"",SUM(Q1340:DL1340)/COUNTIF(Q1340:DL1340,"&gt;0")))</f>
        <v>0</v>
      </c>
      <c r="P1340" s="109">
        <f>SUMIFS(Q1340:DK1340,Q$1:DK$1,Dashboard!$K$31)</f>
        <v>0</v>
      </c>
      <c r="U1340" s="95">
        <v>33</v>
      </c>
      <c r="AA1340" s="95">
        <v>25</v>
      </c>
      <c r="AH1340" s="95">
        <v>75</v>
      </c>
    </row>
    <row r="1341" spans="1:34" ht="15.6" x14ac:dyDescent="0.3">
      <c r="A1341" s="89" t="str">
        <f>CONCATENATE(D1341,".",F1341,"-",G1341,".",H1341,"")</f>
        <v>2.1-4.1</v>
      </c>
      <c r="B1341" s="89" t="str">
        <f>IF(CONCATENATE(I1341,Key!F$2)=CONCATENATE(INDEX(Dashboard!J:J,MATCH(I1341,Dashboard!J:J,0),1),INDEX(Dashboard!J:K,MATCH(I1341,Dashboard!J:J,0),2)),"ON",IF(Dashboard!K$32="ALL","ON","-"))</f>
        <v>-</v>
      </c>
      <c r="C1341" s="88" t="s">
        <v>152</v>
      </c>
      <c r="D1341" s="89">
        <f>IF(C1341="ID",1,(IF(C1341="PR",2,(IF(C1341="DE",3,(IF(C1341="RS",4,(IF(C1341="RC",5,0)))))))))</f>
        <v>2</v>
      </c>
      <c r="E1341" s="89" t="s">
        <v>153</v>
      </c>
      <c r="F1341" s="89">
        <f>IF(E1341="AM",1,(IF(E1341="BE",2,(IF(E1341="GV",3,(IF(E1341="RA",4,(IF(E1341="RM",5,(IF(E1341="AC",1,(IF(E1341="AT",2,(IF(E1341="DS",3,(IF(E1341="IP",4,(IF(E1341="MA",5,(IF(E1341="PT",6,(IF(E1341="AE",1,(IF(E1341="CM",2,(IF(E1341="DP",3,(IF(E1341="AN",1,(IF(E1341="CO",2,(IF(E1341="IM",3,(IF(E1341="MI",4,(IF(E1341="RP",5,(IF(E1341="SC",6,0)))))))))))))))))))))))))))))))))))))))</f>
        <v>1</v>
      </c>
      <c r="G1341" s="52">
        <v>4</v>
      </c>
      <c r="H1341" s="89">
        <v>1</v>
      </c>
      <c r="I1341" s="94" t="s">
        <v>85</v>
      </c>
      <c r="J1341" s="135" t="s">
        <v>744</v>
      </c>
      <c r="K1341" s="143" t="s">
        <v>4887</v>
      </c>
      <c r="L1341" s="117">
        <f>IF(O1341="","",N1341*O1341*M1341)</f>
        <v>0</v>
      </c>
      <c r="M1341" s="108">
        <v>1</v>
      </c>
      <c r="N1341" s="95">
        <v>1</v>
      </c>
      <c r="O1341" s="109">
        <f>IF(Key!D$1="ON",P1341,IF(SUM(Q1341:DL1341)&lt;1,"",SUM(Q1341:DL1341)/COUNTIF(Q1341:DL1341,"&gt;0")))</f>
        <v>0</v>
      </c>
      <c r="P1341" s="109">
        <f>SUMIFS(Q1341:DK1341,Q$1:DK$1,Dashboard!$K$31)</f>
        <v>0</v>
      </c>
      <c r="U1341" s="95">
        <v>33</v>
      </c>
      <c r="AA1341" s="95">
        <v>25</v>
      </c>
      <c r="AH1341" s="95">
        <v>75</v>
      </c>
    </row>
    <row r="1342" spans="1:34" x14ac:dyDescent="0.3">
      <c r="A1342" s="89" t="str">
        <f>CONCATENATE(D1342,".",F1342,"-",G1342,".",H1342,"")</f>
        <v>2.1-4.1</v>
      </c>
      <c r="B1342" s="89" t="str">
        <f>IF(CONCATENATE(I1342,Key!F$2)=CONCATENATE(INDEX(Dashboard!J:J,MATCH(I1342,Dashboard!J:J,0),1),INDEX(Dashboard!J:K,MATCH(I1342,Dashboard!J:J,0),2)),"ON",IF(Dashboard!K$32="ALL","ON","-"))</f>
        <v>-</v>
      </c>
      <c r="C1342" s="88" t="s">
        <v>152</v>
      </c>
      <c r="D1342" s="89">
        <f>IF(C1342="ID",1,(IF(C1342="PR",2,(IF(C1342="DE",3,(IF(C1342="RS",4,(IF(C1342="RC",5,0)))))))))</f>
        <v>2</v>
      </c>
      <c r="E1342" s="89" t="s">
        <v>153</v>
      </c>
      <c r="F1342" s="89">
        <f>IF(E1342="AM",1,(IF(E1342="BE",2,(IF(E1342="GV",3,(IF(E1342="RA",4,(IF(E1342="RM",5,(IF(E1342="AC",1,(IF(E1342="AT",2,(IF(E1342="DS",3,(IF(E1342="IP",4,(IF(E1342="MA",5,(IF(E1342="PT",6,(IF(E1342="AE",1,(IF(E1342="CM",2,(IF(E1342="DP",3,(IF(E1342="AN",1,(IF(E1342="CO",2,(IF(E1342="IM",3,(IF(E1342="MI",4,(IF(E1342="RP",5,(IF(E1342="SC",6,0)))))))))))))))))))))))))))))))))))))))</f>
        <v>1</v>
      </c>
      <c r="G1342" s="52">
        <v>4</v>
      </c>
      <c r="H1342" s="89">
        <v>1</v>
      </c>
      <c r="I1342" s="94" t="s">
        <v>85</v>
      </c>
      <c r="J1342" s="135" t="s">
        <v>748</v>
      </c>
      <c r="K1342" s="143" t="s">
        <v>4887</v>
      </c>
      <c r="L1342" s="117">
        <f>IF(O1342="","",N1342*O1342*M1342)</f>
        <v>0</v>
      </c>
      <c r="M1342" s="108">
        <v>1</v>
      </c>
      <c r="N1342" s="95">
        <v>1</v>
      </c>
      <c r="O1342" s="109">
        <f>IF(Key!D$1="ON",P1342,IF(SUM(Q1342:DL1342)&lt;1,"",SUM(Q1342:DL1342)/COUNTIF(Q1342:DL1342,"&gt;0")))</f>
        <v>0</v>
      </c>
      <c r="P1342" s="109">
        <f>SUMIFS(Q1342:DK1342,Q$1:DK$1,Dashboard!$K$31)</f>
        <v>0</v>
      </c>
      <c r="U1342" s="95">
        <v>33</v>
      </c>
      <c r="AA1342" s="95">
        <v>25</v>
      </c>
      <c r="AH1342" s="95">
        <v>75</v>
      </c>
    </row>
    <row r="1343" spans="1:34" x14ac:dyDescent="0.3">
      <c r="A1343" s="89" t="str">
        <f>CONCATENATE(D1343,".",F1343,"-",G1343,".",H1343,"")</f>
        <v>2.1-4.1</v>
      </c>
      <c r="B1343" s="89" t="str">
        <f>IF(CONCATENATE(I1343,Key!F$2)=CONCATENATE(INDEX(Dashboard!J:J,MATCH(I1343,Dashboard!J:J,0),1),INDEX(Dashboard!J:K,MATCH(I1343,Dashboard!J:J,0),2)),"ON",IF(Dashboard!K$32="ALL","ON","-"))</f>
        <v>-</v>
      </c>
      <c r="C1343" s="88" t="s">
        <v>152</v>
      </c>
      <c r="D1343" s="89">
        <f>IF(C1343="ID",1,(IF(C1343="PR",2,(IF(C1343="DE",3,(IF(C1343="RS",4,(IF(C1343="RC",5,0)))))))))</f>
        <v>2</v>
      </c>
      <c r="E1343" s="89" t="s">
        <v>153</v>
      </c>
      <c r="F1343" s="89">
        <f>IF(E1343="AM",1,(IF(E1343="BE",2,(IF(E1343="GV",3,(IF(E1343="RA",4,(IF(E1343="RM",5,(IF(E1343="AC",1,(IF(E1343="AT",2,(IF(E1343="DS",3,(IF(E1343="IP",4,(IF(E1343="MA",5,(IF(E1343="PT",6,(IF(E1343="AE",1,(IF(E1343="CM",2,(IF(E1343="DP",3,(IF(E1343="AN",1,(IF(E1343="CO",2,(IF(E1343="IM",3,(IF(E1343="MI",4,(IF(E1343="RP",5,(IF(E1343="SC",6,0)))))))))))))))))))))))))))))))))))))))</f>
        <v>1</v>
      </c>
      <c r="G1343" s="52">
        <v>4</v>
      </c>
      <c r="H1343" s="90" t="s">
        <v>115</v>
      </c>
      <c r="I1343" s="94" t="s">
        <v>92</v>
      </c>
      <c r="J1343" s="88">
        <v>2</v>
      </c>
      <c r="K1343" s="102" t="s">
        <v>5226</v>
      </c>
      <c r="L1343" s="117">
        <f>IF(O1343="","",N1343*O1343*M1343)</f>
        <v>0</v>
      </c>
      <c r="M1343" s="108">
        <v>1</v>
      </c>
      <c r="N1343" s="95">
        <v>1</v>
      </c>
      <c r="O1343" s="109">
        <f>IF(Key!D$1="ON",P1343,IF(SUM(Q1343:DL1343)&lt;1,"",SUM(Q1343:DL1343)/COUNTIF(Q1343:DL1343,"&gt;0")))</f>
        <v>0</v>
      </c>
      <c r="P1343" s="109">
        <f>SUMIFS(Q1343:DK1343,Q$1:DK$1,Dashboard!$K$31)</f>
        <v>0</v>
      </c>
      <c r="U1343" s="95">
        <v>33</v>
      </c>
      <c r="AA1343" s="95">
        <v>25</v>
      </c>
      <c r="AH1343" s="95">
        <v>75</v>
      </c>
    </row>
    <row r="1344" spans="1:34" x14ac:dyDescent="0.3">
      <c r="A1344" s="89" t="str">
        <f>CONCATENATE(D1344,".",F1344,"-",G1344,".",H1344,"")</f>
        <v>2.1-4.1</v>
      </c>
      <c r="B1344" s="89" t="str">
        <f>IF(CONCATENATE(I1344,Key!F$2)=CONCATENATE(INDEX(Dashboard!J:J,MATCH(I1344,Dashboard!J:J,0),1),INDEX(Dashboard!J:K,MATCH(I1344,Dashboard!J:J,0),2)),"ON",IF(Dashboard!K$32="ALL","ON","-"))</f>
        <v>-</v>
      </c>
      <c r="C1344" s="88" t="s">
        <v>152</v>
      </c>
      <c r="D1344" s="89">
        <f>IF(C1344="ID",1,(IF(C1344="PR",2,(IF(C1344="DE",3,(IF(C1344="RS",4,(IF(C1344="RC",5,0)))))))))</f>
        <v>2</v>
      </c>
      <c r="E1344" s="89" t="s">
        <v>153</v>
      </c>
      <c r="F1344" s="89">
        <f>IF(E1344="AM",1,(IF(E1344="BE",2,(IF(E1344="GV",3,(IF(E1344="RA",4,(IF(E1344="RM",5,(IF(E1344="AC",1,(IF(E1344="AT",2,(IF(E1344="DS",3,(IF(E1344="IP",4,(IF(E1344="MA",5,(IF(E1344="PT",6,(IF(E1344="AE",1,(IF(E1344="CM",2,(IF(E1344="DP",3,(IF(E1344="AN",1,(IF(E1344="CO",2,(IF(E1344="IM",3,(IF(E1344="MI",4,(IF(E1344="RP",5,(IF(E1344="SC",6,0)))))))))))))))))))))))))))))))))))))))</f>
        <v>1</v>
      </c>
      <c r="G1344" s="52">
        <v>4</v>
      </c>
      <c r="H1344" s="90" t="s">
        <v>115</v>
      </c>
      <c r="I1344" s="94" t="s">
        <v>92</v>
      </c>
      <c r="J1344" s="128">
        <v>3.5</v>
      </c>
      <c r="K1344" s="102" t="s">
        <v>5226</v>
      </c>
      <c r="L1344" s="117">
        <f>IF(O1344="","",N1344*O1344*M1344)</f>
        <v>0</v>
      </c>
      <c r="M1344" s="108">
        <v>1</v>
      </c>
      <c r="N1344" s="95">
        <v>1</v>
      </c>
      <c r="O1344" s="109">
        <f>IF(Key!D$1="ON",P1344,IF(SUM(Q1344:DL1344)&lt;1,"",SUM(Q1344:DL1344)/COUNTIF(Q1344:DL1344,"&gt;0")))</f>
        <v>0</v>
      </c>
      <c r="P1344" s="109">
        <f>SUMIFS(Q1344:DK1344,Q$1:DK$1,Dashboard!$K$31)</f>
        <v>0</v>
      </c>
      <c r="U1344" s="95">
        <v>33</v>
      </c>
      <c r="AA1344" s="95">
        <v>25</v>
      </c>
      <c r="AH1344" s="95">
        <v>75</v>
      </c>
    </row>
    <row r="1345" spans="1:34" x14ac:dyDescent="0.3">
      <c r="A1345" s="89" t="str">
        <f>CONCATENATE(D1345,".",F1345,"-",G1345,".",H1345,"")</f>
        <v>2.1-4.1</v>
      </c>
      <c r="B1345" s="89" t="str">
        <f>IF(CONCATENATE(I1345,Key!F$2)=CONCATENATE(INDEX(Dashboard!J:J,MATCH(I1345,Dashboard!J:J,0),1),INDEX(Dashboard!J:K,MATCH(I1345,Dashboard!J:J,0),2)),"ON",IF(Dashboard!K$32="ALL","ON","-"))</f>
        <v>-</v>
      </c>
      <c r="C1345" s="88" t="s">
        <v>152</v>
      </c>
      <c r="D1345" s="89">
        <f>IF(C1345="ID",1,(IF(C1345="PR",2,(IF(C1345="DE",3,(IF(C1345="RS",4,(IF(C1345="RC",5,0)))))))))</f>
        <v>2</v>
      </c>
      <c r="E1345" s="89" t="s">
        <v>153</v>
      </c>
      <c r="F1345" s="89">
        <f>IF(E1345="AM",1,(IF(E1345="BE",2,(IF(E1345="GV",3,(IF(E1345="RA",4,(IF(E1345="RM",5,(IF(E1345="AC",1,(IF(E1345="AT",2,(IF(E1345="DS",3,(IF(E1345="IP",4,(IF(E1345="MA",5,(IF(E1345="PT",6,(IF(E1345="AE",1,(IF(E1345="CM",2,(IF(E1345="DP",3,(IF(E1345="AN",1,(IF(E1345="CO",2,(IF(E1345="IM",3,(IF(E1345="MI",4,(IF(E1345="RP",5,(IF(E1345="SC",6,0)))))))))))))))))))))))))))))))))))))))</f>
        <v>1</v>
      </c>
      <c r="G1345" s="52">
        <v>4</v>
      </c>
      <c r="H1345" s="90" t="s">
        <v>115</v>
      </c>
      <c r="I1345" s="94" t="s">
        <v>92</v>
      </c>
      <c r="J1345" s="127">
        <v>8.5</v>
      </c>
      <c r="K1345" s="102" t="s">
        <v>5226</v>
      </c>
      <c r="L1345" s="117">
        <f>IF(O1345="","",N1345*O1345*M1345)</f>
        <v>0</v>
      </c>
      <c r="M1345" s="108">
        <v>1</v>
      </c>
      <c r="N1345" s="95">
        <v>1</v>
      </c>
      <c r="O1345" s="109">
        <f>IF(Key!D$1="ON",P1345,IF(SUM(Q1345:DL1345)&lt;1,"",SUM(Q1345:DL1345)/COUNTIF(Q1345:DL1345,"&gt;0")))</f>
        <v>0</v>
      </c>
      <c r="P1345" s="109">
        <f>SUMIFS(Q1345:DK1345,Q$1:DK$1,Dashboard!$K$31)</f>
        <v>0</v>
      </c>
      <c r="U1345" s="95">
        <v>33</v>
      </c>
      <c r="AA1345" s="95">
        <v>25</v>
      </c>
      <c r="AH1345" s="95">
        <v>75</v>
      </c>
    </row>
    <row r="1346" spans="1:34" x14ac:dyDescent="0.3">
      <c r="A1346" s="89" t="str">
        <f>CONCATENATE(D1346,".",F1346,"-",G1346,".",H1346,"")</f>
        <v>2.1-4.1</v>
      </c>
      <c r="B1346" s="89" t="str">
        <f>IF(CONCATENATE(I1346,Key!F$2)=CONCATENATE(INDEX(Dashboard!J:J,MATCH(I1346,Dashboard!J:J,0),1),INDEX(Dashboard!J:K,MATCH(I1346,Dashboard!J:J,0),2)),"ON",IF(Dashboard!K$32="ALL","ON","-"))</f>
        <v>-</v>
      </c>
      <c r="C1346" s="88" t="s">
        <v>152</v>
      </c>
      <c r="D1346" s="89">
        <f>IF(C1346="ID",1,(IF(C1346="PR",2,(IF(C1346="DE",3,(IF(C1346="RS",4,(IF(C1346="RC",5,0)))))))))</f>
        <v>2</v>
      </c>
      <c r="E1346" s="89" t="s">
        <v>153</v>
      </c>
      <c r="F1346" s="89">
        <f>IF(E1346="AM",1,(IF(E1346="BE",2,(IF(E1346="GV",3,(IF(E1346="RA",4,(IF(E1346="RM",5,(IF(E1346="AC",1,(IF(E1346="AT",2,(IF(E1346="DS",3,(IF(E1346="IP",4,(IF(E1346="MA",5,(IF(E1346="PT",6,(IF(E1346="AE",1,(IF(E1346="CM",2,(IF(E1346="DP",3,(IF(E1346="AN",1,(IF(E1346="CO",2,(IF(E1346="IM",3,(IF(E1346="MI",4,(IF(E1346="RP",5,(IF(E1346="SC",6,0)))))))))))))))))))))))))))))))))))))))</f>
        <v>1</v>
      </c>
      <c r="G1346" s="52">
        <v>4</v>
      </c>
      <c r="H1346" s="90" t="s">
        <v>115</v>
      </c>
      <c r="I1346" s="94" t="s">
        <v>92</v>
      </c>
      <c r="J1346" s="88">
        <v>8.6999999999999993</v>
      </c>
      <c r="K1346" s="102" t="s">
        <v>5226</v>
      </c>
      <c r="L1346" s="117">
        <f>IF(O1346="","",N1346*O1346*M1346)</f>
        <v>0</v>
      </c>
      <c r="M1346" s="108">
        <v>1</v>
      </c>
      <c r="N1346" s="95">
        <v>1</v>
      </c>
      <c r="O1346" s="109">
        <f>IF(Key!D$1="ON",P1346,IF(SUM(Q1346:DL1346)&lt;1,"",SUM(Q1346:DL1346)/COUNTIF(Q1346:DL1346,"&gt;0")))</f>
        <v>0</v>
      </c>
      <c r="P1346" s="109">
        <f>SUMIFS(Q1346:DK1346,Q$1:DK$1,Dashboard!$K$31)</f>
        <v>0</v>
      </c>
      <c r="U1346" s="95">
        <v>33</v>
      </c>
      <c r="AA1346" s="95">
        <v>25</v>
      </c>
      <c r="AH1346" s="95">
        <v>75</v>
      </c>
    </row>
    <row r="1347" spans="1:34" x14ac:dyDescent="0.3">
      <c r="A1347" s="89" t="str">
        <f>CONCATENATE(D1347,".",F1347,"-",G1347,".",H1347,"")</f>
        <v>2.1-4.1</v>
      </c>
      <c r="B1347" s="89" t="str">
        <f>IF(CONCATENATE(I1347,Key!F$2)=CONCATENATE(INDEX(Dashboard!J:J,MATCH(I1347,Dashboard!J:J,0),1),INDEX(Dashboard!J:K,MATCH(I1347,Dashboard!J:J,0),2)),"ON",IF(Dashboard!K$32="ALL","ON","-"))</f>
        <v>-</v>
      </c>
      <c r="C1347" s="88" t="s">
        <v>152</v>
      </c>
      <c r="D1347" s="89">
        <f>IF(C1347="ID",1,(IF(C1347="PR",2,(IF(C1347="DE",3,(IF(C1347="RS",4,(IF(C1347="RC",5,0)))))))))</f>
        <v>2</v>
      </c>
      <c r="E1347" s="89" t="s">
        <v>153</v>
      </c>
      <c r="F1347" s="89">
        <f>IF(E1347="AM",1,(IF(E1347="BE",2,(IF(E1347="GV",3,(IF(E1347="RA",4,(IF(E1347="RM",5,(IF(E1347="AC",1,(IF(E1347="AT",2,(IF(E1347="DS",3,(IF(E1347="IP",4,(IF(E1347="MA",5,(IF(E1347="PT",6,(IF(E1347="AE",1,(IF(E1347="CM",2,(IF(E1347="DP",3,(IF(E1347="AN",1,(IF(E1347="CO",2,(IF(E1347="IM",3,(IF(E1347="MI",4,(IF(E1347="RP",5,(IF(E1347="SC",6,0)))))))))))))))))))))))))))))))))))))))</f>
        <v>1</v>
      </c>
      <c r="G1347" s="52">
        <v>4</v>
      </c>
      <c r="H1347" s="90" t="s">
        <v>115</v>
      </c>
      <c r="I1347" s="94" t="s">
        <v>92</v>
      </c>
      <c r="J1347" s="88" t="s">
        <v>174</v>
      </c>
      <c r="K1347" s="102" t="s">
        <v>5226</v>
      </c>
      <c r="L1347" s="117">
        <f>IF(O1347="","",N1347*O1347*M1347)</f>
        <v>0</v>
      </c>
      <c r="M1347" s="108">
        <v>1</v>
      </c>
      <c r="N1347" s="95">
        <v>1</v>
      </c>
      <c r="O1347" s="109">
        <f>IF(Key!D$1="ON",P1347,IF(SUM(Q1347:DL1347)&lt;1,"",SUM(Q1347:DL1347)/COUNTIF(Q1347:DL1347,"&gt;0")))</f>
        <v>0</v>
      </c>
      <c r="P1347" s="109">
        <f>SUMIFS(Q1347:DK1347,Q$1:DK$1,Dashboard!$K$31)</f>
        <v>0</v>
      </c>
      <c r="U1347" s="95">
        <v>33</v>
      </c>
      <c r="AA1347" s="95">
        <v>25</v>
      </c>
      <c r="AH1347" s="95">
        <v>75</v>
      </c>
    </row>
    <row r="1348" spans="1:34" x14ac:dyDescent="0.3">
      <c r="A1348" s="89" t="str">
        <f>CONCATENATE(D1348,".",F1348,"-",G1348,".",H1348,"")</f>
        <v>2.1-4.1</v>
      </c>
      <c r="B1348" s="89" t="str">
        <f>IF(CONCATENATE(I1348,Key!F$2)=CONCATENATE(INDEX(Dashboard!J:J,MATCH(I1348,Dashboard!J:J,0),1),INDEX(Dashboard!J:K,MATCH(I1348,Dashboard!J:J,0),2)),"ON",IF(Dashboard!K$32="ALL","ON","-"))</f>
        <v>-</v>
      </c>
      <c r="C1348" s="88" t="s">
        <v>152</v>
      </c>
      <c r="D1348" s="89">
        <f>IF(C1348="ID",1,(IF(C1348="PR",2,(IF(C1348="DE",3,(IF(C1348="RS",4,(IF(C1348="RC",5,0)))))))))</f>
        <v>2</v>
      </c>
      <c r="E1348" s="89" t="s">
        <v>153</v>
      </c>
      <c r="F1348" s="89">
        <f>IF(E1348="AM",1,(IF(E1348="BE",2,(IF(E1348="GV",3,(IF(E1348="RA",4,(IF(E1348="RM",5,(IF(E1348="AC",1,(IF(E1348="AT",2,(IF(E1348="DS",3,(IF(E1348="IP",4,(IF(E1348="MA",5,(IF(E1348="PT",6,(IF(E1348="AE",1,(IF(E1348="CM",2,(IF(E1348="DP",3,(IF(E1348="AN",1,(IF(E1348="CO",2,(IF(E1348="IM",3,(IF(E1348="MI",4,(IF(E1348="RP",5,(IF(E1348="SC",6,0)))))))))))))))))))))))))))))))))))))))</f>
        <v>1</v>
      </c>
      <c r="G1348" s="52">
        <v>4</v>
      </c>
      <c r="H1348" s="90" t="s">
        <v>115</v>
      </c>
      <c r="I1348" s="94" t="s">
        <v>92</v>
      </c>
      <c r="J1348" s="88" t="s">
        <v>175</v>
      </c>
      <c r="K1348" s="102" t="s">
        <v>5226</v>
      </c>
      <c r="L1348" s="117">
        <f>IF(O1348="","",N1348*O1348*M1348)</f>
        <v>0</v>
      </c>
      <c r="M1348" s="108">
        <v>1</v>
      </c>
      <c r="N1348" s="95">
        <v>1</v>
      </c>
      <c r="O1348" s="109">
        <f>IF(Key!D$1="ON",P1348,IF(SUM(Q1348:DL1348)&lt;1,"",SUM(Q1348:DL1348)/COUNTIF(Q1348:DL1348,"&gt;0")))</f>
        <v>0</v>
      </c>
      <c r="P1348" s="109">
        <f>SUMIFS(Q1348:DK1348,Q$1:DK$1,Dashboard!$K$31)</f>
        <v>0</v>
      </c>
      <c r="U1348" s="95">
        <v>33</v>
      </c>
      <c r="AA1348" s="95">
        <v>25</v>
      </c>
      <c r="AH1348" s="95">
        <v>75</v>
      </c>
    </row>
    <row r="1349" spans="1:34" x14ac:dyDescent="0.3">
      <c r="A1349" s="89" t="str">
        <f>CONCATENATE(D1349,".",F1349,"-",G1349,".",H1349,"")</f>
        <v>2.1-4.1</v>
      </c>
      <c r="B1349" s="89" t="str">
        <f>IF(CONCATENATE(I1349,Key!F$2)=CONCATENATE(INDEX(Dashboard!J:J,MATCH(I1349,Dashboard!J:J,0),1),INDEX(Dashboard!J:K,MATCH(I1349,Dashboard!J:J,0),2)),"ON",IF(Dashboard!K$32="ALL","ON","-"))</f>
        <v>-</v>
      </c>
      <c r="C1349" s="88" t="s">
        <v>152</v>
      </c>
      <c r="D1349" s="89">
        <f>IF(C1349="ID",1,(IF(C1349="PR",2,(IF(C1349="DE",3,(IF(C1349="RS",4,(IF(C1349="RC",5,0)))))))))</f>
        <v>2</v>
      </c>
      <c r="E1349" s="89" t="s">
        <v>153</v>
      </c>
      <c r="F1349" s="89">
        <f>IF(E1349="AM",1,(IF(E1349="BE",2,(IF(E1349="GV",3,(IF(E1349="RA",4,(IF(E1349="RM",5,(IF(E1349="AC",1,(IF(E1349="AT",2,(IF(E1349="DS",3,(IF(E1349="IP",4,(IF(E1349="MA",5,(IF(E1349="PT",6,(IF(E1349="AE",1,(IF(E1349="CM",2,(IF(E1349="DP",3,(IF(E1349="AN",1,(IF(E1349="CO",2,(IF(E1349="IM",3,(IF(E1349="MI",4,(IF(E1349="RP",5,(IF(E1349="SC",6,0)))))))))))))))))))))))))))))))))))))))</f>
        <v>1</v>
      </c>
      <c r="G1349" s="52">
        <v>4</v>
      </c>
      <c r="H1349" s="90" t="s">
        <v>115</v>
      </c>
      <c r="I1349" s="94" t="s">
        <v>92</v>
      </c>
      <c r="J1349" s="88" t="s">
        <v>138</v>
      </c>
      <c r="K1349" s="102" t="s">
        <v>5226</v>
      </c>
      <c r="L1349" s="117">
        <f>IF(O1349="","",N1349*O1349*M1349)</f>
        <v>0</v>
      </c>
      <c r="M1349" s="108">
        <v>1</v>
      </c>
      <c r="N1349" s="95">
        <v>1</v>
      </c>
      <c r="O1349" s="109">
        <f>IF(Key!D$1="ON",P1349,IF(SUM(Q1349:DL1349)&lt;1,"",SUM(Q1349:DL1349)/COUNTIF(Q1349:DL1349,"&gt;0")))</f>
        <v>0</v>
      </c>
      <c r="P1349" s="109">
        <f>SUMIFS(Q1349:DK1349,Q$1:DK$1,Dashboard!$K$31)</f>
        <v>0</v>
      </c>
      <c r="U1349" s="95">
        <v>33</v>
      </c>
      <c r="AA1349" s="95">
        <v>25</v>
      </c>
      <c r="AH1349" s="95">
        <v>75</v>
      </c>
    </row>
    <row r="1350" spans="1:34" x14ac:dyDescent="0.3">
      <c r="A1350" s="89" t="str">
        <f>CONCATENATE(D1350,".",F1350,"-",G1350,".",H1350,"")</f>
        <v>2.1-4.1</v>
      </c>
      <c r="B1350" s="89" t="str">
        <f>IF(CONCATENATE(I1350,Key!F$2)=CONCATENATE(INDEX(Dashboard!J:J,MATCH(I1350,Dashboard!J:J,0),1),INDEX(Dashboard!J:K,MATCH(I1350,Dashboard!J:J,0),2)),"ON",IF(Dashboard!K$32="ALL","ON","-"))</f>
        <v>-</v>
      </c>
      <c r="C1350" s="88" t="s">
        <v>152</v>
      </c>
      <c r="D1350" s="89">
        <f>IF(C1350="ID",1,(IF(C1350="PR",2,(IF(C1350="DE",3,(IF(C1350="RS",4,(IF(C1350="RC",5,0)))))))))</f>
        <v>2</v>
      </c>
      <c r="E1350" s="89" t="s">
        <v>153</v>
      </c>
      <c r="F1350" s="89">
        <f>IF(E1350="AM",1,(IF(E1350="BE",2,(IF(E1350="GV",3,(IF(E1350="RA",4,(IF(E1350="RM",5,(IF(E1350="AC",1,(IF(E1350="AT",2,(IF(E1350="DS",3,(IF(E1350="IP",4,(IF(E1350="MA",5,(IF(E1350="PT",6,(IF(E1350="AE",1,(IF(E1350="CM",2,(IF(E1350="DP",3,(IF(E1350="AN",1,(IF(E1350="CO",2,(IF(E1350="IM",3,(IF(E1350="MI",4,(IF(E1350="RP",5,(IF(E1350="SC",6,0)))))))))))))))))))))))))))))))))))))))</f>
        <v>1</v>
      </c>
      <c r="G1350" s="52">
        <v>4</v>
      </c>
      <c r="H1350" s="90" t="s">
        <v>115</v>
      </c>
      <c r="I1350" s="94" t="s">
        <v>92</v>
      </c>
      <c r="J1350" s="88" t="s">
        <v>176</v>
      </c>
      <c r="K1350" s="102" t="s">
        <v>5226</v>
      </c>
      <c r="L1350" s="117">
        <f>IF(O1350="","",N1350*O1350*M1350)</f>
        <v>0</v>
      </c>
      <c r="M1350" s="108">
        <v>1</v>
      </c>
      <c r="N1350" s="95">
        <v>1</v>
      </c>
      <c r="O1350" s="109">
        <f>IF(Key!D$1="ON",P1350,IF(SUM(Q1350:DL1350)&lt;1,"",SUM(Q1350:DL1350)/COUNTIF(Q1350:DL1350,"&gt;0")))</f>
        <v>0</v>
      </c>
      <c r="P1350" s="109">
        <f>SUMIFS(Q1350:DK1350,Q$1:DK$1,Dashboard!$K$31)</f>
        <v>0</v>
      </c>
      <c r="U1350" s="95">
        <v>33</v>
      </c>
      <c r="AA1350" s="95">
        <v>25</v>
      </c>
      <c r="AH1350" s="95">
        <v>75</v>
      </c>
    </row>
    <row r="1351" spans="1:34" x14ac:dyDescent="0.3">
      <c r="A1351" s="89" t="str">
        <f>CONCATENATE(D1351,".",F1351,"-",G1351,".",H1351,"")</f>
        <v>2.1-4.1</v>
      </c>
      <c r="B1351" s="89" t="str">
        <f>IF(CONCATENATE(I1351,Key!F$2)=CONCATENATE(INDEX(Dashboard!J:J,MATCH(I1351,Dashboard!J:J,0),1),INDEX(Dashboard!J:K,MATCH(I1351,Dashboard!J:J,0),2)),"ON",IF(Dashboard!K$32="ALL","ON","-"))</f>
        <v>-</v>
      </c>
      <c r="C1351" s="88" t="s">
        <v>152</v>
      </c>
      <c r="D1351" s="89">
        <f>IF(C1351="ID",1,(IF(C1351="PR",2,(IF(C1351="DE",3,(IF(C1351="RS",4,(IF(C1351="RC",5,0)))))))))</f>
        <v>2</v>
      </c>
      <c r="E1351" s="89" t="s">
        <v>153</v>
      </c>
      <c r="F1351" s="89">
        <f>IF(E1351="AM",1,(IF(E1351="BE",2,(IF(E1351="GV",3,(IF(E1351="RA",4,(IF(E1351="RM",5,(IF(E1351="AC",1,(IF(E1351="AT",2,(IF(E1351="DS",3,(IF(E1351="IP",4,(IF(E1351="MA",5,(IF(E1351="PT",6,(IF(E1351="AE",1,(IF(E1351="CM",2,(IF(E1351="DP",3,(IF(E1351="AN",1,(IF(E1351="CO",2,(IF(E1351="IM",3,(IF(E1351="MI",4,(IF(E1351="RP",5,(IF(E1351="SC",6,0)))))))))))))))))))))))))))))))))))))))</f>
        <v>1</v>
      </c>
      <c r="G1351" s="98">
        <v>4</v>
      </c>
      <c r="H1351" s="90" t="s">
        <v>115</v>
      </c>
      <c r="I1351" s="94" t="s">
        <v>92</v>
      </c>
      <c r="J1351" s="87" t="s">
        <v>177</v>
      </c>
      <c r="K1351" s="102" t="s">
        <v>5226</v>
      </c>
      <c r="L1351" s="117">
        <f>IF(O1351="","",N1351*O1351*M1351)</f>
        <v>0</v>
      </c>
      <c r="M1351" s="108">
        <v>1</v>
      </c>
      <c r="N1351" s="95">
        <v>1</v>
      </c>
      <c r="O1351" s="109">
        <f>IF(Key!D$1="ON",P1351,IF(SUM(Q1351:DL1351)&lt;1,"",SUM(Q1351:DL1351)/COUNTIF(Q1351:DL1351,"&gt;0")))</f>
        <v>0</v>
      </c>
      <c r="P1351" s="109">
        <f>SUMIFS(Q1351:DK1351,Q$1:DK$1,Dashboard!$K$31)</f>
        <v>0</v>
      </c>
      <c r="U1351" s="95">
        <v>33</v>
      </c>
      <c r="AA1351" s="95">
        <v>25</v>
      </c>
      <c r="AH1351" s="95">
        <v>75</v>
      </c>
    </row>
    <row r="1352" spans="1:34" x14ac:dyDescent="0.3">
      <c r="A1352" s="89" t="str">
        <f>CONCATENATE(D1352,".",F1352,"-",G1352,".",H1352,"")</f>
        <v>2.1-4.1</v>
      </c>
      <c r="B1352" s="89" t="str">
        <f>IF(CONCATENATE(I1352,Key!F$2)=CONCATENATE(INDEX(Dashboard!J:J,MATCH(I1352,Dashboard!J:J,0),1),INDEX(Dashboard!J:K,MATCH(I1352,Dashboard!J:J,0),2)),"ON",IF(Dashboard!K$32="ALL","ON","-"))</f>
        <v>-</v>
      </c>
      <c r="C1352" s="96" t="s">
        <v>152</v>
      </c>
      <c r="D1352" s="89">
        <f>IF(C1352="ID",1,(IF(C1352="PR",2,(IF(C1352="DE",3,(IF(C1352="RS",4,(IF(C1352="RC",5,0)))))))))</f>
        <v>2</v>
      </c>
      <c r="E1352" s="89" t="s">
        <v>153</v>
      </c>
      <c r="F1352" s="89">
        <f>IF(E1352="AM",1,(IF(E1352="BE",2,(IF(E1352="GV",3,(IF(E1352="RA",4,(IF(E1352="RM",5,(IF(E1352="AC",1,(IF(E1352="AT",2,(IF(E1352="DS",3,(IF(E1352="IP",4,(IF(E1352="MA",5,(IF(E1352="PT",6,(IF(E1352="AE",1,(IF(E1352="CM",2,(IF(E1352="DP",3,(IF(E1352="AN",1,(IF(E1352="CO",2,(IF(E1352="IM",3,(IF(E1352="MI",4,(IF(E1352="RP",5,(IF(E1352="SC",6,0)))))))))))))))))))))))))))))))))))))))</f>
        <v>1</v>
      </c>
      <c r="G1352" s="52">
        <v>4</v>
      </c>
      <c r="H1352" s="90" t="s">
        <v>115</v>
      </c>
      <c r="I1352" s="94" t="s">
        <v>92</v>
      </c>
      <c r="J1352" s="88" t="s">
        <v>178</v>
      </c>
      <c r="K1352" s="102" t="s">
        <v>5226</v>
      </c>
      <c r="L1352" s="117">
        <f>IF(O1352="","",N1352*O1352*M1352)</f>
        <v>0</v>
      </c>
      <c r="M1352" s="108">
        <v>1</v>
      </c>
      <c r="N1352" s="95">
        <v>1</v>
      </c>
      <c r="O1352" s="109">
        <f>IF(Key!D$1="ON",P1352,IF(SUM(Q1352:DL1352)&lt;1,"",SUM(Q1352:DL1352)/COUNTIF(Q1352:DL1352,"&gt;0")))</f>
        <v>0</v>
      </c>
      <c r="P1352" s="109">
        <f>SUMIFS(Q1352:DK1352,Q$1:DK$1,Dashboard!$K$31)</f>
        <v>0</v>
      </c>
      <c r="U1352" s="95">
        <v>33</v>
      </c>
      <c r="AA1352" s="95">
        <v>25</v>
      </c>
      <c r="AH1352" s="95">
        <v>75</v>
      </c>
    </row>
    <row r="1353" spans="1:34" x14ac:dyDescent="0.3">
      <c r="A1353" s="89" t="str">
        <f>CONCATENATE(D1353,".",F1353,"-",G1353,".",H1353,"")</f>
        <v>2.1-4.1</v>
      </c>
      <c r="B1353" s="89" t="str">
        <f>IF(CONCATENATE(I1353,Key!F$2)=CONCATENATE(INDEX(Dashboard!J:J,MATCH(I1353,Dashboard!J:J,0),1),INDEX(Dashboard!J:K,MATCH(I1353,Dashboard!J:J,0),2)),"ON",IF(Dashboard!K$32="ALL","ON","-"))</f>
        <v>-</v>
      </c>
      <c r="C1353" s="88" t="s">
        <v>152</v>
      </c>
      <c r="D1353" s="89">
        <f>IF(C1353="ID",1,(IF(C1353="PR",2,(IF(C1353="DE",3,(IF(C1353="RS",4,(IF(C1353="RC",5,0)))))))))</f>
        <v>2</v>
      </c>
      <c r="E1353" s="89" t="s">
        <v>153</v>
      </c>
      <c r="F1353" s="89">
        <f>IF(E1353="AM",1,(IF(E1353="BE",2,(IF(E1353="GV",3,(IF(E1353="RA",4,(IF(E1353="RM",5,(IF(E1353="AC",1,(IF(E1353="AT",2,(IF(E1353="DS",3,(IF(E1353="IP",4,(IF(E1353="MA",5,(IF(E1353="PT",6,(IF(E1353="AE",1,(IF(E1353="CM",2,(IF(E1353="DP",3,(IF(E1353="AN",1,(IF(E1353="CO",2,(IF(E1353="IM",3,(IF(E1353="MI",4,(IF(E1353="RP",5,(IF(E1353="SC",6,0)))))))))))))))))))))))))))))))))))))))</f>
        <v>1</v>
      </c>
      <c r="G1353" s="52">
        <v>4</v>
      </c>
      <c r="H1353" s="90" t="s">
        <v>115</v>
      </c>
      <c r="I1353" s="94" t="s">
        <v>92</v>
      </c>
      <c r="J1353" s="88" t="s">
        <v>179</v>
      </c>
      <c r="K1353" s="102" t="s">
        <v>5226</v>
      </c>
      <c r="L1353" s="117">
        <f>IF(O1353="","",N1353*O1353*M1353)</f>
        <v>0</v>
      </c>
      <c r="M1353" s="108">
        <v>1</v>
      </c>
      <c r="N1353" s="95">
        <v>1</v>
      </c>
      <c r="O1353" s="109">
        <f>IF(Key!D$1="ON",P1353,IF(SUM(Q1353:DL1353)&lt;1,"",SUM(Q1353:DL1353)/COUNTIF(Q1353:DL1353,"&gt;0")))</f>
        <v>0</v>
      </c>
      <c r="P1353" s="109">
        <f>SUMIFS(Q1353:DK1353,Q$1:DK$1,Dashboard!$K$31)</f>
        <v>0</v>
      </c>
      <c r="U1353" s="95">
        <v>33</v>
      </c>
      <c r="AA1353" s="95">
        <v>25</v>
      </c>
      <c r="AH1353" s="95">
        <v>75</v>
      </c>
    </row>
    <row r="1354" spans="1:34" x14ac:dyDescent="0.3">
      <c r="A1354" s="89" t="str">
        <f>CONCATENATE(D1354,".",F1354,"-",G1354,".",H1354,"")</f>
        <v>2.1-4.1</v>
      </c>
      <c r="B1354" s="89" t="str">
        <f>IF(CONCATENATE(I1354,Key!F$2)=CONCATENATE(INDEX(Dashboard!J:J,MATCH(I1354,Dashboard!J:J,0),1),INDEX(Dashboard!J:K,MATCH(I1354,Dashboard!J:J,0),2)),"ON",IF(Dashboard!K$32="ALL","ON","-"))</f>
        <v>-</v>
      </c>
      <c r="C1354" s="88" t="s">
        <v>152</v>
      </c>
      <c r="D1354" s="89">
        <f>IF(C1354="ID",1,(IF(C1354="PR",2,(IF(C1354="DE",3,(IF(C1354="RS",4,(IF(C1354="RC",5,0)))))))))</f>
        <v>2</v>
      </c>
      <c r="E1354" s="89" t="s">
        <v>153</v>
      </c>
      <c r="F1354" s="89">
        <f>IF(E1354="AM",1,(IF(E1354="BE",2,(IF(E1354="GV",3,(IF(E1354="RA",4,(IF(E1354="RM",5,(IF(E1354="AC",1,(IF(E1354="AT",2,(IF(E1354="DS",3,(IF(E1354="IP",4,(IF(E1354="MA",5,(IF(E1354="PT",6,(IF(E1354="AE",1,(IF(E1354="CM",2,(IF(E1354="DP",3,(IF(E1354="AN",1,(IF(E1354="CO",2,(IF(E1354="IM",3,(IF(E1354="MI",4,(IF(E1354="RP",5,(IF(E1354="SC",6,0)))))))))))))))))))))))))))))))))))))))</f>
        <v>1</v>
      </c>
      <c r="G1354" s="52">
        <v>4</v>
      </c>
      <c r="H1354" s="90" t="s">
        <v>115</v>
      </c>
      <c r="I1354" s="94" t="s">
        <v>92</v>
      </c>
      <c r="J1354" s="88" t="s">
        <v>180</v>
      </c>
      <c r="K1354" s="102" t="s">
        <v>5226</v>
      </c>
      <c r="L1354" s="117">
        <f>IF(O1354="","",N1354*O1354*M1354)</f>
        <v>0</v>
      </c>
      <c r="M1354" s="108">
        <v>1</v>
      </c>
      <c r="N1354" s="95">
        <v>1</v>
      </c>
      <c r="O1354" s="109">
        <f>IF(Key!D$1="ON",P1354,IF(SUM(Q1354:DL1354)&lt;1,"",SUM(Q1354:DL1354)/COUNTIF(Q1354:DL1354,"&gt;0")))</f>
        <v>0</v>
      </c>
      <c r="P1354" s="109">
        <f>SUMIFS(Q1354:DK1354,Q$1:DK$1,Dashboard!$K$31)</f>
        <v>0</v>
      </c>
      <c r="U1354" s="95">
        <v>33</v>
      </c>
      <c r="AA1354" s="95">
        <v>25</v>
      </c>
      <c r="AH1354" s="95">
        <v>75</v>
      </c>
    </row>
    <row r="1355" spans="1:34" x14ac:dyDescent="0.3">
      <c r="A1355" s="89" t="str">
        <f>CONCATENATE(D1355,".",F1355,"-",G1355,".",H1355,"")</f>
        <v>2.1-4.1</v>
      </c>
      <c r="B1355" s="89" t="str">
        <f>IF(CONCATENATE(I1355,Key!F$2)=CONCATENATE(INDEX(Dashboard!J:J,MATCH(I1355,Dashboard!J:J,0),1),INDEX(Dashboard!J:K,MATCH(I1355,Dashboard!J:J,0),2)),"ON",IF(Dashboard!K$32="ALL","ON","-"))</f>
        <v>-</v>
      </c>
      <c r="C1355" s="96" t="s">
        <v>152</v>
      </c>
      <c r="D1355" s="89">
        <f>IF(C1355="ID",1,(IF(C1355="PR",2,(IF(C1355="DE",3,(IF(C1355="RS",4,(IF(C1355="RC",5,0)))))))))</f>
        <v>2</v>
      </c>
      <c r="E1355" s="89" t="s">
        <v>153</v>
      </c>
      <c r="F1355" s="89">
        <f>IF(E1355="AM",1,(IF(E1355="BE",2,(IF(E1355="GV",3,(IF(E1355="RA",4,(IF(E1355="RM",5,(IF(E1355="AC",1,(IF(E1355="AT",2,(IF(E1355="DS",3,(IF(E1355="IP",4,(IF(E1355="MA",5,(IF(E1355="PT",6,(IF(E1355="AE",1,(IF(E1355="CM",2,(IF(E1355="DP",3,(IF(E1355="AN",1,(IF(E1355="CO",2,(IF(E1355="IM",3,(IF(E1355="MI",4,(IF(E1355="RP",5,(IF(E1355="SC",6,0)))))))))))))))))))))))))))))))))))))))</f>
        <v>1</v>
      </c>
      <c r="G1355" s="98">
        <v>4</v>
      </c>
      <c r="H1355" s="90" t="s">
        <v>115</v>
      </c>
      <c r="I1355" s="94" t="s">
        <v>92</v>
      </c>
      <c r="J1355" s="88" t="s">
        <v>181</v>
      </c>
      <c r="K1355" s="102" t="s">
        <v>5226</v>
      </c>
      <c r="L1355" s="117">
        <f>IF(O1355="","",N1355*O1355*M1355)</f>
        <v>0</v>
      </c>
      <c r="M1355" s="108">
        <v>1</v>
      </c>
      <c r="N1355" s="95">
        <v>1</v>
      </c>
      <c r="O1355" s="109">
        <f>IF(Key!D$1="ON",P1355,IF(SUM(Q1355:DL1355)&lt;1,"",SUM(Q1355:DL1355)/COUNTIF(Q1355:DL1355,"&gt;0")))</f>
        <v>0</v>
      </c>
      <c r="P1355" s="109">
        <f>SUMIFS(Q1355:DK1355,Q$1:DK$1,Dashboard!$K$31)</f>
        <v>0</v>
      </c>
      <c r="U1355" s="95">
        <v>33</v>
      </c>
      <c r="AA1355" s="95">
        <v>25</v>
      </c>
      <c r="AH1355" s="95">
        <v>75</v>
      </c>
    </row>
    <row r="1356" spans="1:34" x14ac:dyDescent="0.3">
      <c r="A1356" s="89" t="str">
        <f>CONCATENATE(D1356,".",F1356,"-",G1356,".",H1356,"")</f>
        <v>2.1-4.1</v>
      </c>
      <c r="B1356" s="89" t="str">
        <f>IF(CONCATENATE(I1356,Key!F$2)=CONCATENATE(INDEX(Dashboard!J:J,MATCH(I1356,Dashboard!J:J,0),1),INDEX(Dashboard!J:K,MATCH(I1356,Dashboard!J:J,0),2)),"ON",IF(Dashboard!K$32="ALL","ON","-"))</f>
        <v>-</v>
      </c>
      <c r="C1356" s="96" t="s">
        <v>152</v>
      </c>
      <c r="D1356" s="89">
        <f>IF(C1356="ID",1,(IF(C1356="PR",2,(IF(C1356="DE",3,(IF(C1356="RS",4,(IF(C1356="RC",5,0)))))))))</f>
        <v>2</v>
      </c>
      <c r="E1356" s="89" t="s">
        <v>153</v>
      </c>
      <c r="F1356" s="89">
        <f>IF(E1356="AM",1,(IF(E1356="BE",2,(IF(E1356="GV",3,(IF(E1356="RA",4,(IF(E1356="RM",5,(IF(E1356="AC",1,(IF(E1356="AT",2,(IF(E1356="DS",3,(IF(E1356="IP",4,(IF(E1356="MA",5,(IF(E1356="PT",6,(IF(E1356="AE",1,(IF(E1356="CM",2,(IF(E1356="DP",3,(IF(E1356="AN",1,(IF(E1356="CO",2,(IF(E1356="IM",3,(IF(E1356="MI",4,(IF(E1356="RP",5,(IF(E1356="SC",6,0)))))))))))))))))))))))))))))))))))))))</f>
        <v>1</v>
      </c>
      <c r="G1356" s="98">
        <v>4</v>
      </c>
      <c r="H1356" s="90" t="s">
        <v>115</v>
      </c>
      <c r="I1356" s="94" t="s">
        <v>92</v>
      </c>
      <c r="J1356" s="88" t="s">
        <v>182</v>
      </c>
      <c r="K1356" s="102" t="s">
        <v>5226</v>
      </c>
      <c r="L1356" s="117">
        <f>IF(O1356="","",N1356*O1356*M1356)</f>
        <v>0</v>
      </c>
      <c r="M1356" s="108">
        <v>1</v>
      </c>
      <c r="N1356" s="95">
        <v>1</v>
      </c>
      <c r="O1356" s="109">
        <f>IF(Key!D$1="ON",P1356,IF(SUM(Q1356:DL1356)&lt;1,"",SUM(Q1356:DL1356)/COUNTIF(Q1356:DL1356,"&gt;0")))</f>
        <v>0</v>
      </c>
      <c r="P1356" s="109">
        <f>SUMIFS(Q1356:DK1356,Q$1:DK$1,Dashboard!$K$31)</f>
        <v>0</v>
      </c>
      <c r="U1356" s="95">
        <v>33</v>
      </c>
      <c r="AA1356" s="95">
        <v>25</v>
      </c>
      <c r="AH1356" s="95">
        <v>75</v>
      </c>
    </row>
    <row r="1357" spans="1:34" ht="15.6" x14ac:dyDescent="0.3">
      <c r="A1357" s="89" t="str">
        <f>CONCATENATE(D1357,".",F1357,"-",G1357,".",H1357,"")</f>
        <v>2.1-4.1</v>
      </c>
      <c r="B1357" s="89" t="str">
        <f>IF(CONCATENATE(I1357,Key!F$2)=CONCATENATE(INDEX(Dashboard!J:J,MATCH(I1357,Dashboard!J:J,0),1),INDEX(Dashboard!J:K,MATCH(I1357,Dashboard!J:J,0),2)),"ON",IF(Dashboard!K$32="ALL","ON","-"))</f>
        <v>-</v>
      </c>
      <c r="C1357" s="88" t="s">
        <v>152</v>
      </c>
      <c r="D1357" s="89">
        <f>IF(C1357="ID",1,(IF(C1357="PR",2,(IF(C1357="DE",3,(IF(C1357="RS",4,(IF(C1357="RC",5,0)))))))))</f>
        <v>2</v>
      </c>
      <c r="E1357" s="89" t="s">
        <v>153</v>
      </c>
      <c r="F1357" s="89">
        <f>IF(E1357="AM",1,(IF(E1357="BE",2,(IF(E1357="GV",3,(IF(E1357="RA",4,(IF(E1357="RM",5,(IF(E1357="AC",1,(IF(E1357="AT",2,(IF(E1357="DS",3,(IF(E1357="IP",4,(IF(E1357="MA",5,(IF(E1357="PT",6,(IF(E1357="AE",1,(IF(E1357="CM",2,(IF(E1357="DP",3,(IF(E1357="AN",1,(IF(E1357="CO",2,(IF(E1357="IM",3,(IF(E1357="MI",4,(IF(E1357="RP",5,(IF(E1357="SC",6,0)))))))))))))))))))))))))))))))))))))))</f>
        <v>1</v>
      </c>
      <c r="G1357" s="52">
        <v>4</v>
      </c>
      <c r="H1357" s="90" t="s">
        <v>115</v>
      </c>
      <c r="I1357" s="94" t="s">
        <v>92</v>
      </c>
      <c r="J1357" s="87" t="s">
        <v>183</v>
      </c>
      <c r="K1357" s="102" t="s">
        <v>5226</v>
      </c>
      <c r="L1357" s="117">
        <f>IF(O1357="","",N1357*O1357*M1357)</f>
        <v>0</v>
      </c>
      <c r="M1357" s="108">
        <v>1</v>
      </c>
      <c r="N1357" s="95">
        <v>1</v>
      </c>
      <c r="O1357" s="109">
        <f>IF(Key!D$1="ON",P1357,IF(SUM(Q1357:DL1357)&lt;1,"",SUM(Q1357:DL1357)/COUNTIF(Q1357:DL1357,"&gt;0")))</f>
        <v>0</v>
      </c>
      <c r="P1357" s="109">
        <f>SUMIFS(Q1357:DK1357,Q$1:DK$1,Dashboard!$K$31)</f>
        <v>0</v>
      </c>
      <c r="U1357" s="95">
        <v>33</v>
      </c>
      <c r="AA1357" s="95">
        <v>25</v>
      </c>
      <c r="AH1357" s="95">
        <v>75</v>
      </c>
    </row>
    <row r="1358" spans="1:34" ht="15.6" x14ac:dyDescent="0.3">
      <c r="A1358" s="89" t="str">
        <f>CONCATENATE(D1358,".",F1358,"-",G1358,".",H1358,"")</f>
        <v>2.1-4.1</v>
      </c>
      <c r="B1358" s="89" t="str">
        <f>IF(CONCATENATE(I1358,Key!F$2)=CONCATENATE(INDEX(Dashboard!J:J,MATCH(I1358,Dashboard!J:J,0),1),INDEX(Dashboard!J:K,MATCH(I1358,Dashboard!J:J,0),2)),"ON",IF(Dashboard!K$32="ALL","ON","-"))</f>
        <v>-</v>
      </c>
      <c r="C1358" s="96" t="s">
        <v>152</v>
      </c>
      <c r="D1358" s="89">
        <f>IF(C1358="ID",1,(IF(C1358="PR",2,(IF(C1358="DE",3,(IF(C1358="RS",4,(IF(C1358="RC",5,0)))))))))</f>
        <v>2</v>
      </c>
      <c r="E1358" s="89" t="s">
        <v>153</v>
      </c>
      <c r="F1358" s="89">
        <f>IF(E1358="AM",1,(IF(E1358="BE",2,(IF(E1358="GV",3,(IF(E1358="RA",4,(IF(E1358="RM",5,(IF(E1358="AC",1,(IF(E1358="AT",2,(IF(E1358="DS",3,(IF(E1358="IP",4,(IF(E1358="MA",5,(IF(E1358="PT",6,(IF(E1358="AE",1,(IF(E1358="CM",2,(IF(E1358="DP",3,(IF(E1358="AN",1,(IF(E1358="CO",2,(IF(E1358="IM",3,(IF(E1358="MI",4,(IF(E1358="RP",5,(IF(E1358="SC",6,0)))))))))))))))))))))))))))))))))))))))</f>
        <v>1</v>
      </c>
      <c r="G1358" s="98">
        <v>4</v>
      </c>
      <c r="H1358" s="90" t="s">
        <v>115</v>
      </c>
      <c r="I1358" s="94" t="s">
        <v>92</v>
      </c>
      <c r="J1358" s="87" t="s">
        <v>184</v>
      </c>
      <c r="K1358" s="102" t="s">
        <v>5226</v>
      </c>
      <c r="L1358" s="117">
        <f>IF(O1358="","",N1358*O1358*M1358)</f>
        <v>0</v>
      </c>
      <c r="M1358" s="108">
        <v>1</v>
      </c>
      <c r="N1358" s="95">
        <v>1</v>
      </c>
      <c r="O1358" s="109">
        <f>IF(Key!D$1="ON",P1358,IF(SUM(Q1358:DL1358)&lt;1,"",SUM(Q1358:DL1358)/COUNTIF(Q1358:DL1358,"&gt;0")))</f>
        <v>0</v>
      </c>
      <c r="P1358" s="109">
        <f>SUMIFS(Q1358:DK1358,Q$1:DK$1,Dashboard!$K$31)</f>
        <v>0</v>
      </c>
      <c r="U1358" s="95">
        <v>33</v>
      </c>
      <c r="AA1358" s="95">
        <v>25</v>
      </c>
      <c r="AH1358" s="95">
        <v>75</v>
      </c>
    </row>
    <row r="1359" spans="1:34" ht="15.6" x14ac:dyDescent="0.3">
      <c r="A1359" s="89" t="str">
        <f>CONCATENATE(D1359,".",F1359,"-",G1359,".",H1359,"")</f>
        <v>2.1-4.1</v>
      </c>
      <c r="B1359" s="89" t="str">
        <f>IF(CONCATENATE(I1359,Key!F$2)=CONCATENATE(INDEX(Dashboard!J:J,MATCH(I1359,Dashboard!J:J,0),1),INDEX(Dashboard!J:K,MATCH(I1359,Dashboard!J:J,0),2)),"ON",IF(Dashboard!K$32="ALL","ON","-"))</f>
        <v>-</v>
      </c>
      <c r="C1359" s="88" t="s">
        <v>152</v>
      </c>
      <c r="D1359" s="89">
        <f>IF(C1359="ID",1,(IF(C1359="PR",2,(IF(C1359="DE",3,(IF(C1359="RS",4,(IF(C1359="RC",5,0)))))))))</f>
        <v>2</v>
      </c>
      <c r="E1359" s="89" t="s">
        <v>153</v>
      </c>
      <c r="F1359" s="89">
        <f>IF(E1359="AM",1,(IF(E1359="BE",2,(IF(E1359="GV",3,(IF(E1359="RA",4,(IF(E1359="RM",5,(IF(E1359="AC",1,(IF(E1359="AT",2,(IF(E1359="DS",3,(IF(E1359="IP",4,(IF(E1359="MA",5,(IF(E1359="PT",6,(IF(E1359="AE",1,(IF(E1359="CM",2,(IF(E1359="DP",3,(IF(E1359="AN",1,(IF(E1359="CO",2,(IF(E1359="IM",3,(IF(E1359="MI",4,(IF(E1359="RP",5,(IF(E1359="SC",6,0)))))))))))))))))))))))))))))))))))))))</f>
        <v>1</v>
      </c>
      <c r="G1359" s="52">
        <v>4</v>
      </c>
      <c r="H1359" s="90" t="s">
        <v>115</v>
      </c>
      <c r="I1359" s="94" t="s">
        <v>92</v>
      </c>
      <c r="J1359" s="87" t="s">
        <v>185</v>
      </c>
      <c r="K1359" s="102" t="s">
        <v>5226</v>
      </c>
      <c r="L1359" s="117">
        <f>IF(O1359="","",N1359*O1359*M1359)</f>
        <v>0</v>
      </c>
      <c r="M1359" s="108">
        <v>1</v>
      </c>
      <c r="N1359" s="95">
        <v>1</v>
      </c>
      <c r="O1359" s="109">
        <f>IF(Key!D$1="ON",P1359,IF(SUM(Q1359:DL1359)&lt;1,"",SUM(Q1359:DL1359)/COUNTIF(Q1359:DL1359,"&gt;0")))</f>
        <v>0</v>
      </c>
      <c r="P1359" s="109">
        <f>SUMIFS(Q1359:DK1359,Q$1:DK$1,Dashboard!$K$31)</f>
        <v>0</v>
      </c>
      <c r="U1359" s="95">
        <v>33</v>
      </c>
      <c r="AA1359" s="95">
        <v>25</v>
      </c>
      <c r="AH1359" s="95">
        <v>75</v>
      </c>
    </row>
    <row r="1360" spans="1:34" x14ac:dyDescent="0.3">
      <c r="A1360" s="89" t="str">
        <f>CONCATENATE(D1360,".",F1360,"-",G1360,".",H1360,"")</f>
        <v>2.1-4.1</v>
      </c>
      <c r="B1360" s="89" t="str">
        <f>IF(CONCATENATE(I1360,Key!F$2)=CONCATENATE(INDEX(Dashboard!J:J,MATCH(I1360,Dashboard!J:J,0),1),INDEX(Dashboard!J:K,MATCH(I1360,Dashboard!J:J,0),2)),"ON",IF(Dashboard!K$32="ALL","ON","-"))</f>
        <v>-</v>
      </c>
      <c r="C1360" s="88" t="s">
        <v>152</v>
      </c>
      <c r="D1360" s="89">
        <f>IF(C1360="ID",1,(IF(C1360="PR",2,(IF(C1360="DE",3,(IF(C1360="RS",4,(IF(C1360="RC",5,0)))))))))</f>
        <v>2</v>
      </c>
      <c r="E1360" s="89" t="s">
        <v>153</v>
      </c>
      <c r="F1360" s="89">
        <f>IF(E1360="AM",1,(IF(E1360="BE",2,(IF(E1360="GV",3,(IF(E1360="RA",4,(IF(E1360="RM",5,(IF(E1360="AC",1,(IF(E1360="AT",2,(IF(E1360="DS",3,(IF(E1360="IP",4,(IF(E1360="MA",5,(IF(E1360="PT",6,(IF(E1360="AE",1,(IF(E1360="CM",2,(IF(E1360="DP",3,(IF(E1360="AN",1,(IF(E1360="CO",2,(IF(E1360="IM",3,(IF(E1360="MI",4,(IF(E1360="RP",5,(IF(E1360="SC",6,0)))))))))))))))))))))))))))))))))))))))</f>
        <v>1</v>
      </c>
      <c r="G1360" s="52">
        <v>4</v>
      </c>
      <c r="H1360" s="90" t="s">
        <v>115</v>
      </c>
      <c r="I1360" s="94" t="s">
        <v>92</v>
      </c>
      <c r="J1360" s="88" t="s">
        <v>186</v>
      </c>
      <c r="K1360" s="102" t="s">
        <v>5226</v>
      </c>
      <c r="L1360" s="117">
        <f>IF(O1360="","",N1360*O1360*M1360)</f>
        <v>0</v>
      </c>
      <c r="M1360" s="108">
        <v>1</v>
      </c>
      <c r="N1360" s="95">
        <v>1</v>
      </c>
      <c r="O1360" s="109">
        <f>IF(Key!D$1="ON",P1360,IF(SUM(Q1360:DL1360)&lt;1,"",SUM(Q1360:DL1360)/COUNTIF(Q1360:DL1360,"&gt;0")))</f>
        <v>0</v>
      </c>
      <c r="P1360" s="109">
        <f>SUMIFS(Q1360:DK1360,Q$1:DK$1,Dashboard!$K$31)</f>
        <v>0</v>
      </c>
      <c r="U1360" s="95">
        <v>33</v>
      </c>
      <c r="AA1360" s="95">
        <v>25</v>
      </c>
      <c r="AH1360" s="95">
        <v>75</v>
      </c>
    </row>
    <row r="1361" spans="1:34" x14ac:dyDescent="0.3">
      <c r="A1361" s="89" t="str">
        <f>CONCATENATE(D1361,".",F1361,"-",G1361,".",H1361,"")</f>
        <v>2.1-4.1</v>
      </c>
      <c r="B1361" s="89" t="str">
        <f>IF(CONCATENATE(I1361,Key!F$2)=CONCATENATE(INDEX(Dashboard!J:J,MATCH(I1361,Dashboard!J:J,0),1),INDEX(Dashboard!J:K,MATCH(I1361,Dashboard!J:J,0),2)),"ON",IF(Dashboard!K$32="ALL","ON","-"))</f>
        <v>-</v>
      </c>
      <c r="C1361" s="88" t="s">
        <v>152</v>
      </c>
      <c r="D1361" s="89">
        <f>IF(C1361="ID",1,(IF(C1361="PR",2,(IF(C1361="DE",3,(IF(C1361="RS",4,(IF(C1361="RC",5,0)))))))))</f>
        <v>2</v>
      </c>
      <c r="E1361" s="89" t="s">
        <v>153</v>
      </c>
      <c r="F1361" s="89">
        <f>IF(E1361="AM",1,(IF(E1361="BE",2,(IF(E1361="GV",3,(IF(E1361="RA",4,(IF(E1361="RM",5,(IF(E1361="AC",1,(IF(E1361="AT",2,(IF(E1361="DS",3,(IF(E1361="IP",4,(IF(E1361="MA",5,(IF(E1361="PT",6,(IF(E1361="AE",1,(IF(E1361="CM",2,(IF(E1361="DP",3,(IF(E1361="AN",1,(IF(E1361="CO",2,(IF(E1361="IM",3,(IF(E1361="MI",4,(IF(E1361="RP",5,(IF(E1361="SC",6,0)))))))))))))))))))))))))))))))))))))))</f>
        <v>1</v>
      </c>
      <c r="G1361" s="52">
        <v>4</v>
      </c>
      <c r="H1361" s="90" t="s">
        <v>115</v>
      </c>
      <c r="I1361" s="94" t="s">
        <v>92</v>
      </c>
      <c r="J1361" s="88" t="s">
        <v>187</v>
      </c>
      <c r="K1361" s="102" t="s">
        <v>5226</v>
      </c>
      <c r="L1361" s="117">
        <f>IF(O1361="","",N1361*O1361*M1361)</f>
        <v>0</v>
      </c>
      <c r="M1361" s="108">
        <v>1</v>
      </c>
      <c r="N1361" s="95">
        <v>1</v>
      </c>
      <c r="O1361" s="109">
        <f>IF(Key!D$1="ON",P1361,IF(SUM(Q1361:DL1361)&lt;1,"",SUM(Q1361:DL1361)/COUNTIF(Q1361:DL1361,"&gt;0")))</f>
        <v>0</v>
      </c>
      <c r="P1361" s="109">
        <f>SUMIFS(Q1361:DK1361,Q$1:DK$1,Dashboard!$K$31)</f>
        <v>0</v>
      </c>
      <c r="U1361" s="95">
        <v>33</v>
      </c>
      <c r="AA1361" s="95">
        <v>25</v>
      </c>
      <c r="AH1361" s="95">
        <v>75</v>
      </c>
    </row>
    <row r="1362" spans="1:34" x14ac:dyDescent="0.3">
      <c r="A1362" s="89" t="str">
        <f>CONCATENATE(D1362,".",F1362,"-",G1362,".",H1362,"")</f>
        <v>2.1-4.1</v>
      </c>
      <c r="B1362" s="89" t="str">
        <f>IF(CONCATENATE(I1362,Key!F$2)=CONCATENATE(INDEX(Dashboard!J:J,MATCH(I1362,Dashboard!J:J,0),1),INDEX(Dashboard!J:K,MATCH(I1362,Dashboard!J:J,0),2)),"ON",IF(Dashboard!K$32="ALL","ON","-"))</f>
        <v>-</v>
      </c>
      <c r="C1362" s="88" t="s">
        <v>152</v>
      </c>
      <c r="D1362" s="89">
        <f>IF(C1362="ID",1,(IF(C1362="PR",2,(IF(C1362="DE",3,(IF(C1362="RS",4,(IF(C1362="RC",5,0)))))))))</f>
        <v>2</v>
      </c>
      <c r="E1362" s="89" t="s">
        <v>153</v>
      </c>
      <c r="F1362" s="89">
        <f>IF(E1362="AM",1,(IF(E1362="BE",2,(IF(E1362="GV",3,(IF(E1362="RA",4,(IF(E1362="RM",5,(IF(E1362="AC",1,(IF(E1362="AT",2,(IF(E1362="DS",3,(IF(E1362="IP",4,(IF(E1362="MA",5,(IF(E1362="PT",6,(IF(E1362="AE",1,(IF(E1362="CM",2,(IF(E1362="DP",3,(IF(E1362="AN",1,(IF(E1362="CO",2,(IF(E1362="IM",3,(IF(E1362="MI",4,(IF(E1362="RP",5,(IF(E1362="SC",6,0)))))))))))))))))))))))))))))))))))))))</f>
        <v>1</v>
      </c>
      <c r="G1362" s="52">
        <v>4</v>
      </c>
      <c r="H1362" s="90" t="s">
        <v>115</v>
      </c>
      <c r="I1362" s="94" t="s">
        <v>92</v>
      </c>
      <c r="J1362" s="88" t="s">
        <v>188</v>
      </c>
      <c r="K1362" s="102" t="s">
        <v>5226</v>
      </c>
      <c r="L1362" s="117">
        <f>IF(O1362="","",N1362*O1362*M1362)</f>
        <v>0</v>
      </c>
      <c r="M1362" s="108">
        <v>1</v>
      </c>
      <c r="N1362" s="95">
        <v>1</v>
      </c>
      <c r="O1362" s="109">
        <f>IF(Key!D$1="ON",P1362,IF(SUM(Q1362:DL1362)&lt;1,"",SUM(Q1362:DL1362)/COUNTIF(Q1362:DL1362,"&gt;0")))</f>
        <v>0</v>
      </c>
      <c r="P1362" s="109">
        <f>SUMIFS(Q1362:DK1362,Q$1:DK$1,Dashboard!$K$31)</f>
        <v>0</v>
      </c>
      <c r="U1362" s="95">
        <v>33</v>
      </c>
      <c r="AA1362" s="95">
        <v>25</v>
      </c>
      <c r="AH1362" s="95">
        <v>75</v>
      </c>
    </row>
    <row r="1363" spans="1:34" x14ac:dyDescent="0.3">
      <c r="A1363" s="89" t="str">
        <f>CONCATENATE(D1363,".",F1363,"-",G1363,".",H1363,"")</f>
        <v>2.1-4.1</v>
      </c>
      <c r="B1363" s="89" t="str">
        <f>IF(CONCATENATE(I1363,Key!F$2)=CONCATENATE(INDEX(Dashboard!J:J,MATCH(I1363,Dashboard!J:J,0),1),INDEX(Dashboard!J:K,MATCH(I1363,Dashboard!J:J,0),2)),"ON",IF(Dashboard!K$32="ALL","ON","-"))</f>
        <v>-</v>
      </c>
      <c r="C1363" s="88" t="s">
        <v>152</v>
      </c>
      <c r="D1363" s="89">
        <f>IF(C1363="ID",1,(IF(C1363="PR",2,(IF(C1363="DE",3,(IF(C1363="RS",4,(IF(C1363="RC",5,0)))))))))</f>
        <v>2</v>
      </c>
      <c r="E1363" s="89" t="s">
        <v>153</v>
      </c>
      <c r="F1363" s="89">
        <f>IF(E1363="AM",1,(IF(E1363="BE",2,(IF(E1363="GV",3,(IF(E1363="RA",4,(IF(E1363="RM",5,(IF(E1363="AC",1,(IF(E1363="AT",2,(IF(E1363="DS",3,(IF(E1363="IP",4,(IF(E1363="MA",5,(IF(E1363="PT",6,(IF(E1363="AE",1,(IF(E1363="CM",2,(IF(E1363="DP",3,(IF(E1363="AN",1,(IF(E1363="CO",2,(IF(E1363="IM",3,(IF(E1363="MI",4,(IF(E1363="RP",5,(IF(E1363="SC",6,0)))))))))))))))))))))))))))))))))))))))</f>
        <v>1</v>
      </c>
      <c r="G1363" s="52">
        <v>4</v>
      </c>
      <c r="H1363" s="90" t="s">
        <v>115</v>
      </c>
      <c r="I1363" s="94" t="s">
        <v>92</v>
      </c>
      <c r="J1363" s="88" t="s">
        <v>189</v>
      </c>
      <c r="K1363" s="102" t="s">
        <v>5226</v>
      </c>
      <c r="L1363" s="117">
        <f>IF(O1363="","",N1363*O1363*M1363)</f>
        <v>0</v>
      </c>
      <c r="M1363" s="108">
        <v>1</v>
      </c>
      <c r="N1363" s="95">
        <v>1</v>
      </c>
      <c r="O1363" s="109">
        <f>IF(Key!D$1="ON",P1363,IF(SUM(Q1363:DL1363)&lt;1,"",SUM(Q1363:DL1363)/COUNTIF(Q1363:DL1363,"&gt;0")))</f>
        <v>0</v>
      </c>
      <c r="P1363" s="109">
        <f>SUMIFS(Q1363:DK1363,Q$1:DK$1,Dashboard!$K$31)</f>
        <v>0</v>
      </c>
      <c r="U1363" s="95">
        <v>33</v>
      </c>
      <c r="AA1363" s="95">
        <v>25</v>
      </c>
      <c r="AH1363" s="95">
        <v>75</v>
      </c>
    </row>
    <row r="1364" spans="1:34" x14ac:dyDescent="0.3">
      <c r="A1364" s="89" t="str">
        <f>CONCATENATE(D1364,".",F1364,"-",G1364,".",H1364,"")</f>
        <v>2.1-4.1</v>
      </c>
      <c r="B1364" s="89" t="str">
        <f>IF(CONCATENATE(I1364,Key!F$2)=CONCATENATE(INDEX(Dashboard!J:J,MATCH(I1364,Dashboard!J:J,0),1),INDEX(Dashboard!J:K,MATCH(I1364,Dashboard!J:J,0),2)),"ON",IF(Dashboard!K$32="ALL","ON","-"))</f>
        <v>-</v>
      </c>
      <c r="C1364" s="96" t="s">
        <v>152</v>
      </c>
      <c r="D1364" s="89">
        <f>IF(C1364="ID",1,(IF(C1364="PR",2,(IF(C1364="DE",3,(IF(C1364="RS",4,(IF(C1364="RC",5,0)))))))))</f>
        <v>2</v>
      </c>
      <c r="E1364" s="89" t="s">
        <v>153</v>
      </c>
      <c r="F1364" s="89">
        <f>IF(E1364="AM",1,(IF(E1364="BE",2,(IF(E1364="GV",3,(IF(E1364="RA",4,(IF(E1364="RM",5,(IF(E1364="AC",1,(IF(E1364="AT",2,(IF(E1364="DS",3,(IF(E1364="IP",4,(IF(E1364="MA",5,(IF(E1364="PT",6,(IF(E1364="AE",1,(IF(E1364="CM",2,(IF(E1364="DP",3,(IF(E1364="AN",1,(IF(E1364="CO",2,(IF(E1364="IM",3,(IF(E1364="MI",4,(IF(E1364="RP",5,(IF(E1364="SC",6,0)))))))))))))))))))))))))))))))))))))))</f>
        <v>1</v>
      </c>
      <c r="G1364" s="52">
        <v>4</v>
      </c>
      <c r="H1364" s="90" t="s">
        <v>115</v>
      </c>
      <c r="I1364" s="94" t="s">
        <v>92</v>
      </c>
      <c r="J1364" s="88" t="s">
        <v>190</v>
      </c>
      <c r="K1364" s="102" t="s">
        <v>5226</v>
      </c>
      <c r="L1364" s="117">
        <f>IF(O1364="","",N1364*O1364*M1364)</f>
        <v>0</v>
      </c>
      <c r="M1364" s="108">
        <v>1</v>
      </c>
      <c r="N1364" s="95">
        <v>1</v>
      </c>
      <c r="O1364" s="109">
        <f>IF(Key!D$1="ON",P1364,IF(SUM(Q1364:DL1364)&lt;1,"",SUM(Q1364:DL1364)/COUNTIF(Q1364:DL1364,"&gt;0")))</f>
        <v>0</v>
      </c>
      <c r="P1364" s="109">
        <f>SUMIFS(Q1364:DK1364,Q$1:DK$1,Dashboard!$K$31)</f>
        <v>0</v>
      </c>
      <c r="U1364" s="95">
        <v>33</v>
      </c>
      <c r="AA1364" s="95">
        <v>25</v>
      </c>
      <c r="AH1364" s="95">
        <v>75</v>
      </c>
    </row>
    <row r="1365" spans="1:34" ht="15.6" x14ac:dyDescent="0.3">
      <c r="A1365" s="89" t="str">
        <f>CONCATENATE(D1365,".",F1365,"-",G1365,".",H1365,"")</f>
        <v>2.1-4.1</v>
      </c>
      <c r="B1365" s="89" t="str">
        <f>IF(CONCATENATE(I1365,Key!F$2)=CONCATENATE(INDEX(Dashboard!J:J,MATCH(I1365,Dashboard!J:J,0),1),INDEX(Dashboard!J:K,MATCH(I1365,Dashboard!J:J,0),2)),"ON",IF(Dashboard!K$32="ALL","ON","-"))</f>
        <v>-</v>
      </c>
      <c r="C1365" s="96" t="s">
        <v>152</v>
      </c>
      <c r="D1365" s="89">
        <f>IF(C1365="ID",1,(IF(C1365="PR",2,(IF(C1365="DE",3,(IF(C1365="RS",4,(IF(C1365="RC",5,0)))))))))</f>
        <v>2</v>
      </c>
      <c r="E1365" s="89" t="s">
        <v>153</v>
      </c>
      <c r="F1365" s="89">
        <f>IF(E1365="AM",1,(IF(E1365="BE",2,(IF(E1365="GV",3,(IF(E1365="RA",4,(IF(E1365="RM",5,(IF(E1365="AC",1,(IF(E1365="AT",2,(IF(E1365="DS",3,(IF(E1365="IP",4,(IF(E1365="MA",5,(IF(E1365="PT",6,(IF(E1365="AE",1,(IF(E1365="CM",2,(IF(E1365="DP",3,(IF(E1365="AN",1,(IF(E1365="CO",2,(IF(E1365="IM",3,(IF(E1365="MI",4,(IF(E1365="RP",5,(IF(E1365="SC",6,0)))))))))))))))))))))))))))))))))))))))</f>
        <v>1</v>
      </c>
      <c r="G1365" s="52">
        <v>4</v>
      </c>
      <c r="H1365" s="90" t="s">
        <v>115</v>
      </c>
      <c r="I1365" s="94" t="s">
        <v>92</v>
      </c>
      <c r="J1365" s="88" t="s">
        <v>191</v>
      </c>
      <c r="K1365" s="102" t="s">
        <v>5226</v>
      </c>
      <c r="L1365" s="117">
        <f>IF(O1365="","",N1365*O1365*M1365)</f>
        <v>0</v>
      </c>
      <c r="M1365" s="108">
        <v>1</v>
      </c>
      <c r="N1365" s="95">
        <v>1</v>
      </c>
      <c r="O1365" s="109">
        <f>IF(Key!D$1="ON",P1365,IF(SUM(Q1365:DL1365)&lt;1,"",SUM(Q1365:DL1365)/COUNTIF(Q1365:DL1365,"&gt;0")))</f>
        <v>0</v>
      </c>
      <c r="P1365" s="109">
        <f>SUMIFS(Q1365:DK1365,Q$1:DK$1,Dashboard!$K$31)</f>
        <v>0</v>
      </c>
      <c r="U1365" s="95">
        <v>33</v>
      </c>
      <c r="AA1365" s="95">
        <v>25</v>
      </c>
      <c r="AH1365" s="95">
        <v>75</v>
      </c>
    </row>
    <row r="1366" spans="1:34" ht="15.6" x14ac:dyDescent="0.3">
      <c r="A1366" s="89" t="str">
        <f>CONCATENATE(D1366,".",F1366,"-",G1366,".",H1366,"")</f>
        <v>2.1-4.1</v>
      </c>
      <c r="B1366" s="89" t="str">
        <f>IF(CONCATENATE(I1366,Key!F$2)=CONCATENATE(INDEX(Dashboard!J:J,MATCH(I1366,Dashboard!J:J,0),1),INDEX(Dashboard!J:K,MATCH(I1366,Dashboard!J:J,0),2)),"ON",IF(Dashboard!K$32="ALL","ON","-"))</f>
        <v>-</v>
      </c>
      <c r="C1366" s="96" t="s">
        <v>152</v>
      </c>
      <c r="D1366" s="89">
        <f>IF(C1366="ID",1,(IF(C1366="PR",2,(IF(C1366="DE",3,(IF(C1366="RS",4,(IF(C1366="RC",5,0)))))))))</f>
        <v>2</v>
      </c>
      <c r="E1366" s="89" t="s">
        <v>153</v>
      </c>
      <c r="F1366" s="89">
        <f>IF(E1366="AM",1,(IF(E1366="BE",2,(IF(E1366="GV",3,(IF(E1366="RA",4,(IF(E1366="RM",5,(IF(E1366="AC",1,(IF(E1366="AT",2,(IF(E1366="DS",3,(IF(E1366="IP",4,(IF(E1366="MA",5,(IF(E1366="PT",6,(IF(E1366="AE",1,(IF(E1366="CM",2,(IF(E1366="DP",3,(IF(E1366="AN",1,(IF(E1366="CO",2,(IF(E1366="IM",3,(IF(E1366="MI",4,(IF(E1366="RP",5,(IF(E1366="SC",6,0)))))))))))))))))))))))))))))))))))))))</f>
        <v>1</v>
      </c>
      <c r="G1366" s="52">
        <v>4</v>
      </c>
      <c r="H1366" s="90" t="s">
        <v>115</v>
      </c>
      <c r="I1366" s="94" t="s">
        <v>92</v>
      </c>
      <c r="J1366" s="88" t="s">
        <v>192</v>
      </c>
      <c r="K1366" s="102" t="s">
        <v>5226</v>
      </c>
      <c r="L1366" s="117">
        <f>IF(O1366="","",N1366*O1366*M1366)</f>
        <v>0</v>
      </c>
      <c r="M1366" s="108">
        <v>1</v>
      </c>
      <c r="N1366" s="95">
        <v>1</v>
      </c>
      <c r="O1366" s="109">
        <f>IF(Key!D$1="ON",P1366,IF(SUM(Q1366:DL1366)&lt;1,"",SUM(Q1366:DL1366)/COUNTIF(Q1366:DL1366,"&gt;0")))</f>
        <v>0</v>
      </c>
      <c r="P1366" s="109">
        <f>SUMIFS(Q1366:DK1366,Q$1:DK$1,Dashboard!$K$31)</f>
        <v>0</v>
      </c>
      <c r="U1366" s="95">
        <v>33</v>
      </c>
      <c r="AA1366" s="95">
        <v>25</v>
      </c>
      <c r="AH1366" s="95">
        <v>75</v>
      </c>
    </row>
    <row r="1367" spans="1:34" x14ac:dyDescent="0.3">
      <c r="A1367" s="89" t="str">
        <f>CONCATENATE(D1367,".",F1367,"-",G1367,".",H1367,"")</f>
        <v>2.1-4.2</v>
      </c>
      <c r="B1367" s="89" t="str">
        <f>IF(CONCATENATE(I1367,Key!F$2)=CONCATENATE(INDEX(Dashboard!J:J,MATCH(I1367,Dashboard!J:J,0),1),INDEX(Dashboard!J:K,MATCH(I1367,Dashboard!J:J,0),2)),"ON",IF(Dashboard!K$32="ALL","ON","-"))</f>
        <v>-</v>
      </c>
      <c r="C1367" s="88" t="s">
        <v>152</v>
      </c>
      <c r="D1367" s="89">
        <f>IF(C1367="ID",1,(IF(C1367="PR",2,(IF(C1367="DE",3,(IF(C1367="RS",4,(IF(C1367="RC",5,0)))))))))</f>
        <v>2</v>
      </c>
      <c r="E1367" s="89" t="s">
        <v>153</v>
      </c>
      <c r="F1367" s="89">
        <f>IF(E1367="AM",1,(IF(E1367="BE",2,(IF(E1367="GV",3,(IF(E1367="RA",4,(IF(E1367="RM",5,(IF(E1367="AC",1,(IF(E1367="AT",2,(IF(E1367="DS",3,(IF(E1367="IP",4,(IF(E1367="MA",5,(IF(E1367="PT",6,(IF(E1367="AE",1,(IF(E1367="CM",2,(IF(E1367="DP",3,(IF(E1367="AN",1,(IF(E1367="CO",2,(IF(E1367="IM",3,(IF(E1367="MI",4,(IF(E1367="RP",5,(IF(E1367="SC",6,0)))))))))))))))))))))))))))))))))))))))</f>
        <v>1</v>
      </c>
      <c r="G1367" s="52">
        <v>4</v>
      </c>
      <c r="H1367" s="90" t="s">
        <v>112</v>
      </c>
      <c r="I1367" s="94" t="s">
        <v>60</v>
      </c>
      <c r="J1367" s="87" t="s">
        <v>3186</v>
      </c>
      <c r="K1367" s="51" t="s">
        <v>5299</v>
      </c>
      <c r="L1367" s="117">
        <f>IF(O1367="","",N1367*O1367*M1367)</f>
        <v>0</v>
      </c>
      <c r="M1367" s="108">
        <v>1</v>
      </c>
      <c r="N1367" s="95">
        <v>1</v>
      </c>
      <c r="O1367" s="109">
        <f>IF(Key!D$1="ON",P1367,IF(SUM(Q1367:DL1367)&lt;1,"",SUM(Q1367:DL1367)/COUNTIF(Q1367:DL1367,"&gt;0")))</f>
        <v>0</v>
      </c>
      <c r="P1367" s="109">
        <f>SUMIFS(Q1367:DK1367,Q$1:DK$1,Dashboard!$K$31)</f>
        <v>0</v>
      </c>
      <c r="U1367" s="95">
        <v>33</v>
      </c>
      <c r="AA1367" s="95">
        <v>25</v>
      </c>
      <c r="AH1367" s="95">
        <v>75</v>
      </c>
    </row>
    <row r="1368" spans="1:34" x14ac:dyDescent="0.3">
      <c r="A1368" s="89" t="str">
        <f>CONCATENATE(D1368,".",F1368,"-",G1368,".",H1368,"")</f>
        <v>2.1-4.2</v>
      </c>
      <c r="B1368" s="89" t="str">
        <f>IF(CONCATENATE(I1368,Key!F$2)=CONCATENATE(INDEX(Dashboard!J:J,MATCH(I1368,Dashboard!J:J,0),1),INDEX(Dashboard!J:K,MATCH(I1368,Dashboard!J:J,0),2)),"ON",IF(Dashboard!K$32="ALL","ON","-"))</f>
        <v>-</v>
      </c>
      <c r="C1368" s="88" t="s">
        <v>152</v>
      </c>
      <c r="D1368" s="89">
        <f>IF(C1368="ID",1,(IF(C1368="PR",2,(IF(C1368="DE",3,(IF(C1368="RS",4,(IF(C1368="RC",5,0)))))))))</f>
        <v>2</v>
      </c>
      <c r="E1368" s="89" t="s">
        <v>153</v>
      </c>
      <c r="F1368" s="89">
        <f>IF(E1368="AM",1,(IF(E1368="BE",2,(IF(E1368="GV",3,(IF(E1368="RA",4,(IF(E1368="RM",5,(IF(E1368="AC",1,(IF(E1368="AT",2,(IF(E1368="DS",3,(IF(E1368="IP",4,(IF(E1368="MA",5,(IF(E1368="PT",6,(IF(E1368="AE",1,(IF(E1368="CM",2,(IF(E1368="DP",3,(IF(E1368="AN",1,(IF(E1368="CO",2,(IF(E1368="IM",3,(IF(E1368="MI",4,(IF(E1368="RP",5,(IF(E1368="SC",6,0)))))))))))))))))))))))))))))))))))))))</f>
        <v>1</v>
      </c>
      <c r="G1368" s="52">
        <v>4</v>
      </c>
      <c r="H1368" s="89">
        <v>2</v>
      </c>
      <c r="I1368" s="93" t="s">
        <v>60</v>
      </c>
      <c r="J1368" s="88" t="s">
        <v>3187</v>
      </c>
      <c r="K1368" s="51" t="s">
        <v>5300</v>
      </c>
      <c r="L1368" s="117">
        <f>IF(O1368="","",N1368*O1368*M1368)</f>
        <v>0</v>
      </c>
      <c r="M1368" s="108">
        <v>1</v>
      </c>
      <c r="N1368" s="95">
        <v>1</v>
      </c>
      <c r="O1368" s="109">
        <f>IF(Key!D$1="ON",P1368,IF(SUM(Q1368:DL1368)&lt;1,"",SUM(Q1368:DL1368)/COUNTIF(Q1368:DL1368,"&gt;0")))</f>
        <v>0</v>
      </c>
      <c r="P1368" s="109">
        <f>SUMIFS(Q1368:DK1368,Q$1:DK$1,Dashboard!$K$31)</f>
        <v>0</v>
      </c>
      <c r="U1368" s="95">
        <v>33</v>
      </c>
      <c r="AA1368" s="95">
        <v>25</v>
      </c>
      <c r="AH1368" s="95">
        <v>75</v>
      </c>
    </row>
    <row r="1369" spans="1:34" x14ac:dyDescent="0.3">
      <c r="A1369" s="89" t="str">
        <f>CONCATENATE(D1369,".",F1369,"-",G1369,".",H1369,"")</f>
        <v>2.1-4.2</v>
      </c>
      <c r="B1369" s="89" t="str">
        <f>IF(CONCATENATE(I1369,Key!F$2)=CONCATENATE(INDEX(Dashboard!J:J,MATCH(I1369,Dashboard!J:J,0),1),INDEX(Dashboard!J:K,MATCH(I1369,Dashboard!J:J,0),2)),"ON",IF(Dashboard!K$32="ALL","ON","-"))</f>
        <v>-</v>
      </c>
      <c r="C1369" s="88" t="s">
        <v>152</v>
      </c>
      <c r="D1369" s="89">
        <f>IF(C1369="ID",1,(IF(C1369="PR",2,(IF(C1369="DE",3,(IF(C1369="RS",4,(IF(C1369="RC",5,0)))))))))</f>
        <v>2</v>
      </c>
      <c r="E1369" s="89" t="s">
        <v>153</v>
      </c>
      <c r="F1369" s="89">
        <f>IF(E1369="AM",1,(IF(E1369="BE",2,(IF(E1369="GV",3,(IF(E1369="RA",4,(IF(E1369="RM",5,(IF(E1369="AC",1,(IF(E1369="AT",2,(IF(E1369="DS",3,(IF(E1369="IP",4,(IF(E1369="MA",5,(IF(E1369="PT",6,(IF(E1369="AE",1,(IF(E1369="CM",2,(IF(E1369="DP",3,(IF(E1369="AN",1,(IF(E1369="CO",2,(IF(E1369="IM",3,(IF(E1369="MI",4,(IF(E1369="RP",5,(IF(E1369="SC",6,0)))))))))))))))))))))))))))))))))))))))</f>
        <v>1</v>
      </c>
      <c r="G1369" s="52">
        <v>4</v>
      </c>
      <c r="H1369" s="90" t="s">
        <v>112</v>
      </c>
      <c r="I1369" s="94" t="s">
        <v>60</v>
      </c>
      <c r="J1369" s="87" t="s">
        <v>3188</v>
      </c>
      <c r="K1369" s="51" t="s">
        <v>5301</v>
      </c>
      <c r="L1369" s="117">
        <f>IF(O1369="","",N1369*O1369*M1369)</f>
        <v>0</v>
      </c>
      <c r="M1369" s="108">
        <v>1</v>
      </c>
      <c r="N1369" s="95">
        <v>1</v>
      </c>
      <c r="O1369" s="109">
        <f>IF(Key!D$1="ON",P1369,IF(SUM(Q1369:DL1369)&lt;1,"",SUM(Q1369:DL1369)/COUNTIF(Q1369:DL1369,"&gt;0")))</f>
        <v>0</v>
      </c>
      <c r="P1369" s="109">
        <f>SUMIFS(Q1369:DK1369,Q$1:DK$1,Dashboard!$K$31)</f>
        <v>0</v>
      </c>
      <c r="U1369" s="95">
        <v>33</v>
      </c>
      <c r="AA1369" s="95">
        <v>25</v>
      </c>
      <c r="AH1369" s="95">
        <v>75</v>
      </c>
    </row>
    <row r="1370" spans="1:34" ht="15.6" x14ac:dyDescent="0.3">
      <c r="A1370" s="89" t="str">
        <f>CONCATENATE(D1370,".",F1370,"-",G1370,".",H1370,"")</f>
        <v>2.1-4.2</v>
      </c>
      <c r="B1370" s="89" t="str">
        <f>IF(CONCATENATE(I1370,Key!F$2)=CONCATENATE(INDEX(Dashboard!J:J,MATCH(I1370,Dashboard!J:J,0),1),INDEX(Dashboard!J:K,MATCH(I1370,Dashboard!J:J,0),2)),"ON",IF(Dashboard!K$32="ALL","ON","-"))</f>
        <v>-</v>
      </c>
      <c r="C1370" s="88" t="s">
        <v>152</v>
      </c>
      <c r="D1370" s="89">
        <f>IF(C1370="ID",1,(IF(C1370="PR",2,(IF(C1370="DE",3,(IF(C1370="RS",4,(IF(C1370="RC",5,0)))))))))</f>
        <v>2</v>
      </c>
      <c r="E1370" s="89" t="s">
        <v>153</v>
      </c>
      <c r="F1370" s="89">
        <f>IF(E1370="AM",1,(IF(E1370="BE",2,(IF(E1370="GV",3,(IF(E1370="RA",4,(IF(E1370="RM",5,(IF(E1370="AC",1,(IF(E1370="AT",2,(IF(E1370="DS",3,(IF(E1370="IP",4,(IF(E1370="MA",5,(IF(E1370="PT",6,(IF(E1370="AE",1,(IF(E1370="CM",2,(IF(E1370="DP",3,(IF(E1370="AN",1,(IF(E1370="CO",2,(IF(E1370="IM",3,(IF(E1370="MI",4,(IF(E1370="RP",5,(IF(E1370="SC",6,0)))))))))))))))))))))))))))))))))))))))</f>
        <v>1</v>
      </c>
      <c r="G1370" s="52">
        <v>4</v>
      </c>
      <c r="H1370" s="90" t="s">
        <v>112</v>
      </c>
      <c r="I1370" s="94" t="s">
        <v>60</v>
      </c>
      <c r="J1370" s="87" t="s">
        <v>3189</v>
      </c>
      <c r="K1370" s="51" t="s">
        <v>5302</v>
      </c>
      <c r="L1370" s="117">
        <f>IF(O1370="","",N1370*O1370*M1370)</f>
        <v>0</v>
      </c>
      <c r="M1370" s="108">
        <v>1</v>
      </c>
      <c r="N1370" s="95">
        <v>1</v>
      </c>
      <c r="O1370" s="109">
        <f>IF(Key!D$1="ON",P1370,IF(SUM(Q1370:DL1370)&lt;1,"",SUM(Q1370:DL1370)/COUNTIF(Q1370:DL1370,"&gt;0")))</f>
        <v>0</v>
      </c>
      <c r="P1370" s="109">
        <f>SUMIFS(Q1370:DK1370,Q$1:DK$1,Dashboard!$K$31)</f>
        <v>0</v>
      </c>
      <c r="U1370" s="95">
        <v>33</v>
      </c>
      <c r="AA1370" s="95">
        <v>25</v>
      </c>
      <c r="AH1370" s="95">
        <v>75</v>
      </c>
    </row>
    <row r="1371" spans="1:34" x14ac:dyDescent="0.3">
      <c r="A1371" s="89" t="str">
        <f>CONCATENATE(D1371,".",F1371,"-",G1371,".",H1371,"")</f>
        <v>2.1-4.2</v>
      </c>
      <c r="B1371" s="89" t="str">
        <f>IF(CONCATENATE(I1371,Key!F$2)=CONCATENATE(INDEX(Dashboard!J:J,MATCH(I1371,Dashboard!J:J,0),1),INDEX(Dashboard!J:K,MATCH(I1371,Dashboard!J:J,0),2)),"ON",IF(Dashboard!K$32="ALL","ON","-"))</f>
        <v>-</v>
      </c>
      <c r="C1371" s="88" t="s">
        <v>152</v>
      </c>
      <c r="D1371" s="89">
        <f>IF(C1371="ID",1,(IF(C1371="PR",2,(IF(C1371="DE",3,(IF(C1371="RS",4,(IF(C1371="RC",5,0)))))))))</f>
        <v>2</v>
      </c>
      <c r="E1371" s="89" t="s">
        <v>153</v>
      </c>
      <c r="F1371" s="89">
        <f>IF(E1371="AM",1,(IF(E1371="BE",2,(IF(E1371="GV",3,(IF(E1371="RA",4,(IF(E1371="RM",5,(IF(E1371="AC",1,(IF(E1371="AT",2,(IF(E1371="DS",3,(IF(E1371="IP",4,(IF(E1371="MA",5,(IF(E1371="PT",6,(IF(E1371="AE",1,(IF(E1371="CM",2,(IF(E1371="DP",3,(IF(E1371="AN",1,(IF(E1371="CO",2,(IF(E1371="IM",3,(IF(E1371="MI",4,(IF(E1371="RP",5,(IF(E1371="SC",6,0)))))))))))))))))))))))))))))))))))))))</f>
        <v>1</v>
      </c>
      <c r="G1371" s="52">
        <v>4</v>
      </c>
      <c r="H1371" s="90" t="s">
        <v>112</v>
      </c>
      <c r="I1371" s="94" t="s">
        <v>60</v>
      </c>
      <c r="J1371" s="87" t="s">
        <v>3190</v>
      </c>
      <c r="K1371" s="51" t="s">
        <v>5303</v>
      </c>
      <c r="L1371" s="117">
        <f>IF(O1371="","",N1371*O1371*M1371)</f>
        <v>0</v>
      </c>
      <c r="M1371" s="108">
        <v>1</v>
      </c>
      <c r="N1371" s="95">
        <v>1</v>
      </c>
      <c r="O1371" s="109">
        <f>IF(Key!D$1="ON",P1371,IF(SUM(Q1371:DL1371)&lt;1,"",SUM(Q1371:DL1371)/COUNTIF(Q1371:DL1371,"&gt;0")))</f>
        <v>0</v>
      </c>
      <c r="P1371" s="109">
        <f>SUMIFS(Q1371:DK1371,Q$1:DK$1,Dashboard!$K$31)</f>
        <v>0</v>
      </c>
      <c r="U1371" s="95">
        <v>33</v>
      </c>
      <c r="AA1371" s="95">
        <v>25</v>
      </c>
      <c r="AH1371" s="95">
        <v>75</v>
      </c>
    </row>
    <row r="1372" spans="1:34" ht="15.6" x14ac:dyDescent="0.3">
      <c r="A1372" s="89" t="str">
        <f>CONCATENATE(D1372,".",F1372,"-",G1372,".",H1372,"")</f>
        <v>2.1-4.2</v>
      </c>
      <c r="B1372" s="89" t="str">
        <f>IF(CONCATENATE(I1372,Key!F$2)=CONCATENATE(INDEX(Dashboard!J:J,MATCH(I1372,Dashboard!J:J,0),1),INDEX(Dashboard!J:K,MATCH(I1372,Dashboard!J:J,0),2)),"ON",IF(Dashboard!K$32="ALL","ON","-"))</f>
        <v>-</v>
      </c>
      <c r="C1372" s="88" t="s">
        <v>152</v>
      </c>
      <c r="D1372" s="89">
        <f>IF(C1372="ID",1,(IF(C1372="PR",2,(IF(C1372="DE",3,(IF(C1372="RS",4,(IF(C1372="RC",5,0)))))))))</f>
        <v>2</v>
      </c>
      <c r="E1372" s="89" t="s">
        <v>153</v>
      </c>
      <c r="F1372" s="89">
        <f>IF(E1372="AM",1,(IF(E1372="BE",2,(IF(E1372="GV",3,(IF(E1372="RA",4,(IF(E1372="RM",5,(IF(E1372="AC",1,(IF(E1372="AT",2,(IF(E1372="DS",3,(IF(E1372="IP",4,(IF(E1372="MA",5,(IF(E1372="PT",6,(IF(E1372="AE",1,(IF(E1372="CM",2,(IF(E1372="DP",3,(IF(E1372="AN",1,(IF(E1372="CO",2,(IF(E1372="IM",3,(IF(E1372="MI",4,(IF(E1372="RP",5,(IF(E1372="SC",6,0)))))))))))))))))))))))))))))))))))))))</f>
        <v>1</v>
      </c>
      <c r="G1372" s="52">
        <v>4</v>
      </c>
      <c r="H1372" s="90" t="s">
        <v>112</v>
      </c>
      <c r="I1372" s="94" t="s">
        <v>64</v>
      </c>
      <c r="J1372" s="87" t="s">
        <v>1252</v>
      </c>
      <c r="K1372" s="102" t="s">
        <v>2269</v>
      </c>
      <c r="L1372" s="117">
        <f>IF(O1372="","",N1372*O1372*M1372)</f>
        <v>0</v>
      </c>
      <c r="M1372" s="108">
        <v>1</v>
      </c>
      <c r="N1372" s="95">
        <v>1</v>
      </c>
      <c r="O1372" s="109">
        <f>IF(Key!D$1="ON",P1372,IF(SUM(Q1372:DL1372)&lt;1,"",SUM(Q1372:DL1372)/COUNTIF(Q1372:DL1372,"&gt;0")))</f>
        <v>0</v>
      </c>
      <c r="P1372" s="109">
        <f>SUMIFS(Q1372:DK1372,Q$1:DK$1,Dashboard!$K$31)</f>
        <v>0</v>
      </c>
      <c r="U1372" s="95">
        <v>33</v>
      </c>
      <c r="AA1372" s="95">
        <v>25</v>
      </c>
      <c r="AH1372" s="95">
        <v>75</v>
      </c>
    </row>
    <row r="1373" spans="1:34" x14ac:dyDescent="0.3">
      <c r="A1373" s="89" t="str">
        <f>CONCATENATE(D1373,".",F1373,"-",G1373,".",H1373,"")</f>
        <v>2.1-4.2</v>
      </c>
      <c r="B1373" s="89" t="str">
        <f>IF(CONCATENATE(I1373,Key!F$2)=CONCATENATE(INDEX(Dashboard!J:J,MATCH(I1373,Dashboard!J:J,0),1),INDEX(Dashboard!J:K,MATCH(I1373,Dashboard!J:J,0),2)),"ON",IF(Dashboard!K$32="ALL","ON","-"))</f>
        <v>-</v>
      </c>
      <c r="C1373" s="96" t="s">
        <v>152</v>
      </c>
      <c r="D1373" s="89">
        <f>IF(C1373="ID",1,(IF(C1373="PR",2,(IF(C1373="DE",3,(IF(C1373="RS",4,(IF(C1373="RC",5,0)))))))))</f>
        <v>2</v>
      </c>
      <c r="E1373" s="89" t="s">
        <v>153</v>
      </c>
      <c r="F1373" s="89">
        <f>IF(E1373="AM",1,(IF(E1373="BE",2,(IF(E1373="GV",3,(IF(E1373="RA",4,(IF(E1373="RM",5,(IF(E1373="AC",1,(IF(E1373="AT",2,(IF(E1373="DS",3,(IF(E1373="IP",4,(IF(E1373="MA",5,(IF(E1373="PT",6,(IF(E1373="AE",1,(IF(E1373="CM",2,(IF(E1373="DP",3,(IF(E1373="AN",1,(IF(E1373="CO",2,(IF(E1373="IM",3,(IF(E1373="MI",4,(IF(E1373="RP",5,(IF(E1373="SC",6,0)))))))))))))))))))))))))))))))))))))))</f>
        <v>1</v>
      </c>
      <c r="G1373" s="98">
        <v>4</v>
      </c>
      <c r="H1373" s="90" t="s">
        <v>112</v>
      </c>
      <c r="I1373" s="94" t="s">
        <v>64</v>
      </c>
      <c r="J1373" s="86" t="s">
        <v>1253</v>
      </c>
      <c r="K1373" s="103" t="s">
        <v>2270</v>
      </c>
      <c r="L1373" s="117">
        <f>IF(O1373="","",N1373*O1373*M1373)</f>
        <v>0</v>
      </c>
      <c r="M1373" s="108">
        <v>1</v>
      </c>
      <c r="N1373" s="95">
        <v>1</v>
      </c>
      <c r="O1373" s="109">
        <f>IF(Key!D$1="ON",P1373,IF(SUM(Q1373:DL1373)&lt;1,"",SUM(Q1373:DL1373)/COUNTIF(Q1373:DL1373,"&gt;0")))</f>
        <v>0</v>
      </c>
      <c r="P1373" s="109">
        <f>SUMIFS(Q1373:DK1373,Q$1:DK$1,Dashboard!$K$31)</f>
        <v>0</v>
      </c>
      <c r="U1373" s="95">
        <v>33</v>
      </c>
      <c r="AA1373" s="95">
        <v>25</v>
      </c>
      <c r="AH1373" s="95">
        <v>75</v>
      </c>
    </row>
    <row r="1374" spans="1:34" x14ac:dyDescent="0.3">
      <c r="A1374" s="89" t="str">
        <f>CONCATENATE(D1374,".",F1374,"-",G1374,".",H1374,"")</f>
        <v>2.1-4.2</v>
      </c>
      <c r="B1374" s="89" t="str">
        <f>IF(CONCATENATE(I1374,Key!F$2)=CONCATENATE(INDEX(Dashboard!J:J,MATCH(I1374,Dashboard!J:J,0),1),INDEX(Dashboard!J:K,MATCH(I1374,Dashboard!J:J,0),2)),"ON",IF(Dashboard!K$32="ALL","ON","-"))</f>
        <v>-</v>
      </c>
      <c r="C1374" s="88" t="s">
        <v>152</v>
      </c>
      <c r="D1374" s="89">
        <f>IF(C1374="ID",1,(IF(C1374="PR",2,(IF(C1374="DE",3,(IF(C1374="RS",4,(IF(C1374="RC",5,0)))))))))</f>
        <v>2</v>
      </c>
      <c r="E1374" s="89" t="s">
        <v>153</v>
      </c>
      <c r="F1374" s="89">
        <f>IF(E1374="AM",1,(IF(E1374="BE",2,(IF(E1374="GV",3,(IF(E1374="RA",4,(IF(E1374="RM",5,(IF(E1374="AC",1,(IF(E1374="AT",2,(IF(E1374="DS",3,(IF(E1374="IP",4,(IF(E1374="MA",5,(IF(E1374="PT",6,(IF(E1374="AE",1,(IF(E1374="CM",2,(IF(E1374="DP",3,(IF(E1374="AN",1,(IF(E1374="CO",2,(IF(E1374="IM",3,(IF(E1374="MI",4,(IF(E1374="RP",5,(IF(E1374="SC",6,0)))))))))))))))))))))))))))))))))))))))</f>
        <v>1</v>
      </c>
      <c r="G1374" s="52">
        <v>4</v>
      </c>
      <c r="H1374" s="90" t="s">
        <v>112</v>
      </c>
      <c r="I1374" s="94" t="s">
        <v>77</v>
      </c>
      <c r="J1374" s="87" t="s">
        <v>1252</v>
      </c>
      <c r="K1374" s="102" t="s">
        <v>2269</v>
      </c>
      <c r="L1374" s="117">
        <f>IF(O1374="","",N1374*O1374*M1374)</f>
        <v>0</v>
      </c>
      <c r="M1374" s="108">
        <v>1</v>
      </c>
      <c r="N1374" s="95">
        <v>1</v>
      </c>
      <c r="O1374" s="109">
        <f>IF(Key!D$1="ON",P1374,IF(SUM(Q1374:DL1374)&lt;1,"",SUM(Q1374:DL1374)/COUNTIF(Q1374:DL1374,"&gt;0")))</f>
        <v>0</v>
      </c>
      <c r="P1374" s="109">
        <f>SUMIFS(Q1374:DK1374,Q$1:DK$1,Dashboard!$K$31)</f>
        <v>0</v>
      </c>
      <c r="U1374" s="95">
        <v>33</v>
      </c>
      <c r="AA1374" s="95">
        <v>25</v>
      </c>
      <c r="AH1374" s="95">
        <v>75</v>
      </c>
    </row>
    <row r="1375" spans="1:34" x14ac:dyDescent="0.3">
      <c r="A1375" s="89" t="str">
        <f>CONCATENATE(D1375,".",F1375,"-",G1375,".",H1375,"")</f>
        <v>2.1-4.2</v>
      </c>
      <c r="B1375" s="89" t="str">
        <f>IF(CONCATENATE(I1375,Key!F$2)=CONCATENATE(INDEX(Dashboard!J:J,MATCH(I1375,Dashboard!J:J,0),1),INDEX(Dashboard!J:K,MATCH(I1375,Dashboard!J:J,0),2)),"ON",IF(Dashboard!K$32="ALL","ON","-"))</f>
        <v>-</v>
      </c>
      <c r="C1375" s="96" t="s">
        <v>152</v>
      </c>
      <c r="D1375" s="89">
        <f>IF(C1375="ID",1,(IF(C1375="PR",2,(IF(C1375="DE",3,(IF(C1375="RS",4,(IF(C1375="RC",5,0)))))))))</f>
        <v>2</v>
      </c>
      <c r="E1375" s="89" t="s">
        <v>153</v>
      </c>
      <c r="F1375" s="89">
        <f>IF(E1375="AM",1,(IF(E1375="BE",2,(IF(E1375="GV",3,(IF(E1375="RA",4,(IF(E1375="RM",5,(IF(E1375="AC",1,(IF(E1375="AT",2,(IF(E1375="DS",3,(IF(E1375="IP",4,(IF(E1375="MA",5,(IF(E1375="PT",6,(IF(E1375="AE",1,(IF(E1375="CM",2,(IF(E1375="DP",3,(IF(E1375="AN",1,(IF(E1375="CO",2,(IF(E1375="IM",3,(IF(E1375="MI",4,(IF(E1375="RP",5,(IF(E1375="SC",6,0)))))))))))))))))))))))))))))))))))))))</f>
        <v>1</v>
      </c>
      <c r="G1375" s="98">
        <v>4</v>
      </c>
      <c r="H1375" s="90" t="s">
        <v>112</v>
      </c>
      <c r="I1375" s="94" t="s">
        <v>77</v>
      </c>
      <c r="J1375" s="87" t="s">
        <v>1253</v>
      </c>
      <c r="K1375" s="102" t="s">
        <v>2270</v>
      </c>
      <c r="L1375" s="117">
        <f>IF(O1375="","",N1375*O1375*M1375)</f>
        <v>0</v>
      </c>
      <c r="M1375" s="108">
        <v>1</v>
      </c>
      <c r="N1375" s="95">
        <v>1</v>
      </c>
      <c r="O1375" s="109">
        <f>IF(Key!D$1="ON",P1375,IF(SUM(Q1375:DL1375)&lt;1,"",SUM(Q1375:DL1375)/COUNTIF(Q1375:DL1375,"&gt;0")))</f>
        <v>0</v>
      </c>
      <c r="P1375" s="109">
        <f>SUMIFS(Q1375:DK1375,Q$1:DK$1,Dashboard!$K$31)</f>
        <v>0</v>
      </c>
      <c r="U1375" s="95">
        <v>33</v>
      </c>
      <c r="AA1375" s="95">
        <v>25</v>
      </c>
      <c r="AH1375" s="95">
        <v>75</v>
      </c>
    </row>
    <row r="1376" spans="1:34" x14ac:dyDescent="0.3">
      <c r="A1376" s="89" t="str">
        <f>CONCATENATE(D1376,".",F1376,"-",G1376,".",H1376,"")</f>
        <v>2.1-4.2</v>
      </c>
      <c r="B1376" s="89" t="str">
        <f>IF(CONCATENATE(I1376,Key!F$2)=CONCATENATE(INDEX(Dashboard!J:J,MATCH(I1376,Dashboard!J:J,0),1),INDEX(Dashboard!J:K,MATCH(I1376,Dashboard!J:J,0),2)),"ON",IF(Dashboard!K$32="ALL","ON","-"))</f>
        <v>-</v>
      </c>
      <c r="C1376" s="88" t="s">
        <v>152</v>
      </c>
      <c r="D1376" s="89">
        <f>IF(C1376="ID",1,(IF(C1376="PR",2,(IF(C1376="DE",3,(IF(C1376="RS",4,(IF(C1376="RC",5,0)))))))))</f>
        <v>2</v>
      </c>
      <c r="E1376" s="89" t="s">
        <v>153</v>
      </c>
      <c r="F1376" s="89">
        <f>IF(E1376="AM",1,(IF(E1376="BE",2,(IF(E1376="GV",3,(IF(E1376="RA",4,(IF(E1376="RM",5,(IF(E1376="AC",1,(IF(E1376="AT",2,(IF(E1376="DS",3,(IF(E1376="IP",4,(IF(E1376="MA",5,(IF(E1376="PT",6,(IF(E1376="AE",1,(IF(E1376="CM",2,(IF(E1376="DP",3,(IF(E1376="AN",1,(IF(E1376="CO",2,(IF(E1376="IM",3,(IF(E1376="MI",4,(IF(E1376="RP",5,(IF(E1376="SC",6,0)))))))))))))))))))))))))))))))))))))))</f>
        <v>1</v>
      </c>
      <c r="G1376" s="52">
        <v>4</v>
      </c>
      <c r="H1376" s="90" t="s">
        <v>112</v>
      </c>
      <c r="I1376" s="94" t="s">
        <v>85</v>
      </c>
      <c r="J1376" s="87" t="s">
        <v>1252</v>
      </c>
      <c r="K1376" s="119" t="s">
        <v>4504</v>
      </c>
      <c r="L1376" s="117">
        <f>IF(O1376="","",N1376*O1376*M1376)</f>
        <v>0</v>
      </c>
      <c r="M1376" s="108">
        <v>1</v>
      </c>
      <c r="N1376" s="95">
        <v>1</v>
      </c>
      <c r="O1376" s="109">
        <f>IF(Key!D$1="ON",P1376,IF(SUM(Q1376:DL1376)&lt;1,"",SUM(Q1376:DL1376)/COUNTIF(Q1376:DL1376,"&gt;0")))</f>
        <v>0</v>
      </c>
      <c r="P1376" s="109">
        <f>SUMIFS(Q1376:DK1376,Q$1:DK$1,Dashboard!$K$31)</f>
        <v>0</v>
      </c>
      <c r="U1376" s="95">
        <v>33</v>
      </c>
      <c r="AA1376" s="95">
        <v>25</v>
      </c>
      <c r="AH1376" s="95">
        <v>75</v>
      </c>
    </row>
    <row r="1377" spans="1:34" x14ac:dyDescent="0.3">
      <c r="A1377" s="89" t="str">
        <f>CONCATENATE(D1377,".",F1377,"-",G1377,".",H1377,"")</f>
        <v>2.1-4.2</v>
      </c>
      <c r="B1377" s="89" t="str">
        <f>IF(CONCATENATE(I1377,Key!F$2)=CONCATENATE(INDEX(Dashboard!J:J,MATCH(I1377,Dashboard!J:J,0),1),INDEX(Dashboard!J:K,MATCH(I1377,Dashboard!J:J,0),2)),"ON",IF(Dashboard!K$32="ALL","ON","-"))</f>
        <v>-</v>
      </c>
      <c r="C1377" s="96" t="s">
        <v>152</v>
      </c>
      <c r="D1377" s="89">
        <f>IF(C1377="ID",1,(IF(C1377="PR",2,(IF(C1377="DE",3,(IF(C1377="RS",4,(IF(C1377="RC",5,0)))))))))</f>
        <v>2</v>
      </c>
      <c r="E1377" s="89" t="s">
        <v>153</v>
      </c>
      <c r="F1377" s="89">
        <f>IF(E1377="AM",1,(IF(E1377="BE",2,(IF(E1377="GV",3,(IF(E1377="RA",4,(IF(E1377="RM",5,(IF(E1377="AC",1,(IF(E1377="AT",2,(IF(E1377="DS",3,(IF(E1377="IP",4,(IF(E1377="MA",5,(IF(E1377="PT",6,(IF(E1377="AE",1,(IF(E1377="CM",2,(IF(E1377="DP",3,(IF(E1377="AN",1,(IF(E1377="CO",2,(IF(E1377="IM",3,(IF(E1377="MI",4,(IF(E1377="RP",5,(IF(E1377="SC",6,0)))))))))))))))))))))))))))))))))))))))</f>
        <v>1</v>
      </c>
      <c r="G1377" s="98">
        <v>4</v>
      </c>
      <c r="H1377" s="90" t="s">
        <v>112</v>
      </c>
      <c r="I1377" s="94" t="s">
        <v>85</v>
      </c>
      <c r="J1377" s="87" t="s">
        <v>1253</v>
      </c>
      <c r="K1377" s="119" t="s">
        <v>1254</v>
      </c>
      <c r="L1377" s="117">
        <f>IF(O1377="","",N1377*O1377*M1377)</f>
        <v>0</v>
      </c>
      <c r="M1377" s="108">
        <v>1</v>
      </c>
      <c r="N1377" s="95">
        <v>1</v>
      </c>
      <c r="O1377" s="109">
        <f>IF(Key!D$1="ON",P1377,IF(SUM(Q1377:DL1377)&lt;1,"",SUM(Q1377:DL1377)/COUNTIF(Q1377:DL1377,"&gt;0")))</f>
        <v>0</v>
      </c>
      <c r="P1377" s="109">
        <f>SUMIFS(Q1377:DK1377,Q$1:DK$1,Dashboard!$K$31)</f>
        <v>0</v>
      </c>
      <c r="U1377" s="95">
        <v>33</v>
      </c>
      <c r="AA1377" s="95">
        <v>25</v>
      </c>
      <c r="AH1377" s="95">
        <v>75</v>
      </c>
    </row>
    <row r="1378" spans="1:34" x14ac:dyDescent="0.3">
      <c r="A1378" s="89" t="str">
        <f>CONCATENATE(D1378,".",F1378,"-",G1378,".",H1378,"")</f>
        <v>2.1-4.5</v>
      </c>
      <c r="B1378" s="89" t="str">
        <f>IF(CONCATENATE(I1378,Key!F$2)=CONCATENATE(INDEX(Dashboard!J:J,MATCH(I1378,Dashboard!J:J,0),1),INDEX(Dashboard!J:K,MATCH(I1378,Dashboard!J:J,0),2)),"ON",IF(Dashboard!K$32="ALL","ON","-"))</f>
        <v>-</v>
      </c>
      <c r="C1378" s="88" t="s">
        <v>152</v>
      </c>
      <c r="D1378" s="89">
        <f>IF(C1378="ID",1,(IF(C1378="PR",2,(IF(C1378="DE",3,(IF(C1378="RS",4,(IF(C1378="RC",5,0)))))))))</f>
        <v>2</v>
      </c>
      <c r="E1378" s="89" t="s">
        <v>153</v>
      </c>
      <c r="F1378" s="89">
        <f>IF(E1378="AM",1,(IF(E1378="BE",2,(IF(E1378="GV",3,(IF(E1378="RA",4,(IF(E1378="RM",5,(IF(E1378="AC",1,(IF(E1378="AT",2,(IF(E1378="DS",3,(IF(E1378="IP",4,(IF(E1378="MA",5,(IF(E1378="PT",6,(IF(E1378="AE",1,(IF(E1378="CM",2,(IF(E1378="DP",3,(IF(E1378="AN",1,(IF(E1378="CO",2,(IF(E1378="IM",3,(IF(E1378="MI",4,(IF(E1378="RP",5,(IF(E1378="SC",6,0)))))))))))))))))))))))))))))))))))))))</f>
        <v>1</v>
      </c>
      <c r="G1378" s="52">
        <v>4</v>
      </c>
      <c r="H1378" s="90" t="s">
        <v>123</v>
      </c>
      <c r="I1378" s="93" t="s">
        <v>77</v>
      </c>
      <c r="J1378" s="87" t="s">
        <v>1255</v>
      </c>
      <c r="K1378" s="102" t="s">
        <v>2271</v>
      </c>
      <c r="L1378" s="117">
        <f>IF(O1378="","",N1378*O1378*M1378)</f>
        <v>0</v>
      </c>
      <c r="M1378" s="108">
        <v>1</v>
      </c>
      <c r="N1378" s="95">
        <v>1</v>
      </c>
      <c r="O1378" s="109">
        <f>IF(Key!D$1="ON",P1378,IF(SUM(Q1378:DL1378)&lt;1,"",SUM(Q1378:DL1378)/COUNTIF(Q1378:DL1378,"&gt;0")))</f>
        <v>0</v>
      </c>
      <c r="P1378" s="109">
        <f>SUMIFS(Q1378:DK1378,Q$1:DK$1,Dashboard!$K$31)</f>
        <v>0</v>
      </c>
      <c r="U1378" s="95">
        <v>33</v>
      </c>
      <c r="AA1378" s="95">
        <v>25</v>
      </c>
      <c r="AH1378" s="95">
        <v>75</v>
      </c>
    </row>
    <row r="1379" spans="1:34" x14ac:dyDescent="0.3">
      <c r="A1379" s="89" t="str">
        <f>CONCATENATE(D1379,".",F1379,"-",G1379,".",H1379,"")</f>
        <v>2.1-4.5</v>
      </c>
      <c r="B1379" s="89" t="str">
        <f>IF(CONCATENATE(I1379,Key!F$2)=CONCATENATE(INDEX(Dashboard!J:J,MATCH(I1379,Dashboard!J:J,0),1),INDEX(Dashboard!J:K,MATCH(I1379,Dashboard!J:J,0),2)),"ON",IF(Dashboard!K$32="ALL","ON","-"))</f>
        <v>-</v>
      </c>
      <c r="C1379" s="88" t="s">
        <v>152</v>
      </c>
      <c r="D1379" s="89">
        <f>IF(C1379="ID",1,(IF(C1379="PR",2,(IF(C1379="DE",3,(IF(C1379="RS",4,(IF(C1379="RC",5,0)))))))))</f>
        <v>2</v>
      </c>
      <c r="E1379" s="89" t="s">
        <v>153</v>
      </c>
      <c r="F1379" s="89">
        <f>IF(E1379="AM",1,(IF(E1379="BE",2,(IF(E1379="GV",3,(IF(E1379="RA",4,(IF(E1379="RM",5,(IF(E1379="AC",1,(IF(E1379="AT",2,(IF(E1379="DS",3,(IF(E1379="IP",4,(IF(E1379="MA",5,(IF(E1379="PT",6,(IF(E1379="AE",1,(IF(E1379="CM",2,(IF(E1379="DP",3,(IF(E1379="AN",1,(IF(E1379="CO",2,(IF(E1379="IM",3,(IF(E1379="MI",4,(IF(E1379="RP",5,(IF(E1379="SC",6,0)))))))))))))))))))))))))))))))))))))))</f>
        <v>1</v>
      </c>
      <c r="G1379" s="52">
        <v>4</v>
      </c>
      <c r="H1379" s="90" t="s">
        <v>123</v>
      </c>
      <c r="I1379" s="93" t="s">
        <v>77</v>
      </c>
      <c r="J1379" s="87" t="s">
        <v>1256</v>
      </c>
      <c r="K1379" s="102" t="s">
        <v>2272</v>
      </c>
      <c r="L1379" s="117">
        <f>IF(O1379="","",N1379*O1379*M1379)</f>
        <v>0</v>
      </c>
      <c r="M1379" s="108">
        <v>1</v>
      </c>
      <c r="N1379" s="95">
        <v>1</v>
      </c>
      <c r="O1379" s="109">
        <f>IF(Key!D$1="ON",P1379,IF(SUM(Q1379:DL1379)&lt;1,"",SUM(Q1379:DL1379)/COUNTIF(Q1379:DL1379,"&gt;0")))</f>
        <v>0</v>
      </c>
      <c r="P1379" s="109">
        <f>SUMIFS(Q1379:DK1379,Q$1:DK$1,Dashboard!$K$31)</f>
        <v>0</v>
      </c>
      <c r="U1379" s="95">
        <v>33</v>
      </c>
      <c r="AA1379" s="95">
        <v>25</v>
      </c>
      <c r="AH1379" s="95">
        <v>75</v>
      </c>
    </row>
    <row r="1380" spans="1:34" x14ac:dyDescent="0.3">
      <c r="A1380" s="89" t="str">
        <f>CONCATENATE(D1380,".",F1380,"-",G1380,".",H1380,"")</f>
        <v>2.1-4.5</v>
      </c>
      <c r="B1380" s="89" t="str">
        <f>IF(CONCATENATE(I1380,Key!F$2)=CONCATENATE(INDEX(Dashboard!J:J,MATCH(I1380,Dashboard!J:J,0),1),INDEX(Dashboard!J:K,MATCH(I1380,Dashboard!J:J,0),2)),"ON",IF(Dashboard!K$32="ALL","ON","-"))</f>
        <v>-</v>
      </c>
      <c r="C1380" s="88" t="s">
        <v>152</v>
      </c>
      <c r="D1380" s="89">
        <f>IF(C1380="ID",1,(IF(C1380="PR",2,(IF(C1380="DE",3,(IF(C1380="RS",4,(IF(C1380="RC",5,0)))))))))</f>
        <v>2</v>
      </c>
      <c r="E1380" s="89" t="s">
        <v>153</v>
      </c>
      <c r="F1380" s="89">
        <f>IF(E1380="AM",1,(IF(E1380="BE",2,(IF(E1380="GV",3,(IF(E1380="RA",4,(IF(E1380="RM",5,(IF(E1380="AC",1,(IF(E1380="AT",2,(IF(E1380="DS",3,(IF(E1380="IP",4,(IF(E1380="MA",5,(IF(E1380="PT",6,(IF(E1380="AE",1,(IF(E1380="CM",2,(IF(E1380="DP",3,(IF(E1380="AN",1,(IF(E1380="CO",2,(IF(E1380="IM",3,(IF(E1380="MI",4,(IF(E1380="RP",5,(IF(E1380="SC",6,0)))))))))))))))))))))))))))))))))))))))</f>
        <v>1</v>
      </c>
      <c r="G1380" s="52">
        <v>4</v>
      </c>
      <c r="H1380" s="90" t="s">
        <v>123</v>
      </c>
      <c r="I1380" s="93" t="s">
        <v>77</v>
      </c>
      <c r="J1380" s="87" t="s">
        <v>1257</v>
      </c>
      <c r="K1380" s="102" t="s">
        <v>2273</v>
      </c>
      <c r="L1380" s="117">
        <f>IF(O1380="","",N1380*O1380*M1380)</f>
        <v>0</v>
      </c>
      <c r="M1380" s="108">
        <v>1</v>
      </c>
      <c r="N1380" s="95">
        <v>1</v>
      </c>
      <c r="O1380" s="109">
        <f>IF(Key!D$1="ON",P1380,IF(SUM(Q1380:DL1380)&lt;1,"",SUM(Q1380:DL1380)/COUNTIF(Q1380:DL1380,"&gt;0")))</f>
        <v>0</v>
      </c>
      <c r="P1380" s="109">
        <f>SUMIFS(Q1380:DK1380,Q$1:DK$1,Dashboard!$K$31)</f>
        <v>0</v>
      </c>
      <c r="U1380" s="95">
        <v>33</v>
      </c>
      <c r="AA1380" s="95">
        <v>25</v>
      </c>
      <c r="AH1380" s="95">
        <v>75</v>
      </c>
    </row>
    <row r="1381" spans="1:34" x14ac:dyDescent="0.3">
      <c r="A1381" s="89" t="str">
        <f>CONCATENATE(D1381,".",F1381,"-",G1381,".",H1381,"")</f>
        <v>2.1-4.5</v>
      </c>
      <c r="B1381" s="89" t="str">
        <f>IF(CONCATENATE(I1381,Key!F$2)=CONCATENATE(INDEX(Dashboard!J:J,MATCH(I1381,Dashboard!J:J,0),1),INDEX(Dashboard!J:K,MATCH(I1381,Dashboard!J:J,0),2)),"ON",IF(Dashboard!K$32="ALL","ON","-"))</f>
        <v>-</v>
      </c>
      <c r="C1381" s="88" t="s">
        <v>152</v>
      </c>
      <c r="D1381" s="89">
        <f>IF(C1381="ID",1,(IF(C1381="PR",2,(IF(C1381="DE",3,(IF(C1381="RS",4,(IF(C1381="RC",5,0)))))))))</f>
        <v>2</v>
      </c>
      <c r="E1381" s="89" t="s">
        <v>153</v>
      </c>
      <c r="F1381" s="89">
        <f>IF(E1381="AM",1,(IF(E1381="BE",2,(IF(E1381="GV",3,(IF(E1381="RA",4,(IF(E1381="RM",5,(IF(E1381="AC",1,(IF(E1381="AT",2,(IF(E1381="DS",3,(IF(E1381="IP",4,(IF(E1381="MA",5,(IF(E1381="PT",6,(IF(E1381="AE",1,(IF(E1381="CM",2,(IF(E1381="DP",3,(IF(E1381="AN",1,(IF(E1381="CO",2,(IF(E1381="IM",3,(IF(E1381="MI",4,(IF(E1381="RP",5,(IF(E1381="SC",6,0)))))))))))))))))))))))))))))))))))))))</f>
        <v>1</v>
      </c>
      <c r="G1381" s="52">
        <v>4</v>
      </c>
      <c r="H1381" s="90" t="s">
        <v>123</v>
      </c>
      <c r="I1381" s="93" t="s">
        <v>77</v>
      </c>
      <c r="J1381" s="87" t="s">
        <v>1258</v>
      </c>
      <c r="K1381" s="102" t="s">
        <v>2274</v>
      </c>
      <c r="L1381" s="117">
        <f>IF(O1381="","",N1381*O1381*M1381)</f>
        <v>0</v>
      </c>
      <c r="M1381" s="108">
        <v>1</v>
      </c>
      <c r="N1381" s="95">
        <v>1</v>
      </c>
      <c r="O1381" s="109">
        <f>IF(Key!D$1="ON",P1381,IF(SUM(Q1381:DL1381)&lt;1,"",SUM(Q1381:DL1381)/COUNTIF(Q1381:DL1381,"&gt;0")))</f>
        <v>0</v>
      </c>
      <c r="P1381" s="109">
        <f>SUMIFS(Q1381:DK1381,Q$1:DK$1,Dashboard!$K$31)</f>
        <v>0</v>
      </c>
      <c r="U1381" s="95">
        <v>33</v>
      </c>
      <c r="AA1381" s="95">
        <v>25</v>
      </c>
      <c r="AH1381" s="95">
        <v>75</v>
      </c>
    </row>
    <row r="1382" spans="1:34" x14ac:dyDescent="0.3">
      <c r="A1382" s="89" t="str">
        <f>CONCATENATE(D1382,".",F1382,"-",G1382,".",H1382,"")</f>
        <v>2.1-5.0</v>
      </c>
      <c r="B1382" s="89" t="str">
        <f>IF(CONCATENATE(I1382,Key!F$2)=CONCATENATE(INDEX(Dashboard!J:J,MATCH(I1382,Dashboard!J:J,0),1),INDEX(Dashboard!J:K,MATCH(I1382,Dashboard!J:J,0),2)),"ON",IF(Dashboard!K$32="ALL","ON","-"))</f>
        <v>-</v>
      </c>
      <c r="C1382" s="88" t="s">
        <v>152</v>
      </c>
      <c r="D1382" s="89">
        <f>IF(C1382="ID",1,(IF(C1382="PR",2,(IF(C1382="DE",3,(IF(C1382="RS",4,(IF(C1382="RC",5,0)))))))))</f>
        <v>2</v>
      </c>
      <c r="E1382" s="89" t="s">
        <v>153</v>
      </c>
      <c r="F1382" s="89">
        <f>IF(E1382="AM",1,(IF(E1382="BE",2,(IF(E1382="GV",3,(IF(E1382="RA",4,(IF(E1382="RM",5,(IF(E1382="AC",1,(IF(E1382="AT",2,(IF(E1382="DS",3,(IF(E1382="IP",4,(IF(E1382="MA",5,(IF(E1382="PT",6,(IF(E1382="AE",1,(IF(E1382="CM",2,(IF(E1382="DP",3,(IF(E1382="AN",1,(IF(E1382="CO",2,(IF(E1382="IM",3,(IF(E1382="MI",4,(IF(E1382="RP",5,(IF(E1382="SC",6,0)))))))))))))))))))))))))))))))))))))))</f>
        <v>1</v>
      </c>
      <c r="G1382" s="52">
        <v>5</v>
      </c>
      <c r="H1382" s="90" t="s">
        <v>347</v>
      </c>
      <c r="I1382" s="93" t="s">
        <v>2835</v>
      </c>
      <c r="J1382" s="53" t="s">
        <v>2923</v>
      </c>
      <c r="K1382" s="150" t="s">
        <v>2924</v>
      </c>
      <c r="L1382" s="117">
        <f>IF(O1382="","",N1382*O1382*M1382)</f>
        <v>0</v>
      </c>
      <c r="M1382" s="108">
        <v>1</v>
      </c>
      <c r="N1382" s="95">
        <v>1</v>
      </c>
      <c r="O1382" s="109">
        <f>IF(Key!D$1="ON",P1382,IF(SUM(Q1382:DL1382)&lt;1,"",SUM(Q1382:DL1382)/COUNTIF(Q1382:DL1382,"&gt;0")))</f>
        <v>0</v>
      </c>
      <c r="P1382" s="109">
        <f>SUMIFS(Q1382:DK1382,Q$1:DK$1,Dashboard!$K$31)</f>
        <v>0</v>
      </c>
      <c r="U1382" s="95">
        <v>33</v>
      </c>
    </row>
    <row r="1383" spans="1:34" x14ac:dyDescent="0.3">
      <c r="A1383" s="89" t="str">
        <f>CONCATENATE(D1383,".",F1383,"-",G1383,".",H1383,"")</f>
        <v>2.1-5.1</v>
      </c>
      <c r="B1383" s="89" t="str">
        <f>IF(CONCATENATE(I1383,Key!F$2)=CONCATENATE(INDEX(Dashboard!J:J,MATCH(I1383,Dashboard!J:J,0),1),INDEX(Dashboard!J:K,MATCH(I1383,Dashboard!J:J,0),2)),"ON",IF(Dashboard!K$32="ALL","ON","-"))</f>
        <v>ON</v>
      </c>
      <c r="C1383" s="130" t="s">
        <v>152</v>
      </c>
      <c r="D1383" s="89">
        <f>IF(C1383="ID",1,(IF(C1383="PR",2,(IF(C1383="DE",3,(IF(C1383="RS",4,(IF(C1383="RC",5,0)))))))))</f>
        <v>2</v>
      </c>
      <c r="E1383" s="95" t="s">
        <v>153</v>
      </c>
      <c r="F1383" s="89">
        <f>IF(E1383="AM",1,(IF(E1383="BE",2,(IF(E1383="GV",3,(IF(E1383="RA",4,(IF(E1383="RM",5,(IF(E1383="AC",1,(IF(E1383="AT",2,(IF(E1383="DS",3,(IF(E1383="IP",4,(IF(E1383="MA",5,(IF(E1383="PT",6,(IF(E1383="AE",1,(IF(E1383="CM",2,(IF(E1383="DP",3,(IF(E1383="AN",1,(IF(E1383="CO",2,(IF(E1383="IM",3,(IF(E1383="MI",4,(IF(E1383="RP",5,(IF(E1383="SC",6,0)))))))))))))))))))))))))))))))))))))))</f>
        <v>1</v>
      </c>
      <c r="G1383" s="52">
        <v>5</v>
      </c>
      <c r="H1383" s="90" t="s">
        <v>115</v>
      </c>
      <c r="I1383" s="93" t="s">
        <v>4107</v>
      </c>
      <c r="J1383" s="86" t="s">
        <v>3949</v>
      </c>
      <c r="K1383" s="101" t="s">
        <v>4115</v>
      </c>
      <c r="L1383" s="117">
        <f>IF(O1383="","",N1383*O1383*M1383)</f>
        <v>0</v>
      </c>
      <c r="M1383" s="108">
        <v>1</v>
      </c>
      <c r="N1383" s="95">
        <v>1</v>
      </c>
      <c r="O1383" s="109">
        <f>IF(Key!D$1="ON",P1383,IF(SUM(Q1383:DL1383)&lt;1,"",SUM(Q1383:DL1383)/COUNTIF(Q1383:DL1383,"&gt;0")))</f>
        <v>0</v>
      </c>
      <c r="P1383" s="109">
        <f>SUMIFS(Q1383:DK1383,Q$1:DK$1,Dashboard!$K$31)</f>
        <v>0</v>
      </c>
      <c r="U1383" s="95">
        <v>33</v>
      </c>
      <c r="AA1383" s="95">
        <v>25</v>
      </c>
      <c r="AH1383" s="95">
        <v>75</v>
      </c>
    </row>
    <row r="1384" spans="1:34" x14ac:dyDescent="0.3">
      <c r="A1384" s="89" t="str">
        <f>CONCATENATE(D1384,".",F1384,"-",G1384,".",H1384,"")</f>
        <v>2.1-5.1</v>
      </c>
      <c r="B1384" s="89" t="str">
        <f>IF(CONCATENATE(I1384,Key!F$2)=CONCATENATE(INDEX(Dashboard!J:J,MATCH(I1384,Dashboard!J:J,0),1),INDEX(Dashboard!J:K,MATCH(I1384,Dashboard!J:J,0),2)),"ON",IF(Dashboard!K$32="ALL","ON","-"))</f>
        <v>ON</v>
      </c>
      <c r="C1384" s="130" t="s">
        <v>152</v>
      </c>
      <c r="D1384" s="89">
        <f>IF(C1384="ID",1,(IF(C1384="PR",2,(IF(C1384="DE",3,(IF(C1384="RS",4,(IF(C1384="RC",5,0)))))))))</f>
        <v>2</v>
      </c>
      <c r="E1384" s="95" t="s">
        <v>153</v>
      </c>
      <c r="F1384" s="89">
        <f>IF(E1384="AM",1,(IF(E1384="BE",2,(IF(E1384="GV",3,(IF(E1384="RA",4,(IF(E1384="RM",5,(IF(E1384="AC",1,(IF(E1384="AT",2,(IF(E1384="DS",3,(IF(E1384="IP",4,(IF(E1384="MA",5,(IF(E1384="PT",6,(IF(E1384="AE",1,(IF(E1384="CM",2,(IF(E1384="DP",3,(IF(E1384="AN",1,(IF(E1384="CO",2,(IF(E1384="IM",3,(IF(E1384="MI",4,(IF(E1384="RP",5,(IF(E1384="SC",6,0)))))))))))))))))))))))))))))))))))))))</f>
        <v>1</v>
      </c>
      <c r="G1384" s="52">
        <v>5</v>
      </c>
      <c r="H1384" s="90" t="s">
        <v>115</v>
      </c>
      <c r="I1384" s="93" t="s">
        <v>4107</v>
      </c>
      <c r="J1384" s="86" t="s">
        <v>3958</v>
      </c>
      <c r="K1384" s="101" t="s">
        <v>4360</v>
      </c>
      <c r="L1384" s="117">
        <f>IF(O1384="","",N1384*O1384*M1384)</f>
        <v>0</v>
      </c>
      <c r="M1384" s="108">
        <v>1</v>
      </c>
      <c r="N1384" s="95">
        <v>1</v>
      </c>
      <c r="O1384" s="109">
        <f>IF(Key!D$1="ON",P1384,IF(SUM(Q1384:DL1384)&lt;1,"",SUM(Q1384:DL1384)/COUNTIF(Q1384:DL1384,"&gt;0")))</f>
        <v>0</v>
      </c>
      <c r="P1384" s="109">
        <f>SUMIFS(Q1384:DK1384,Q$1:DK$1,Dashboard!$K$31)</f>
        <v>0</v>
      </c>
      <c r="U1384" s="95">
        <v>33</v>
      </c>
      <c r="AA1384" s="95">
        <v>25</v>
      </c>
      <c r="AH1384" s="95">
        <v>75</v>
      </c>
    </row>
    <row r="1385" spans="1:34" x14ac:dyDescent="0.3">
      <c r="A1385" s="89" t="str">
        <f>CONCATENATE(D1385,".",F1385,"-",G1385,".",H1385,"")</f>
        <v>2.1-5.1</v>
      </c>
      <c r="B1385" s="89" t="str">
        <f>IF(CONCATENATE(I1385,Key!F$2)=CONCATENATE(INDEX(Dashboard!J:J,MATCH(I1385,Dashboard!J:J,0),1),INDEX(Dashboard!J:K,MATCH(I1385,Dashboard!J:J,0),2)),"ON",IF(Dashboard!K$32="ALL","ON","-"))</f>
        <v>ON</v>
      </c>
      <c r="C1385" s="130" t="s">
        <v>152</v>
      </c>
      <c r="D1385" s="89">
        <f>IF(C1385="ID",1,(IF(C1385="PR",2,(IF(C1385="DE",3,(IF(C1385="RS",4,(IF(C1385="RC",5,0)))))))))</f>
        <v>2</v>
      </c>
      <c r="E1385" s="95" t="s">
        <v>153</v>
      </c>
      <c r="F1385" s="89">
        <f>IF(E1385="AM",1,(IF(E1385="BE",2,(IF(E1385="GV",3,(IF(E1385="RA",4,(IF(E1385="RM",5,(IF(E1385="AC",1,(IF(E1385="AT",2,(IF(E1385="DS",3,(IF(E1385="IP",4,(IF(E1385="MA",5,(IF(E1385="PT",6,(IF(E1385="AE",1,(IF(E1385="CM",2,(IF(E1385="DP",3,(IF(E1385="AN",1,(IF(E1385="CO",2,(IF(E1385="IM",3,(IF(E1385="MI",4,(IF(E1385="RP",5,(IF(E1385="SC",6,0)))))))))))))))))))))))))))))))))))))))</f>
        <v>1</v>
      </c>
      <c r="G1385" s="52">
        <v>5</v>
      </c>
      <c r="H1385" s="90" t="s">
        <v>115</v>
      </c>
      <c r="I1385" s="93" t="s">
        <v>4107</v>
      </c>
      <c r="J1385" s="86" t="s">
        <v>4068</v>
      </c>
      <c r="K1385" s="101" t="s">
        <v>4222</v>
      </c>
      <c r="L1385" s="117">
        <f>IF(O1385="","",N1385*O1385*M1385)</f>
        <v>0</v>
      </c>
      <c r="M1385" s="108">
        <v>1</v>
      </c>
      <c r="N1385" s="95">
        <v>1</v>
      </c>
      <c r="O1385" s="109">
        <f>IF(Key!D$1="ON",P1385,IF(SUM(Q1385:DL1385)&lt;1,"",SUM(Q1385:DL1385)/COUNTIF(Q1385:DL1385,"&gt;0")))</f>
        <v>0</v>
      </c>
      <c r="P1385" s="109">
        <f>SUMIFS(Q1385:DK1385,Q$1:DK$1,Dashboard!$K$31)</f>
        <v>0</v>
      </c>
      <c r="U1385" s="95">
        <v>33</v>
      </c>
      <c r="AA1385" s="95">
        <v>25</v>
      </c>
      <c r="AH1385" s="95">
        <v>75</v>
      </c>
    </row>
    <row r="1386" spans="1:34" x14ac:dyDescent="0.3">
      <c r="A1386" s="89" t="str">
        <f>CONCATENATE(D1386,".",F1386,"-",G1386,".",H1386,"")</f>
        <v>2.1-5.1</v>
      </c>
      <c r="B1386" s="89" t="str">
        <f>IF(CONCATENATE(I1386,Key!F$2)=CONCATENATE(INDEX(Dashboard!J:J,MATCH(I1386,Dashboard!J:J,0),1),INDEX(Dashboard!J:K,MATCH(I1386,Dashboard!J:J,0),2)),"ON",IF(Dashboard!K$32="ALL","ON","-"))</f>
        <v>ON</v>
      </c>
      <c r="C1386" s="88" t="s">
        <v>152</v>
      </c>
      <c r="D1386" s="89">
        <f>IF(C1386="ID",1,(IF(C1386="PR",2,(IF(C1386="DE",3,(IF(C1386="RS",4,(IF(C1386="RC",5,0)))))))))</f>
        <v>2</v>
      </c>
      <c r="E1386" s="89" t="s">
        <v>153</v>
      </c>
      <c r="F1386" s="89">
        <f>IF(E1386="AM",1,(IF(E1386="BE",2,(IF(E1386="GV",3,(IF(E1386="RA",4,(IF(E1386="RM",5,(IF(E1386="AC",1,(IF(E1386="AT",2,(IF(E1386="DS",3,(IF(E1386="IP",4,(IF(E1386="MA",5,(IF(E1386="PT",6,(IF(E1386="AE",1,(IF(E1386="CM",2,(IF(E1386="DP",3,(IF(E1386="AN",1,(IF(E1386="CO",2,(IF(E1386="IM",3,(IF(E1386="MI",4,(IF(E1386="RP",5,(IF(E1386="SC",6,0)))))))))))))))))))))))))))))))))))))))</f>
        <v>1</v>
      </c>
      <c r="G1386" s="52">
        <v>5</v>
      </c>
      <c r="H1386" s="90" t="s">
        <v>115</v>
      </c>
      <c r="I1386" s="93" t="s">
        <v>4107</v>
      </c>
      <c r="J1386" s="86" t="s">
        <v>4075</v>
      </c>
      <c r="K1386" s="101" t="s">
        <v>4474</v>
      </c>
      <c r="L1386" s="117">
        <f>IF(O1386="","",N1386*O1386*M1386)</f>
        <v>0</v>
      </c>
      <c r="M1386" s="108">
        <v>1</v>
      </c>
      <c r="N1386" s="95">
        <v>1</v>
      </c>
      <c r="O1386" s="109">
        <f>IF(Key!D$1="ON",P1386,IF(SUM(Q1386:DL1386)&lt;1,"",SUM(Q1386:DL1386)/COUNTIF(Q1386:DL1386,"&gt;0")))</f>
        <v>0</v>
      </c>
      <c r="P1386" s="109">
        <f>SUMIFS(Q1386:DK1386,Q$1:DK$1,Dashboard!$K$31)</f>
        <v>0</v>
      </c>
      <c r="U1386" s="95">
        <v>33</v>
      </c>
      <c r="AA1386" s="95">
        <v>25</v>
      </c>
      <c r="AH1386" s="95">
        <v>75</v>
      </c>
    </row>
    <row r="1387" spans="1:34" x14ac:dyDescent="0.3">
      <c r="A1387" s="89" t="str">
        <f>CONCATENATE(D1387,".",F1387,"-",G1387,".",H1387,"")</f>
        <v>2.1-5.1</v>
      </c>
      <c r="B1387" s="89" t="str">
        <f>IF(CONCATENATE(I1387,Key!F$2)=CONCATENATE(INDEX(Dashboard!J:J,MATCH(I1387,Dashboard!J:J,0),1),INDEX(Dashboard!J:K,MATCH(I1387,Dashboard!J:J,0),2)),"ON",IF(Dashboard!K$32="ALL","ON","-"))</f>
        <v>ON</v>
      </c>
      <c r="C1387" s="88" t="s">
        <v>152</v>
      </c>
      <c r="D1387" s="89">
        <f>IF(C1387="ID",1,(IF(C1387="PR",2,(IF(C1387="DE",3,(IF(C1387="RS",4,(IF(C1387="RC",5,0)))))))))</f>
        <v>2</v>
      </c>
      <c r="E1387" s="89" t="s">
        <v>153</v>
      </c>
      <c r="F1387" s="89">
        <f>IF(E1387="AM",1,(IF(E1387="BE",2,(IF(E1387="GV",3,(IF(E1387="RA",4,(IF(E1387="RM",5,(IF(E1387="AC",1,(IF(E1387="AT",2,(IF(E1387="DS",3,(IF(E1387="IP",4,(IF(E1387="MA",5,(IF(E1387="PT",6,(IF(E1387="AE",1,(IF(E1387="CM",2,(IF(E1387="DP",3,(IF(E1387="AN",1,(IF(E1387="CO",2,(IF(E1387="IM",3,(IF(E1387="MI",4,(IF(E1387="RP",5,(IF(E1387="SC",6,0)))))))))))))))))))))))))))))))))))))))</f>
        <v>1</v>
      </c>
      <c r="G1387" s="52">
        <v>5</v>
      </c>
      <c r="H1387" s="90" t="s">
        <v>115</v>
      </c>
      <c r="I1387" s="93" t="s">
        <v>4107</v>
      </c>
      <c r="J1387" s="86" t="s">
        <v>4078</v>
      </c>
      <c r="K1387" s="101" t="s">
        <v>4228</v>
      </c>
      <c r="L1387" s="117">
        <f>IF(O1387="","",N1387*O1387*M1387)</f>
        <v>0</v>
      </c>
      <c r="M1387" s="108">
        <v>1</v>
      </c>
      <c r="N1387" s="95">
        <v>1</v>
      </c>
      <c r="O1387" s="109">
        <f>IF(Key!D$1="ON",P1387,IF(SUM(Q1387:DL1387)&lt;1,"",SUM(Q1387:DL1387)/COUNTIF(Q1387:DL1387,"&gt;0")))</f>
        <v>0</v>
      </c>
      <c r="P1387" s="109">
        <f>SUMIFS(Q1387:DK1387,Q$1:DK$1,Dashboard!$K$31)</f>
        <v>0</v>
      </c>
      <c r="U1387" s="95">
        <v>33</v>
      </c>
      <c r="AA1387" s="95">
        <v>25</v>
      </c>
      <c r="AH1387" s="95">
        <v>75</v>
      </c>
    </row>
    <row r="1388" spans="1:34" ht="15.6" x14ac:dyDescent="0.3">
      <c r="A1388" s="89" t="str">
        <f>CONCATENATE(D1388,".",F1388,"-",G1388,".",H1388,"")</f>
        <v>2.1-5.1</v>
      </c>
      <c r="B1388" s="89" t="str">
        <f>IF(CONCATENATE(I1388,Key!F$2)=CONCATENATE(INDEX(Dashboard!J:J,MATCH(I1388,Dashboard!J:J,0),1),INDEX(Dashboard!J:K,MATCH(I1388,Dashboard!J:J,0),2)),"ON",IF(Dashboard!K$32="ALL","ON","-"))</f>
        <v>ON</v>
      </c>
      <c r="C1388" s="130" t="s">
        <v>152</v>
      </c>
      <c r="D1388" s="89">
        <f>IF(C1388="ID",1,(IF(C1388="PR",2,(IF(C1388="DE",3,(IF(C1388="RS",4,(IF(C1388="RC",5,0)))))))))</f>
        <v>2</v>
      </c>
      <c r="E1388" s="95" t="s">
        <v>153</v>
      </c>
      <c r="F1388" s="89">
        <f>IF(E1388="AM",1,(IF(E1388="BE",2,(IF(E1388="GV",3,(IF(E1388="RA",4,(IF(E1388="RM",5,(IF(E1388="AC",1,(IF(E1388="AT",2,(IF(E1388="DS",3,(IF(E1388="IP",4,(IF(E1388="MA",5,(IF(E1388="PT",6,(IF(E1388="AE",1,(IF(E1388="CM",2,(IF(E1388="DP",3,(IF(E1388="AN",1,(IF(E1388="CO",2,(IF(E1388="IM",3,(IF(E1388="MI",4,(IF(E1388="RP",5,(IF(E1388="SC",6,0)))))))))))))))))))))))))))))))))))))))</f>
        <v>1</v>
      </c>
      <c r="G1388" s="52">
        <v>5</v>
      </c>
      <c r="H1388" s="90" t="s">
        <v>115</v>
      </c>
      <c r="I1388" s="93" t="s">
        <v>4107</v>
      </c>
      <c r="J1388" s="86" t="s">
        <v>4086</v>
      </c>
      <c r="K1388" s="101" t="s">
        <v>4477</v>
      </c>
      <c r="L1388" s="117">
        <f>IF(O1388="","",N1388*O1388*M1388)</f>
        <v>0</v>
      </c>
      <c r="M1388" s="108">
        <v>1</v>
      </c>
      <c r="N1388" s="95">
        <v>1</v>
      </c>
      <c r="O1388" s="109">
        <f>IF(Key!D$1="ON",P1388,IF(SUM(Q1388:DL1388)&lt;1,"",SUM(Q1388:DL1388)/COUNTIF(Q1388:DL1388,"&gt;0")))</f>
        <v>0</v>
      </c>
      <c r="P1388" s="109">
        <f>SUMIFS(Q1388:DK1388,Q$1:DK$1,Dashboard!$K$31)</f>
        <v>0</v>
      </c>
      <c r="U1388" s="95">
        <v>33</v>
      </c>
      <c r="AA1388" s="95">
        <v>25</v>
      </c>
      <c r="AH1388" s="95">
        <v>75</v>
      </c>
    </row>
    <row r="1389" spans="1:34" x14ac:dyDescent="0.3">
      <c r="A1389" s="89" t="str">
        <f>CONCATENATE(D1389,".",F1389,"-",G1389,".",H1389,"")</f>
        <v>2.1-5.1</v>
      </c>
      <c r="B1389" s="89" t="str">
        <f>IF(CONCATENATE(I1389,Key!F$2)=CONCATENATE(INDEX(Dashboard!J:J,MATCH(I1389,Dashboard!J:J,0),1),INDEX(Dashboard!J:K,MATCH(I1389,Dashboard!J:J,0),2)),"ON",IF(Dashboard!K$32="ALL","ON","-"))</f>
        <v>ON</v>
      </c>
      <c r="C1389" s="130" t="s">
        <v>152</v>
      </c>
      <c r="D1389" s="89">
        <f>IF(C1389="ID",1,(IF(C1389="PR",2,(IF(C1389="DE",3,(IF(C1389="RS",4,(IF(C1389="RC",5,0)))))))))</f>
        <v>2</v>
      </c>
      <c r="E1389" s="95" t="s">
        <v>153</v>
      </c>
      <c r="F1389" s="89">
        <f>IF(E1389="AM",1,(IF(E1389="BE",2,(IF(E1389="GV",3,(IF(E1389="RA",4,(IF(E1389="RM",5,(IF(E1389="AC",1,(IF(E1389="AT",2,(IF(E1389="DS",3,(IF(E1389="IP",4,(IF(E1389="MA",5,(IF(E1389="PT",6,(IF(E1389="AE",1,(IF(E1389="CM",2,(IF(E1389="DP",3,(IF(E1389="AN",1,(IF(E1389="CO",2,(IF(E1389="IM",3,(IF(E1389="MI",4,(IF(E1389="RP",5,(IF(E1389="SC",6,0)))))))))))))))))))))))))))))))))))))))</f>
        <v>1</v>
      </c>
      <c r="G1389" s="52">
        <v>5</v>
      </c>
      <c r="H1389" s="90" t="s">
        <v>115</v>
      </c>
      <c r="I1389" s="93" t="s">
        <v>4107</v>
      </c>
      <c r="J1389" s="86" t="s">
        <v>4087</v>
      </c>
      <c r="K1389" s="101" t="s">
        <v>4409</v>
      </c>
      <c r="L1389" s="117">
        <f>IF(O1389="","",N1389*O1389*M1389)</f>
        <v>0</v>
      </c>
      <c r="M1389" s="108">
        <v>1</v>
      </c>
      <c r="N1389" s="95">
        <v>1</v>
      </c>
      <c r="O1389" s="109">
        <f>IF(Key!D$1="ON",P1389,IF(SUM(Q1389:DL1389)&lt;1,"",SUM(Q1389:DL1389)/COUNTIF(Q1389:DL1389,"&gt;0")))</f>
        <v>0</v>
      </c>
      <c r="P1389" s="109">
        <f>SUMIFS(Q1389:DK1389,Q$1:DK$1,Dashboard!$K$31)</f>
        <v>0</v>
      </c>
      <c r="U1389" s="95">
        <v>33</v>
      </c>
      <c r="AA1389" s="95">
        <v>25</v>
      </c>
      <c r="AH1389" s="95">
        <v>75</v>
      </c>
    </row>
    <row r="1390" spans="1:34" ht="15.6" x14ac:dyDescent="0.3">
      <c r="A1390" s="89" t="str">
        <f>CONCATENATE(D1390,".",F1390,"-",G1390,".",H1390,"")</f>
        <v>2.1-5.1</v>
      </c>
      <c r="B1390" s="89" t="str">
        <f>IF(CONCATENATE(I1390,Key!F$2)=CONCATENATE(INDEX(Dashboard!J:J,MATCH(I1390,Dashboard!J:J,0),1),INDEX(Dashboard!J:K,MATCH(I1390,Dashboard!J:J,0),2)),"ON",IF(Dashboard!K$32="ALL","ON","-"))</f>
        <v>-</v>
      </c>
      <c r="C1390" s="96" t="s">
        <v>152</v>
      </c>
      <c r="D1390" s="89">
        <f>IF(C1390="ID",1,(IF(C1390="PR",2,(IF(C1390="DE",3,(IF(C1390="RS",4,(IF(C1390="RC",5,0)))))))))</f>
        <v>2</v>
      </c>
      <c r="E1390" s="131" t="s">
        <v>153</v>
      </c>
      <c r="F1390" s="89">
        <f>IF(E1390="AM",1,(IF(E1390="BE",2,(IF(E1390="GV",3,(IF(E1390="RA",4,(IF(E1390="RM",5,(IF(E1390="AC",1,(IF(E1390="AT",2,(IF(E1390="DS",3,(IF(E1390="IP",4,(IF(E1390="MA",5,(IF(E1390="PT",6,(IF(E1390="AE",1,(IF(E1390="CM",2,(IF(E1390="DP",3,(IF(E1390="AN",1,(IF(E1390="CO",2,(IF(E1390="IM",3,(IF(E1390="MI",4,(IF(E1390="RP",5,(IF(E1390="SC",6,0)))))))))))))))))))))))))))))))))))))))</f>
        <v>1</v>
      </c>
      <c r="G1390" s="52">
        <v>5</v>
      </c>
      <c r="H1390" s="99">
        <v>1</v>
      </c>
      <c r="I1390" s="93" t="s">
        <v>37</v>
      </c>
      <c r="J1390" s="86">
        <v>9.6</v>
      </c>
      <c r="K1390" s="102" t="s">
        <v>3716</v>
      </c>
      <c r="L1390" s="117">
        <f>IF(O1390="","",N1390*O1390*M1390)</f>
        <v>0</v>
      </c>
      <c r="M1390" s="108">
        <v>1</v>
      </c>
      <c r="N1390" s="95">
        <v>1</v>
      </c>
      <c r="O1390" s="109">
        <f>IF(Key!D$1="ON",P1390,IF(SUM(Q1390:DL1390)&lt;1,"",SUM(Q1390:DL1390)/COUNTIF(Q1390:DL1390,"&gt;0")))</f>
        <v>0</v>
      </c>
      <c r="P1390" s="109">
        <f>SUMIFS(Q1390:DK1390,Q$1:DK$1,Dashboard!$K$31)</f>
        <v>0</v>
      </c>
      <c r="U1390" s="95">
        <v>33</v>
      </c>
      <c r="AA1390" s="95">
        <v>25</v>
      </c>
      <c r="AH1390" s="95">
        <v>75</v>
      </c>
    </row>
    <row r="1391" spans="1:34" x14ac:dyDescent="0.3">
      <c r="A1391" s="89" t="str">
        <f>CONCATENATE(D1391,".",F1391,"-",G1391,".",H1391,"")</f>
        <v>2.1-5.1</v>
      </c>
      <c r="B1391" s="89" t="str">
        <f>IF(CONCATENATE(I1391,Key!F$2)=CONCATENATE(INDEX(Dashboard!J:J,MATCH(I1391,Dashboard!J:J,0),1),INDEX(Dashboard!J:K,MATCH(I1391,Dashboard!J:J,0),2)),"ON",IF(Dashboard!K$32="ALL","ON","-"))</f>
        <v>-</v>
      </c>
      <c r="C1391" s="88" t="s">
        <v>152</v>
      </c>
      <c r="D1391" s="89">
        <f>IF(C1391="ID",1,(IF(C1391="PR",2,(IF(C1391="DE",3,(IF(C1391="RS",4,(IF(C1391="RC",5,0)))))))))</f>
        <v>2</v>
      </c>
      <c r="E1391" s="89" t="s">
        <v>153</v>
      </c>
      <c r="F1391" s="89">
        <f>IF(E1391="AM",1,(IF(E1391="BE",2,(IF(E1391="GV",3,(IF(E1391="RA",4,(IF(E1391="RM",5,(IF(E1391="AC",1,(IF(E1391="AT",2,(IF(E1391="DS",3,(IF(E1391="IP",4,(IF(E1391="MA",5,(IF(E1391="PT",6,(IF(E1391="AE",1,(IF(E1391="CM",2,(IF(E1391="DP",3,(IF(E1391="AN",1,(IF(E1391="CO",2,(IF(E1391="IM",3,(IF(E1391="MI",4,(IF(E1391="RP",5,(IF(E1391="SC",6,0)))))))))))))))))))))))))))))))))))))))</f>
        <v>1</v>
      </c>
      <c r="G1391" s="52">
        <v>5</v>
      </c>
      <c r="H1391" s="99">
        <v>1</v>
      </c>
      <c r="I1391" s="93" t="s">
        <v>37</v>
      </c>
      <c r="J1391" s="86">
        <v>14.1</v>
      </c>
      <c r="K1391" s="102" t="s">
        <v>3718</v>
      </c>
      <c r="L1391" s="117">
        <f>IF(O1391="","",N1391*O1391*M1391)</f>
        <v>0</v>
      </c>
      <c r="M1391" s="108">
        <v>1</v>
      </c>
      <c r="N1391" s="95">
        <v>1</v>
      </c>
      <c r="O1391" s="109">
        <f>IF(Key!D$1="ON",P1391,IF(SUM(Q1391:DL1391)&lt;1,"",SUM(Q1391:DL1391)/COUNTIF(Q1391:DL1391,"&gt;0")))</f>
        <v>0</v>
      </c>
      <c r="P1391" s="109">
        <f>SUMIFS(Q1391:DK1391,Q$1:DK$1,Dashboard!$K$31)</f>
        <v>0</v>
      </c>
      <c r="U1391" s="95">
        <v>33</v>
      </c>
      <c r="AA1391" s="95">
        <v>25</v>
      </c>
      <c r="AH1391" s="95">
        <v>75</v>
      </c>
    </row>
    <row r="1392" spans="1:34" ht="15.6" x14ac:dyDescent="0.3">
      <c r="A1392" s="89" t="str">
        <f>CONCATENATE(D1392,".",F1392,"-",G1392,".",H1392,"")</f>
        <v>2.1-5.1</v>
      </c>
      <c r="B1392" s="89" t="str">
        <f>IF(CONCATENATE(I1392,Key!F$2)=CONCATENATE(INDEX(Dashboard!J:J,MATCH(I1392,Dashboard!J:J,0),1),INDEX(Dashboard!J:K,MATCH(I1392,Dashboard!J:J,0),2)),"ON",IF(Dashboard!K$32="ALL","ON","-"))</f>
        <v>-</v>
      </c>
      <c r="C1392" s="88" t="s">
        <v>152</v>
      </c>
      <c r="D1392" s="89">
        <f>IF(C1392="ID",1,(IF(C1392="PR",2,(IF(C1392="DE",3,(IF(C1392="RS",4,(IF(C1392="RC",5,0)))))))))</f>
        <v>2</v>
      </c>
      <c r="E1392" s="89" t="s">
        <v>153</v>
      </c>
      <c r="F1392" s="89">
        <f>IF(E1392="AM",1,(IF(E1392="BE",2,(IF(E1392="GV",3,(IF(E1392="RA",4,(IF(E1392="RM",5,(IF(E1392="AC",1,(IF(E1392="AT",2,(IF(E1392="DS",3,(IF(E1392="IP",4,(IF(E1392="MA",5,(IF(E1392="PT",6,(IF(E1392="AE",1,(IF(E1392="CM",2,(IF(E1392="DP",3,(IF(E1392="AN",1,(IF(E1392="CO",2,(IF(E1392="IM",3,(IF(E1392="MI",4,(IF(E1392="RP",5,(IF(E1392="SC",6,0)))))))))))))))))))))))))))))))))))))))</f>
        <v>1</v>
      </c>
      <c r="G1392" s="52">
        <v>5</v>
      </c>
      <c r="H1392" s="99">
        <v>1</v>
      </c>
      <c r="I1392" s="93" t="s">
        <v>37</v>
      </c>
      <c r="J1392" s="86">
        <v>2.4</v>
      </c>
      <c r="K1392" s="102" t="s">
        <v>3714</v>
      </c>
      <c r="L1392" s="117">
        <f>IF(O1392="","",N1392*O1392*M1392)</f>
        <v>0</v>
      </c>
      <c r="M1392" s="108">
        <v>1</v>
      </c>
      <c r="N1392" s="95">
        <v>1</v>
      </c>
      <c r="O1392" s="109">
        <f>IF(Key!D$1="ON",P1392,IF(SUM(Q1392:DL1392)&lt;1,"",SUM(Q1392:DL1392)/COUNTIF(Q1392:DL1392,"&gt;0")))</f>
        <v>0</v>
      </c>
      <c r="P1392" s="109">
        <f>SUMIFS(Q1392:DK1392,Q$1:DK$1,Dashboard!$K$31)</f>
        <v>0</v>
      </c>
      <c r="U1392" s="95">
        <v>33</v>
      </c>
      <c r="AA1392" s="95">
        <v>25</v>
      </c>
      <c r="AH1392" s="95">
        <v>75</v>
      </c>
    </row>
    <row r="1393" spans="1:34" x14ac:dyDescent="0.3">
      <c r="A1393" s="89" t="str">
        <f>CONCATENATE(D1393,".",F1393,"-",G1393,".",H1393,"")</f>
        <v>2.1-5.1</v>
      </c>
      <c r="B1393" s="89" t="str">
        <f>IF(CONCATENATE(I1393,Key!F$2)=CONCATENATE(INDEX(Dashboard!J:J,MATCH(I1393,Dashboard!J:J,0),1),INDEX(Dashboard!J:K,MATCH(I1393,Dashboard!J:J,0),2)),"ON",IF(Dashboard!K$32="ALL","ON","-"))</f>
        <v>-</v>
      </c>
      <c r="C1393" s="96" t="s">
        <v>152</v>
      </c>
      <c r="D1393" s="89">
        <f>IF(C1393="ID",1,(IF(C1393="PR",2,(IF(C1393="DE",3,(IF(C1393="RS",4,(IF(C1393="RC",5,0)))))))))</f>
        <v>2</v>
      </c>
      <c r="E1393" s="131" t="s">
        <v>153</v>
      </c>
      <c r="F1393" s="89">
        <f>IF(E1393="AM",1,(IF(E1393="BE",2,(IF(E1393="GV",3,(IF(E1393="RA",4,(IF(E1393="RM",5,(IF(E1393="AC",1,(IF(E1393="AT",2,(IF(E1393="DS",3,(IF(E1393="IP",4,(IF(E1393="MA",5,(IF(E1393="PT",6,(IF(E1393="AE",1,(IF(E1393="CM",2,(IF(E1393="DP",3,(IF(E1393="AN",1,(IF(E1393="CO",2,(IF(E1393="IM",3,(IF(E1393="MI",4,(IF(E1393="RP",5,(IF(E1393="SC",6,0)))))))))))))))))))))))))))))))))))))))</f>
        <v>1</v>
      </c>
      <c r="G1393" s="52">
        <v>5</v>
      </c>
      <c r="H1393" s="99">
        <v>1</v>
      </c>
      <c r="I1393" s="93" t="s">
        <v>37</v>
      </c>
      <c r="J1393" s="86">
        <v>9.4</v>
      </c>
      <c r="K1393" s="102" t="s">
        <v>3715</v>
      </c>
      <c r="L1393" s="117">
        <f>IF(O1393="","",N1393*O1393*M1393)</f>
        <v>0</v>
      </c>
      <c r="M1393" s="108">
        <v>1</v>
      </c>
      <c r="N1393" s="95">
        <v>1</v>
      </c>
      <c r="O1393" s="109">
        <f>IF(Key!D$1="ON",P1393,IF(SUM(Q1393:DL1393)&lt;1,"",SUM(Q1393:DL1393)/COUNTIF(Q1393:DL1393,"&gt;0")))</f>
        <v>0</v>
      </c>
      <c r="P1393" s="109">
        <f>SUMIFS(Q1393:DK1393,Q$1:DK$1,Dashboard!$K$31)</f>
        <v>0</v>
      </c>
      <c r="U1393" s="95">
        <v>33</v>
      </c>
      <c r="AA1393" s="95">
        <v>25</v>
      </c>
      <c r="AH1393" s="95">
        <v>75</v>
      </c>
    </row>
    <row r="1394" spans="1:34" x14ac:dyDescent="0.3">
      <c r="A1394" s="89" t="str">
        <f>CONCATENATE(D1394,".",F1394,"-",G1394,".",H1394,"")</f>
        <v>2.1-5.1</v>
      </c>
      <c r="B1394" s="89" t="str">
        <f>IF(CONCATENATE(I1394,Key!F$2)=CONCATENATE(INDEX(Dashboard!J:J,MATCH(I1394,Dashboard!J:J,0),1),INDEX(Dashboard!J:K,MATCH(I1394,Dashboard!J:J,0),2)),"ON",IF(Dashboard!K$32="ALL","ON","-"))</f>
        <v>-</v>
      </c>
      <c r="C1394" s="88" t="s">
        <v>152</v>
      </c>
      <c r="D1394" s="89">
        <f>IF(C1394="ID",1,(IF(C1394="PR",2,(IF(C1394="DE",3,(IF(C1394="RS",4,(IF(C1394="RC",5,0)))))))))</f>
        <v>2</v>
      </c>
      <c r="E1394" s="89" t="s">
        <v>153</v>
      </c>
      <c r="F1394" s="89">
        <f>IF(E1394="AM",1,(IF(E1394="BE",2,(IF(E1394="GV",3,(IF(E1394="RA",4,(IF(E1394="RM",5,(IF(E1394="AC",1,(IF(E1394="AT",2,(IF(E1394="DS",3,(IF(E1394="IP",4,(IF(E1394="MA",5,(IF(E1394="PT",6,(IF(E1394="AE",1,(IF(E1394="CM",2,(IF(E1394="DP",3,(IF(E1394="AN",1,(IF(E1394="CO",2,(IF(E1394="IM",3,(IF(E1394="MI",4,(IF(E1394="RP",5,(IF(E1394="SC",6,0)))))))))))))))))))))))))))))))))))))))</f>
        <v>1</v>
      </c>
      <c r="G1394" s="52">
        <v>5</v>
      </c>
      <c r="H1394" s="99">
        <v>1</v>
      </c>
      <c r="I1394" s="93" t="s">
        <v>37</v>
      </c>
      <c r="J1394" s="86">
        <v>11.5</v>
      </c>
      <c r="K1394" s="102" t="s">
        <v>3717</v>
      </c>
      <c r="L1394" s="117">
        <f>IF(O1394="","",N1394*O1394*M1394)</f>
        <v>0</v>
      </c>
      <c r="M1394" s="108">
        <v>1</v>
      </c>
      <c r="N1394" s="95">
        <v>1</v>
      </c>
      <c r="O1394" s="109">
        <f>IF(Key!D$1="ON",P1394,IF(SUM(Q1394:DL1394)&lt;1,"",SUM(Q1394:DL1394)/COUNTIF(Q1394:DL1394,"&gt;0")))</f>
        <v>0</v>
      </c>
      <c r="P1394" s="109">
        <f>SUMIFS(Q1394:DK1394,Q$1:DK$1,Dashboard!$K$31)</f>
        <v>0</v>
      </c>
      <c r="U1394" s="95">
        <v>33</v>
      </c>
      <c r="AA1394" s="95">
        <v>25</v>
      </c>
      <c r="AH1394" s="95">
        <v>75</v>
      </c>
    </row>
    <row r="1395" spans="1:34" x14ac:dyDescent="0.3">
      <c r="A1395" s="89" t="str">
        <f>CONCATENATE(D1395,".",F1395,"-",G1395,".",H1395,"")</f>
        <v>2.1-5.1</v>
      </c>
      <c r="B1395" s="89" t="str">
        <f>IF(CONCATENATE(I1395,Key!F$2)=CONCATENATE(INDEX(Dashboard!J:J,MATCH(I1395,Dashboard!J:J,0),1),INDEX(Dashboard!J:K,MATCH(I1395,Dashboard!J:J,0),2)),"ON",IF(Dashboard!K$32="ALL","ON","-"))</f>
        <v>-</v>
      </c>
      <c r="C1395" s="88" t="s">
        <v>152</v>
      </c>
      <c r="D1395" s="89">
        <f>IF(C1395="ID",1,(IF(C1395="PR",2,(IF(C1395="DE",3,(IF(C1395="RS",4,(IF(C1395="RC",5,0)))))))))</f>
        <v>2</v>
      </c>
      <c r="E1395" s="89" t="s">
        <v>153</v>
      </c>
      <c r="F1395" s="89">
        <f>IF(E1395="AM",1,(IF(E1395="BE",2,(IF(E1395="GV",3,(IF(E1395="RA",4,(IF(E1395="RM",5,(IF(E1395="AC",1,(IF(E1395="AT",2,(IF(E1395="DS",3,(IF(E1395="IP",4,(IF(E1395="MA",5,(IF(E1395="PT",6,(IF(E1395="AE",1,(IF(E1395="CM",2,(IF(E1395="DP",3,(IF(E1395="AN",1,(IF(E1395="CO",2,(IF(E1395="IM",3,(IF(E1395="MI",4,(IF(E1395="RP",5,(IF(E1395="SC",6,0)))))))))))))))))))))))))))))))))))))))</f>
        <v>1</v>
      </c>
      <c r="G1395" s="52">
        <v>5</v>
      </c>
      <c r="H1395" s="99">
        <v>1</v>
      </c>
      <c r="I1395" s="93" t="s">
        <v>37</v>
      </c>
      <c r="J1395" s="86">
        <v>14.3</v>
      </c>
      <c r="K1395" s="102" t="s">
        <v>3719</v>
      </c>
      <c r="L1395" s="117">
        <f>IF(O1395="","",N1395*O1395*M1395)</f>
        <v>0</v>
      </c>
      <c r="M1395" s="108">
        <v>1</v>
      </c>
      <c r="N1395" s="95">
        <v>1</v>
      </c>
      <c r="O1395" s="109">
        <f>IF(Key!D$1="ON",P1395,IF(SUM(Q1395:DL1395)&lt;1,"",SUM(Q1395:DL1395)/COUNTIF(Q1395:DL1395,"&gt;0")))</f>
        <v>0</v>
      </c>
      <c r="P1395" s="109">
        <f>SUMIFS(Q1395:DK1395,Q$1:DK$1,Dashboard!$K$31)</f>
        <v>0</v>
      </c>
      <c r="U1395" s="95">
        <v>33</v>
      </c>
      <c r="AA1395" s="95">
        <v>25</v>
      </c>
      <c r="AH1395" s="95">
        <v>75</v>
      </c>
    </row>
    <row r="1396" spans="1:34" x14ac:dyDescent="0.3">
      <c r="A1396" s="89" t="str">
        <f>CONCATENATE(D1396,".",F1396,"-",G1396,".",H1396,"")</f>
        <v>2.1-5.1</v>
      </c>
      <c r="B1396" s="89" t="str">
        <f>IF(CONCATENATE(I1396,Key!F$2)=CONCATENATE(INDEX(Dashboard!J:J,MATCH(I1396,Dashboard!J:J,0),1),INDEX(Dashboard!J:K,MATCH(I1396,Dashboard!J:J,0),2)),"ON",IF(Dashboard!K$32="ALL","ON","-"))</f>
        <v>-</v>
      </c>
      <c r="C1396" s="88" t="s">
        <v>152</v>
      </c>
      <c r="D1396" s="89">
        <f>IF(C1396="ID",1,(IF(C1396="PR",2,(IF(C1396="DE",3,(IF(C1396="RS",4,(IF(C1396="RC",5,0)))))))))</f>
        <v>2</v>
      </c>
      <c r="E1396" s="89" t="s">
        <v>153</v>
      </c>
      <c r="F1396" s="89">
        <f>IF(E1396="AM",1,(IF(E1396="BE",2,(IF(E1396="GV",3,(IF(E1396="RA",4,(IF(E1396="RM",5,(IF(E1396="AC",1,(IF(E1396="AT",2,(IF(E1396="DS",3,(IF(E1396="IP",4,(IF(E1396="MA",5,(IF(E1396="PT",6,(IF(E1396="AE",1,(IF(E1396="CM",2,(IF(E1396="DP",3,(IF(E1396="AN",1,(IF(E1396="CO",2,(IF(E1396="IM",3,(IF(E1396="MI",4,(IF(E1396="RP",5,(IF(E1396="SC",6,0)))))))))))))))))))))))))))))))))))))))</f>
        <v>1</v>
      </c>
      <c r="G1396" s="52">
        <v>5</v>
      </c>
      <c r="H1396" s="99">
        <v>1</v>
      </c>
      <c r="I1396" s="93" t="s">
        <v>37</v>
      </c>
      <c r="J1396" s="86">
        <v>15.9</v>
      </c>
      <c r="K1396" s="102" t="s">
        <v>3720</v>
      </c>
      <c r="L1396" s="117">
        <f>IF(O1396="","",N1396*O1396*M1396)</f>
        <v>0</v>
      </c>
      <c r="M1396" s="108">
        <v>1</v>
      </c>
      <c r="N1396" s="95">
        <v>1</v>
      </c>
      <c r="O1396" s="109">
        <f>IF(Key!D$1="ON",P1396,IF(SUM(Q1396:DL1396)&lt;1,"",SUM(Q1396:DL1396)/COUNTIF(Q1396:DL1396,"&gt;0")))</f>
        <v>0</v>
      </c>
      <c r="P1396" s="109">
        <f>SUMIFS(Q1396:DK1396,Q$1:DK$1,Dashboard!$K$31)</f>
        <v>0</v>
      </c>
      <c r="U1396" s="95">
        <v>33</v>
      </c>
      <c r="AA1396" s="95">
        <v>25</v>
      </c>
      <c r="AH1396" s="95">
        <v>75</v>
      </c>
    </row>
    <row r="1397" spans="1:34" ht="15.6" x14ac:dyDescent="0.3">
      <c r="A1397" s="89" t="str">
        <f>CONCATENATE(D1397,".",F1397,"-",G1397,".",H1397,"")</f>
        <v>2.1-5.1</v>
      </c>
      <c r="B1397" s="89" t="str">
        <f>IF(CONCATENATE(I1397,Key!F$2)=CONCATENATE(INDEX(Dashboard!J:J,MATCH(I1397,Dashboard!J:J,0),1),INDEX(Dashboard!J:K,MATCH(I1397,Dashboard!J:J,0),2)),"ON",IF(Dashboard!K$32="ALL","ON","-"))</f>
        <v>-</v>
      </c>
      <c r="C1397" s="88" t="s">
        <v>152</v>
      </c>
      <c r="D1397" s="89">
        <f>IF(C1397="ID",1,(IF(C1397="PR",2,(IF(C1397="DE",3,(IF(C1397="RS",4,(IF(C1397="RC",5,0)))))))))</f>
        <v>2</v>
      </c>
      <c r="E1397" s="89" t="s">
        <v>153</v>
      </c>
      <c r="F1397" s="89">
        <f>IF(E1397="AM",1,(IF(E1397="BE",2,(IF(E1397="GV",3,(IF(E1397="RA",4,(IF(E1397="RM",5,(IF(E1397="AC",1,(IF(E1397="AT",2,(IF(E1397="DS",3,(IF(E1397="IP",4,(IF(E1397="MA",5,(IF(E1397="PT",6,(IF(E1397="AE",1,(IF(E1397="CM",2,(IF(E1397="DP",3,(IF(E1397="AN",1,(IF(E1397="CO",2,(IF(E1397="IM",3,(IF(E1397="MI",4,(IF(E1397="RP",5,(IF(E1397="SC",6,0)))))))))))))))))))))))))))))))))))))))</f>
        <v>1</v>
      </c>
      <c r="G1397" s="52">
        <v>5</v>
      </c>
      <c r="H1397" s="99">
        <v>1</v>
      </c>
      <c r="I1397" s="93" t="s">
        <v>41</v>
      </c>
      <c r="J1397" s="86">
        <v>7.7</v>
      </c>
      <c r="K1397" s="103" t="s">
        <v>3508</v>
      </c>
      <c r="L1397" s="117">
        <f>IF(O1397="","",N1397*O1397*M1397)</f>
        <v>0</v>
      </c>
      <c r="M1397" s="108">
        <v>1</v>
      </c>
      <c r="N1397" s="95">
        <v>1</v>
      </c>
      <c r="O1397" s="109">
        <f>IF(Key!D$1="ON",P1397,IF(SUM(Q1397:DL1397)&lt;1,"",SUM(Q1397:DL1397)/COUNTIF(Q1397:DL1397,"&gt;0")))</f>
        <v>0</v>
      </c>
      <c r="P1397" s="109">
        <f>SUMIFS(Q1397:DK1397,Q$1:DK$1,Dashboard!$K$31)</f>
        <v>0</v>
      </c>
      <c r="U1397" s="95">
        <v>33</v>
      </c>
    </row>
    <row r="1398" spans="1:34" x14ac:dyDescent="0.3">
      <c r="A1398" s="89" t="str">
        <f>CONCATENATE(D1398,".",F1398,"-",G1398,".",H1398,"")</f>
        <v>2.1-5.1</v>
      </c>
      <c r="B1398" s="89" t="str">
        <f>IF(CONCATENATE(I1398,Key!F$2)=CONCATENATE(INDEX(Dashboard!J:J,MATCH(I1398,Dashboard!J:J,0),1),INDEX(Dashboard!J:K,MATCH(I1398,Dashboard!J:J,0),2)),"ON",IF(Dashboard!K$32="ALL","ON","-"))</f>
        <v>-</v>
      </c>
      <c r="C1398" s="96" t="s">
        <v>152</v>
      </c>
      <c r="D1398" s="89">
        <f>IF(C1398="ID",1,(IF(C1398="PR",2,(IF(C1398="DE",3,(IF(C1398="RS",4,(IF(C1398="RC",5,0)))))))))</f>
        <v>2</v>
      </c>
      <c r="E1398" s="131" t="s">
        <v>153</v>
      </c>
      <c r="F1398" s="89">
        <f>IF(E1398="AM",1,(IF(E1398="BE",2,(IF(E1398="GV",3,(IF(E1398="RA",4,(IF(E1398="RM",5,(IF(E1398="AC",1,(IF(E1398="AT",2,(IF(E1398="DS",3,(IF(E1398="IP",4,(IF(E1398="MA",5,(IF(E1398="PT",6,(IF(E1398="AE",1,(IF(E1398="CM",2,(IF(E1398="DP",3,(IF(E1398="AN",1,(IF(E1398="CO",2,(IF(E1398="IM",3,(IF(E1398="MI",4,(IF(E1398="RP",5,(IF(E1398="SC",6,0)))))))))))))))))))))))))))))))))))))))</f>
        <v>1</v>
      </c>
      <c r="G1398" s="52">
        <v>5</v>
      </c>
      <c r="H1398" s="99">
        <v>1</v>
      </c>
      <c r="I1398" s="93" t="s">
        <v>41</v>
      </c>
      <c r="J1398" s="86">
        <v>9.5</v>
      </c>
      <c r="K1398" s="103" t="s">
        <v>3525</v>
      </c>
      <c r="L1398" s="117">
        <f>IF(O1398="","",N1398*O1398*M1398)</f>
        <v>0</v>
      </c>
      <c r="M1398" s="108">
        <v>1</v>
      </c>
      <c r="N1398" s="95">
        <v>1</v>
      </c>
      <c r="O1398" s="109">
        <f>IF(Key!D$1="ON",P1398,IF(SUM(Q1398:DL1398)&lt;1,"",SUM(Q1398:DL1398)/COUNTIF(Q1398:DL1398,"&gt;0")))</f>
        <v>0</v>
      </c>
      <c r="P1398" s="109">
        <f>SUMIFS(Q1398:DK1398,Q$1:DK$1,Dashboard!$K$31)</f>
        <v>0</v>
      </c>
      <c r="U1398" s="95">
        <v>33</v>
      </c>
    </row>
    <row r="1399" spans="1:34" x14ac:dyDescent="0.3">
      <c r="A1399" s="89" t="str">
        <f>CONCATENATE(D1399,".",F1399,"-",G1399,".",H1399,"")</f>
        <v>2.1-5.1</v>
      </c>
      <c r="B1399" s="89" t="str">
        <f>IF(CONCATENATE(I1399,Key!F$2)=CONCATENATE(INDEX(Dashboard!J:J,MATCH(I1399,Dashboard!J:J,0),1),INDEX(Dashboard!J:K,MATCH(I1399,Dashboard!J:J,0),2)),"ON",IF(Dashboard!K$32="ALL","ON","-"))</f>
        <v>-</v>
      </c>
      <c r="C1399" s="88" t="s">
        <v>152</v>
      </c>
      <c r="D1399" s="89">
        <f>IF(C1399="ID",1,(IF(C1399="PR",2,(IF(C1399="DE",3,(IF(C1399="RS",4,(IF(C1399="RC",5,0)))))))))</f>
        <v>2</v>
      </c>
      <c r="E1399" s="89" t="s">
        <v>153</v>
      </c>
      <c r="F1399" s="89">
        <f>IF(E1399="AM",1,(IF(E1399="BE",2,(IF(E1399="GV",3,(IF(E1399="RA",4,(IF(E1399="RM",5,(IF(E1399="AC",1,(IF(E1399="AT",2,(IF(E1399="DS",3,(IF(E1399="IP",4,(IF(E1399="MA",5,(IF(E1399="PT",6,(IF(E1399="AE",1,(IF(E1399="CM",2,(IF(E1399="DP",3,(IF(E1399="AN",1,(IF(E1399="CO",2,(IF(E1399="IM",3,(IF(E1399="MI",4,(IF(E1399="RP",5,(IF(E1399="SC",6,0)))))))))))))))))))))))))))))))))))))))</f>
        <v>1</v>
      </c>
      <c r="G1399" s="52">
        <v>5</v>
      </c>
      <c r="H1399" s="99">
        <v>1</v>
      </c>
      <c r="I1399" s="93" t="s">
        <v>41</v>
      </c>
      <c r="J1399" s="86">
        <v>11.2</v>
      </c>
      <c r="K1399" s="103" t="s">
        <v>3534</v>
      </c>
      <c r="L1399" s="117">
        <f>IF(O1399="","",N1399*O1399*M1399)</f>
        <v>0</v>
      </c>
      <c r="M1399" s="108">
        <v>1</v>
      </c>
      <c r="N1399" s="95">
        <v>1</v>
      </c>
      <c r="O1399" s="109">
        <f>IF(Key!D$1="ON",P1399,IF(SUM(Q1399:DL1399)&lt;1,"",SUM(Q1399:DL1399)/COUNTIF(Q1399:DL1399,"&gt;0")))</f>
        <v>0</v>
      </c>
      <c r="P1399" s="109">
        <f>SUMIFS(Q1399:DK1399,Q$1:DK$1,Dashboard!$K$31)</f>
        <v>0</v>
      </c>
      <c r="U1399" s="95">
        <v>33</v>
      </c>
    </row>
    <row r="1400" spans="1:34" ht="15.6" x14ac:dyDescent="0.3">
      <c r="A1400" s="89" t="str">
        <f>CONCATENATE(D1400,".",F1400,"-",G1400,".",H1400,"")</f>
        <v>2.1-5.1</v>
      </c>
      <c r="B1400" s="89" t="str">
        <f>IF(CONCATENATE(I1400,Key!F$2)=CONCATENATE(INDEX(Dashboard!J:J,MATCH(I1400,Dashboard!J:J,0),1),INDEX(Dashboard!J:K,MATCH(I1400,Dashboard!J:J,0),2)),"ON",IF(Dashboard!K$32="ALL","ON","-"))</f>
        <v>-</v>
      </c>
      <c r="C1400" s="88" t="s">
        <v>152</v>
      </c>
      <c r="D1400" s="89">
        <f>IF(C1400="ID",1,(IF(C1400="PR",2,(IF(C1400="DE",3,(IF(C1400="RS",4,(IF(C1400="RC",5,0)))))))))</f>
        <v>2</v>
      </c>
      <c r="E1400" s="89" t="s">
        <v>153</v>
      </c>
      <c r="F1400" s="89">
        <f>IF(E1400="AM",1,(IF(E1400="BE",2,(IF(E1400="GV",3,(IF(E1400="RA",4,(IF(E1400="RM",5,(IF(E1400="AC",1,(IF(E1400="AT",2,(IF(E1400="DS",3,(IF(E1400="IP",4,(IF(E1400="MA",5,(IF(E1400="PT",6,(IF(E1400="AE",1,(IF(E1400="CM",2,(IF(E1400="DP",3,(IF(E1400="AN",1,(IF(E1400="CO",2,(IF(E1400="IM",3,(IF(E1400="MI",4,(IF(E1400="RP",5,(IF(E1400="SC",6,0)))))))))))))))))))))))))))))))))))))))</f>
        <v>1</v>
      </c>
      <c r="G1400" s="52">
        <v>5</v>
      </c>
      <c r="H1400" s="99">
        <v>1</v>
      </c>
      <c r="I1400" s="93" t="s">
        <v>41</v>
      </c>
      <c r="J1400" s="86">
        <v>11.4</v>
      </c>
      <c r="K1400" s="103" t="s">
        <v>3536</v>
      </c>
      <c r="L1400" s="117">
        <f>IF(O1400="","",N1400*O1400*M1400)</f>
        <v>0</v>
      </c>
      <c r="M1400" s="108">
        <v>1</v>
      </c>
      <c r="N1400" s="95">
        <v>1</v>
      </c>
      <c r="O1400" s="109">
        <f>IF(Key!D$1="ON",P1400,IF(SUM(Q1400:DL1400)&lt;1,"",SUM(Q1400:DL1400)/COUNTIF(Q1400:DL1400,"&gt;0")))</f>
        <v>0</v>
      </c>
      <c r="P1400" s="109">
        <f>SUMIFS(Q1400:DK1400,Q$1:DK$1,Dashboard!$K$31)</f>
        <v>0</v>
      </c>
      <c r="U1400" s="95">
        <v>33</v>
      </c>
    </row>
    <row r="1401" spans="1:34" ht="15.6" x14ac:dyDescent="0.3">
      <c r="A1401" s="89" t="str">
        <f>CONCATENATE(D1401,".",F1401,"-",G1401,".",H1401,"")</f>
        <v>2.1-5.1</v>
      </c>
      <c r="B1401" s="89" t="str">
        <f>IF(CONCATENATE(I1401,Key!F$2)=CONCATENATE(INDEX(Dashboard!J:J,MATCH(I1401,Dashboard!J:J,0),1),INDEX(Dashboard!J:K,MATCH(I1401,Dashboard!J:J,0),2)),"ON",IF(Dashboard!K$32="ALL","ON","-"))</f>
        <v>-</v>
      </c>
      <c r="C1401" s="88" t="s">
        <v>152</v>
      </c>
      <c r="D1401" s="89">
        <f>IF(C1401="ID",1,(IF(C1401="PR",2,(IF(C1401="DE",3,(IF(C1401="RS",4,(IF(C1401="RC",5,0)))))))))</f>
        <v>2</v>
      </c>
      <c r="E1401" s="89" t="s">
        <v>153</v>
      </c>
      <c r="F1401" s="89">
        <f>IF(E1401="AM",1,(IF(E1401="BE",2,(IF(E1401="GV",3,(IF(E1401="RA",4,(IF(E1401="RM",5,(IF(E1401="AC",1,(IF(E1401="AT",2,(IF(E1401="DS",3,(IF(E1401="IP",4,(IF(E1401="MA",5,(IF(E1401="PT",6,(IF(E1401="AE",1,(IF(E1401="CM",2,(IF(E1401="DP",3,(IF(E1401="AN",1,(IF(E1401="CO",2,(IF(E1401="IM",3,(IF(E1401="MI",4,(IF(E1401="RP",5,(IF(E1401="SC",6,0)))))))))))))))))))))))))))))))))))))))</f>
        <v>1</v>
      </c>
      <c r="G1401" s="52">
        <v>5</v>
      </c>
      <c r="H1401" s="99">
        <v>1</v>
      </c>
      <c r="I1401" s="93" t="s">
        <v>41</v>
      </c>
      <c r="J1401" s="86">
        <v>11.6</v>
      </c>
      <c r="K1401" s="103" t="s">
        <v>3538</v>
      </c>
      <c r="L1401" s="117">
        <f>IF(O1401="","",N1401*O1401*M1401)</f>
        <v>0</v>
      </c>
      <c r="M1401" s="108">
        <v>1</v>
      </c>
      <c r="N1401" s="95">
        <v>1</v>
      </c>
      <c r="O1401" s="109">
        <f>IF(Key!D$1="ON",P1401,IF(SUM(Q1401:DL1401)&lt;1,"",SUM(Q1401:DL1401)/COUNTIF(Q1401:DL1401,"&gt;0")))</f>
        <v>0</v>
      </c>
      <c r="P1401" s="109">
        <f>SUMIFS(Q1401:DK1401,Q$1:DK$1,Dashboard!$K$31)</f>
        <v>0</v>
      </c>
      <c r="U1401" s="95">
        <v>33</v>
      </c>
    </row>
    <row r="1402" spans="1:34" x14ac:dyDescent="0.3">
      <c r="A1402" s="89" t="str">
        <f>CONCATENATE(D1402,".",F1402,"-",G1402,".",H1402,"")</f>
        <v>2.1-5.1</v>
      </c>
      <c r="B1402" s="89" t="str">
        <f>IF(CONCATENATE(I1402,Key!F$2)=CONCATENATE(INDEX(Dashboard!J:J,MATCH(I1402,Dashboard!J:J,0),1),INDEX(Dashboard!J:K,MATCH(I1402,Dashboard!J:J,0),2)),"ON",IF(Dashboard!K$32="ALL","ON","-"))</f>
        <v>-</v>
      </c>
      <c r="C1402" s="88" t="s">
        <v>152</v>
      </c>
      <c r="D1402" s="89">
        <f>IF(C1402="ID",1,(IF(C1402="PR",2,(IF(C1402="DE",3,(IF(C1402="RS",4,(IF(C1402="RC",5,0)))))))))</f>
        <v>2</v>
      </c>
      <c r="E1402" s="89" t="s">
        <v>153</v>
      </c>
      <c r="F1402" s="89">
        <f>IF(E1402="AM",1,(IF(E1402="BE",2,(IF(E1402="GV",3,(IF(E1402="RA",4,(IF(E1402="RM",5,(IF(E1402="AC",1,(IF(E1402="AT",2,(IF(E1402="DS",3,(IF(E1402="IP",4,(IF(E1402="MA",5,(IF(E1402="PT",6,(IF(E1402="AE",1,(IF(E1402="CM",2,(IF(E1402="DP",3,(IF(E1402="AN",1,(IF(E1402="CO",2,(IF(E1402="IM",3,(IF(E1402="MI",4,(IF(E1402="RP",5,(IF(E1402="SC",6,0)))))))))))))))))))))))))))))))))))))))</f>
        <v>1</v>
      </c>
      <c r="G1402" s="52">
        <v>5</v>
      </c>
      <c r="H1402" s="99">
        <v>1</v>
      </c>
      <c r="I1402" s="93" t="s">
        <v>41</v>
      </c>
      <c r="J1402" s="86">
        <v>14.1</v>
      </c>
      <c r="K1402" s="103" t="s">
        <v>3563</v>
      </c>
      <c r="L1402" s="117">
        <f>IF(O1402="","",N1402*O1402*M1402)</f>
        <v>0</v>
      </c>
      <c r="M1402" s="108">
        <v>1</v>
      </c>
      <c r="N1402" s="95">
        <v>1</v>
      </c>
      <c r="O1402" s="109">
        <f>IF(Key!D$1="ON",P1402,IF(SUM(Q1402:DL1402)&lt;1,"",SUM(Q1402:DL1402)/COUNTIF(Q1402:DL1402,"&gt;0")))</f>
        <v>0</v>
      </c>
      <c r="P1402" s="109">
        <f>SUMIFS(Q1402:DK1402,Q$1:DK$1,Dashboard!$K$31)</f>
        <v>0</v>
      </c>
      <c r="U1402" s="95">
        <v>33</v>
      </c>
    </row>
    <row r="1403" spans="1:34" x14ac:dyDescent="0.3">
      <c r="A1403" s="89" t="str">
        <f>CONCATENATE(D1403,".",F1403,"-",G1403,".",H1403,"")</f>
        <v>2.1-5.1</v>
      </c>
      <c r="B1403" s="89" t="str">
        <f>IF(CONCATENATE(I1403,Key!F$2)=CONCATENATE(INDEX(Dashboard!J:J,MATCH(I1403,Dashboard!J:J,0),1),INDEX(Dashboard!J:K,MATCH(I1403,Dashboard!J:J,0),2)),"ON",IF(Dashboard!K$32="ALL","ON","-"))</f>
        <v>-</v>
      </c>
      <c r="C1403" s="88" t="s">
        <v>152</v>
      </c>
      <c r="D1403" s="89">
        <f>IF(C1403="ID",1,(IF(C1403="PR",2,(IF(C1403="DE",3,(IF(C1403="RS",4,(IF(C1403="RC",5,0)))))))))</f>
        <v>2</v>
      </c>
      <c r="E1403" s="89" t="s">
        <v>153</v>
      </c>
      <c r="F1403" s="89">
        <f>IF(E1403="AM",1,(IF(E1403="BE",2,(IF(E1403="GV",3,(IF(E1403="RA",4,(IF(E1403="RM",5,(IF(E1403="AC",1,(IF(E1403="AT",2,(IF(E1403="DS",3,(IF(E1403="IP",4,(IF(E1403="MA",5,(IF(E1403="PT",6,(IF(E1403="AE",1,(IF(E1403="CM",2,(IF(E1403="DP",3,(IF(E1403="AN",1,(IF(E1403="CO",2,(IF(E1403="IM",3,(IF(E1403="MI",4,(IF(E1403="RP",5,(IF(E1403="SC",6,0)))))))))))))))))))))))))))))))))))))))</f>
        <v>1</v>
      </c>
      <c r="G1403" s="52">
        <v>5</v>
      </c>
      <c r="H1403" s="99">
        <v>1</v>
      </c>
      <c r="I1403" s="93" t="s">
        <v>41</v>
      </c>
      <c r="J1403" s="86">
        <v>15.4</v>
      </c>
      <c r="K1403" s="103" t="s">
        <v>3576</v>
      </c>
      <c r="L1403" s="117">
        <f>IF(O1403="","",N1403*O1403*M1403)</f>
        <v>0</v>
      </c>
      <c r="M1403" s="108">
        <v>1</v>
      </c>
      <c r="N1403" s="95">
        <v>1</v>
      </c>
      <c r="O1403" s="109">
        <f>IF(Key!D$1="ON",P1403,IF(SUM(Q1403:DL1403)&lt;1,"",SUM(Q1403:DL1403)/COUNTIF(Q1403:DL1403,"&gt;0")))</f>
        <v>0</v>
      </c>
      <c r="P1403" s="109">
        <f>SUMIFS(Q1403:DK1403,Q$1:DK$1,Dashboard!$K$31)</f>
        <v>0</v>
      </c>
      <c r="U1403" s="95">
        <v>33</v>
      </c>
    </row>
    <row r="1404" spans="1:34" x14ac:dyDescent="0.3">
      <c r="A1404" s="89" t="str">
        <f>CONCATENATE(D1404,".",F1404,"-",G1404,".",H1404,"")</f>
        <v>2.1-5.1</v>
      </c>
      <c r="B1404" s="89" t="str">
        <f>IF(CONCATENATE(I1404,Key!F$2)=CONCATENATE(INDEX(Dashboard!J:J,MATCH(I1404,Dashboard!J:J,0),1),INDEX(Dashboard!J:K,MATCH(I1404,Dashboard!J:J,0),2)),"ON",IF(Dashboard!K$32="ALL","ON","-"))</f>
        <v>-</v>
      </c>
      <c r="C1404" s="88" t="s">
        <v>152</v>
      </c>
      <c r="D1404" s="89">
        <f>IF(C1404="ID",1,(IF(C1404="PR",2,(IF(C1404="DE",3,(IF(C1404="RS",4,(IF(C1404="RC",5,0)))))))))</f>
        <v>2</v>
      </c>
      <c r="E1404" s="89" t="s">
        <v>153</v>
      </c>
      <c r="F1404" s="89">
        <f>IF(E1404="AM",1,(IF(E1404="BE",2,(IF(E1404="GV",3,(IF(E1404="RA",4,(IF(E1404="RM",5,(IF(E1404="AC",1,(IF(E1404="AT",2,(IF(E1404="DS",3,(IF(E1404="IP",4,(IF(E1404="MA",5,(IF(E1404="PT",6,(IF(E1404="AE",1,(IF(E1404="CM",2,(IF(E1404="DP",3,(IF(E1404="AN",1,(IF(E1404="CO",2,(IF(E1404="IM",3,(IF(E1404="MI",4,(IF(E1404="RP",5,(IF(E1404="SC",6,0)))))))))))))))))))))))))))))))))))))))</f>
        <v>1</v>
      </c>
      <c r="G1404" s="52">
        <v>5</v>
      </c>
      <c r="H1404" s="99">
        <v>1</v>
      </c>
      <c r="I1404" s="93" t="s">
        <v>41</v>
      </c>
      <c r="J1404" s="86">
        <v>15.8</v>
      </c>
      <c r="K1404" s="103" t="s">
        <v>3580</v>
      </c>
      <c r="L1404" s="117">
        <f>IF(O1404="","",N1404*O1404*M1404)</f>
        <v>0</v>
      </c>
      <c r="M1404" s="108">
        <v>1</v>
      </c>
      <c r="N1404" s="95">
        <v>1</v>
      </c>
      <c r="O1404" s="109">
        <f>IF(Key!D$1="ON",P1404,IF(SUM(Q1404:DL1404)&lt;1,"",SUM(Q1404:DL1404)/COUNTIF(Q1404:DL1404,"&gt;0")))</f>
        <v>0</v>
      </c>
      <c r="P1404" s="109">
        <f>SUMIFS(Q1404:DK1404,Q$1:DK$1,Dashboard!$K$31)</f>
        <v>0</v>
      </c>
      <c r="U1404" s="95">
        <v>33</v>
      </c>
    </row>
    <row r="1405" spans="1:34" ht="15.6" x14ac:dyDescent="0.3">
      <c r="A1405" s="89" t="str">
        <f>CONCATENATE(D1405,".",F1405,"-",G1405,".",H1405,"")</f>
        <v>2.1-5.1</v>
      </c>
      <c r="B1405" s="89" t="str">
        <f>IF(CONCATENATE(I1405,Key!F$2)=CONCATENATE(INDEX(Dashboard!J:J,MATCH(I1405,Dashboard!J:J,0),1),INDEX(Dashboard!J:K,MATCH(I1405,Dashboard!J:J,0),2)),"ON",IF(Dashboard!K$32="ALL","ON","-"))</f>
        <v>-</v>
      </c>
      <c r="C1405" s="88" t="s">
        <v>152</v>
      </c>
      <c r="D1405" s="89">
        <f>IF(C1405="ID",1,(IF(C1405="PR",2,(IF(C1405="DE",3,(IF(C1405="RS",4,(IF(C1405="RC",5,0)))))))))</f>
        <v>2</v>
      </c>
      <c r="E1405" s="89" t="s">
        <v>153</v>
      </c>
      <c r="F1405" s="89">
        <f>IF(E1405="AM",1,(IF(E1405="BE",2,(IF(E1405="GV",3,(IF(E1405="RA",4,(IF(E1405="RM",5,(IF(E1405="AC",1,(IF(E1405="AT",2,(IF(E1405="DS",3,(IF(E1405="IP",4,(IF(E1405="MA",5,(IF(E1405="PT",6,(IF(E1405="AE",1,(IF(E1405="CM",2,(IF(E1405="DP",3,(IF(E1405="AN",1,(IF(E1405="CO",2,(IF(E1405="IM",3,(IF(E1405="MI",4,(IF(E1405="RP",5,(IF(E1405="SC",6,0)))))))))))))))))))))))))))))))))))))))</f>
        <v>1</v>
      </c>
      <c r="G1405" s="52">
        <v>5</v>
      </c>
      <c r="H1405" s="99">
        <v>1</v>
      </c>
      <c r="I1405" s="93" t="s">
        <v>41</v>
      </c>
      <c r="J1405" s="86" t="s">
        <v>3604</v>
      </c>
      <c r="K1405" s="103" t="s">
        <v>3605</v>
      </c>
      <c r="L1405" s="117">
        <f>IF(O1405="","",N1405*O1405*M1405)</f>
        <v>0</v>
      </c>
      <c r="M1405" s="108">
        <v>1</v>
      </c>
      <c r="N1405" s="95">
        <v>1</v>
      </c>
      <c r="O1405" s="109">
        <f>IF(Key!D$1="ON",P1405,IF(SUM(Q1405:DL1405)&lt;1,"",SUM(Q1405:DL1405)/COUNTIF(Q1405:DL1405,"&gt;0")))</f>
        <v>0</v>
      </c>
      <c r="P1405" s="109">
        <f>SUMIFS(Q1405:DK1405,Q$1:DK$1,Dashboard!$K$31)</f>
        <v>0</v>
      </c>
      <c r="U1405" s="95">
        <v>33</v>
      </c>
    </row>
    <row r="1406" spans="1:34" ht="15.6" x14ac:dyDescent="0.3">
      <c r="A1406" s="89" t="str">
        <f>CONCATENATE(D1406,".",F1406,"-",G1406,".",H1406,"")</f>
        <v>2.1-5.1</v>
      </c>
      <c r="B1406" s="89" t="str">
        <f>IF(CONCATENATE(I1406,Key!F$2)=CONCATENATE(INDEX(Dashboard!J:J,MATCH(I1406,Dashboard!J:J,0),1),INDEX(Dashboard!J:K,MATCH(I1406,Dashboard!J:J,0),2)),"ON",IF(Dashboard!K$32="ALL","ON","-"))</f>
        <v>-</v>
      </c>
      <c r="C1406" s="88" t="s">
        <v>152</v>
      </c>
      <c r="D1406" s="89">
        <f>IF(C1406="ID",1,(IF(C1406="PR",2,(IF(C1406="DE",3,(IF(C1406="RS",4,(IF(C1406="RC",5,0)))))))))</f>
        <v>2</v>
      </c>
      <c r="E1406" s="89" t="s">
        <v>153</v>
      </c>
      <c r="F1406" s="89">
        <f>IF(E1406="AM",1,(IF(E1406="BE",2,(IF(E1406="GV",3,(IF(E1406="RA",4,(IF(E1406="RM",5,(IF(E1406="AC",1,(IF(E1406="AT",2,(IF(E1406="DS",3,(IF(E1406="IP",4,(IF(E1406="MA",5,(IF(E1406="PT",6,(IF(E1406="AE",1,(IF(E1406="CM",2,(IF(E1406="DP",3,(IF(E1406="AN",1,(IF(E1406="CO",2,(IF(E1406="IM",3,(IF(E1406="MI",4,(IF(E1406="RP",5,(IF(E1406="SC",6,0)))))))))))))))))))))))))))))))))))))))</f>
        <v>1</v>
      </c>
      <c r="G1406" s="52">
        <v>5</v>
      </c>
      <c r="H1406" s="89">
        <v>1</v>
      </c>
      <c r="I1406" s="93" t="s">
        <v>60</v>
      </c>
      <c r="J1406" s="88" t="s">
        <v>3191</v>
      </c>
      <c r="K1406" s="51" t="s">
        <v>5304</v>
      </c>
      <c r="L1406" s="117">
        <f>IF(O1406="","",N1406*O1406*M1406)</f>
        <v>0</v>
      </c>
      <c r="M1406" s="108">
        <v>1</v>
      </c>
      <c r="N1406" s="95">
        <v>1</v>
      </c>
      <c r="O1406" s="109">
        <f>IF(Key!D$1="ON",P1406,IF(SUM(Q1406:DL1406)&lt;1,"",SUM(Q1406:DL1406)/COUNTIF(Q1406:DL1406,"&gt;0")))</f>
        <v>0</v>
      </c>
      <c r="P1406" s="109">
        <f>SUMIFS(Q1406:DK1406,Q$1:DK$1,Dashboard!$K$31)</f>
        <v>0</v>
      </c>
      <c r="U1406" s="95">
        <v>33</v>
      </c>
      <c r="AA1406" s="95">
        <v>25</v>
      </c>
      <c r="AH1406" s="95">
        <v>75</v>
      </c>
    </row>
    <row r="1407" spans="1:34" ht="15.6" x14ac:dyDescent="0.3">
      <c r="A1407" s="89" t="str">
        <f>CONCATENATE(D1407,".",F1407,"-",G1407,".",H1407,"")</f>
        <v>2.1-5.1</v>
      </c>
      <c r="B1407" s="89" t="str">
        <f>IF(CONCATENATE(I1407,Key!F$2)=CONCATENATE(INDEX(Dashboard!J:J,MATCH(I1407,Dashboard!J:J,0),1),INDEX(Dashboard!J:K,MATCH(I1407,Dashboard!J:J,0),2)),"ON",IF(Dashboard!K$32="ALL","ON","-"))</f>
        <v>-</v>
      </c>
      <c r="C1407" s="88" t="s">
        <v>152</v>
      </c>
      <c r="D1407" s="89">
        <f>IF(C1407="ID",1,(IF(C1407="PR",2,(IF(C1407="DE",3,(IF(C1407="RS",4,(IF(C1407="RC",5,0)))))))))</f>
        <v>2</v>
      </c>
      <c r="E1407" s="89" t="s">
        <v>153</v>
      </c>
      <c r="F1407" s="89">
        <f>IF(E1407="AM",1,(IF(E1407="BE",2,(IF(E1407="GV",3,(IF(E1407="RA",4,(IF(E1407="RM",5,(IF(E1407="AC",1,(IF(E1407="AT",2,(IF(E1407="DS",3,(IF(E1407="IP",4,(IF(E1407="MA",5,(IF(E1407="PT",6,(IF(E1407="AE",1,(IF(E1407="CM",2,(IF(E1407="DP",3,(IF(E1407="AN",1,(IF(E1407="CO",2,(IF(E1407="IM",3,(IF(E1407="MI",4,(IF(E1407="RP",5,(IF(E1407="SC",6,0)))))))))))))))))))))))))))))))))))))))</f>
        <v>1</v>
      </c>
      <c r="G1407" s="52">
        <v>5</v>
      </c>
      <c r="H1407" s="89">
        <v>1</v>
      </c>
      <c r="I1407" s="93" t="s">
        <v>60</v>
      </c>
      <c r="J1407" s="88" t="s">
        <v>3192</v>
      </c>
      <c r="K1407" s="51" t="s">
        <v>5305</v>
      </c>
      <c r="L1407" s="117">
        <f>IF(O1407="","",N1407*O1407*M1407)</f>
        <v>0</v>
      </c>
      <c r="M1407" s="108">
        <v>1</v>
      </c>
      <c r="N1407" s="95">
        <v>1</v>
      </c>
      <c r="O1407" s="109">
        <f>IF(Key!D$1="ON",P1407,IF(SUM(Q1407:DL1407)&lt;1,"",SUM(Q1407:DL1407)/COUNTIF(Q1407:DL1407,"&gt;0")))</f>
        <v>0</v>
      </c>
      <c r="P1407" s="109">
        <f>SUMIFS(Q1407:DK1407,Q$1:DK$1,Dashboard!$K$31)</f>
        <v>0</v>
      </c>
      <c r="U1407" s="95">
        <v>33</v>
      </c>
      <c r="AA1407" s="95">
        <v>25</v>
      </c>
      <c r="AH1407" s="95">
        <v>75</v>
      </c>
    </row>
    <row r="1408" spans="1:34" x14ac:dyDescent="0.3">
      <c r="A1408" s="89" t="str">
        <f>CONCATENATE(D1408,".",F1408,"-",G1408,".",H1408,"")</f>
        <v>2.1-5.1</v>
      </c>
      <c r="B1408" s="89" t="str">
        <f>IF(CONCATENATE(I1408,Key!F$2)=CONCATENATE(INDEX(Dashboard!J:J,MATCH(I1408,Dashboard!J:J,0),1),INDEX(Dashboard!J:K,MATCH(I1408,Dashboard!J:J,0),2)),"ON",IF(Dashboard!K$32="ALL","ON","-"))</f>
        <v>-</v>
      </c>
      <c r="C1408" s="88" t="s">
        <v>152</v>
      </c>
      <c r="D1408" s="89">
        <f>IF(C1408="ID",1,(IF(C1408="PR",2,(IF(C1408="DE",3,(IF(C1408="RS",4,(IF(C1408="RC",5,0)))))))))</f>
        <v>2</v>
      </c>
      <c r="E1408" s="89" t="s">
        <v>153</v>
      </c>
      <c r="F1408" s="89">
        <f>IF(E1408="AM",1,(IF(E1408="BE",2,(IF(E1408="GV",3,(IF(E1408="RA",4,(IF(E1408="RM",5,(IF(E1408="AC",1,(IF(E1408="AT",2,(IF(E1408="DS",3,(IF(E1408="IP",4,(IF(E1408="MA",5,(IF(E1408="PT",6,(IF(E1408="AE",1,(IF(E1408="CM",2,(IF(E1408="DP",3,(IF(E1408="AN",1,(IF(E1408="CO",2,(IF(E1408="IM",3,(IF(E1408="MI",4,(IF(E1408="RP",5,(IF(E1408="SC",6,0)))))))))))))))))))))))))))))))))))))))</f>
        <v>1</v>
      </c>
      <c r="G1408" s="52">
        <v>5</v>
      </c>
      <c r="H1408" s="89">
        <v>1</v>
      </c>
      <c r="I1408" s="93" t="s">
        <v>60</v>
      </c>
      <c r="J1408" s="88" t="s">
        <v>3193</v>
      </c>
      <c r="K1408" s="51" t="s">
        <v>5306</v>
      </c>
      <c r="L1408" s="117">
        <f>IF(O1408="","",N1408*O1408*M1408)</f>
        <v>0</v>
      </c>
      <c r="M1408" s="108">
        <v>1</v>
      </c>
      <c r="N1408" s="95">
        <v>1</v>
      </c>
      <c r="O1408" s="109">
        <f>IF(Key!D$1="ON",P1408,IF(SUM(Q1408:DL1408)&lt;1,"",SUM(Q1408:DL1408)/COUNTIF(Q1408:DL1408,"&gt;0")))</f>
        <v>0</v>
      </c>
      <c r="P1408" s="109">
        <f>SUMIFS(Q1408:DK1408,Q$1:DK$1,Dashboard!$K$31)</f>
        <v>0</v>
      </c>
      <c r="U1408" s="95">
        <v>33</v>
      </c>
      <c r="AA1408" s="95">
        <v>25</v>
      </c>
      <c r="AH1408" s="95">
        <v>75</v>
      </c>
    </row>
    <row r="1409" spans="1:34" x14ac:dyDescent="0.3">
      <c r="A1409" s="89" t="str">
        <f>CONCATENATE(D1409,".",F1409,"-",G1409,".",H1409,"")</f>
        <v>2.1-5.1</v>
      </c>
      <c r="B1409" s="89" t="str">
        <f>IF(CONCATENATE(I1409,Key!F$2)=CONCATENATE(INDEX(Dashboard!J:J,MATCH(I1409,Dashboard!J:J,0),1),INDEX(Dashboard!J:K,MATCH(I1409,Dashboard!J:J,0),2)),"ON",IF(Dashboard!K$32="ALL","ON","-"))</f>
        <v>-</v>
      </c>
      <c r="C1409" s="88" t="s">
        <v>152</v>
      </c>
      <c r="D1409" s="89">
        <f>IF(C1409="ID",1,(IF(C1409="PR",2,(IF(C1409="DE",3,(IF(C1409="RS",4,(IF(C1409="RC",5,0)))))))))</f>
        <v>2</v>
      </c>
      <c r="E1409" s="89" t="s">
        <v>153</v>
      </c>
      <c r="F1409" s="89">
        <f>IF(E1409="AM",1,(IF(E1409="BE",2,(IF(E1409="GV",3,(IF(E1409="RA",4,(IF(E1409="RM",5,(IF(E1409="AC",1,(IF(E1409="AT",2,(IF(E1409="DS",3,(IF(E1409="IP",4,(IF(E1409="MA",5,(IF(E1409="PT",6,(IF(E1409="AE",1,(IF(E1409="CM",2,(IF(E1409="DP",3,(IF(E1409="AN",1,(IF(E1409="CO",2,(IF(E1409="IM",3,(IF(E1409="MI",4,(IF(E1409="RP",5,(IF(E1409="SC",6,0)))))))))))))))))))))))))))))))))))))))</f>
        <v>1</v>
      </c>
      <c r="G1409" s="52">
        <v>5</v>
      </c>
      <c r="H1409" s="90" t="s">
        <v>115</v>
      </c>
      <c r="I1409" s="93" t="s">
        <v>64</v>
      </c>
      <c r="J1409" s="87" t="s">
        <v>1266</v>
      </c>
      <c r="K1409" s="102" t="s">
        <v>2280</v>
      </c>
      <c r="L1409" s="117">
        <f>IF(O1409="","",N1409*O1409*M1409)</f>
        <v>0</v>
      </c>
      <c r="M1409" s="108">
        <v>1</v>
      </c>
      <c r="N1409" s="95">
        <v>1</v>
      </c>
      <c r="O1409" s="109">
        <f>IF(Key!D$1="ON",P1409,IF(SUM(Q1409:DL1409)&lt;1,"",SUM(Q1409:DL1409)/COUNTIF(Q1409:DL1409,"&gt;0")))</f>
        <v>0</v>
      </c>
      <c r="P1409" s="109">
        <f>SUMIFS(Q1409:DK1409,Q$1:DK$1,Dashboard!$K$31)</f>
        <v>0</v>
      </c>
      <c r="U1409" s="95">
        <v>33</v>
      </c>
      <c r="AA1409" s="95">
        <v>25</v>
      </c>
      <c r="AH1409" s="95">
        <v>75</v>
      </c>
    </row>
    <row r="1410" spans="1:34" x14ac:dyDescent="0.3">
      <c r="A1410" s="89" t="str">
        <f>CONCATENATE(D1410,".",F1410,"-",G1410,".",H1410,"")</f>
        <v>2.1-5.1</v>
      </c>
      <c r="B1410" s="89" t="str">
        <f>IF(CONCATENATE(I1410,Key!F$2)=CONCATENATE(INDEX(Dashboard!J:J,MATCH(I1410,Dashboard!J:J,0),1),INDEX(Dashboard!J:K,MATCH(I1410,Dashboard!J:J,0),2)),"ON",IF(Dashboard!K$32="ALL","ON","-"))</f>
        <v>-</v>
      </c>
      <c r="C1410" s="88" t="s">
        <v>152</v>
      </c>
      <c r="D1410" s="89">
        <f>IF(C1410="ID",1,(IF(C1410="PR",2,(IF(C1410="DE",3,(IF(C1410="RS",4,(IF(C1410="RC",5,0)))))))))</f>
        <v>2</v>
      </c>
      <c r="E1410" s="89" t="s">
        <v>153</v>
      </c>
      <c r="F1410" s="89">
        <f>IF(E1410="AM",1,(IF(E1410="BE",2,(IF(E1410="GV",3,(IF(E1410="RA",4,(IF(E1410="RM",5,(IF(E1410="AC",1,(IF(E1410="AT",2,(IF(E1410="DS",3,(IF(E1410="IP",4,(IF(E1410="MA",5,(IF(E1410="PT",6,(IF(E1410="AE",1,(IF(E1410="CM",2,(IF(E1410="DP",3,(IF(E1410="AN",1,(IF(E1410="CO",2,(IF(E1410="IM",3,(IF(E1410="MI",4,(IF(E1410="RP",5,(IF(E1410="SC",6,0)))))))))))))))))))))))))))))))))))))))</f>
        <v>1</v>
      </c>
      <c r="G1410" s="52">
        <v>5</v>
      </c>
      <c r="H1410" s="90" t="s">
        <v>115</v>
      </c>
      <c r="I1410" s="93" t="s">
        <v>73</v>
      </c>
      <c r="J1410" s="86" t="s">
        <v>4114</v>
      </c>
      <c r="K1410" s="101" t="s">
        <v>4115</v>
      </c>
      <c r="L1410" s="117">
        <f>IF(O1410="","",N1410*O1410*M1410)</f>
        <v>0</v>
      </c>
      <c r="M1410" s="108">
        <v>1</v>
      </c>
      <c r="N1410" s="95">
        <v>1</v>
      </c>
      <c r="O1410" s="109">
        <f>IF(Key!D$1="ON",P1410,IF(SUM(Q1410:DL1410)&lt;1,"",SUM(Q1410:DL1410)/COUNTIF(Q1410:DL1410,"&gt;0")))</f>
        <v>0</v>
      </c>
      <c r="P1410" s="109">
        <f>SUMIFS(Q1410:DK1410,Q$1:DK$1,Dashboard!$K$31)</f>
        <v>0</v>
      </c>
      <c r="U1410" s="95">
        <v>33</v>
      </c>
      <c r="AA1410" s="95">
        <v>25</v>
      </c>
      <c r="AH1410" s="95">
        <v>75</v>
      </c>
    </row>
    <row r="1411" spans="1:34" x14ac:dyDescent="0.3">
      <c r="A1411" s="89" t="str">
        <f>CONCATENATE(D1411,".",F1411,"-",G1411,".",H1411,"")</f>
        <v>2.1-5.1</v>
      </c>
      <c r="B1411" s="89" t="str">
        <f>IF(CONCATENATE(I1411,Key!F$2)=CONCATENATE(INDEX(Dashboard!J:J,MATCH(I1411,Dashboard!J:J,0),1),INDEX(Dashboard!J:K,MATCH(I1411,Dashboard!J:J,0),2)),"ON",IF(Dashboard!K$32="ALL","ON","-"))</f>
        <v>-</v>
      </c>
      <c r="C1411" s="88" t="s">
        <v>152</v>
      </c>
      <c r="D1411" s="89">
        <f>IF(C1411="ID",1,(IF(C1411="PR",2,(IF(C1411="DE",3,(IF(C1411="RS",4,(IF(C1411="RC",5,0)))))))))</f>
        <v>2</v>
      </c>
      <c r="E1411" s="89" t="s">
        <v>153</v>
      </c>
      <c r="F1411" s="89">
        <f>IF(E1411="AM",1,(IF(E1411="BE",2,(IF(E1411="GV",3,(IF(E1411="RA",4,(IF(E1411="RM",5,(IF(E1411="AC",1,(IF(E1411="AT",2,(IF(E1411="DS",3,(IF(E1411="IP",4,(IF(E1411="MA",5,(IF(E1411="PT",6,(IF(E1411="AE",1,(IF(E1411="CM",2,(IF(E1411="DP",3,(IF(E1411="AN",1,(IF(E1411="CO",2,(IF(E1411="IM",3,(IF(E1411="MI",4,(IF(E1411="RP",5,(IF(E1411="SC",6,0)))))))))))))))))))))))))))))))))))))))</f>
        <v>1</v>
      </c>
      <c r="G1411" s="52">
        <v>5</v>
      </c>
      <c r="H1411" s="90" t="s">
        <v>115</v>
      </c>
      <c r="I1411" s="93" t="s">
        <v>73</v>
      </c>
      <c r="J1411" s="86" t="s">
        <v>4216</v>
      </c>
      <c r="K1411" s="101" t="s">
        <v>5179</v>
      </c>
      <c r="L1411" s="117">
        <f>IF(O1411="","",N1411*O1411*M1411)</f>
        <v>0</v>
      </c>
      <c r="M1411" s="108">
        <v>1</v>
      </c>
      <c r="N1411" s="95">
        <v>1</v>
      </c>
      <c r="O1411" s="109">
        <f>IF(Key!D$1="ON",P1411,IF(SUM(Q1411:DL1411)&lt;1,"",SUM(Q1411:DL1411)/COUNTIF(Q1411:DL1411,"&gt;0")))</f>
        <v>0</v>
      </c>
      <c r="P1411" s="109">
        <f>SUMIFS(Q1411:DK1411,Q$1:DK$1,Dashboard!$K$31)</f>
        <v>0</v>
      </c>
      <c r="U1411" s="95">
        <v>33</v>
      </c>
      <c r="AA1411" s="95">
        <v>25</v>
      </c>
      <c r="AH1411" s="95">
        <v>75</v>
      </c>
    </row>
    <row r="1412" spans="1:34" x14ac:dyDescent="0.3">
      <c r="A1412" s="89" t="str">
        <f>CONCATENATE(D1412,".",F1412,"-",G1412,".",H1412,"")</f>
        <v>2.1-5.1</v>
      </c>
      <c r="B1412" s="89" t="str">
        <f>IF(CONCATENATE(I1412,Key!F$2)=CONCATENATE(INDEX(Dashboard!J:J,MATCH(I1412,Dashboard!J:J,0),1),INDEX(Dashboard!J:K,MATCH(I1412,Dashboard!J:J,0),2)),"ON",IF(Dashboard!K$32="ALL","ON","-"))</f>
        <v>-</v>
      </c>
      <c r="C1412" s="88" t="s">
        <v>152</v>
      </c>
      <c r="D1412" s="89">
        <f>IF(C1412="ID",1,(IF(C1412="PR",2,(IF(C1412="DE",3,(IF(C1412="RS",4,(IF(C1412="RC",5,0)))))))))</f>
        <v>2</v>
      </c>
      <c r="E1412" s="89" t="s">
        <v>153</v>
      </c>
      <c r="F1412" s="89">
        <f>IF(E1412="AM",1,(IF(E1412="BE",2,(IF(E1412="GV",3,(IF(E1412="RA",4,(IF(E1412="RM",5,(IF(E1412="AC",1,(IF(E1412="AT",2,(IF(E1412="DS",3,(IF(E1412="IP",4,(IF(E1412="MA",5,(IF(E1412="PT",6,(IF(E1412="AE",1,(IF(E1412="CM",2,(IF(E1412="DP",3,(IF(E1412="AN",1,(IF(E1412="CO",2,(IF(E1412="IM",3,(IF(E1412="MI",4,(IF(E1412="RP",5,(IF(E1412="SC",6,0)))))))))))))))))))))))))))))))))))))))</f>
        <v>1</v>
      </c>
      <c r="G1412" s="98">
        <v>5</v>
      </c>
      <c r="H1412" s="99">
        <v>1</v>
      </c>
      <c r="I1412" s="93" t="s">
        <v>73</v>
      </c>
      <c r="J1412" s="86" t="s">
        <v>4217</v>
      </c>
      <c r="K1412" s="107" t="s">
        <v>4333</v>
      </c>
      <c r="L1412" s="117">
        <f>IF(O1412="","",N1412*O1412*M1412)</f>
        <v>0</v>
      </c>
      <c r="M1412" s="108">
        <v>1</v>
      </c>
      <c r="N1412" s="95">
        <v>1</v>
      </c>
      <c r="O1412" s="109">
        <f>IF(Key!D$1="ON",P1412,IF(SUM(Q1412:DL1412)&lt;1,"",SUM(Q1412:DL1412)/COUNTIF(Q1412:DL1412,"&gt;0")))</f>
        <v>0</v>
      </c>
      <c r="P1412" s="109">
        <f>SUMIFS(Q1412:DK1412,Q$1:DK$1,Dashboard!$K$31)</f>
        <v>0</v>
      </c>
      <c r="U1412" s="95">
        <v>33</v>
      </c>
      <c r="AA1412" s="95">
        <v>25</v>
      </c>
      <c r="AH1412" s="95">
        <v>75</v>
      </c>
    </row>
    <row r="1413" spans="1:34" ht="15.6" x14ac:dyDescent="0.3">
      <c r="A1413" s="89" t="str">
        <f>CONCATENATE(D1413,".",F1413,"-",G1413,".",H1413,"")</f>
        <v>2.1-5.1</v>
      </c>
      <c r="B1413" s="89" t="str">
        <f>IF(CONCATENATE(I1413,Key!F$2)=CONCATENATE(INDEX(Dashboard!J:J,MATCH(I1413,Dashboard!J:J,0),1),INDEX(Dashboard!J:K,MATCH(I1413,Dashboard!J:J,0),2)),"ON",IF(Dashboard!K$32="ALL","ON","-"))</f>
        <v>-</v>
      </c>
      <c r="C1413" s="88" t="s">
        <v>152</v>
      </c>
      <c r="D1413" s="89">
        <f>IF(C1413="ID",1,(IF(C1413="PR",2,(IF(C1413="DE",3,(IF(C1413="RS",4,(IF(C1413="RC",5,0)))))))))</f>
        <v>2</v>
      </c>
      <c r="E1413" s="89" t="s">
        <v>153</v>
      </c>
      <c r="F1413" s="89">
        <f>IF(E1413="AM",1,(IF(E1413="BE",2,(IF(E1413="GV",3,(IF(E1413="RA",4,(IF(E1413="RM",5,(IF(E1413="AC",1,(IF(E1413="AT",2,(IF(E1413="DS",3,(IF(E1413="IP",4,(IF(E1413="MA",5,(IF(E1413="PT",6,(IF(E1413="AE",1,(IF(E1413="CM",2,(IF(E1413="DP",3,(IF(E1413="AN",1,(IF(E1413="CO",2,(IF(E1413="IM",3,(IF(E1413="MI",4,(IF(E1413="RP",5,(IF(E1413="SC",6,0)))))))))))))))))))))))))))))))))))))))</f>
        <v>1</v>
      </c>
      <c r="G1413" s="98">
        <v>5</v>
      </c>
      <c r="H1413" s="99">
        <v>1</v>
      </c>
      <c r="I1413" s="93" t="s">
        <v>73</v>
      </c>
      <c r="J1413" s="86" t="s">
        <v>4221</v>
      </c>
      <c r="K1413" s="107" t="s">
        <v>4336</v>
      </c>
      <c r="L1413" s="117">
        <f>IF(O1413="","",N1413*O1413*M1413)</f>
        <v>0</v>
      </c>
      <c r="M1413" s="108">
        <v>1</v>
      </c>
      <c r="N1413" s="95">
        <v>1</v>
      </c>
      <c r="O1413" s="109">
        <f>IF(Key!D$1="ON",P1413,IF(SUM(Q1413:DL1413)&lt;1,"",SUM(Q1413:DL1413)/COUNTIF(Q1413:DL1413,"&gt;0")))</f>
        <v>0</v>
      </c>
      <c r="P1413" s="109">
        <f>SUMIFS(Q1413:DK1413,Q$1:DK$1,Dashboard!$K$31)</f>
        <v>0</v>
      </c>
      <c r="U1413" s="95">
        <v>33</v>
      </c>
      <c r="AA1413" s="95">
        <v>25</v>
      </c>
      <c r="AH1413" s="95">
        <v>75</v>
      </c>
    </row>
    <row r="1414" spans="1:34" ht="15.6" x14ac:dyDescent="0.3">
      <c r="A1414" s="89" t="str">
        <f>CONCATENATE(D1414,".",F1414,"-",G1414,".",H1414,"")</f>
        <v>2.1-5.1</v>
      </c>
      <c r="B1414" s="89" t="str">
        <f>IF(CONCATENATE(I1414,Key!F$2)=CONCATENATE(INDEX(Dashboard!J:J,MATCH(I1414,Dashboard!J:J,0),1),INDEX(Dashboard!J:K,MATCH(I1414,Dashboard!J:J,0),2)),"ON",IF(Dashboard!K$32="ALL","ON","-"))</f>
        <v>-</v>
      </c>
      <c r="C1414" s="88" t="s">
        <v>152</v>
      </c>
      <c r="D1414" s="89">
        <f>IF(C1414="ID",1,(IF(C1414="PR",2,(IF(C1414="DE",3,(IF(C1414="RS",4,(IF(C1414="RC",5,0)))))))))</f>
        <v>2</v>
      </c>
      <c r="E1414" s="89" t="s">
        <v>153</v>
      </c>
      <c r="F1414" s="89">
        <f>IF(E1414="AM",1,(IF(E1414="BE",2,(IF(E1414="GV",3,(IF(E1414="RA",4,(IF(E1414="RM",5,(IF(E1414="AC",1,(IF(E1414="AT",2,(IF(E1414="DS",3,(IF(E1414="IP",4,(IF(E1414="MA",5,(IF(E1414="PT",6,(IF(E1414="AE",1,(IF(E1414="CM",2,(IF(E1414="DP",3,(IF(E1414="AN",1,(IF(E1414="CO",2,(IF(E1414="IM",3,(IF(E1414="MI",4,(IF(E1414="RP",5,(IF(E1414="SC",6,0)))))))))))))))))))))))))))))))))))))))</f>
        <v>1</v>
      </c>
      <c r="G1414" s="98">
        <v>5</v>
      </c>
      <c r="H1414" s="99">
        <v>1</v>
      </c>
      <c r="I1414" s="93" t="s">
        <v>73</v>
      </c>
      <c r="J1414" s="86" t="s">
        <v>4223</v>
      </c>
      <c r="K1414" s="107" t="s">
        <v>4337</v>
      </c>
      <c r="L1414" s="117">
        <f>IF(O1414="","",N1414*O1414*M1414)</f>
        <v>0</v>
      </c>
      <c r="M1414" s="108">
        <v>1</v>
      </c>
      <c r="N1414" s="95">
        <v>1</v>
      </c>
      <c r="O1414" s="109">
        <f>IF(Key!D$1="ON",P1414,IF(SUM(Q1414:DL1414)&lt;1,"",SUM(Q1414:DL1414)/COUNTIF(Q1414:DL1414,"&gt;0")))</f>
        <v>0</v>
      </c>
      <c r="P1414" s="109">
        <f>SUMIFS(Q1414:DK1414,Q$1:DK$1,Dashboard!$K$31)</f>
        <v>0</v>
      </c>
      <c r="U1414" s="95">
        <v>33</v>
      </c>
      <c r="AA1414" s="95">
        <v>25</v>
      </c>
      <c r="AH1414" s="95">
        <v>75</v>
      </c>
    </row>
    <row r="1415" spans="1:34" ht="15.6" x14ac:dyDescent="0.3">
      <c r="A1415" s="89" t="str">
        <f>CONCATENATE(D1415,".",F1415,"-",G1415,".",H1415,"")</f>
        <v>2.1-5.1</v>
      </c>
      <c r="B1415" s="89" t="str">
        <f>IF(CONCATENATE(I1415,Key!F$2)=CONCATENATE(INDEX(Dashboard!J:J,MATCH(I1415,Dashboard!J:J,0),1),INDEX(Dashboard!J:K,MATCH(I1415,Dashboard!J:J,0),2)),"ON",IF(Dashboard!K$32="ALL","ON","-"))</f>
        <v>-</v>
      </c>
      <c r="C1415" s="88" t="s">
        <v>152</v>
      </c>
      <c r="D1415" s="89">
        <f>IF(C1415="ID",1,(IF(C1415="PR",2,(IF(C1415="DE",3,(IF(C1415="RS",4,(IF(C1415="RC",5,0)))))))))</f>
        <v>2</v>
      </c>
      <c r="E1415" s="89" t="s">
        <v>153</v>
      </c>
      <c r="F1415" s="89">
        <f>IF(E1415="AM",1,(IF(E1415="BE",2,(IF(E1415="GV",3,(IF(E1415="RA",4,(IF(E1415="RM",5,(IF(E1415="AC",1,(IF(E1415="AT",2,(IF(E1415="DS",3,(IF(E1415="IP",4,(IF(E1415="MA",5,(IF(E1415="PT",6,(IF(E1415="AE",1,(IF(E1415="CM",2,(IF(E1415="DP",3,(IF(E1415="AN",1,(IF(E1415="CO",2,(IF(E1415="IM",3,(IF(E1415="MI",4,(IF(E1415="RP",5,(IF(E1415="SC",6,0)))))))))))))))))))))))))))))))))))))))</f>
        <v>1</v>
      </c>
      <c r="G1415" s="98">
        <v>5</v>
      </c>
      <c r="H1415" s="99">
        <v>1</v>
      </c>
      <c r="I1415" s="93" t="s">
        <v>73</v>
      </c>
      <c r="J1415" s="86" t="s">
        <v>4224</v>
      </c>
      <c r="K1415" s="107" t="s">
        <v>4338</v>
      </c>
      <c r="L1415" s="117">
        <f>IF(O1415="","",N1415*O1415*M1415)</f>
        <v>0</v>
      </c>
      <c r="M1415" s="108">
        <v>1</v>
      </c>
      <c r="N1415" s="95">
        <v>1</v>
      </c>
      <c r="O1415" s="109">
        <f>IF(Key!D$1="ON",P1415,IF(SUM(Q1415:DL1415)&lt;1,"",SUM(Q1415:DL1415)/COUNTIF(Q1415:DL1415,"&gt;0")))</f>
        <v>0</v>
      </c>
      <c r="P1415" s="109">
        <f>SUMIFS(Q1415:DK1415,Q$1:DK$1,Dashboard!$K$31)</f>
        <v>0</v>
      </c>
      <c r="U1415" s="95">
        <v>33</v>
      </c>
      <c r="AA1415" s="95">
        <v>25</v>
      </c>
      <c r="AH1415" s="95">
        <v>75</v>
      </c>
    </row>
    <row r="1416" spans="1:34" x14ac:dyDescent="0.3">
      <c r="A1416" s="89" t="str">
        <f>CONCATENATE(D1416,".",F1416,"-",G1416,".",H1416,"")</f>
        <v>2.1-5.1</v>
      </c>
      <c r="B1416" s="89" t="str">
        <f>IF(CONCATENATE(I1416,Key!F$2)=CONCATENATE(INDEX(Dashboard!J:J,MATCH(I1416,Dashboard!J:J,0),1),INDEX(Dashboard!J:K,MATCH(I1416,Dashboard!J:J,0),2)),"ON",IF(Dashboard!K$32="ALL","ON","-"))</f>
        <v>-</v>
      </c>
      <c r="C1416" s="88" t="s">
        <v>152</v>
      </c>
      <c r="D1416" s="89">
        <f>IF(C1416="ID",1,(IF(C1416="PR",2,(IF(C1416="DE",3,(IF(C1416="RS",4,(IF(C1416="RC",5,0)))))))))</f>
        <v>2</v>
      </c>
      <c r="E1416" s="89" t="s">
        <v>153</v>
      </c>
      <c r="F1416" s="89">
        <f>IF(E1416="AM",1,(IF(E1416="BE",2,(IF(E1416="GV",3,(IF(E1416="RA",4,(IF(E1416="RM",5,(IF(E1416="AC",1,(IF(E1416="AT",2,(IF(E1416="DS",3,(IF(E1416="IP",4,(IF(E1416="MA",5,(IF(E1416="PT",6,(IF(E1416="AE",1,(IF(E1416="CM",2,(IF(E1416="DP",3,(IF(E1416="AN",1,(IF(E1416="CO",2,(IF(E1416="IM",3,(IF(E1416="MI",4,(IF(E1416="RP",5,(IF(E1416="SC",6,0)))))))))))))))))))))))))))))))))))))))</f>
        <v>1</v>
      </c>
      <c r="G1416" s="98">
        <v>5</v>
      </c>
      <c r="H1416" s="90" t="s">
        <v>115</v>
      </c>
      <c r="I1416" s="93" t="s">
        <v>77</v>
      </c>
      <c r="J1416" s="87" t="s">
        <v>1260</v>
      </c>
      <c r="K1416" s="102" t="s">
        <v>2275</v>
      </c>
      <c r="L1416" s="117">
        <f>IF(O1416="","",N1416*O1416*M1416)</f>
        <v>0</v>
      </c>
      <c r="M1416" s="108">
        <v>1</v>
      </c>
      <c r="N1416" s="95">
        <v>1</v>
      </c>
      <c r="O1416" s="109">
        <f>IF(Key!D$1="ON",P1416,IF(SUM(Q1416:DL1416)&lt;1,"",SUM(Q1416:DL1416)/COUNTIF(Q1416:DL1416,"&gt;0")))</f>
        <v>0</v>
      </c>
      <c r="P1416" s="109">
        <f>SUMIFS(Q1416:DK1416,Q$1:DK$1,Dashboard!$K$31)</f>
        <v>0</v>
      </c>
      <c r="U1416" s="95">
        <v>33</v>
      </c>
      <c r="AA1416" s="95">
        <v>25</v>
      </c>
      <c r="AH1416" s="95">
        <v>75</v>
      </c>
    </row>
    <row r="1417" spans="1:34" x14ac:dyDescent="0.3">
      <c r="A1417" s="89" t="str">
        <f>CONCATENATE(D1417,".",F1417,"-",G1417,".",H1417,"")</f>
        <v>2.1-5.1</v>
      </c>
      <c r="B1417" s="89" t="str">
        <f>IF(CONCATENATE(I1417,Key!F$2)=CONCATENATE(INDEX(Dashboard!J:J,MATCH(I1417,Dashboard!J:J,0),1),INDEX(Dashboard!J:K,MATCH(I1417,Dashboard!J:J,0),2)),"ON",IF(Dashboard!K$32="ALL","ON","-"))</f>
        <v>-</v>
      </c>
      <c r="C1417" s="88" t="s">
        <v>152</v>
      </c>
      <c r="D1417" s="89">
        <f>IF(C1417="ID",1,(IF(C1417="PR",2,(IF(C1417="DE",3,(IF(C1417="RS",4,(IF(C1417="RC",5,0)))))))))</f>
        <v>2</v>
      </c>
      <c r="E1417" s="89" t="s">
        <v>153</v>
      </c>
      <c r="F1417" s="89">
        <f>IF(E1417="AM",1,(IF(E1417="BE",2,(IF(E1417="GV",3,(IF(E1417="RA",4,(IF(E1417="RM",5,(IF(E1417="AC",1,(IF(E1417="AT",2,(IF(E1417="DS",3,(IF(E1417="IP",4,(IF(E1417="MA",5,(IF(E1417="PT",6,(IF(E1417="AE",1,(IF(E1417="CM",2,(IF(E1417="DP",3,(IF(E1417="AN",1,(IF(E1417="CO",2,(IF(E1417="IM",3,(IF(E1417="MI",4,(IF(E1417="RP",5,(IF(E1417="SC",6,0)))))))))))))))))))))))))))))))))))))))</f>
        <v>1</v>
      </c>
      <c r="G1417" s="52">
        <v>5</v>
      </c>
      <c r="H1417" s="90" t="s">
        <v>115</v>
      </c>
      <c r="I1417" s="93" t="s">
        <v>77</v>
      </c>
      <c r="J1417" s="87" t="s">
        <v>1262</v>
      </c>
      <c r="K1417" s="102" t="s">
        <v>2276</v>
      </c>
      <c r="L1417" s="117">
        <f>IF(O1417="","",N1417*O1417*M1417)</f>
        <v>0</v>
      </c>
      <c r="M1417" s="108">
        <v>1</v>
      </c>
      <c r="N1417" s="95">
        <v>1</v>
      </c>
      <c r="O1417" s="109">
        <f>IF(Key!D$1="ON",P1417,IF(SUM(Q1417:DL1417)&lt;1,"",SUM(Q1417:DL1417)/COUNTIF(Q1417:DL1417,"&gt;0")))</f>
        <v>0</v>
      </c>
      <c r="P1417" s="109">
        <f>SUMIFS(Q1417:DK1417,Q$1:DK$1,Dashboard!$K$31)</f>
        <v>0</v>
      </c>
      <c r="U1417" s="95">
        <v>33</v>
      </c>
      <c r="AA1417" s="95">
        <v>25</v>
      </c>
      <c r="AH1417" s="95">
        <v>75</v>
      </c>
    </row>
    <row r="1418" spans="1:34" x14ac:dyDescent="0.3">
      <c r="A1418" s="89" t="str">
        <f>CONCATENATE(D1418,".",F1418,"-",G1418,".",H1418,"")</f>
        <v>2.1-5.1</v>
      </c>
      <c r="B1418" s="89" t="str">
        <f>IF(CONCATENATE(I1418,Key!F$2)=CONCATENATE(INDEX(Dashboard!J:J,MATCH(I1418,Dashboard!J:J,0),1),INDEX(Dashboard!J:K,MATCH(I1418,Dashboard!J:J,0),2)),"ON",IF(Dashboard!K$32="ALL","ON","-"))</f>
        <v>-</v>
      </c>
      <c r="C1418" s="88" t="s">
        <v>152</v>
      </c>
      <c r="D1418" s="89">
        <f>IF(C1418="ID",1,(IF(C1418="PR",2,(IF(C1418="DE",3,(IF(C1418="RS",4,(IF(C1418="RC",5,0)))))))))</f>
        <v>2</v>
      </c>
      <c r="E1418" s="89" t="s">
        <v>153</v>
      </c>
      <c r="F1418" s="89">
        <f>IF(E1418="AM",1,(IF(E1418="BE",2,(IF(E1418="GV",3,(IF(E1418="RA",4,(IF(E1418="RM",5,(IF(E1418="AC",1,(IF(E1418="AT",2,(IF(E1418="DS",3,(IF(E1418="IP",4,(IF(E1418="MA",5,(IF(E1418="PT",6,(IF(E1418="AE",1,(IF(E1418="CM",2,(IF(E1418="DP",3,(IF(E1418="AN",1,(IF(E1418="CO",2,(IF(E1418="IM",3,(IF(E1418="MI",4,(IF(E1418="RP",5,(IF(E1418="SC",6,0)))))))))))))))))))))))))))))))))))))))</f>
        <v>1</v>
      </c>
      <c r="G1418" s="52">
        <v>5</v>
      </c>
      <c r="H1418" s="90" t="s">
        <v>115</v>
      </c>
      <c r="I1418" s="93" t="s">
        <v>77</v>
      </c>
      <c r="J1418" s="87" t="s">
        <v>1263</v>
      </c>
      <c r="K1418" s="102" t="s">
        <v>2277</v>
      </c>
      <c r="L1418" s="117">
        <f>IF(O1418="","",N1418*O1418*M1418)</f>
        <v>0</v>
      </c>
      <c r="M1418" s="108">
        <v>1</v>
      </c>
      <c r="N1418" s="95">
        <v>1</v>
      </c>
      <c r="O1418" s="109">
        <f>IF(Key!D$1="ON",P1418,IF(SUM(Q1418:DL1418)&lt;1,"",SUM(Q1418:DL1418)/COUNTIF(Q1418:DL1418,"&gt;0")))</f>
        <v>0</v>
      </c>
      <c r="P1418" s="109">
        <f>SUMIFS(Q1418:DK1418,Q$1:DK$1,Dashboard!$K$31)</f>
        <v>0</v>
      </c>
      <c r="U1418" s="95">
        <v>33</v>
      </c>
      <c r="AA1418" s="95">
        <v>25</v>
      </c>
      <c r="AH1418" s="95">
        <v>75</v>
      </c>
    </row>
    <row r="1419" spans="1:34" x14ac:dyDescent="0.3">
      <c r="A1419" s="89" t="str">
        <f>CONCATENATE(D1419,".",F1419,"-",G1419,".",H1419,"")</f>
        <v>2.1-5.1</v>
      </c>
      <c r="B1419" s="89" t="str">
        <f>IF(CONCATENATE(I1419,Key!F$2)=CONCATENATE(INDEX(Dashboard!J:J,MATCH(I1419,Dashboard!J:J,0),1),INDEX(Dashboard!J:K,MATCH(I1419,Dashboard!J:J,0),2)),"ON",IF(Dashboard!K$32="ALL","ON","-"))</f>
        <v>-</v>
      </c>
      <c r="C1419" s="88" t="s">
        <v>152</v>
      </c>
      <c r="D1419" s="89">
        <f>IF(C1419="ID",1,(IF(C1419="PR",2,(IF(C1419="DE",3,(IF(C1419="RS",4,(IF(C1419="RC",5,0)))))))))</f>
        <v>2</v>
      </c>
      <c r="E1419" s="89" t="s">
        <v>153</v>
      </c>
      <c r="F1419" s="89">
        <f>IF(E1419="AM",1,(IF(E1419="BE",2,(IF(E1419="GV",3,(IF(E1419="RA",4,(IF(E1419="RM",5,(IF(E1419="AC",1,(IF(E1419="AT",2,(IF(E1419="DS",3,(IF(E1419="IP",4,(IF(E1419="MA",5,(IF(E1419="PT",6,(IF(E1419="AE",1,(IF(E1419="CM",2,(IF(E1419="DP",3,(IF(E1419="AN",1,(IF(E1419="CO",2,(IF(E1419="IM",3,(IF(E1419="MI",4,(IF(E1419="RP",5,(IF(E1419="SC",6,0)))))))))))))))))))))))))))))))))))))))</f>
        <v>1</v>
      </c>
      <c r="G1419" s="98">
        <v>5</v>
      </c>
      <c r="H1419" s="90" t="s">
        <v>115</v>
      </c>
      <c r="I1419" s="93" t="s">
        <v>77</v>
      </c>
      <c r="J1419" s="87" t="s">
        <v>1264</v>
      </c>
      <c r="K1419" s="102" t="s">
        <v>2278</v>
      </c>
      <c r="L1419" s="117">
        <f>IF(O1419="","",N1419*O1419*M1419)</f>
        <v>0</v>
      </c>
      <c r="M1419" s="108">
        <v>1</v>
      </c>
      <c r="N1419" s="95">
        <v>1</v>
      </c>
      <c r="O1419" s="109">
        <f>IF(Key!D$1="ON",P1419,IF(SUM(Q1419:DL1419)&lt;1,"",SUM(Q1419:DL1419)/COUNTIF(Q1419:DL1419,"&gt;0")))</f>
        <v>0</v>
      </c>
      <c r="P1419" s="109">
        <f>SUMIFS(Q1419:DK1419,Q$1:DK$1,Dashboard!$K$31)</f>
        <v>0</v>
      </c>
      <c r="U1419" s="95">
        <v>33</v>
      </c>
      <c r="AA1419" s="95">
        <v>25</v>
      </c>
      <c r="AH1419" s="95">
        <v>75</v>
      </c>
    </row>
    <row r="1420" spans="1:34" ht="15.6" x14ac:dyDescent="0.3">
      <c r="A1420" s="89" t="str">
        <f>CONCATENATE(D1420,".",F1420,"-",G1420,".",H1420,"")</f>
        <v>2.1-5.1</v>
      </c>
      <c r="B1420" s="89" t="str">
        <f>IF(CONCATENATE(I1420,Key!F$2)=CONCATENATE(INDEX(Dashboard!J:J,MATCH(I1420,Dashboard!J:J,0),1),INDEX(Dashboard!J:K,MATCH(I1420,Dashboard!J:J,0),2)),"ON",IF(Dashboard!K$32="ALL","ON","-"))</f>
        <v>-</v>
      </c>
      <c r="C1420" s="88" t="s">
        <v>152</v>
      </c>
      <c r="D1420" s="89">
        <f>IF(C1420="ID",1,(IF(C1420="PR",2,(IF(C1420="DE",3,(IF(C1420="RS",4,(IF(C1420="RC",5,0)))))))))</f>
        <v>2</v>
      </c>
      <c r="E1420" s="89" t="s">
        <v>153</v>
      </c>
      <c r="F1420" s="89">
        <f>IF(E1420="AM",1,(IF(E1420="BE",2,(IF(E1420="GV",3,(IF(E1420="RA",4,(IF(E1420="RM",5,(IF(E1420="AC",1,(IF(E1420="AT",2,(IF(E1420="DS",3,(IF(E1420="IP",4,(IF(E1420="MA",5,(IF(E1420="PT",6,(IF(E1420="AE",1,(IF(E1420="CM",2,(IF(E1420="DP",3,(IF(E1420="AN",1,(IF(E1420="CO",2,(IF(E1420="IM",3,(IF(E1420="MI",4,(IF(E1420="RP",5,(IF(E1420="SC",6,0)))))))))))))))))))))))))))))))))))))))</f>
        <v>1</v>
      </c>
      <c r="G1420" s="98">
        <v>5</v>
      </c>
      <c r="H1420" s="90" t="s">
        <v>115</v>
      </c>
      <c r="I1420" s="93" t="s">
        <v>77</v>
      </c>
      <c r="J1420" s="87" t="s">
        <v>1265</v>
      </c>
      <c r="K1420" s="102" t="s">
        <v>2279</v>
      </c>
      <c r="L1420" s="117">
        <f>IF(O1420="","",N1420*O1420*M1420)</f>
        <v>0</v>
      </c>
      <c r="M1420" s="108">
        <v>1</v>
      </c>
      <c r="N1420" s="95">
        <v>1</v>
      </c>
      <c r="O1420" s="109">
        <f>IF(Key!D$1="ON",P1420,IF(SUM(Q1420:DL1420)&lt;1,"",SUM(Q1420:DL1420)/COUNTIF(Q1420:DL1420,"&gt;0")))</f>
        <v>0</v>
      </c>
      <c r="P1420" s="109">
        <f>SUMIFS(Q1420:DK1420,Q$1:DK$1,Dashboard!$K$31)</f>
        <v>0</v>
      </c>
      <c r="U1420" s="95">
        <v>33</v>
      </c>
      <c r="AA1420" s="95">
        <v>25</v>
      </c>
      <c r="AH1420" s="95">
        <v>75</v>
      </c>
    </row>
    <row r="1421" spans="1:34" x14ac:dyDescent="0.3">
      <c r="A1421" s="89" t="str">
        <f>CONCATENATE(D1421,".",F1421,"-",G1421,".",H1421,"")</f>
        <v>2.1-5.1</v>
      </c>
      <c r="B1421" s="89" t="str">
        <f>IF(CONCATENATE(I1421,Key!F$2)=CONCATENATE(INDEX(Dashboard!J:J,MATCH(I1421,Dashboard!J:J,0),1),INDEX(Dashboard!J:K,MATCH(I1421,Dashboard!J:J,0),2)),"ON",IF(Dashboard!K$32="ALL","ON","-"))</f>
        <v>-</v>
      </c>
      <c r="C1421" s="88" t="s">
        <v>152</v>
      </c>
      <c r="D1421" s="89">
        <f>IF(C1421="ID",1,(IF(C1421="PR",2,(IF(C1421="DE",3,(IF(C1421="RS",4,(IF(C1421="RC",5,0)))))))))</f>
        <v>2</v>
      </c>
      <c r="E1421" s="89" t="s">
        <v>153</v>
      </c>
      <c r="F1421" s="89">
        <f>IF(E1421="AM",1,(IF(E1421="BE",2,(IF(E1421="GV",3,(IF(E1421="RA",4,(IF(E1421="RM",5,(IF(E1421="AC",1,(IF(E1421="AT",2,(IF(E1421="DS",3,(IF(E1421="IP",4,(IF(E1421="MA",5,(IF(E1421="PT",6,(IF(E1421="AE",1,(IF(E1421="CM",2,(IF(E1421="DP",3,(IF(E1421="AN",1,(IF(E1421="CO",2,(IF(E1421="IM",3,(IF(E1421="MI",4,(IF(E1421="RP",5,(IF(E1421="SC",6,0)))))))))))))))))))))))))))))))))))))))</f>
        <v>1</v>
      </c>
      <c r="G1421" s="52">
        <v>5</v>
      </c>
      <c r="H1421" s="90" t="s">
        <v>115</v>
      </c>
      <c r="I1421" s="93" t="s">
        <v>77</v>
      </c>
      <c r="J1421" s="87" t="s">
        <v>1266</v>
      </c>
      <c r="K1421" s="102" t="s">
        <v>2280</v>
      </c>
      <c r="L1421" s="117">
        <f>IF(O1421="","",N1421*O1421*M1421)</f>
        <v>0</v>
      </c>
      <c r="M1421" s="108">
        <v>1</v>
      </c>
      <c r="N1421" s="95">
        <v>1</v>
      </c>
      <c r="O1421" s="109">
        <f>IF(Key!D$1="ON",P1421,IF(SUM(Q1421:DL1421)&lt;1,"",SUM(Q1421:DL1421)/COUNTIF(Q1421:DL1421,"&gt;0")))</f>
        <v>0</v>
      </c>
      <c r="P1421" s="109">
        <f>SUMIFS(Q1421:DK1421,Q$1:DK$1,Dashboard!$K$31)</f>
        <v>0</v>
      </c>
      <c r="U1421" s="95">
        <v>33</v>
      </c>
      <c r="AA1421" s="95">
        <v>25</v>
      </c>
      <c r="AH1421" s="95">
        <v>75</v>
      </c>
    </row>
    <row r="1422" spans="1:34" x14ac:dyDescent="0.3">
      <c r="A1422" s="89" t="str">
        <f>CONCATENATE(D1422,".",F1422,"-",G1422,".",H1422,"")</f>
        <v>2.1-5.1</v>
      </c>
      <c r="B1422" s="89" t="str">
        <f>IF(CONCATENATE(I1422,Key!F$2)=CONCATENATE(INDEX(Dashboard!J:J,MATCH(I1422,Dashboard!J:J,0),1),INDEX(Dashboard!J:K,MATCH(I1422,Dashboard!J:J,0),2)),"ON",IF(Dashboard!K$32="ALL","ON","-"))</f>
        <v>-</v>
      </c>
      <c r="C1422" s="88" t="s">
        <v>152</v>
      </c>
      <c r="D1422" s="89">
        <f>IF(C1422="ID",1,(IF(C1422="PR",2,(IF(C1422="DE",3,(IF(C1422="RS",4,(IF(C1422="RC",5,0)))))))))</f>
        <v>2</v>
      </c>
      <c r="E1422" s="89" t="s">
        <v>153</v>
      </c>
      <c r="F1422" s="89">
        <f>IF(E1422="AM",1,(IF(E1422="BE",2,(IF(E1422="GV",3,(IF(E1422="RA",4,(IF(E1422="RM",5,(IF(E1422="AC",1,(IF(E1422="AT",2,(IF(E1422="DS",3,(IF(E1422="IP",4,(IF(E1422="MA",5,(IF(E1422="PT",6,(IF(E1422="AE",1,(IF(E1422="CM",2,(IF(E1422="DP",3,(IF(E1422="AN",1,(IF(E1422="CO",2,(IF(E1422="IM",3,(IF(E1422="MI",4,(IF(E1422="RP",5,(IF(E1422="SC",6,0)))))))))))))))))))))))))))))))))))))))</f>
        <v>1</v>
      </c>
      <c r="G1422" s="52">
        <v>5</v>
      </c>
      <c r="H1422" s="90" t="s">
        <v>115</v>
      </c>
      <c r="I1422" s="93" t="s">
        <v>77</v>
      </c>
      <c r="J1422" s="87" t="s">
        <v>1267</v>
      </c>
      <c r="K1422" s="102" t="s">
        <v>2281</v>
      </c>
      <c r="L1422" s="117">
        <f>IF(O1422="","",N1422*O1422*M1422)</f>
        <v>0</v>
      </c>
      <c r="M1422" s="108">
        <v>1</v>
      </c>
      <c r="N1422" s="95">
        <v>1</v>
      </c>
      <c r="O1422" s="109">
        <f>IF(Key!D$1="ON",P1422,IF(SUM(Q1422:DL1422)&lt;1,"",SUM(Q1422:DL1422)/COUNTIF(Q1422:DL1422,"&gt;0")))</f>
        <v>0</v>
      </c>
      <c r="P1422" s="109">
        <f>SUMIFS(Q1422:DK1422,Q$1:DK$1,Dashboard!$K$31)</f>
        <v>0</v>
      </c>
      <c r="U1422" s="95">
        <v>33</v>
      </c>
      <c r="AA1422" s="95">
        <v>25</v>
      </c>
      <c r="AH1422" s="95">
        <v>75</v>
      </c>
    </row>
    <row r="1423" spans="1:34" x14ac:dyDescent="0.3">
      <c r="A1423" s="89" t="str">
        <f>CONCATENATE(D1423,".",F1423,"-",G1423,".",H1423,"")</f>
        <v>2.1-5.1</v>
      </c>
      <c r="B1423" s="89" t="str">
        <f>IF(CONCATENATE(I1423,Key!F$2)=CONCATENATE(INDEX(Dashboard!J:J,MATCH(I1423,Dashboard!J:J,0),1),INDEX(Dashboard!J:K,MATCH(I1423,Dashboard!J:J,0),2)),"ON",IF(Dashboard!K$32="ALL","ON","-"))</f>
        <v>-</v>
      </c>
      <c r="C1423" s="88" t="s">
        <v>152</v>
      </c>
      <c r="D1423" s="89">
        <f>IF(C1423="ID",1,(IF(C1423="PR",2,(IF(C1423="DE",3,(IF(C1423="RS",4,(IF(C1423="RC",5,0)))))))))</f>
        <v>2</v>
      </c>
      <c r="E1423" s="89" t="s">
        <v>153</v>
      </c>
      <c r="F1423" s="89">
        <f>IF(E1423="AM",1,(IF(E1423="BE",2,(IF(E1423="GV",3,(IF(E1423="RA",4,(IF(E1423="RM",5,(IF(E1423="AC",1,(IF(E1423="AT",2,(IF(E1423="DS",3,(IF(E1423="IP",4,(IF(E1423="MA",5,(IF(E1423="PT",6,(IF(E1423="AE",1,(IF(E1423="CM",2,(IF(E1423="DP",3,(IF(E1423="AN",1,(IF(E1423="CO",2,(IF(E1423="IM",3,(IF(E1423="MI",4,(IF(E1423="RP",5,(IF(E1423="SC",6,0)))))))))))))))))))))))))))))))))))))))</f>
        <v>1</v>
      </c>
      <c r="G1423" s="52">
        <v>5</v>
      </c>
      <c r="H1423" s="90" t="s">
        <v>115</v>
      </c>
      <c r="I1423" s="93" t="s">
        <v>77</v>
      </c>
      <c r="J1423" s="87" t="s">
        <v>1268</v>
      </c>
      <c r="K1423" s="102" t="s">
        <v>2282</v>
      </c>
      <c r="L1423" s="117">
        <f>IF(O1423="","",N1423*O1423*M1423)</f>
        <v>0</v>
      </c>
      <c r="M1423" s="108">
        <v>1</v>
      </c>
      <c r="N1423" s="95">
        <v>1</v>
      </c>
      <c r="O1423" s="109">
        <f>IF(Key!D$1="ON",P1423,IF(SUM(Q1423:DL1423)&lt;1,"",SUM(Q1423:DL1423)/COUNTIF(Q1423:DL1423,"&gt;0")))</f>
        <v>0</v>
      </c>
      <c r="P1423" s="109">
        <f>SUMIFS(Q1423:DK1423,Q$1:DK$1,Dashboard!$K$31)</f>
        <v>0</v>
      </c>
      <c r="U1423" s="95">
        <v>33</v>
      </c>
      <c r="AA1423" s="95">
        <v>25</v>
      </c>
      <c r="AH1423" s="95">
        <v>75</v>
      </c>
    </row>
    <row r="1424" spans="1:34" ht="15.6" x14ac:dyDescent="0.3">
      <c r="A1424" s="89" t="str">
        <f>CONCATENATE(D1424,".",F1424,"-",G1424,".",H1424,"")</f>
        <v>2.1-5.1</v>
      </c>
      <c r="B1424" s="89" t="str">
        <f>IF(CONCATENATE(I1424,Key!F$2)=CONCATENATE(INDEX(Dashboard!J:J,MATCH(I1424,Dashboard!J:J,0),1),INDEX(Dashboard!J:K,MATCH(I1424,Dashboard!J:J,0),2)),"ON",IF(Dashboard!K$32="ALL","ON","-"))</f>
        <v>-</v>
      </c>
      <c r="C1424" s="96" t="s">
        <v>152</v>
      </c>
      <c r="D1424" s="89">
        <f>IF(C1424="ID",1,(IF(C1424="PR",2,(IF(C1424="DE",3,(IF(C1424="RS",4,(IF(C1424="RC",5,0)))))))))</f>
        <v>2</v>
      </c>
      <c r="E1424" s="89" t="s">
        <v>153</v>
      </c>
      <c r="F1424" s="89">
        <f>IF(E1424="AM",1,(IF(E1424="BE",2,(IF(E1424="GV",3,(IF(E1424="RA",4,(IF(E1424="RM",5,(IF(E1424="AC",1,(IF(E1424="AT",2,(IF(E1424="DS",3,(IF(E1424="IP",4,(IF(E1424="MA",5,(IF(E1424="PT",6,(IF(E1424="AE",1,(IF(E1424="CM",2,(IF(E1424="DP",3,(IF(E1424="AN",1,(IF(E1424="CO",2,(IF(E1424="IM",3,(IF(E1424="MI",4,(IF(E1424="RP",5,(IF(E1424="SC",6,0)))))))))))))))))))))))))))))))))))))))</f>
        <v>1</v>
      </c>
      <c r="G1424" s="98">
        <v>5</v>
      </c>
      <c r="H1424" s="90" t="s">
        <v>115</v>
      </c>
      <c r="I1424" s="93" t="s">
        <v>77</v>
      </c>
      <c r="J1424" s="87" t="s">
        <v>1269</v>
      </c>
      <c r="K1424" s="102" t="s">
        <v>2283</v>
      </c>
      <c r="L1424" s="117">
        <f>IF(O1424="","",N1424*O1424*M1424)</f>
        <v>0</v>
      </c>
      <c r="M1424" s="108">
        <v>1</v>
      </c>
      <c r="N1424" s="95">
        <v>1</v>
      </c>
      <c r="O1424" s="109">
        <f>IF(Key!D$1="ON",P1424,IF(SUM(Q1424:DL1424)&lt;1,"",SUM(Q1424:DL1424)/COUNTIF(Q1424:DL1424,"&gt;0")))</f>
        <v>0</v>
      </c>
      <c r="P1424" s="109">
        <f>SUMIFS(Q1424:DK1424,Q$1:DK$1,Dashboard!$K$31)</f>
        <v>0</v>
      </c>
      <c r="U1424" s="95">
        <v>33</v>
      </c>
      <c r="AA1424" s="95">
        <v>25</v>
      </c>
      <c r="AH1424" s="95">
        <v>75</v>
      </c>
    </row>
    <row r="1425" spans="1:34" x14ac:dyDescent="0.3">
      <c r="A1425" s="89" t="str">
        <f>CONCATENATE(D1425,".",F1425,"-",G1425,".",H1425,"")</f>
        <v>2.1-5.1</v>
      </c>
      <c r="B1425" s="89" t="str">
        <f>IF(CONCATENATE(I1425,Key!F$2)=CONCATENATE(INDEX(Dashboard!J:J,MATCH(I1425,Dashboard!J:J,0),1),INDEX(Dashboard!J:K,MATCH(I1425,Dashboard!J:J,0),2)),"ON",IF(Dashboard!K$32="ALL","ON","-"))</f>
        <v>-</v>
      </c>
      <c r="C1425" s="88" t="s">
        <v>152</v>
      </c>
      <c r="D1425" s="89">
        <f>IF(C1425="ID",1,(IF(C1425="PR",2,(IF(C1425="DE",3,(IF(C1425="RS",4,(IF(C1425="RC",5,0)))))))))</f>
        <v>2</v>
      </c>
      <c r="E1425" s="89" t="s">
        <v>153</v>
      </c>
      <c r="F1425" s="89">
        <f>IF(E1425="AM",1,(IF(E1425="BE",2,(IF(E1425="GV",3,(IF(E1425="RA",4,(IF(E1425="RM",5,(IF(E1425="AC",1,(IF(E1425="AT",2,(IF(E1425="DS",3,(IF(E1425="IP",4,(IF(E1425="MA",5,(IF(E1425="PT",6,(IF(E1425="AE",1,(IF(E1425="CM",2,(IF(E1425="DP",3,(IF(E1425="AN",1,(IF(E1425="CO",2,(IF(E1425="IM",3,(IF(E1425="MI",4,(IF(E1425="RP",5,(IF(E1425="SC",6,0)))))))))))))))))))))))))))))))))))))))</f>
        <v>1</v>
      </c>
      <c r="G1425" s="52">
        <v>5</v>
      </c>
      <c r="H1425" s="90" t="s">
        <v>115</v>
      </c>
      <c r="I1425" s="93" t="s">
        <v>77</v>
      </c>
      <c r="J1425" s="87" t="s">
        <v>1271</v>
      </c>
      <c r="K1425" s="102" t="s">
        <v>2284</v>
      </c>
      <c r="L1425" s="117">
        <f>IF(O1425="","",N1425*O1425*M1425)</f>
        <v>0</v>
      </c>
      <c r="M1425" s="108">
        <v>1</v>
      </c>
      <c r="N1425" s="95">
        <v>1</v>
      </c>
      <c r="O1425" s="109">
        <f>IF(Key!D$1="ON",P1425,IF(SUM(Q1425:DL1425)&lt;1,"",SUM(Q1425:DL1425)/COUNTIF(Q1425:DL1425,"&gt;0")))</f>
        <v>0</v>
      </c>
      <c r="P1425" s="109">
        <f>SUMIFS(Q1425:DK1425,Q$1:DK$1,Dashboard!$K$31)</f>
        <v>0</v>
      </c>
      <c r="U1425" s="95">
        <v>33</v>
      </c>
      <c r="AA1425" s="95">
        <v>25</v>
      </c>
      <c r="AH1425" s="95">
        <v>75</v>
      </c>
    </row>
    <row r="1426" spans="1:34" ht="15.6" x14ac:dyDescent="0.3">
      <c r="A1426" s="89" t="str">
        <f>CONCATENATE(D1426,".",F1426,"-",G1426,".",H1426,"")</f>
        <v>2.1-5.1</v>
      </c>
      <c r="B1426" s="89" t="str">
        <f>IF(CONCATENATE(I1426,Key!F$2)=CONCATENATE(INDEX(Dashboard!J:J,MATCH(I1426,Dashboard!J:J,0),1),INDEX(Dashboard!J:K,MATCH(I1426,Dashboard!J:J,0),2)),"ON",IF(Dashboard!K$32="ALL","ON","-"))</f>
        <v>-</v>
      </c>
      <c r="C1426" s="88" t="s">
        <v>152</v>
      </c>
      <c r="D1426" s="89">
        <f>IF(C1426="ID",1,(IF(C1426="PR",2,(IF(C1426="DE",3,(IF(C1426="RS",4,(IF(C1426="RC",5,0)))))))))</f>
        <v>2</v>
      </c>
      <c r="E1426" s="89" t="s">
        <v>153</v>
      </c>
      <c r="F1426" s="89">
        <f>IF(E1426="AM",1,(IF(E1426="BE",2,(IF(E1426="GV",3,(IF(E1426="RA",4,(IF(E1426="RM",5,(IF(E1426="AC",1,(IF(E1426="AT",2,(IF(E1426="DS",3,(IF(E1426="IP",4,(IF(E1426="MA",5,(IF(E1426="PT",6,(IF(E1426="AE",1,(IF(E1426="CM",2,(IF(E1426="DP",3,(IF(E1426="AN",1,(IF(E1426="CO",2,(IF(E1426="IM",3,(IF(E1426="MI",4,(IF(E1426="RP",5,(IF(E1426="SC",6,0)))))))))))))))))))))))))))))))))))))))</f>
        <v>1</v>
      </c>
      <c r="G1426" s="52">
        <v>5</v>
      </c>
      <c r="H1426" s="90" t="s">
        <v>115</v>
      </c>
      <c r="I1426" s="93" t="s">
        <v>77</v>
      </c>
      <c r="J1426" s="87" t="s">
        <v>1272</v>
      </c>
      <c r="K1426" s="102" t="s">
        <v>2285</v>
      </c>
      <c r="L1426" s="117">
        <f>IF(O1426="","",N1426*O1426*M1426)</f>
        <v>0</v>
      </c>
      <c r="M1426" s="108">
        <v>1</v>
      </c>
      <c r="N1426" s="95">
        <v>1</v>
      </c>
      <c r="O1426" s="109">
        <f>IF(Key!D$1="ON",P1426,IF(SUM(Q1426:DL1426)&lt;1,"",SUM(Q1426:DL1426)/COUNTIF(Q1426:DL1426,"&gt;0")))</f>
        <v>0</v>
      </c>
      <c r="P1426" s="109">
        <f>SUMIFS(Q1426:DK1426,Q$1:DK$1,Dashboard!$K$31)</f>
        <v>0</v>
      </c>
      <c r="U1426" s="95">
        <v>33</v>
      </c>
      <c r="AA1426" s="95">
        <v>25</v>
      </c>
      <c r="AH1426" s="95">
        <v>75</v>
      </c>
    </row>
    <row r="1427" spans="1:34" x14ac:dyDescent="0.3">
      <c r="A1427" s="89" t="str">
        <f>CONCATENATE(D1427,".",F1427,"-",G1427,".",H1427,"")</f>
        <v>2.1-5.1</v>
      </c>
      <c r="B1427" s="89" t="str">
        <f>IF(CONCATENATE(I1427,Key!F$2)=CONCATENATE(INDEX(Dashboard!J:J,MATCH(I1427,Dashboard!J:J,0),1),INDEX(Dashboard!J:K,MATCH(I1427,Dashboard!J:J,0),2)),"ON",IF(Dashboard!K$32="ALL","ON","-"))</f>
        <v>-</v>
      </c>
      <c r="C1427" s="88" t="s">
        <v>152</v>
      </c>
      <c r="D1427" s="89">
        <f>IF(C1427="ID",1,(IF(C1427="PR",2,(IF(C1427="DE",3,(IF(C1427="RS",4,(IF(C1427="RC",5,0)))))))))</f>
        <v>2</v>
      </c>
      <c r="E1427" s="89" t="s">
        <v>153</v>
      </c>
      <c r="F1427" s="89">
        <f>IF(E1427="AM",1,(IF(E1427="BE",2,(IF(E1427="GV",3,(IF(E1427="RA",4,(IF(E1427="RM",5,(IF(E1427="AC",1,(IF(E1427="AT",2,(IF(E1427="DS",3,(IF(E1427="IP",4,(IF(E1427="MA",5,(IF(E1427="PT",6,(IF(E1427="AE",1,(IF(E1427="CM",2,(IF(E1427="DP",3,(IF(E1427="AN",1,(IF(E1427="CO",2,(IF(E1427="IM",3,(IF(E1427="MI",4,(IF(E1427="RP",5,(IF(E1427="SC",6,0)))))))))))))))))))))))))))))))))))))))</f>
        <v>1</v>
      </c>
      <c r="G1427" s="52">
        <v>5</v>
      </c>
      <c r="H1427" s="90" t="s">
        <v>115</v>
      </c>
      <c r="I1427" s="93" t="s">
        <v>77</v>
      </c>
      <c r="J1427" s="87" t="s">
        <v>1273</v>
      </c>
      <c r="K1427" s="102" t="s">
        <v>2286</v>
      </c>
      <c r="L1427" s="117">
        <f>IF(O1427="","",N1427*O1427*M1427)</f>
        <v>0</v>
      </c>
      <c r="M1427" s="108">
        <v>1</v>
      </c>
      <c r="N1427" s="95">
        <v>1</v>
      </c>
      <c r="O1427" s="109">
        <f>IF(Key!D$1="ON",P1427,IF(SUM(Q1427:DL1427)&lt;1,"",SUM(Q1427:DL1427)/COUNTIF(Q1427:DL1427,"&gt;0")))</f>
        <v>0</v>
      </c>
      <c r="P1427" s="109">
        <f>SUMIFS(Q1427:DK1427,Q$1:DK$1,Dashboard!$K$31)</f>
        <v>0</v>
      </c>
      <c r="U1427" s="95">
        <v>33</v>
      </c>
      <c r="AA1427" s="95">
        <v>25</v>
      </c>
      <c r="AH1427" s="95">
        <v>75</v>
      </c>
    </row>
    <row r="1428" spans="1:34" x14ac:dyDescent="0.3">
      <c r="A1428" s="89" t="str">
        <f>CONCATENATE(D1428,".",F1428,"-",G1428,".",H1428,"")</f>
        <v>2.1-5.1</v>
      </c>
      <c r="B1428" s="89" t="str">
        <f>IF(CONCATENATE(I1428,Key!F$2)=CONCATENATE(INDEX(Dashboard!J:J,MATCH(I1428,Dashboard!J:J,0),1),INDEX(Dashboard!J:K,MATCH(I1428,Dashboard!J:J,0),2)),"ON",IF(Dashboard!K$32="ALL","ON","-"))</f>
        <v>-</v>
      </c>
      <c r="C1428" s="88" t="s">
        <v>152</v>
      </c>
      <c r="D1428" s="89">
        <f>IF(C1428="ID",1,(IF(C1428="PR",2,(IF(C1428="DE",3,(IF(C1428="RS",4,(IF(C1428="RC",5,0)))))))))</f>
        <v>2</v>
      </c>
      <c r="E1428" s="89" t="s">
        <v>153</v>
      </c>
      <c r="F1428" s="89">
        <f>IF(E1428="AM",1,(IF(E1428="BE",2,(IF(E1428="GV",3,(IF(E1428="RA",4,(IF(E1428="RM",5,(IF(E1428="AC",1,(IF(E1428="AT",2,(IF(E1428="DS",3,(IF(E1428="IP",4,(IF(E1428="MA",5,(IF(E1428="PT",6,(IF(E1428="AE",1,(IF(E1428="CM",2,(IF(E1428="DP",3,(IF(E1428="AN",1,(IF(E1428="CO",2,(IF(E1428="IM",3,(IF(E1428="MI",4,(IF(E1428="RP",5,(IF(E1428="SC",6,0)))))))))))))))))))))))))))))))))))))))</f>
        <v>1</v>
      </c>
      <c r="G1428" s="52">
        <v>5</v>
      </c>
      <c r="H1428" s="90" t="s">
        <v>115</v>
      </c>
      <c r="I1428" s="93" t="s">
        <v>77</v>
      </c>
      <c r="J1428" s="87" t="s">
        <v>1274</v>
      </c>
      <c r="K1428" s="102" t="s">
        <v>2287</v>
      </c>
      <c r="L1428" s="117">
        <f>IF(O1428="","",N1428*O1428*M1428)</f>
        <v>0</v>
      </c>
      <c r="M1428" s="108">
        <v>1</v>
      </c>
      <c r="N1428" s="95">
        <v>1</v>
      </c>
      <c r="O1428" s="109">
        <f>IF(Key!D$1="ON",P1428,IF(SUM(Q1428:DL1428)&lt;1,"",SUM(Q1428:DL1428)/COUNTIF(Q1428:DL1428,"&gt;0")))</f>
        <v>0</v>
      </c>
      <c r="P1428" s="109">
        <f>SUMIFS(Q1428:DK1428,Q$1:DK$1,Dashboard!$K$31)</f>
        <v>0</v>
      </c>
      <c r="U1428" s="95">
        <v>33</v>
      </c>
      <c r="AA1428" s="95">
        <v>25</v>
      </c>
      <c r="AH1428" s="95">
        <v>75</v>
      </c>
    </row>
    <row r="1429" spans="1:34" x14ac:dyDescent="0.3">
      <c r="A1429" s="89" t="str">
        <f>CONCATENATE(D1429,".",F1429,"-",G1429,".",H1429,"")</f>
        <v>2.1-5.1</v>
      </c>
      <c r="B1429" s="89" t="str">
        <f>IF(CONCATENATE(I1429,Key!F$2)=CONCATENATE(INDEX(Dashboard!J:J,MATCH(I1429,Dashboard!J:J,0),1),INDEX(Dashboard!J:K,MATCH(I1429,Dashboard!J:J,0),2)),"ON",IF(Dashboard!K$32="ALL","ON","-"))</f>
        <v>-</v>
      </c>
      <c r="C1429" s="88" t="s">
        <v>152</v>
      </c>
      <c r="D1429" s="89">
        <f>IF(C1429="ID",1,(IF(C1429="PR",2,(IF(C1429="DE",3,(IF(C1429="RS",4,(IF(C1429="RC",5,0)))))))))</f>
        <v>2</v>
      </c>
      <c r="E1429" s="89" t="s">
        <v>153</v>
      </c>
      <c r="F1429" s="89">
        <f>IF(E1429="AM",1,(IF(E1429="BE",2,(IF(E1429="GV",3,(IF(E1429="RA",4,(IF(E1429="RM",5,(IF(E1429="AC",1,(IF(E1429="AT",2,(IF(E1429="DS",3,(IF(E1429="IP",4,(IF(E1429="MA",5,(IF(E1429="PT",6,(IF(E1429="AE",1,(IF(E1429="CM",2,(IF(E1429="DP",3,(IF(E1429="AN",1,(IF(E1429="CO",2,(IF(E1429="IM",3,(IF(E1429="MI",4,(IF(E1429="RP",5,(IF(E1429="SC",6,0)))))))))))))))))))))))))))))))))))))))</f>
        <v>1</v>
      </c>
      <c r="G1429" s="52">
        <v>5</v>
      </c>
      <c r="H1429" s="90" t="s">
        <v>115</v>
      </c>
      <c r="I1429" s="93" t="s">
        <v>77</v>
      </c>
      <c r="J1429" s="87" t="s">
        <v>1275</v>
      </c>
      <c r="K1429" s="102" t="s">
        <v>2288</v>
      </c>
      <c r="L1429" s="117">
        <f>IF(O1429="","",N1429*O1429*M1429)</f>
        <v>0</v>
      </c>
      <c r="M1429" s="108">
        <v>1</v>
      </c>
      <c r="N1429" s="95">
        <v>1</v>
      </c>
      <c r="O1429" s="109">
        <f>IF(Key!D$1="ON",P1429,IF(SUM(Q1429:DL1429)&lt;1,"",SUM(Q1429:DL1429)/COUNTIF(Q1429:DL1429,"&gt;0")))</f>
        <v>0</v>
      </c>
      <c r="P1429" s="109">
        <f>SUMIFS(Q1429:DK1429,Q$1:DK$1,Dashboard!$K$31)</f>
        <v>0</v>
      </c>
      <c r="U1429" s="95">
        <v>33</v>
      </c>
      <c r="AA1429" s="95">
        <v>25</v>
      </c>
      <c r="AH1429" s="95">
        <v>75</v>
      </c>
    </row>
    <row r="1430" spans="1:34" x14ac:dyDescent="0.3">
      <c r="A1430" s="89" t="str">
        <f>CONCATENATE(D1430,".",F1430,"-",G1430,".",H1430,"")</f>
        <v>2.1-5.1</v>
      </c>
      <c r="B1430" s="89" t="str">
        <f>IF(CONCATENATE(I1430,Key!F$2)=CONCATENATE(INDEX(Dashboard!J:J,MATCH(I1430,Dashboard!J:J,0),1),INDEX(Dashboard!J:K,MATCH(I1430,Dashboard!J:J,0),2)),"ON",IF(Dashboard!K$32="ALL","ON","-"))</f>
        <v>-</v>
      </c>
      <c r="C1430" s="88" t="s">
        <v>152</v>
      </c>
      <c r="D1430" s="89">
        <f>IF(C1430="ID",1,(IF(C1430="PR",2,(IF(C1430="DE",3,(IF(C1430="RS",4,(IF(C1430="RC",5,0)))))))))</f>
        <v>2</v>
      </c>
      <c r="E1430" s="89" t="s">
        <v>153</v>
      </c>
      <c r="F1430" s="89">
        <f>IF(E1430="AM",1,(IF(E1430="BE",2,(IF(E1430="GV",3,(IF(E1430="RA",4,(IF(E1430="RM",5,(IF(E1430="AC",1,(IF(E1430="AT",2,(IF(E1430="DS",3,(IF(E1430="IP",4,(IF(E1430="MA",5,(IF(E1430="PT",6,(IF(E1430="AE",1,(IF(E1430="CM",2,(IF(E1430="DP",3,(IF(E1430="AN",1,(IF(E1430="CO",2,(IF(E1430="IM",3,(IF(E1430="MI",4,(IF(E1430="RP",5,(IF(E1430="SC",6,0)))))))))))))))))))))))))))))))))))))))</f>
        <v>1</v>
      </c>
      <c r="G1430" s="52">
        <v>5</v>
      </c>
      <c r="H1430" s="90" t="s">
        <v>115</v>
      </c>
      <c r="I1430" s="93" t="s">
        <v>77</v>
      </c>
      <c r="J1430" s="87" t="s">
        <v>1276</v>
      </c>
      <c r="K1430" s="102" t="s">
        <v>2289</v>
      </c>
      <c r="L1430" s="117">
        <f>IF(O1430="","",N1430*O1430*M1430)</f>
        <v>0</v>
      </c>
      <c r="M1430" s="108">
        <v>1</v>
      </c>
      <c r="N1430" s="95">
        <v>1</v>
      </c>
      <c r="O1430" s="109">
        <f>IF(Key!D$1="ON",P1430,IF(SUM(Q1430:DL1430)&lt;1,"",SUM(Q1430:DL1430)/COUNTIF(Q1430:DL1430,"&gt;0")))</f>
        <v>0</v>
      </c>
      <c r="P1430" s="109">
        <f>SUMIFS(Q1430:DK1430,Q$1:DK$1,Dashboard!$K$31)</f>
        <v>0</v>
      </c>
      <c r="U1430" s="95">
        <v>33</v>
      </c>
      <c r="AA1430" s="95">
        <v>25</v>
      </c>
      <c r="AH1430" s="95">
        <v>75</v>
      </c>
    </row>
    <row r="1431" spans="1:34" x14ac:dyDescent="0.3">
      <c r="A1431" s="89" t="str">
        <f>CONCATENATE(D1431,".",F1431,"-",G1431,".",H1431,"")</f>
        <v>2.1-5.1</v>
      </c>
      <c r="B1431" s="89" t="str">
        <f>IF(CONCATENATE(I1431,Key!F$2)=CONCATENATE(INDEX(Dashboard!J:J,MATCH(I1431,Dashboard!J:J,0),1),INDEX(Dashboard!J:K,MATCH(I1431,Dashboard!J:J,0),2)),"ON",IF(Dashboard!K$32="ALL","ON","-"))</f>
        <v>-</v>
      </c>
      <c r="C1431" s="88" t="s">
        <v>152</v>
      </c>
      <c r="D1431" s="89">
        <f>IF(C1431="ID",1,(IF(C1431="PR",2,(IF(C1431="DE",3,(IF(C1431="RS",4,(IF(C1431="RC",5,0)))))))))</f>
        <v>2</v>
      </c>
      <c r="E1431" s="89" t="s">
        <v>153</v>
      </c>
      <c r="F1431" s="89">
        <f>IF(E1431="AM",1,(IF(E1431="BE",2,(IF(E1431="GV",3,(IF(E1431="RA",4,(IF(E1431="RM",5,(IF(E1431="AC",1,(IF(E1431="AT",2,(IF(E1431="DS",3,(IF(E1431="IP",4,(IF(E1431="MA",5,(IF(E1431="PT",6,(IF(E1431="AE",1,(IF(E1431="CM",2,(IF(E1431="DP",3,(IF(E1431="AN",1,(IF(E1431="CO",2,(IF(E1431="IM",3,(IF(E1431="MI",4,(IF(E1431="RP",5,(IF(E1431="SC",6,0)))))))))))))))))))))))))))))))))))))))</f>
        <v>1</v>
      </c>
      <c r="G1431" s="52">
        <v>5</v>
      </c>
      <c r="H1431" s="90" t="s">
        <v>115</v>
      </c>
      <c r="I1431" s="93" t="s">
        <v>77</v>
      </c>
      <c r="J1431" s="87" t="s">
        <v>1277</v>
      </c>
      <c r="K1431" s="102" t="s">
        <v>2290</v>
      </c>
      <c r="L1431" s="117">
        <f>IF(O1431="","",N1431*O1431*M1431)</f>
        <v>0</v>
      </c>
      <c r="M1431" s="108">
        <v>1</v>
      </c>
      <c r="N1431" s="95">
        <v>1</v>
      </c>
      <c r="O1431" s="109">
        <f>IF(Key!D$1="ON",P1431,IF(SUM(Q1431:DL1431)&lt;1,"",SUM(Q1431:DL1431)/COUNTIF(Q1431:DL1431,"&gt;0")))</f>
        <v>0</v>
      </c>
      <c r="P1431" s="109">
        <f>SUMIFS(Q1431:DK1431,Q$1:DK$1,Dashboard!$K$31)</f>
        <v>0</v>
      </c>
      <c r="U1431" s="95">
        <v>33</v>
      </c>
      <c r="AA1431" s="95">
        <v>25</v>
      </c>
      <c r="AH1431" s="95">
        <v>75</v>
      </c>
    </row>
    <row r="1432" spans="1:34" x14ac:dyDescent="0.3">
      <c r="A1432" s="89" t="str">
        <f>CONCATENATE(D1432,".",F1432,"-",G1432,".",H1432,"")</f>
        <v>2.1-5.1</v>
      </c>
      <c r="B1432" s="89" t="str">
        <f>IF(CONCATENATE(I1432,Key!F$2)=CONCATENATE(INDEX(Dashboard!J:J,MATCH(I1432,Dashboard!J:J,0),1),INDEX(Dashboard!J:K,MATCH(I1432,Dashboard!J:J,0),2)),"ON",IF(Dashboard!K$32="ALL","ON","-"))</f>
        <v>-</v>
      </c>
      <c r="C1432" s="88" t="s">
        <v>152</v>
      </c>
      <c r="D1432" s="89">
        <f>IF(C1432="ID",1,(IF(C1432="PR",2,(IF(C1432="DE",3,(IF(C1432="RS",4,(IF(C1432="RC",5,0)))))))))</f>
        <v>2</v>
      </c>
      <c r="E1432" s="89" t="s">
        <v>153</v>
      </c>
      <c r="F1432" s="89">
        <f>IF(E1432="AM",1,(IF(E1432="BE",2,(IF(E1432="GV",3,(IF(E1432="RA",4,(IF(E1432="RM",5,(IF(E1432="AC",1,(IF(E1432="AT",2,(IF(E1432="DS",3,(IF(E1432="IP",4,(IF(E1432="MA",5,(IF(E1432="PT",6,(IF(E1432="AE",1,(IF(E1432="CM",2,(IF(E1432="DP",3,(IF(E1432="AN",1,(IF(E1432="CO",2,(IF(E1432="IM",3,(IF(E1432="MI",4,(IF(E1432="RP",5,(IF(E1432="SC",6,0)))))))))))))))))))))))))))))))))))))))</f>
        <v>1</v>
      </c>
      <c r="G1432" s="52">
        <v>5</v>
      </c>
      <c r="H1432" s="90" t="s">
        <v>115</v>
      </c>
      <c r="I1432" s="93" t="s">
        <v>77</v>
      </c>
      <c r="J1432" s="87" t="s">
        <v>1278</v>
      </c>
      <c r="K1432" s="102" t="s">
        <v>2291</v>
      </c>
      <c r="L1432" s="117">
        <f>IF(O1432="","",N1432*O1432*M1432)</f>
        <v>0</v>
      </c>
      <c r="M1432" s="108">
        <v>1</v>
      </c>
      <c r="N1432" s="95">
        <v>1</v>
      </c>
      <c r="O1432" s="109">
        <f>IF(Key!D$1="ON",P1432,IF(SUM(Q1432:DL1432)&lt;1,"",SUM(Q1432:DL1432)/COUNTIF(Q1432:DL1432,"&gt;0")))</f>
        <v>0</v>
      </c>
      <c r="P1432" s="109">
        <f>SUMIFS(Q1432:DK1432,Q$1:DK$1,Dashboard!$K$31)</f>
        <v>0</v>
      </c>
      <c r="U1432" s="95">
        <v>33</v>
      </c>
      <c r="AA1432" s="95">
        <v>25</v>
      </c>
      <c r="AH1432" s="95">
        <v>75</v>
      </c>
    </row>
    <row r="1433" spans="1:34" x14ac:dyDescent="0.3">
      <c r="A1433" s="89" t="str">
        <f>CONCATENATE(D1433,".",F1433,"-",G1433,".",H1433,"")</f>
        <v>2.1-5.1</v>
      </c>
      <c r="B1433" s="89" t="str">
        <f>IF(CONCATENATE(I1433,Key!F$2)=CONCATENATE(INDEX(Dashboard!J:J,MATCH(I1433,Dashboard!J:J,0),1),INDEX(Dashboard!J:K,MATCH(I1433,Dashboard!J:J,0),2)),"ON",IF(Dashboard!K$32="ALL","ON","-"))</f>
        <v>-</v>
      </c>
      <c r="C1433" s="88" t="s">
        <v>152</v>
      </c>
      <c r="D1433" s="89">
        <f>IF(C1433="ID",1,(IF(C1433="PR",2,(IF(C1433="DE",3,(IF(C1433="RS",4,(IF(C1433="RC",5,0)))))))))</f>
        <v>2</v>
      </c>
      <c r="E1433" s="89" t="s">
        <v>153</v>
      </c>
      <c r="F1433" s="89">
        <f>IF(E1433="AM",1,(IF(E1433="BE",2,(IF(E1433="GV",3,(IF(E1433="RA",4,(IF(E1433="RM",5,(IF(E1433="AC",1,(IF(E1433="AT",2,(IF(E1433="DS",3,(IF(E1433="IP",4,(IF(E1433="MA",5,(IF(E1433="PT",6,(IF(E1433="AE",1,(IF(E1433="CM",2,(IF(E1433="DP",3,(IF(E1433="AN",1,(IF(E1433="CO",2,(IF(E1433="IM",3,(IF(E1433="MI",4,(IF(E1433="RP",5,(IF(E1433="SC",6,0)))))))))))))))))))))))))))))))))))))))</f>
        <v>1</v>
      </c>
      <c r="G1433" s="52">
        <v>5</v>
      </c>
      <c r="H1433" s="90" t="s">
        <v>115</v>
      </c>
      <c r="I1433" s="93" t="s">
        <v>77</v>
      </c>
      <c r="J1433" s="87" t="s">
        <v>1279</v>
      </c>
      <c r="K1433" s="102" t="s">
        <v>2292</v>
      </c>
      <c r="L1433" s="117">
        <f>IF(O1433="","",N1433*O1433*M1433)</f>
        <v>0</v>
      </c>
      <c r="M1433" s="108">
        <v>1</v>
      </c>
      <c r="N1433" s="95">
        <v>1</v>
      </c>
      <c r="O1433" s="109">
        <f>IF(Key!D$1="ON",P1433,IF(SUM(Q1433:DL1433)&lt;1,"",SUM(Q1433:DL1433)/COUNTIF(Q1433:DL1433,"&gt;0")))</f>
        <v>0</v>
      </c>
      <c r="P1433" s="109">
        <f>SUMIFS(Q1433:DK1433,Q$1:DK$1,Dashboard!$K$31)</f>
        <v>0</v>
      </c>
      <c r="U1433" s="95">
        <v>33</v>
      </c>
      <c r="AA1433" s="95">
        <v>25</v>
      </c>
      <c r="AH1433" s="95">
        <v>75</v>
      </c>
    </row>
    <row r="1434" spans="1:34" x14ac:dyDescent="0.3">
      <c r="A1434" s="89" t="str">
        <f>CONCATENATE(D1434,".",F1434,"-",G1434,".",H1434,"")</f>
        <v>2.1-5.1</v>
      </c>
      <c r="B1434" s="89" t="str">
        <f>IF(CONCATENATE(I1434,Key!F$2)=CONCATENATE(INDEX(Dashboard!J:J,MATCH(I1434,Dashboard!J:J,0),1),INDEX(Dashboard!J:K,MATCH(I1434,Dashboard!J:J,0),2)),"ON",IF(Dashboard!K$32="ALL","ON","-"))</f>
        <v>-</v>
      </c>
      <c r="C1434" s="88" t="s">
        <v>152</v>
      </c>
      <c r="D1434" s="89">
        <f>IF(C1434="ID",1,(IF(C1434="PR",2,(IF(C1434="DE",3,(IF(C1434="RS",4,(IF(C1434="RC",5,0)))))))))</f>
        <v>2</v>
      </c>
      <c r="E1434" s="89" t="s">
        <v>153</v>
      </c>
      <c r="F1434" s="89">
        <f>IF(E1434="AM",1,(IF(E1434="BE",2,(IF(E1434="GV",3,(IF(E1434="RA",4,(IF(E1434="RM",5,(IF(E1434="AC",1,(IF(E1434="AT",2,(IF(E1434="DS",3,(IF(E1434="IP",4,(IF(E1434="MA",5,(IF(E1434="PT",6,(IF(E1434="AE",1,(IF(E1434="CM",2,(IF(E1434="DP",3,(IF(E1434="AN",1,(IF(E1434="CO",2,(IF(E1434="IM",3,(IF(E1434="MI",4,(IF(E1434="RP",5,(IF(E1434="SC",6,0)))))))))))))))))))))))))))))))))))))))</f>
        <v>1</v>
      </c>
      <c r="G1434" s="52">
        <v>5</v>
      </c>
      <c r="H1434" s="90" t="s">
        <v>115</v>
      </c>
      <c r="I1434" s="93" t="s">
        <v>77</v>
      </c>
      <c r="J1434" s="87" t="s">
        <v>1280</v>
      </c>
      <c r="K1434" s="102" t="s">
        <v>2293</v>
      </c>
      <c r="L1434" s="117">
        <f>IF(O1434="","",N1434*O1434*M1434)</f>
        <v>0</v>
      </c>
      <c r="M1434" s="108">
        <v>1</v>
      </c>
      <c r="N1434" s="95">
        <v>1</v>
      </c>
      <c r="O1434" s="109">
        <f>IF(Key!D$1="ON",P1434,IF(SUM(Q1434:DL1434)&lt;1,"",SUM(Q1434:DL1434)/COUNTIF(Q1434:DL1434,"&gt;0")))</f>
        <v>0</v>
      </c>
      <c r="P1434" s="109">
        <f>SUMIFS(Q1434:DK1434,Q$1:DK$1,Dashboard!$K$31)</f>
        <v>0</v>
      </c>
      <c r="U1434" s="95">
        <v>33</v>
      </c>
      <c r="AA1434" s="95">
        <v>25</v>
      </c>
      <c r="AH1434" s="95">
        <v>75</v>
      </c>
    </row>
    <row r="1435" spans="1:34" x14ac:dyDescent="0.3">
      <c r="A1435" s="89" t="str">
        <f>CONCATENATE(D1435,".",F1435,"-",G1435,".",H1435,"")</f>
        <v>2.1-5.1</v>
      </c>
      <c r="B1435" s="89" t="str">
        <f>IF(CONCATENATE(I1435,Key!F$2)=CONCATENATE(INDEX(Dashboard!J:J,MATCH(I1435,Dashboard!J:J,0),1),INDEX(Dashboard!J:K,MATCH(I1435,Dashboard!J:J,0),2)),"ON",IF(Dashboard!K$32="ALL","ON","-"))</f>
        <v>-</v>
      </c>
      <c r="C1435" s="88" t="s">
        <v>152</v>
      </c>
      <c r="D1435" s="89">
        <f>IF(C1435="ID",1,(IF(C1435="PR",2,(IF(C1435="DE",3,(IF(C1435="RS",4,(IF(C1435="RC",5,0)))))))))</f>
        <v>2</v>
      </c>
      <c r="E1435" s="89" t="s">
        <v>153</v>
      </c>
      <c r="F1435" s="89">
        <f>IF(E1435="AM",1,(IF(E1435="BE",2,(IF(E1435="GV",3,(IF(E1435="RA",4,(IF(E1435="RM",5,(IF(E1435="AC",1,(IF(E1435="AT",2,(IF(E1435="DS",3,(IF(E1435="IP",4,(IF(E1435="MA",5,(IF(E1435="PT",6,(IF(E1435="AE",1,(IF(E1435="CM",2,(IF(E1435="DP",3,(IF(E1435="AN",1,(IF(E1435="CO",2,(IF(E1435="IM",3,(IF(E1435="MI",4,(IF(E1435="RP",5,(IF(E1435="SC",6,0)))))))))))))))))))))))))))))))))))))))</f>
        <v>1</v>
      </c>
      <c r="G1435" s="52">
        <v>5</v>
      </c>
      <c r="H1435" s="90" t="s">
        <v>115</v>
      </c>
      <c r="I1435" s="93" t="s">
        <v>77</v>
      </c>
      <c r="J1435" s="87" t="s">
        <v>1281</v>
      </c>
      <c r="K1435" s="102" t="s">
        <v>2294</v>
      </c>
      <c r="L1435" s="117">
        <f>IF(O1435="","",N1435*O1435*M1435)</f>
        <v>0</v>
      </c>
      <c r="M1435" s="108">
        <v>1</v>
      </c>
      <c r="N1435" s="95">
        <v>1</v>
      </c>
      <c r="O1435" s="109">
        <f>IF(Key!D$1="ON",P1435,IF(SUM(Q1435:DL1435)&lt;1,"",SUM(Q1435:DL1435)/COUNTIF(Q1435:DL1435,"&gt;0")))</f>
        <v>0</v>
      </c>
      <c r="P1435" s="109">
        <f>SUMIFS(Q1435:DK1435,Q$1:DK$1,Dashboard!$K$31)</f>
        <v>0</v>
      </c>
      <c r="U1435" s="95">
        <v>33</v>
      </c>
      <c r="AA1435" s="95">
        <v>25</v>
      </c>
      <c r="AH1435" s="95">
        <v>75</v>
      </c>
    </row>
    <row r="1436" spans="1:34" ht="15.6" x14ac:dyDescent="0.3">
      <c r="A1436" s="89" t="str">
        <f>CONCATENATE(D1436,".",F1436,"-",G1436,".",H1436,"")</f>
        <v>2.1-5.1</v>
      </c>
      <c r="B1436" s="89" t="str">
        <f>IF(CONCATENATE(I1436,Key!F$2)=CONCATENATE(INDEX(Dashboard!J:J,MATCH(I1436,Dashboard!J:J,0),1),INDEX(Dashboard!J:K,MATCH(I1436,Dashboard!J:J,0),2)),"ON",IF(Dashboard!K$32="ALL","ON","-"))</f>
        <v>-</v>
      </c>
      <c r="C1436" s="88" t="s">
        <v>152</v>
      </c>
      <c r="D1436" s="89">
        <f>IF(C1436="ID",1,(IF(C1436="PR",2,(IF(C1436="DE",3,(IF(C1436="RS",4,(IF(C1436="RC",5,0)))))))))</f>
        <v>2</v>
      </c>
      <c r="E1436" s="89" t="s">
        <v>153</v>
      </c>
      <c r="F1436" s="89">
        <f>IF(E1436="AM",1,(IF(E1436="BE",2,(IF(E1436="GV",3,(IF(E1436="RA",4,(IF(E1436="RM",5,(IF(E1436="AC",1,(IF(E1436="AT",2,(IF(E1436="DS",3,(IF(E1436="IP",4,(IF(E1436="MA",5,(IF(E1436="PT",6,(IF(E1436="AE",1,(IF(E1436="CM",2,(IF(E1436="DP",3,(IF(E1436="AN",1,(IF(E1436="CO",2,(IF(E1436="IM",3,(IF(E1436="MI",4,(IF(E1436="RP",5,(IF(E1436="SC",6,0)))))))))))))))))))))))))))))))))))))))</f>
        <v>1</v>
      </c>
      <c r="G1436" s="52">
        <v>5</v>
      </c>
      <c r="H1436" s="90" t="s">
        <v>115</v>
      </c>
      <c r="I1436" s="93" t="s">
        <v>77</v>
      </c>
      <c r="J1436" s="87" t="s">
        <v>1282</v>
      </c>
      <c r="K1436" s="102" t="s">
        <v>2295</v>
      </c>
      <c r="L1436" s="117">
        <f>IF(O1436="","",N1436*O1436*M1436)</f>
        <v>0</v>
      </c>
      <c r="M1436" s="108">
        <v>1</v>
      </c>
      <c r="N1436" s="95">
        <v>1</v>
      </c>
      <c r="O1436" s="109">
        <f>IF(Key!D$1="ON",P1436,IF(SUM(Q1436:DL1436)&lt;1,"",SUM(Q1436:DL1436)/COUNTIF(Q1436:DL1436,"&gt;0")))</f>
        <v>0</v>
      </c>
      <c r="P1436" s="109">
        <f>SUMIFS(Q1436:DK1436,Q$1:DK$1,Dashboard!$K$31)</f>
        <v>0</v>
      </c>
      <c r="U1436" s="95">
        <v>33</v>
      </c>
      <c r="AA1436" s="95">
        <v>25</v>
      </c>
      <c r="AH1436" s="95">
        <v>75</v>
      </c>
    </row>
    <row r="1437" spans="1:34" x14ac:dyDescent="0.3">
      <c r="A1437" s="89" t="str">
        <f>CONCATENATE(D1437,".",F1437,"-",G1437,".",H1437,"")</f>
        <v>2.1-5.1</v>
      </c>
      <c r="B1437" s="89" t="str">
        <f>IF(CONCATENATE(I1437,Key!F$2)=CONCATENATE(INDEX(Dashboard!J:J,MATCH(I1437,Dashboard!J:J,0),1),INDEX(Dashboard!J:K,MATCH(I1437,Dashboard!J:J,0),2)),"ON",IF(Dashboard!K$32="ALL","ON","-"))</f>
        <v>-</v>
      </c>
      <c r="C1437" s="88" t="s">
        <v>152</v>
      </c>
      <c r="D1437" s="89">
        <f>IF(C1437="ID",1,(IF(C1437="PR",2,(IF(C1437="DE",3,(IF(C1437="RS",4,(IF(C1437="RC",5,0)))))))))</f>
        <v>2</v>
      </c>
      <c r="E1437" s="89" t="s">
        <v>153</v>
      </c>
      <c r="F1437" s="89">
        <f>IF(E1437="AM",1,(IF(E1437="BE",2,(IF(E1437="GV",3,(IF(E1437="RA",4,(IF(E1437="RM",5,(IF(E1437="AC",1,(IF(E1437="AT",2,(IF(E1437="DS",3,(IF(E1437="IP",4,(IF(E1437="MA",5,(IF(E1437="PT",6,(IF(E1437="AE",1,(IF(E1437="CM",2,(IF(E1437="DP",3,(IF(E1437="AN",1,(IF(E1437="CO",2,(IF(E1437="IM",3,(IF(E1437="MI",4,(IF(E1437="RP",5,(IF(E1437="SC",6,0)))))))))))))))))))))))))))))))))))))))</f>
        <v>1</v>
      </c>
      <c r="G1437" s="52">
        <v>5</v>
      </c>
      <c r="H1437" s="90" t="s">
        <v>115</v>
      </c>
      <c r="I1437" s="93" t="s">
        <v>77</v>
      </c>
      <c r="J1437" s="87" t="s">
        <v>1283</v>
      </c>
      <c r="K1437" s="102" t="s">
        <v>2296</v>
      </c>
      <c r="L1437" s="117">
        <f>IF(O1437="","",N1437*O1437*M1437)</f>
        <v>0</v>
      </c>
      <c r="M1437" s="108">
        <v>1</v>
      </c>
      <c r="N1437" s="95">
        <v>1</v>
      </c>
      <c r="O1437" s="109">
        <f>IF(Key!D$1="ON",P1437,IF(SUM(Q1437:DL1437)&lt;1,"",SUM(Q1437:DL1437)/COUNTIF(Q1437:DL1437,"&gt;0")))</f>
        <v>0</v>
      </c>
      <c r="P1437" s="109">
        <f>SUMIFS(Q1437:DK1437,Q$1:DK$1,Dashboard!$K$31)</f>
        <v>0</v>
      </c>
      <c r="U1437" s="95">
        <v>33</v>
      </c>
      <c r="AA1437" s="95">
        <v>25</v>
      </c>
      <c r="AH1437" s="95">
        <v>75</v>
      </c>
    </row>
    <row r="1438" spans="1:34" x14ac:dyDescent="0.3">
      <c r="A1438" s="89" t="str">
        <f>CONCATENATE(D1438,".",F1438,"-",G1438,".",H1438,"")</f>
        <v>2.1-5.1</v>
      </c>
      <c r="B1438" s="89" t="str">
        <f>IF(CONCATENATE(I1438,Key!F$2)=CONCATENATE(INDEX(Dashboard!J:J,MATCH(I1438,Dashboard!J:J,0),1),INDEX(Dashboard!J:K,MATCH(I1438,Dashboard!J:J,0),2)),"ON",IF(Dashboard!K$32="ALL","ON","-"))</f>
        <v>-</v>
      </c>
      <c r="C1438" s="88" t="s">
        <v>152</v>
      </c>
      <c r="D1438" s="89">
        <f>IF(C1438="ID",1,(IF(C1438="PR",2,(IF(C1438="DE",3,(IF(C1438="RS",4,(IF(C1438="RC",5,0)))))))))</f>
        <v>2</v>
      </c>
      <c r="E1438" s="89" t="s">
        <v>153</v>
      </c>
      <c r="F1438" s="89">
        <f>IF(E1438="AM",1,(IF(E1438="BE",2,(IF(E1438="GV",3,(IF(E1438="RA",4,(IF(E1438="RM",5,(IF(E1438="AC",1,(IF(E1438="AT",2,(IF(E1438="DS",3,(IF(E1438="IP",4,(IF(E1438="MA",5,(IF(E1438="PT",6,(IF(E1438="AE",1,(IF(E1438="CM",2,(IF(E1438="DP",3,(IF(E1438="AN",1,(IF(E1438="CO",2,(IF(E1438="IM",3,(IF(E1438="MI",4,(IF(E1438="RP",5,(IF(E1438="SC",6,0)))))))))))))))))))))))))))))))))))))))</f>
        <v>1</v>
      </c>
      <c r="G1438" s="52">
        <v>5</v>
      </c>
      <c r="H1438" s="90" t="s">
        <v>115</v>
      </c>
      <c r="I1438" s="93" t="s">
        <v>77</v>
      </c>
      <c r="J1438" s="87" t="s">
        <v>1284</v>
      </c>
      <c r="K1438" s="102" t="s">
        <v>2297</v>
      </c>
      <c r="L1438" s="117">
        <f>IF(O1438="","",N1438*O1438*M1438)</f>
        <v>0</v>
      </c>
      <c r="M1438" s="108">
        <v>1</v>
      </c>
      <c r="N1438" s="95">
        <v>1</v>
      </c>
      <c r="O1438" s="109">
        <f>IF(Key!D$1="ON",P1438,IF(SUM(Q1438:DL1438)&lt;1,"",SUM(Q1438:DL1438)/COUNTIF(Q1438:DL1438,"&gt;0")))</f>
        <v>0</v>
      </c>
      <c r="P1438" s="109">
        <f>SUMIFS(Q1438:DK1438,Q$1:DK$1,Dashboard!$K$31)</f>
        <v>0</v>
      </c>
      <c r="U1438" s="95">
        <v>33</v>
      </c>
      <c r="AA1438" s="95">
        <v>25</v>
      </c>
      <c r="AH1438" s="95">
        <v>75</v>
      </c>
    </row>
    <row r="1439" spans="1:34" x14ac:dyDescent="0.3">
      <c r="A1439" s="89" t="str">
        <f>CONCATENATE(D1439,".",F1439,"-",G1439,".",H1439,"")</f>
        <v>2.1-5.1</v>
      </c>
      <c r="B1439" s="89" t="str">
        <f>IF(CONCATENATE(I1439,Key!F$2)=CONCATENATE(INDEX(Dashboard!J:J,MATCH(I1439,Dashboard!J:J,0),1),INDEX(Dashboard!J:K,MATCH(I1439,Dashboard!J:J,0),2)),"ON",IF(Dashboard!K$32="ALL","ON","-"))</f>
        <v>-</v>
      </c>
      <c r="C1439" s="88" t="s">
        <v>152</v>
      </c>
      <c r="D1439" s="89">
        <f>IF(C1439="ID",1,(IF(C1439="PR",2,(IF(C1439="DE",3,(IF(C1439="RS",4,(IF(C1439="RC",5,0)))))))))</f>
        <v>2</v>
      </c>
      <c r="E1439" s="89" t="s">
        <v>153</v>
      </c>
      <c r="F1439" s="89">
        <f>IF(E1439="AM",1,(IF(E1439="BE",2,(IF(E1439="GV",3,(IF(E1439="RA",4,(IF(E1439="RM",5,(IF(E1439="AC",1,(IF(E1439="AT",2,(IF(E1439="DS",3,(IF(E1439="IP",4,(IF(E1439="MA",5,(IF(E1439="PT",6,(IF(E1439="AE",1,(IF(E1439="CM",2,(IF(E1439="DP",3,(IF(E1439="AN",1,(IF(E1439="CO",2,(IF(E1439="IM",3,(IF(E1439="MI",4,(IF(E1439="RP",5,(IF(E1439="SC",6,0)))))))))))))))))))))))))))))))))))))))</f>
        <v>1</v>
      </c>
      <c r="G1439" s="52">
        <v>5</v>
      </c>
      <c r="H1439" s="90" t="s">
        <v>115</v>
      </c>
      <c r="I1439" s="93" t="s">
        <v>77</v>
      </c>
      <c r="J1439" s="87" t="s">
        <v>1285</v>
      </c>
      <c r="K1439" s="102" t="s">
        <v>2298</v>
      </c>
      <c r="L1439" s="117">
        <f>IF(O1439="","",N1439*O1439*M1439)</f>
        <v>0</v>
      </c>
      <c r="M1439" s="108">
        <v>1</v>
      </c>
      <c r="N1439" s="95">
        <v>1</v>
      </c>
      <c r="O1439" s="109">
        <f>IF(Key!D$1="ON",P1439,IF(SUM(Q1439:DL1439)&lt;1,"",SUM(Q1439:DL1439)/COUNTIF(Q1439:DL1439,"&gt;0")))</f>
        <v>0</v>
      </c>
      <c r="P1439" s="109">
        <f>SUMIFS(Q1439:DK1439,Q$1:DK$1,Dashboard!$K$31)</f>
        <v>0</v>
      </c>
      <c r="U1439" s="95">
        <v>33</v>
      </c>
      <c r="AA1439" s="95">
        <v>25</v>
      </c>
      <c r="AH1439" s="95">
        <v>75</v>
      </c>
    </row>
    <row r="1440" spans="1:34" x14ac:dyDescent="0.3">
      <c r="A1440" s="89" t="str">
        <f>CONCATENATE(D1440,".",F1440,"-",G1440,".",H1440,"")</f>
        <v>2.1-5.1</v>
      </c>
      <c r="B1440" s="89" t="str">
        <f>IF(CONCATENATE(I1440,Key!F$2)=CONCATENATE(INDEX(Dashboard!J:J,MATCH(I1440,Dashboard!J:J,0),1),INDEX(Dashboard!J:K,MATCH(I1440,Dashboard!J:J,0),2)),"ON",IF(Dashboard!K$32="ALL","ON","-"))</f>
        <v>-</v>
      </c>
      <c r="C1440" s="88" t="s">
        <v>152</v>
      </c>
      <c r="D1440" s="89">
        <f>IF(C1440="ID",1,(IF(C1440="PR",2,(IF(C1440="DE",3,(IF(C1440="RS",4,(IF(C1440="RC",5,0)))))))))</f>
        <v>2</v>
      </c>
      <c r="E1440" s="89" t="s">
        <v>153</v>
      </c>
      <c r="F1440" s="89">
        <f>IF(E1440="AM",1,(IF(E1440="BE",2,(IF(E1440="GV",3,(IF(E1440="RA",4,(IF(E1440="RM",5,(IF(E1440="AC",1,(IF(E1440="AT",2,(IF(E1440="DS",3,(IF(E1440="IP",4,(IF(E1440="MA",5,(IF(E1440="PT",6,(IF(E1440="AE",1,(IF(E1440="CM",2,(IF(E1440="DP",3,(IF(E1440="AN",1,(IF(E1440="CO",2,(IF(E1440="IM",3,(IF(E1440="MI",4,(IF(E1440="RP",5,(IF(E1440="SC",6,0)))))))))))))))))))))))))))))))))))))))</f>
        <v>1</v>
      </c>
      <c r="G1440" s="52">
        <v>5</v>
      </c>
      <c r="H1440" s="90" t="s">
        <v>115</v>
      </c>
      <c r="I1440" s="93" t="s">
        <v>77</v>
      </c>
      <c r="J1440" s="87" t="s">
        <v>1286</v>
      </c>
      <c r="K1440" s="102" t="s">
        <v>2299</v>
      </c>
      <c r="L1440" s="117">
        <f>IF(O1440="","",N1440*O1440*M1440)</f>
        <v>0</v>
      </c>
      <c r="M1440" s="108">
        <v>1</v>
      </c>
      <c r="N1440" s="95">
        <v>1</v>
      </c>
      <c r="O1440" s="109">
        <f>IF(Key!D$1="ON",P1440,IF(SUM(Q1440:DL1440)&lt;1,"",SUM(Q1440:DL1440)/COUNTIF(Q1440:DL1440,"&gt;0")))</f>
        <v>0</v>
      </c>
      <c r="P1440" s="109">
        <f>SUMIFS(Q1440:DK1440,Q$1:DK$1,Dashboard!$K$31)</f>
        <v>0</v>
      </c>
      <c r="U1440" s="95">
        <v>33</v>
      </c>
      <c r="AA1440" s="95">
        <v>25</v>
      </c>
      <c r="AH1440" s="95">
        <v>75</v>
      </c>
    </row>
    <row r="1441" spans="1:34" x14ac:dyDescent="0.3">
      <c r="A1441" s="89" t="str">
        <f>CONCATENATE(D1441,".",F1441,"-",G1441,".",H1441,"")</f>
        <v>2.1-5.1</v>
      </c>
      <c r="B1441" s="89" t="str">
        <f>IF(CONCATENATE(I1441,Key!F$2)=CONCATENATE(INDEX(Dashboard!J:J,MATCH(I1441,Dashboard!J:J,0),1),INDEX(Dashboard!J:K,MATCH(I1441,Dashboard!J:J,0),2)),"ON",IF(Dashboard!K$32="ALL","ON","-"))</f>
        <v>-</v>
      </c>
      <c r="C1441" s="88" t="s">
        <v>152</v>
      </c>
      <c r="D1441" s="89">
        <f>IF(C1441="ID",1,(IF(C1441="PR",2,(IF(C1441="DE",3,(IF(C1441="RS",4,(IF(C1441="RC",5,0)))))))))</f>
        <v>2</v>
      </c>
      <c r="E1441" s="89" t="s">
        <v>153</v>
      </c>
      <c r="F1441" s="89">
        <f>IF(E1441="AM",1,(IF(E1441="BE",2,(IF(E1441="GV",3,(IF(E1441="RA",4,(IF(E1441="RM",5,(IF(E1441="AC",1,(IF(E1441="AT",2,(IF(E1441="DS",3,(IF(E1441="IP",4,(IF(E1441="MA",5,(IF(E1441="PT",6,(IF(E1441="AE",1,(IF(E1441="CM",2,(IF(E1441="DP",3,(IF(E1441="AN",1,(IF(E1441="CO",2,(IF(E1441="IM",3,(IF(E1441="MI",4,(IF(E1441="RP",5,(IF(E1441="SC",6,0)))))))))))))))))))))))))))))))))))))))</f>
        <v>1</v>
      </c>
      <c r="G1441" s="52">
        <v>5</v>
      </c>
      <c r="H1441" s="90" t="s">
        <v>115</v>
      </c>
      <c r="I1441" s="93" t="s">
        <v>77</v>
      </c>
      <c r="J1441" s="87" t="s">
        <v>1287</v>
      </c>
      <c r="K1441" s="102" t="s">
        <v>2300</v>
      </c>
      <c r="L1441" s="117">
        <f>IF(O1441="","",N1441*O1441*M1441)</f>
        <v>0</v>
      </c>
      <c r="M1441" s="108">
        <v>1</v>
      </c>
      <c r="N1441" s="95">
        <v>1</v>
      </c>
      <c r="O1441" s="109">
        <f>IF(Key!D$1="ON",P1441,IF(SUM(Q1441:DL1441)&lt;1,"",SUM(Q1441:DL1441)/COUNTIF(Q1441:DL1441,"&gt;0")))</f>
        <v>0</v>
      </c>
      <c r="P1441" s="109">
        <f>SUMIFS(Q1441:DK1441,Q$1:DK$1,Dashboard!$K$31)</f>
        <v>0</v>
      </c>
      <c r="U1441" s="95">
        <v>33</v>
      </c>
      <c r="AA1441" s="95">
        <v>25</v>
      </c>
      <c r="AH1441" s="95">
        <v>75</v>
      </c>
    </row>
    <row r="1442" spans="1:34" x14ac:dyDescent="0.3">
      <c r="A1442" s="89" t="str">
        <f>CONCATENATE(D1442,".",F1442,"-",G1442,".",H1442,"")</f>
        <v>2.1-5.1</v>
      </c>
      <c r="B1442" s="89" t="str">
        <f>IF(CONCATENATE(I1442,Key!F$2)=CONCATENATE(INDEX(Dashboard!J:J,MATCH(I1442,Dashboard!J:J,0),1),INDEX(Dashboard!J:K,MATCH(I1442,Dashboard!J:J,0),2)),"ON",IF(Dashboard!K$32="ALL","ON","-"))</f>
        <v>-</v>
      </c>
      <c r="C1442" s="88" t="s">
        <v>152</v>
      </c>
      <c r="D1442" s="89">
        <f>IF(C1442="ID",1,(IF(C1442="PR",2,(IF(C1442="DE",3,(IF(C1442="RS",4,(IF(C1442="RC",5,0)))))))))</f>
        <v>2</v>
      </c>
      <c r="E1442" s="89" t="s">
        <v>153</v>
      </c>
      <c r="F1442" s="89">
        <f>IF(E1442="AM",1,(IF(E1442="BE",2,(IF(E1442="GV",3,(IF(E1442="RA",4,(IF(E1442="RM",5,(IF(E1442="AC",1,(IF(E1442="AT",2,(IF(E1442="DS",3,(IF(E1442="IP",4,(IF(E1442="MA",5,(IF(E1442="PT",6,(IF(E1442="AE",1,(IF(E1442="CM",2,(IF(E1442="DP",3,(IF(E1442="AN",1,(IF(E1442="CO",2,(IF(E1442="IM",3,(IF(E1442="MI",4,(IF(E1442="RP",5,(IF(E1442="SC",6,0)))))))))))))))))))))))))))))))))))))))</f>
        <v>1</v>
      </c>
      <c r="G1442" s="52">
        <v>5</v>
      </c>
      <c r="H1442" s="90" t="s">
        <v>115</v>
      </c>
      <c r="I1442" s="93" t="s">
        <v>77</v>
      </c>
      <c r="J1442" s="87" t="s">
        <v>1288</v>
      </c>
      <c r="K1442" s="102" t="s">
        <v>2301</v>
      </c>
      <c r="L1442" s="117">
        <f>IF(O1442="","",N1442*O1442*M1442)</f>
        <v>0</v>
      </c>
      <c r="M1442" s="108">
        <v>1</v>
      </c>
      <c r="N1442" s="95">
        <v>1</v>
      </c>
      <c r="O1442" s="109">
        <f>IF(Key!D$1="ON",P1442,IF(SUM(Q1442:DL1442)&lt;1,"",SUM(Q1442:DL1442)/COUNTIF(Q1442:DL1442,"&gt;0")))</f>
        <v>0</v>
      </c>
      <c r="P1442" s="109">
        <f>SUMIFS(Q1442:DK1442,Q$1:DK$1,Dashboard!$K$31)</f>
        <v>0</v>
      </c>
      <c r="U1442" s="95">
        <v>33</v>
      </c>
      <c r="AA1442" s="95">
        <v>25</v>
      </c>
      <c r="AH1442" s="95">
        <v>75</v>
      </c>
    </row>
    <row r="1443" spans="1:34" x14ac:dyDescent="0.3">
      <c r="A1443" s="89" t="str">
        <f>CONCATENATE(D1443,".",F1443,"-",G1443,".",H1443,"")</f>
        <v>2.1-5.1</v>
      </c>
      <c r="B1443" s="89" t="str">
        <f>IF(CONCATENATE(I1443,Key!F$2)=CONCATENATE(INDEX(Dashboard!J:J,MATCH(I1443,Dashboard!J:J,0),1),INDEX(Dashboard!J:K,MATCH(I1443,Dashboard!J:J,0),2)),"ON",IF(Dashboard!K$32="ALL","ON","-"))</f>
        <v>-</v>
      </c>
      <c r="C1443" s="88" t="s">
        <v>152</v>
      </c>
      <c r="D1443" s="89">
        <f>IF(C1443="ID",1,(IF(C1443="PR",2,(IF(C1443="DE",3,(IF(C1443="RS",4,(IF(C1443="RC",5,0)))))))))</f>
        <v>2</v>
      </c>
      <c r="E1443" s="89" t="s">
        <v>153</v>
      </c>
      <c r="F1443" s="89">
        <f>IF(E1443="AM",1,(IF(E1443="BE",2,(IF(E1443="GV",3,(IF(E1443="RA",4,(IF(E1443="RM",5,(IF(E1443="AC",1,(IF(E1443="AT",2,(IF(E1443="DS",3,(IF(E1443="IP",4,(IF(E1443="MA",5,(IF(E1443="PT",6,(IF(E1443="AE",1,(IF(E1443="CM",2,(IF(E1443="DP",3,(IF(E1443="AN",1,(IF(E1443="CO",2,(IF(E1443="IM",3,(IF(E1443="MI",4,(IF(E1443="RP",5,(IF(E1443="SC",6,0)))))))))))))))))))))))))))))))))))))))</f>
        <v>1</v>
      </c>
      <c r="G1443" s="52">
        <v>5</v>
      </c>
      <c r="H1443" s="90" t="s">
        <v>115</v>
      </c>
      <c r="I1443" s="93" t="s">
        <v>77</v>
      </c>
      <c r="J1443" s="87" t="s">
        <v>1289</v>
      </c>
      <c r="K1443" s="102" t="s">
        <v>2302</v>
      </c>
      <c r="L1443" s="117">
        <f>IF(O1443="","",N1443*O1443*M1443)</f>
        <v>0</v>
      </c>
      <c r="M1443" s="108">
        <v>1</v>
      </c>
      <c r="N1443" s="95">
        <v>1</v>
      </c>
      <c r="O1443" s="109">
        <f>IF(Key!D$1="ON",P1443,IF(SUM(Q1443:DL1443)&lt;1,"",SUM(Q1443:DL1443)/COUNTIF(Q1443:DL1443,"&gt;0")))</f>
        <v>0</v>
      </c>
      <c r="P1443" s="109">
        <f>SUMIFS(Q1443:DK1443,Q$1:DK$1,Dashboard!$K$31)</f>
        <v>0</v>
      </c>
      <c r="U1443" s="95">
        <v>33</v>
      </c>
      <c r="AA1443" s="95">
        <v>25</v>
      </c>
      <c r="AH1443" s="95">
        <v>75</v>
      </c>
    </row>
    <row r="1444" spans="1:34" x14ac:dyDescent="0.3">
      <c r="A1444" s="89" t="str">
        <f>CONCATENATE(D1444,".",F1444,"-",G1444,".",H1444,"")</f>
        <v>2.1-5.1</v>
      </c>
      <c r="B1444" s="89" t="str">
        <f>IF(CONCATENATE(I1444,Key!F$2)=CONCATENATE(INDEX(Dashboard!J:J,MATCH(I1444,Dashboard!J:J,0),1),INDEX(Dashboard!J:K,MATCH(I1444,Dashboard!J:J,0),2)),"ON",IF(Dashboard!K$32="ALL","ON","-"))</f>
        <v>-</v>
      </c>
      <c r="C1444" s="88" t="s">
        <v>152</v>
      </c>
      <c r="D1444" s="89">
        <f>IF(C1444="ID",1,(IF(C1444="PR",2,(IF(C1444="DE",3,(IF(C1444="RS",4,(IF(C1444="RC",5,0)))))))))</f>
        <v>2</v>
      </c>
      <c r="E1444" s="89" t="s">
        <v>153</v>
      </c>
      <c r="F1444" s="89">
        <f>IF(E1444="AM",1,(IF(E1444="BE",2,(IF(E1444="GV",3,(IF(E1444="RA",4,(IF(E1444="RM",5,(IF(E1444="AC",1,(IF(E1444="AT",2,(IF(E1444="DS",3,(IF(E1444="IP",4,(IF(E1444="MA",5,(IF(E1444="PT",6,(IF(E1444="AE",1,(IF(E1444="CM",2,(IF(E1444="DP",3,(IF(E1444="AN",1,(IF(E1444="CO",2,(IF(E1444="IM",3,(IF(E1444="MI",4,(IF(E1444="RP",5,(IF(E1444="SC",6,0)))))))))))))))))))))))))))))))))))))))</f>
        <v>1</v>
      </c>
      <c r="G1444" s="52">
        <v>5</v>
      </c>
      <c r="H1444" s="90" t="s">
        <v>115</v>
      </c>
      <c r="I1444" s="93" t="s">
        <v>77</v>
      </c>
      <c r="J1444" s="87" t="s">
        <v>1290</v>
      </c>
      <c r="K1444" s="102" t="s">
        <v>2303</v>
      </c>
      <c r="L1444" s="117">
        <f>IF(O1444="","",N1444*O1444*M1444)</f>
        <v>0</v>
      </c>
      <c r="M1444" s="108">
        <v>1</v>
      </c>
      <c r="N1444" s="95">
        <v>1</v>
      </c>
      <c r="O1444" s="109">
        <f>IF(Key!D$1="ON",P1444,IF(SUM(Q1444:DL1444)&lt;1,"",SUM(Q1444:DL1444)/COUNTIF(Q1444:DL1444,"&gt;0")))</f>
        <v>0</v>
      </c>
      <c r="P1444" s="109">
        <f>SUMIFS(Q1444:DK1444,Q$1:DK$1,Dashboard!$K$31)</f>
        <v>0</v>
      </c>
      <c r="U1444" s="95">
        <v>33</v>
      </c>
      <c r="AA1444" s="95">
        <v>25</v>
      </c>
      <c r="AH1444" s="95">
        <v>75</v>
      </c>
    </row>
    <row r="1445" spans="1:34" ht="15.6" x14ac:dyDescent="0.3">
      <c r="A1445" s="89" t="str">
        <f>CONCATENATE(D1445,".",F1445,"-",G1445,".",H1445,"")</f>
        <v>2.1-5.1</v>
      </c>
      <c r="B1445" s="89" t="str">
        <f>IF(CONCATENATE(I1445,Key!F$2)=CONCATENATE(INDEX(Dashboard!J:J,MATCH(I1445,Dashboard!J:J,0),1),INDEX(Dashboard!J:K,MATCH(I1445,Dashboard!J:J,0),2)),"ON",IF(Dashboard!K$32="ALL","ON","-"))</f>
        <v>-</v>
      </c>
      <c r="C1445" s="88" t="s">
        <v>152</v>
      </c>
      <c r="D1445" s="89">
        <f>IF(C1445="ID",1,(IF(C1445="PR",2,(IF(C1445="DE",3,(IF(C1445="RS",4,(IF(C1445="RC",5,0)))))))))</f>
        <v>2</v>
      </c>
      <c r="E1445" s="89" t="s">
        <v>153</v>
      </c>
      <c r="F1445" s="89">
        <f>IF(E1445="AM",1,(IF(E1445="BE",2,(IF(E1445="GV",3,(IF(E1445="RA",4,(IF(E1445="RM",5,(IF(E1445="AC",1,(IF(E1445="AT",2,(IF(E1445="DS",3,(IF(E1445="IP",4,(IF(E1445="MA",5,(IF(E1445="PT",6,(IF(E1445="AE",1,(IF(E1445="CM",2,(IF(E1445="DP",3,(IF(E1445="AN",1,(IF(E1445="CO",2,(IF(E1445="IM",3,(IF(E1445="MI",4,(IF(E1445="RP",5,(IF(E1445="SC",6,0)))))))))))))))))))))))))))))))))))))))</f>
        <v>1</v>
      </c>
      <c r="G1445" s="52">
        <v>5</v>
      </c>
      <c r="H1445" s="90" t="s">
        <v>115</v>
      </c>
      <c r="I1445" s="93" t="s">
        <v>85</v>
      </c>
      <c r="J1445" s="87" t="s">
        <v>1285</v>
      </c>
      <c r="K1445" s="119" t="s">
        <v>5011</v>
      </c>
      <c r="L1445" s="117">
        <f>IF(O1445="","",N1445*O1445*M1445)</f>
        <v>0</v>
      </c>
      <c r="M1445" s="108">
        <v>1</v>
      </c>
      <c r="N1445" s="95">
        <v>1</v>
      </c>
      <c r="O1445" s="109">
        <f>IF(Key!D$1="ON",P1445,IF(SUM(Q1445:DL1445)&lt;1,"",SUM(Q1445:DL1445)/COUNTIF(Q1445:DL1445,"&gt;0")))</f>
        <v>0</v>
      </c>
      <c r="P1445" s="109">
        <f>SUMIFS(Q1445:DK1445,Q$1:DK$1,Dashboard!$K$31)</f>
        <v>0</v>
      </c>
      <c r="U1445" s="95">
        <v>33</v>
      </c>
      <c r="AA1445" s="95">
        <v>25</v>
      </c>
      <c r="AH1445" s="95">
        <v>75</v>
      </c>
    </row>
    <row r="1446" spans="1:34" ht="15.6" x14ac:dyDescent="0.3">
      <c r="A1446" s="89" t="str">
        <f>CONCATENATE(D1446,".",F1446,"-",G1446,".",H1446,"")</f>
        <v>2.1-5.1</v>
      </c>
      <c r="B1446" s="89" t="str">
        <f>IF(CONCATENATE(I1446,Key!F$2)=CONCATENATE(INDEX(Dashboard!J:J,MATCH(I1446,Dashboard!J:J,0),1),INDEX(Dashboard!J:K,MATCH(I1446,Dashboard!J:J,0),2)),"ON",IF(Dashboard!K$32="ALL","ON","-"))</f>
        <v>-</v>
      </c>
      <c r="C1446" s="88" t="s">
        <v>152</v>
      </c>
      <c r="D1446" s="89">
        <f>IF(C1446="ID",1,(IF(C1446="PR",2,(IF(C1446="DE",3,(IF(C1446="RS",4,(IF(C1446="RC",5,0)))))))))</f>
        <v>2</v>
      </c>
      <c r="E1446" s="89" t="s">
        <v>153</v>
      </c>
      <c r="F1446" s="89">
        <f>IF(E1446="AM",1,(IF(E1446="BE",2,(IF(E1446="GV",3,(IF(E1446="RA",4,(IF(E1446="RM",5,(IF(E1446="AC",1,(IF(E1446="AT",2,(IF(E1446="DS",3,(IF(E1446="IP",4,(IF(E1446="MA",5,(IF(E1446="PT",6,(IF(E1446="AE",1,(IF(E1446="CM",2,(IF(E1446="DP",3,(IF(E1446="AN",1,(IF(E1446="CO",2,(IF(E1446="IM",3,(IF(E1446="MI",4,(IF(E1446="RP",5,(IF(E1446="SC",6,0)))))))))))))))))))))))))))))))))))))))</f>
        <v>1</v>
      </c>
      <c r="G1446" s="52">
        <v>5</v>
      </c>
      <c r="H1446" s="90" t="s">
        <v>115</v>
      </c>
      <c r="I1446" s="93" t="s">
        <v>85</v>
      </c>
      <c r="J1446" s="87" t="s">
        <v>1278</v>
      </c>
      <c r="K1446" s="119" t="s">
        <v>5024</v>
      </c>
      <c r="L1446" s="117">
        <f>IF(O1446="","",N1446*O1446*M1446)</f>
        <v>0</v>
      </c>
      <c r="M1446" s="108">
        <v>1</v>
      </c>
      <c r="N1446" s="95">
        <v>1</v>
      </c>
      <c r="O1446" s="109">
        <f>IF(Key!D$1="ON",P1446,IF(SUM(Q1446:DL1446)&lt;1,"",SUM(Q1446:DL1446)/COUNTIF(Q1446:DL1446,"&gt;0")))</f>
        <v>0</v>
      </c>
      <c r="P1446" s="109">
        <f>SUMIFS(Q1446:DK1446,Q$1:DK$1,Dashboard!$K$31)</f>
        <v>0</v>
      </c>
      <c r="U1446" s="95">
        <v>33</v>
      </c>
      <c r="AA1446" s="95">
        <v>25</v>
      </c>
      <c r="AH1446" s="95">
        <v>75</v>
      </c>
    </row>
    <row r="1447" spans="1:34" x14ac:dyDescent="0.3">
      <c r="A1447" s="89" t="str">
        <f>CONCATENATE(D1447,".",F1447,"-",G1447,".",H1447,"")</f>
        <v>2.1-5.1</v>
      </c>
      <c r="B1447" s="89" t="str">
        <f>IF(CONCATENATE(I1447,Key!F$2)=CONCATENATE(INDEX(Dashboard!J:J,MATCH(I1447,Dashboard!J:J,0),1),INDEX(Dashboard!J:K,MATCH(I1447,Dashboard!J:J,0),2)),"ON",IF(Dashboard!K$32="ALL","ON","-"))</f>
        <v>-</v>
      </c>
      <c r="C1447" s="88" t="s">
        <v>152</v>
      </c>
      <c r="D1447" s="89">
        <f>IF(C1447="ID",1,(IF(C1447="PR",2,(IF(C1447="DE",3,(IF(C1447="RS",4,(IF(C1447="RC",5,0)))))))))</f>
        <v>2</v>
      </c>
      <c r="E1447" s="89" t="s">
        <v>153</v>
      </c>
      <c r="F1447" s="89">
        <f>IF(E1447="AM",1,(IF(E1447="BE",2,(IF(E1447="GV",3,(IF(E1447="RA",4,(IF(E1447="RM",5,(IF(E1447="AC",1,(IF(E1447="AT",2,(IF(E1447="DS",3,(IF(E1447="IP",4,(IF(E1447="MA",5,(IF(E1447="PT",6,(IF(E1447="AE",1,(IF(E1447="CM",2,(IF(E1447="DP",3,(IF(E1447="AN",1,(IF(E1447="CO",2,(IF(E1447="IM",3,(IF(E1447="MI",4,(IF(E1447="RP",5,(IF(E1447="SC",6,0)))))))))))))))))))))))))))))))))))))))</f>
        <v>1</v>
      </c>
      <c r="G1447" s="52">
        <v>5</v>
      </c>
      <c r="H1447" s="90" t="s">
        <v>115</v>
      </c>
      <c r="I1447" s="93" t="s">
        <v>85</v>
      </c>
      <c r="J1447" s="87" t="s">
        <v>1280</v>
      </c>
      <c r="K1447" s="119" t="s">
        <v>5026</v>
      </c>
      <c r="L1447" s="117">
        <f>IF(O1447="","",N1447*O1447*M1447)</f>
        <v>0</v>
      </c>
      <c r="M1447" s="108">
        <v>1</v>
      </c>
      <c r="N1447" s="95">
        <v>1</v>
      </c>
      <c r="O1447" s="109">
        <f>IF(Key!D$1="ON",P1447,IF(SUM(Q1447:DL1447)&lt;1,"",SUM(Q1447:DL1447)/COUNTIF(Q1447:DL1447,"&gt;0")))</f>
        <v>0</v>
      </c>
      <c r="P1447" s="109">
        <f>SUMIFS(Q1447:DK1447,Q$1:DK$1,Dashboard!$K$31)</f>
        <v>0</v>
      </c>
      <c r="U1447" s="95">
        <v>33</v>
      </c>
      <c r="AA1447" s="95">
        <v>25</v>
      </c>
      <c r="AH1447" s="95">
        <v>75</v>
      </c>
    </row>
    <row r="1448" spans="1:34" x14ac:dyDescent="0.3">
      <c r="A1448" s="89" t="str">
        <f>CONCATENATE(D1448,".",F1448,"-",G1448,".",H1448,"")</f>
        <v>2.1-5.1</v>
      </c>
      <c r="B1448" s="89" t="str">
        <f>IF(CONCATENATE(I1448,Key!F$2)=CONCATENATE(INDEX(Dashboard!J:J,MATCH(I1448,Dashboard!J:J,0),1),INDEX(Dashboard!J:K,MATCH(I1448,Dashboard!J:J,0),2)),"ON",IF(Dashboard!K$32="ALL","ON","-"))</f>
        <v>-</v>
      </c>
      <c r="C1448" s="96" t="s">
        <v>152</v>
      </c>
      <c r="D1448" s="89">
        <f>IF(C1448="ID",1,(IF(C1448="PR",2,(IF(C1448="DE",3,(IF(C1448="RS",4,(IF(C1448="RC",5,0)))))))))</f>
        <v>2</v>
      </c>
      <c r="E1448" s="89" t="s">
        <v>153</v>
      </c>
      <c r="F1448" s="89">
        <f>IF(E1448="AM",1,(IF(E1448="BE",2,(IF(E1448="GV",3,(IF(E1448="RA",4,(IF(E1448="RM",5,(IF(E1448="AC",1,(IF(E1448="AT",2,(IF(E1448="DS",3,(IF(E1448="IP",4,(IF(E1448="MA",5,(IF(E1448="PT",6,(IF(E1448="AE",1,(IF(E1448="CM",2,(IF(E1448="DP",3,(IF(E1448="AN",1,(IF(E1448="CO",2,(IF(E1448="IM",3,(IF(E1448="MI",4,(IF(E1448="RP",5,(IF(E1448="SC",6,0)))))))))))))))))))))))))))))))))))))))</f>
        <v>1</v>
      </c>
      <c r="G1448" s="98">
        <v>5</v>
      </c>
      <c r="H1448" s="90" t="s">
        <v>115</v>
      </c>
      <c r="I1448" s="93" t="s">
        <v>85</v>
      </c>
      <c r="J1448" s="87" t="s">
        <v>1269</v>
      </c>
      <c r="K1448" s="119" t="s">
        <v>1270</v>
      </c>
      <c r="L1448" s="117">
        <f>IF(O1448="","",N1448*O1448*M1448)</f>
        <v>0</v>
      </c>
      <c r="M1448" s="108">
        <v>1</v>
      </c>
      <c r="N1448" s="95">
        <v>1</v>
      </c>
      <c r="O1448" s="109">
        <f>IF(Key!D$1="ON",P1448,IF(SUM(Q1448:DL1448)&lt;1,"",SUM(Q1448:DL1448)/COUNTIF(Q1448:DL1448,"&gt;0")))</f>
        <v>0</v>
      </c>
      <c r="P1448" s="109">
        <f>SUMIFS(Q1448:DK1448,Q$1:DK$1,Dashboard!$K$31)</f>
        <v>0</v>
      </c>
      <c r="U1448" s="95">
        <v>33</v>
      </c>
      <c r="AA1448" s="95">
        <v>25</v>
      </c>
      <c r="AH1448" s="95">
        <v>75</v>
      </c>
    </row>
    <row r="1449" spans="1:34" x14ac:dyDescent="0.3">
      <c r="A1449" s="89" t="str">
        <f>CONCATENATE(D1449,".",F1449,"-",G1449,".",H1449,"")</f>
        <v>2.1-5.1</v>
      </c>
      <c r="B1449" s="89" t="str">
        <f>IF(CONCATENATE(I1449,Key!F$2)=CONCATENATE(INDEX(Dashboard!J:J,MATCH(I1449,Dashboard!J:J,0),1),INDEX(Dashboard!J:K,MATCH(I1449,Dashboard!J:J,0),2)),"ON",IF(Dashboard!K$32="ALL","ON","-"))</f>
        <v>-</v>
      </c>
      <c r="C1449" s="88" t="s">
        <v>152</v>
      </c>
      <c r="D1449" s="89">
        <f>IF(C1449="ID",1,(IF(C1449="PR",2,(IF(C1449="DE",3,(IF(C1449="RS",4,(IF(C1449="RC",5,0)))))))))</f>
        <v>2</v>
      </c>
      <c r="E1449" s="89" t="s">
        <v>153</v>
      </c>
      <c r="F1449" s="89">
        <f>IF(E1449="AM",1,(IF(E1449="BE",2,(IF(E1449="GV",3,(IF(E1449="RA",4,(IF(E1449="RM",5,(IF(E1449="AC",1,(IF(E1449="AT",2,(IF(E1449="DS",3,(IF(E1449="IP",4,(IF(E1449="MA",5,(IF(E1449="PT",6,(IF(E1449="AE",1,(IF(E1449="CM",2,(IF(E1449="DP",3,(IF(E1449="AN",1,(IF(E1449="CO",2,(IF(E1449="IM",3,(IF(E1449="MI",4,(IF(E1449="RP",5,(IF(E1449="SC",6,0)))))))))))))))))))))))))))))))))))))))</f>
        <v>1</v>
      </c>
      <c r="G1449" s="52">
        <v>5</v>
      </c>
      <c r="H1449" s="90" t="s">
        <v>115</v>
      </c>
      <c r="I1449" s="93" t="s">
        <v>85</v>
      </c>
      <c r="J1449" s="86" t="s">
        <v>847</v>
      </c>
      <c r="K1449" s="119" t="s">
        <v>4652</v>
      </c>
      <c r="L1449" s="117">
        <f>IF(O1449="","",N1449*O1449*M1449)</f>
        <v>0</v>
      </c>
      <c r="M1449" s="108">
        <v>1</v>
      </c>
      <c r="N1449" s="95">
        <v>1</v>
      </c>
      <c r="O1449" s="109">
        <f>IF(Key!D$1="ON",P1449,IF(SUM(Q1449:DL1449)&lt;1,"",SUM(Q1449:DL1449)/COUNTIF(Q1449:DL1449,"&gt;0")))</f>
        <v>0</v>
      </c>
      <c r="P1449" s="109">
        <f>SUMIFS(Q1449:DK1449,Q$1:DK$1,Dashboard!$K$31)</f>
        <v>0</v>
      </c>
      <c r="U1449" s="95">
        <v>33</v>
      </c>
      <c r="AA1449" s="95">
        <v>25</v>
      </c>
      <c r="AH1449" s="95">
        <v>75</v>
      </c>
    </row>
    <row r="1450" spans="1:34" x14ac:dyDescent="0.3">
      <c r="A1450" s="89" t="str">
        <f>CONCATENATE(D1450,".",F1450,"-",G1450,".",H1450,"")</f>
        <v>2.1-5.1</v>
      </c>
      <c r="B1450" s="89" t="str">
        <f>IF(CONCATENATE(I1450,Key!F$2)=CONCATENATE(INDEX(Dashboard!J:J,MATCH(I1450,Dashboard!J:J,0),1),INDEX(Dashboard!J:K,MATCH(I1450,Dashboard!J:J,0),2)),"ON",IF(Dashboard!K$32="ALL","ON","-"))</f>
        <v>-</v>
      </c>
      <c r="C1450" s="88" t="s">
        <v>152</v>
      </c>
      <c r="D1450" s="89">
        <f>IF(C1450="ID",1,(IF(C1450="PR",2,(IF(C1450="DE",3,(IF(C1450="RS",4,(IF(C1450="RC",5,0)))))))))</f>
        <v>2</v>
      </c>
      <c r="E1450" s="89" t="s">
        <v>153</v>
      </c>
      <c r="F1450" s="89">
        <f>IF(E1450="AM",1,(IF(E1450="BE",2,(IF(E1450="GV",3,(IF(E1450="RA",4,(IF(E1450="RM",5,(IF(E1450="AC",1,(IF(E1450="AT",2,(IF(E1450="DS",3,(IF(E1450="IP",4,(IF(E1450="MA",5,(IF(E1450="PT",6,(IF(E1450="AE",1,(IF(E1450="CM",2,(IF(E1450="DP",3,(IF(E1450="AN",1,(IF(E1450="CO",2,(IF(E1450="IM",3,(IF(E1450="MI",4,(IF(E1450="RP",5,(IF(E1450="SC",6,0)))))))))))))))))))))))))))))))))))))))</f>
        <v>1</v>
      </c>
      <c r="G1450" s="52">
        <v>5</v>
      </c>
      <c r="H1450" s="90" t="s">
        <v>115</v>
      </c>
      <c r="I1450" s="93" t="s">
        <v>85</v>
      </c>
      <c r="J1450" s="86" t="s">
        <v>849</v>
      </c>
      <c r="K1450" s="119" t="s">
        <v>4654</v>
      </c>
      <c r="L1450" s="117">
        <f>IF(O1450="","",N1450*O1450*M1450)</f>
        <v>0</v>
      </c>
      <c r="M1450" s="108">
        <v>1</v>
      </c>
      <c r="N1450" s="95">
        <v>1</v>
      </c>
      <c r="O1450" s="109">
        <f>IF(Key!D$1="ON",P1450,IF(SUM(Q1450:DL1450)&lt;1,"",SUM(Q1450:DL1450)/COUNTIF(Q1450:DL1450,"&gt;0")))</f>
        <v>0</v>
      </c>
      <c r="P1450" s="109">
        <f>SUMIFS(Q1450:DK1450,Q$1:DK$1,Dashboard!$K$31)</f>
        <v>0</v>
      </c>
      <c r="U1450" s="95">
        <v>33</v>
      </c>
      <c r="AA1450" s="95">
        <v>25</v>
      </c>
      <c r="AH1450" s="95">
        <v>75</v>
      </c>
    </row>
    <row r="1451" spans="1:34" x14ac:dyDescent="0.3">
      <c r="A1451" s="89" t="str">
        <f>CONCATENATE(D1451,".",F1451,"-",G1451,".",H1451,"")</f>
        <v>2.1-5.1</v>
      </c>
      <c r="B1451" s="89" t="str">
        <f>IF(CONCATENATE(I1451,Key!F$2)=CONCATENATE(INDEX(Dashboard!J:J,MATCH(I1451,Dashboard!J:J,0),1),INDEX(Dashboard!J:K,MATCH(I1451,Dashboard!J:J,0),2)),"ON",IF(Dashboard!K$32="ALL","ON","-"))</f>
        <v>-</v>
      </c>
      <c r="C1451" s="88" t="s">
        <v>152</v>
      </c>
      <c r="D1451" s="89">
        <f>IF(C1451="ID",1,(IF(C1451="PR",2,(IF(C1451="DE",3,(IF(C1451="RS",4,(IF(C1451="RC",5,0)))))))))</f>
        <v>2</v>
      </c>
      <c r="E1451" s="89" t="s">
        <v>153</v>
      </c>
      <c r="F1451" s="89">
        <f>IF(E1451="AM",1,(IF(E1451="BE",2,(IF(E1451="GV",3,(IF(E1451="RA",4,(IF(E1451="RM",5,(IF(E1451="AC",1,(IF(E1451="AT",2,(IF(E1451="DS",3,(IF(E1451="IP",4,(IF(E1451="MA",5,(IF(E1451="PT",6,(IF(E1451="AE",1,(IF(E1451="CM",2,(IF(E1451="DP",3,(IF(E1451="AN",1,(IF(E1451="CO",2,(IF(E1451="IM",3,(IF(E1451="MI",4,(IF(E1451="RP",5,(IF(E1451="SC",6,0)))))))))))))))))))))))))))))))))))))))</f>
        <v>1</v>
      </c>
      <c r="G1451" s="52">
        <v>5</v>
      </c>
      <c r="H1451" s="90" t="s">
        <v>115</v>
      </c>
      <c r="I1451" s="93" t="s">
        <v>85</v>
      </c>
      <c r="J1451" s="87" t="s">
        <v>1287</v>
      </c>
      <c r="K1451" s="119" t="s">
        <v>5013</v>
      </c>
      <c r="L1451" s="117">
        <f>IF(O1451="","",N1451*O1451*M1451)</f>
        <v>0</v>
      </c>
      <c r="M1451" s="108">
        <v>1</v>
      </c>
      <c r="N1451" s="95">
        <v>1</v>
      </c>
      <c r="O1451" s="109">
        <f>IF(Key!D$1="ON",P1451,IF(SUM(Q1451:DL1451)&lt;1,"",SUM(Q1451:DL1451)/COUNTIF(Q1451:DL1451,"&gt;0")))</f>
        <v>0</v>
      </c>
      <c r="P1451" s="109">
        <f>SUMIFS(Q1451:DK1451,Q$1:DK$1,Dashboard!$K$31)</f>
        <v>0</v>
      </c>
      <c r="U1451" s="95">
        <v>33</v>
      </c>
      <c r="AA1451" s="95">
        <v>25</v>
      </c>
      <c r="AH1451" s="95">
        <v>75</v>
      </c>
    </row>
    <row r="1452" spans="1:34" x14ac:dyDescent="0.3">
      <c r="A1452" s="89" t="str">
        <f>CONCATENATE(D1452,".",F1452,"-",G1452,".",H1452,"")</f>
        <v>2.1-5.1</v>
      </c>
      <c r="B1452" s="89" t="str">
        <f>IF(CONCATENATE(I1452,Key!F$2)=CONCATENATE(INDEX(Dashboard!J:J,MATCH(I1452,Dashboard!J:J,0),1),INDEX(Dashboard!J:K,MATCH(I1452,Dashboard!J:J,0),2)),"ON",IF(Dashboard!K$32="ALL","ON","-"))</f>
        <v>-</v>
      </c>
      <c r="C1452" s="88" t="s">
        <v>152</v>
      </c>
      <c r="D1452" s="89">
        <f>IF(C1452="ID",1,(IF(C1452="PR",2,(IF(C1452="DE",3,(IF(C1452="RS",4,(IF(C1452="RC",5,0)))))))))</f>
        <v>2</v>
      </c>
      <c r="E1452" s="89" t="s">
        <v>153</v>
      </c>
      <c r="F1452" s="89">
        <f>IF(E1452="AM",1,(IF(E1452="BE",2,(IF(E1452="GV",3,(IF(E1452="RA",4,(IF(E1452="RM",5,(IF(E1452="AC",1,(IF(E1452="AT",2,(IF(E1452="DS",3,(IF(E1452="IP",4,(IF(E1452="MA",5,(IF(E1452="PT",6,(IF(E1452="AE",1,(IF(E1452="CM",2,(IF(E1452="DP",3,(IF(E1452="AN",1,(IF(E1452="CO",2,(IF(E1452="IM",3,(IF(E1452="MI",4,(IF(E1452="RP",5,(IF(E1452="SC",6,0)))))))))))))))))))))))))))))))))))))))</f>
        <v>1</v>
      </c>
      <c r="G1452" s="52">
        <v>5</v>
      </c>
      <c r="H1452" s="90" t="s">
        <v>115</v>
      </c>
      <c r="I1452" s="93" t="s">
        <v>85</v>
      </c>
      <c r="J1452" s="87" t="s">
        <v>1284</v>
      </c>
      <c r="K1452" s="119" t="s">
        <v>5030</v>
      </c>
      <c r="L1452" s="117">
        <f>IF(O1452="","",N1452*O1452*M1452)</f>
        <v>0</v>
      </c>
      <c r="M1452" s="108">
        <v>1</v>
      </c>
      <c r="N1452" s="95">
        <v>1</v>
      </c>
      <c r="O1452" s="109">
        <f>IF(Key!D$1="ON",P1452,IF(SUM(Q1452:DL1452)&lt;1,"",SUM(Q1452:DL1452)/COUNTIF(Q1452:DL1452,"&gt;0")))</f>
        <v>0</v>
      </c>
      <c r="P1452" s="109">
        <f>SUMIFS(Q1452:DK1452,Q$1:DK$1,Dashboard!$K$31)</f>
        <v>0</v>
      </c>
      <c r="U1452" s="95">
        <v>33</v>
      </c>
      <c r="AA1452" s="95">
        <v>25</v>
      </c>
      <c r="AH1452" s="95">
        <v>75</v>
      </c>
    </row>
    <row r="1453" spans="1:34" x14ac:dyDescent="0.3">
      <c r="A1453" s="89" t="str">
        <f>CONCATENATE(D1453,".",F1453,"-",G1453,".",H1453,"")</f>
        <v>2.1-5.1</v>
      </c>
      <c r="B1453" s="89" t="str">
        <f>IF(CONCATENATE(I1453,Key!F$2)=CONCATENATE(INDEX(Dashboard!J:J,MATCH(I1453,Dashboard!J:J,0),1),INDEX(Dashboard!J:K,MATCH(I1453,Dashboard!J:J,0),2)),"ON",IF(Dashboard!K$32="ALL","ON","-"))</f>
        <v>-</v>
      </c>
      <c r="C1453" s="88" t="s">
        <v>152</v>
      </c>
      <c r="D1453" s="89">
        <f>IF(C1453="ID",1,(IF(C1453="PR",2,(IF(C1453="DE",3,(IF(C1453="RS",4,(IF(C1453="RC",5,0)))))))))</f>
        <v>2</v>
      </c>
      <c r="E1453" s="89" t="s">
        <v>153</v>
      </c>
      <c r="F1453" s="89">
        <f>IF(E1453="AM",1,(IF(E1453="BE",2,(IF(E1453="GV",3,(IF(E1453="RA",4,(IF(E1453="RM",5,(IF(E1453="AC",1,(IF(E1453="AT",2,(IF(E1453="DS",3,(IF(E1453="IP",4,(IF(E1453="MA",5,(IF(E1453="PT",6,(IF(E1453="AE",1,(IF(E1453="CM",2,(IF(E1453="DP",3,(IF(E1453="AN",1,(IF(E1453="CO",2,(IF(E1453="IM",3,(IF(E1453="MI",4,(IF(E1453="RP",5,(IF(E1453="SC",6,0)))))))))))))))))))))))))))))))))))))))</f>
        <v>1</v>
      </c>
      <c r="G1453" s="52">
        <v>5</v>
      </c>
      <c r="H1453" s="90" t="s">
        <v>115</v>
      </c>
      <c r="I1453" s="93" t="s">
        <v>85</v>
      </c>
      <c r="J1453" s="87" t="s">
        <v>1281</v>
      </c>
      <c r="K1453" s="119" t="s">
        <v>5027</v>
      </c>
      <c r="L1453" s="117">
        <f>IF(O1453="","",N1453*O1453*M1453)</f>
        <v>0</v>
      </c>
      <c r="M1453" s="108">
        <v>1</v>
      </c>
      <c r="N1453" s="95">
        <v>1</v>
      </c>
      <c r="O1453" s="109">
        <f>IF(Key!D$1="ON",P1453,IF(SUM(Q1453:DL1453)&lt;1,"",SUM(Q1453:DL1453)/COUNTIF(Q1453:DL1453,"&gt;0")))</f>
        <v>0</v>
      </c>
      <c r="P1453" s="109">
        <f>SUMIFS(Q1453:DK1453,Q$1:DK$1,Dashboard!$K$31)</f>
        <v>0</v>
      </c>
      <c r="U1453" s="95">
        <v>33</v>
      </c>
      <c r="AA1453" s="95">
        <v>25</v>
      </c>
      <c r="AH1453" s="95">
        <v>75</v>
      </c>
    </row>
    <row r="1454" spans="1:34" x14ac:dyDescent="0.3">
      <c r="A1454" s="89" t="str">
        <f>CONCATENATE(D1454,".",F1454,"-",G1454,".",H1454,"")</f>
        <v>2.1-5.1</v>
      </c>
      <c r="B1454" s="89" t="str">
        <f>IF(CONCATENATE(I1454,Key!F$2)=CONCATENATE(INDEX(Dashboard!J:J,MATCH(I1454,Dashboard!J:J,0),1),INDEX(Dashboard!J:K,MATCH(I1454,Dashboard!J:J,0),2)),"ON",IF(Dashboard!K$32="ALL","ON","-"))</f>
        <v>-</v>
      </c>
      <c r="C1454" s="88" t="s">
        <v>152</v>
      </c>
      <c r="D1454" s="89">
        <f>IF(C1454="ID",1,(IF(C1454="PR",2,(IF(C1454="DE",3,(IF(C1454="RS",4,(IF(C1454="RC",5,0)))))))))</f>
        <v>2</v>
      </c>
      <c r="E1454" s="89" t="s">
        <v>153</v>
      </c>
      <c r="F1454" s="89">
        <f>IF(E1454="AM",1,(IF(E1454="BE",2,(IF(E1454="GV",3,(IF(E1454="RA",4,(IF(E1454="RM",5,(IF(E1454="AC",1,(IF(E1454="AT",2,(IF(E1454="DS",3,(IF(E1454="IP",4,(IF(E1454="MA",5,(IF(E1454="PT",6,(IF(E1454="AE",1,(IF(E1454="CM",2,(IF(E1454="DP",3,(IF(E1454="AN",1,(IF(E1454="CO",2,(IF(E1454="IM",3,(IF(E1454="MI",4,(IF(E1454="RP",5,(IF(E1454="SC",6,0)))))))))))))))))))))))))))))))))))))))</f>
        <v>1</v>
      </c>
      <c r="G1454" s="52">
        <v>5</v>
      </c>
      <c r="H1454" s="90" t="s">
        <v>115</v>
      </c>
      <c r="I1454" s="93" t="s">
        <v>85</v>
      </c>
      <c r="J1454" s="87" t="s">
        <v>1286</v>
      </c>
      <c r="K1454" s="119" t="s">
        <v>5012</v>
      </c>
      <c r="L1454" s="117">
        <f>IF(O1454="","",N1454*O1454*M1454)</f>
        <v>0</v>
      </c>
      <c r="M1454" s="108">
        <v>1</v>
      </c>
      <c r="N1454" s="95">
        <v>1</v>
      </c>
      <c r="O1454" s="109">
        <f>IF(Key!D$1="ON",P1454,IF(SUM(Q1454:DL1454)&lt;1,"",SUM(Q1454:DL1454)/COUNTIF(Q1454:DL1454,"&gt;0")))</f>
        <v>0</v>
      </c>
      <c r="P1454" s="109">
        <f>SUMIFS(Q1454:DK1454,Q$1:DK$1,Dashboard!$K$31)</f>
        <v>0</v>
      </c>
      <c r="U1454" s="95">
        <v>33</v>
      </c>
      <c r="AA1454" s="95">
        <v>25</v>
      </c>
      <c r="AH1454" s="95">
        <v>75</v>
      </c>
    </row>
    <row r="1455" spans="1:34" x14ac:dyDescent="0.3">
      <c r="A1455" s="89" t="str">
        <f>CONCATENATE(D1455,".",F1455,"-",G1455,".",H1455,"")</f>
        <v>2.1-5.1</v>
      </c>
      <c r="B1455" s="89" t="str">
        <f>IF(CONCATENATE(I1455,Key!F$2)=CONCATENATE(INDEX(Dashboard!J:J,MATCH(I1455,Dashboard!J:J,0),1),INDEX(Dashboard!J:K,MATCH(I1455,Dashboard!J:J,0),2)),"ON",IF(Dashboard!K$32="ALL","ON","-"))</f>
        <v>-</v>
      </c>
      <c r="C1455" s="88" t="s">
        <v>152</v>
      </c>
      <c r="D1455" s="89">
        <f>IF(C1455="ID",1,(IF(C1455="PR",2,(IF(C1455="DE",3,(IF(C1455="RS",4,(IF(C1455="RC",5,0)))))))))</f>
        <v>2</v>
      </c>
      <c r="E1455" s="89" t="s">
        <v>153</v>
      </c>
      <c r="F1455" s="89">
        <f>IF(E1455="AM",1,(IF(E1455="BE",2,(IF(E1455="GV",3,(IF(E1455="RA",4,(IF(E1455="RM",5,(IF(E1455="AC",1,(IF(E1455="AT",2,(IF(E1455="DS",3,(IF(E1455="IP",4,(IF(E1455="MA",5,(IF(E1455="PT",6,(IF(E1455="AE",1,(IF(E1455="CM",2,(IF(E1455="DP",3,(IF(E1455="AN",1,(IF(E1455="CO",2,(IF(E1455="IM",3,(IF(E1455="MI",4,(IF(E1455="RP",5,(IF(E1455="SC",6,0)))))))))))))))))))))))))))))))))))))))</f>
        <v>1</v>
      </c>
      <c r="G1455" s="52">
        <v>5</v>
      </c>
      <c r="H1455" s="90" t="s">
        <v>115</v>
      </c>
      <c r="I1455" s="94" t="s">
        <v>85</v>
      </c>
      <c r="J1455" s="87" t="s">
        <v>1279</v>
      </c>
      <c r="K1455" s="119" t="s">
        <v>5025</v>
      </c>
      <c r="L1455" s="117">
        <f>IF(O1455="","",N1455*O1455*M1455)</f>
        <v>0</v>
      </c>
      <c r="M1455" s="108">
        <v>1</v>
      </c>
      <c r="N1455" s="95">
        <v>1</v>
      </c>
      <c r="O1455" s="109">
        <f>IF(Key!D$1="ON",P1455,IF(SUM(Q1455:DL1455)&lt;1,"",SUM(Q1455:DL1455)/COUNTIF(Q1455:DL1455,"&gt;0")))</f>
        <v>0</v>
      </c>
      <c r="P1455" s="109">
        <f>SUMIFS(Q1455:DK1455,Q$1:DK$1,Dashboard!$K$31)</f>
        <v>0</v>
      </c>
      <c r="U1455" s="95">
        <v>33</v>
      </c>
      <c r="AA1455" s="95">
        <v>25</v>
      </c>
      <c r="AH1455" s="95">
        <v>75</v>
      </c>
    </row>
    <row r="1456" spans="1:34" x14ac:dyDescent="0.3">
      <c r="A1456" s="89" t="str">
        <f>CONCATENATE(D1456,".",F1456,"-",G1456,".",H1456,"")</f>
        <v>2.1-5.1</v>
      </c>
      <c r="B1456" s="89" t="str">
        <f>IF(CONCATENATE(I1456,Key!F$2)=CONCATENATE(INDEX(Dashboard!J:J,MATCH(I1456,Dashboard!J:J,0),1),INDEX(Dashboard!J:K,MATCH(I1456,Dashboard!J:J,0),2)),"ON",IF(Dashboard!K$32="ALL","ON","-"))</f>
        <v>-</v>
      </c>
      <c r="C1456" s="88" t="s">
        <v>152</v>
      </c>
      <c r="D1456" s="89">
        <f>IF(C1456="ID",1,(IF(C1456="PR",2,(IF(C1456="DE",3,(IF(C1456="RS",4,(IF(C1456="RC",5,0)))))))))</f>
        <v>2</v>
      </c>
      <c r="E1456" s="89" t="s">
        <v>153</v>
      </c>
      <c r="F1456" s="89">
        <f>IF(E1456="AM",1,(IF(E1456="BE",2,(IF(E1456="GV",3,(IF(E1456="RA",4,(IF(E1456="RM",5,(IF(E1456="AC",1,(IF(E1456="AT",2,(IF(E1456="DS",3,(IF(E1456="IP",4,(IF(E1456="MA",5,(IF(E1456="PT",6,(IF(E1456="AE",1,(IF(E1456="CM",2,(IF(E1456="DP",3,(IF(E1456="AN",1,(IF(E1456="CO",2,(IF(E1456="IM",3,(IF(E1456="MI",4,(IF(E1456="RP",5,(IF(E1456="SC",6,0)))))))))))))))))))))))))))))))))))))))</f>
        <v>1</v>
      </c>
      <c r="G1456" s="52">
        <v>5</v>
      </c>
      <c r="H1456" s="90" t="s">
        <v>115</v>
      </c>
      <c r="I1456" s="94" t="s">
        <v>85</v>
      </c>
      <c r="J1456" s="87" t="s">
        <v>1273</v>
      </c>
      <c r="K1456" s="119" t="s">
        <v>5019</v>
      </c>
      <c r="L1456" s="117">
        <f>IF(O1456="","",N1456*O1456*M1456)</f>
        <v>0</v>
      </c>
      <c r="M1456" s="108">
        <v>1</v>
      </c>
      <c r="N1456" s="95">
        <v>1</v>
      </c>
      <c r="O1456" s="109">
        <f>IF(Key!D$1="ON",P1456,IF(SUM(Q1456:DL1456)&lt;1,"",SUM(Q1456:DL1456)/COUNTIF(Q1456:DL1456,"&gt;0")))</f>
        <v>0</v>
      </c>
      <c r="P1456" s="109">
        <f>SUMIFS(Q1456:DK1456,Q$1:DK$1,Dashboard!$K$31)</f>
        <v>0</v>
      </c>
      <c r="U1456" s="95">
        <v>33</v>
      </c>
      <c r="AA1456" s="95">
        <v>25</v>
      </c>
      <c r="AH1456" s="95">
        <v>75</v>
      </c>
    </row>
    <row r="1457" spans="1:34" x14ac:dyDescent="0.3">
      <c r="A1457" s="89" t="str">
        <f>CONCATENATE(D1457,".",F1457,"-",G1457,".",H1457,"")</f>
        <v>2.1-5.1</v>
      </c>
      <c r="B1457" s="89" t="str">
        <f>IF(CONCATENATE(I1457,Key!F$2)=CONCATENATE(INDEX(Dashboard!J:J,MATCH(I1457,Dashboard!J:J,0),1),INDEX(Dashboard!J:K,MATCH(I1457,Dashboard!J:J,0),2)),"ON",IF(Dashboard!K$32="ALL","ON","-"))</f>
        <v>-</v>
      </c>
      <c r="C1457" s="88" t="s">
        <v>152</v>
      </c>
      <c r="D1457" s="89">
        <f>IF(C1457="ID",1,(IF(C1457="PR",2,(IF(C1457="DE",3,(IF(C1457="RS",4,(IF(C1457="RC",5,0)))))))))</f>
        <v>2</v>
      </c>
      <c r="E1457" s="89" t="s">
        <v>153</v>
      </c>
      <c r="F1457" s="89">
        <f>IF(E1457="AM",1,(IF(E1457="BE",2,(IF(E1457="GV",3,(IF(E1457="RA",4,(IF(E1457="RM",5,(IF(E1457="AC",1,(IF(E1457="AT",2,(IF(E1457="DS",3,(IF(E1457="IP",4,(IF(E1457="MA",5,(IF(E1457="PT",6,(IF(E1457="AE",1,(IF(E1457="CM",2,(IF(E1457="DP",3,(IF(E1457="AN",1,(IF(E1457="CO",2,(IF(E1457="IM",3,(IF(E1457="MI",4,(IF(E1457="RP",5,(IF(E1457="SC",6,0)))))))))))))))))))))))))))))))))))))))</f>
        <v>1</v>
      </c>
      <c r="G1457" s="52">
        <v>5</v>
      </c>
      <c r="H1457" s="90" t="s">
        <v>115</v>
      </c>
      <c r="I1457" s="94" t="s">
        <v>85</v>
      </c>
      <c r="J1457" s="87" t="s">
        <v>1298</v>
      </c>
      <c r="K1457" s="119" t="s">
        <v>5037</v>
      </c>
      <c r="L1457" s="117">
        <f>IF(O1457="","",N1457*O1457*M1457)</f>
        <v>0</v>
      </c>
      <c r="M1457" s="108">
        <v>1</v>
      </c>
      <c r="N1457" s="95">
        <v>1</v>
      </c>
      <c r="O1457" s="109">
        <f>IF(Key!D$1="ON",P1457,IF(SUM(Q1457:DL1457)&lt;1,"",SUM(Q1457:DL1457)/COUNTIF(Q1457:DL1457,"&gt;0")))</f>
        <v>0</v>
      </c>
      <c r="P1457" s="109">
        <f>SUMIFS(Q1457:DK1457,Q$1:DK$1,Dashboard!$K$31)</f>
        <v>0</v>
      </c>
      <c r="U1457" s="95">
        <v>33</v>
      </c>
      <c r="AA1457" s="95">
        <v>25</v>
      </c>
      <c r="AH1457" s="95">
        <v>75</v>
      </c>
    </row>
    <row r="1458" spans="1:34" ht="15.6" x14ac:dyDescent="0.3">
      <c r="A1458" s="89" t="str">
        <f>CONCATENATE(D1458,".",F1458,"-",G1458,".",H1458,"")</f>
        <v>2.1-5.1</v>
      </c>
      <c r="B1458" s="89" t="str">
        <f>IF(CONCATENATE(I1458,Key!F$2)=CONCATENATE(INDEX(Dashboard!J:J,MATCH(I1458,Dashboard!J:J,0),1),INDEX(Dashboard!J:K,MATCH(I1458,Dashboard!J:J,0),2)),"ON",IF(Dashboard!K$32="ALL","ON","-"))</f>
        <v>-</v>
      </c>
      <c r="C1458" s="88" t="s">
        <v>152</v>
      </c>
      <c r="D1458" s="89">
        <f>IF(C1458="ID",1,(IF(C1458="PR",2,(IF(C1458="DE",3,(IF(C1458="RS",4,(IF(C1458="RC",5,0)))))))))</f>
        <v>2</v>
      </c>
      <c r="E1458" s="89" t="s">
        <v>153</v>
      </c>
      <c r="F1458" s="89">
        <f>IF(E1458="AM",1,(IF(E1458="BE",2,(IF(E1458="GV",3,(IF(E1458="RA",4,(IF(E1458="RM",5,(IF(E1458="AC",1,(IF(E1458="AT",2,(IF(E1458="DS",3,(IF(E1458="IP",4,(IF(E1458="MA",5,(IF(E1458="PT",6,(IF(E1458="AE",1,(IF(E1458="CM",2,(IF(E1458="DP",3,(IF(E1458="AN",1,(IF(E1458="CO",2,(IF(E1458="IM",3,(IF(E1458="MI",4,(IF(E1458="RP",5,(IF(E1458="SC",6,0)))))))))))))))))))))))))))))))))))))))</f>
        <v>1</v>
      </c>
      <c r="G1458" s="52">
        <v>5</v>
      </c>
      <c r="H1458" s="90" t="s">
        <v>115</v>
      </c>
      <c r="I1458" s="94" t="s">
        <v>85</v>
      </c>
      <c r="J1458" s="87" t="s">
        <v>1274</v>
      </c>
      <c r="K1458" s="119" t="s">
        <v>5020</v>
      </c>
      <c r="L1458" s="117">
        <f>IF(O1458="","",N1458*O1458*M1458)</f>
        <v>0</v>
      </c>
      <c r="M1458" s="108">
        <v>1</v>
      </c>
      <c r="N1458" s="95">
        <v>1</v>
      </c>
      <c r="O1458" s="109">
        <f>IF(Key!D$1="ON",P1458,IF(SUM(Q1458:DL1458)&lt;1,"",SUM(Q1458:DL1458)/COUNTIF(Q1458:DL1458,"&gt;0")))</f>
        <v>0</v>
      </c>
      <c r="P1458" s="109">
        <f>SUMIFS(Q1458:DK1458,Q$1:DK$1,Dashboard!$K$31)</f>
        <v>0</v>
      </c>
      <c r="U1458" s="95">
        <v>33</v>
      </c>
      <c r="AA1458" s="95">
        <v>25</v>
      </c>
      <c r="AH1458" s="95">
        <v>75</v>
      </c>
    </row>
    <row r="1459" spans="1:34" ht="15.6" x14ac:dyDescent="0.3">
      <c r="A1459" s="89" t="str">
        <f>CONCATENATE(D1459,".",F1459,"-",G1459,".",H1459,"")</f>
        <v>2.1-5.1</v>
      </c>
      <c r="B1459" s="89" t="str">
        <f>IF(CONCATENATE(I1459,Key!F$2)=CONCATENATE(INDEX(Dashboard!J:J,MATCH(I1459,Dashboard!J:J,0),1),INDEX(Dashboard!J:K,MATCH(I1459,Dashboard!J:J,0),2)),"ON",IF(Dashboard!K$32="ALL","ON","-"))</f>
        <v>-</v>
      </c>
      <c r="C1459" s="88" t="s">
        <v>152</v>
      </c>
      <c r="D1459" s="89">
        <f>IF(C1459="ID",1,(IF(C1459="PR",2,(IF(C1459="DE",3,(IF(C1459="RS",4,(IF(C1459="RC",5,0)))))))))</f>
        <v>2</v>
      </c>
      <c r="E1459" s="89" t="s">
        <v>153</v>
      </c>
      <c r="F1459" s="89">
        <f>IF(E1459="AM",1,(IF(E1459="BE",2,(IF(E1459="GV",3,(IF(E1459="RA",4,(IF(E1459="RM",5,(IF(E1459="AC",1,(IF(E1459="AT",2,(IF(E1459="DS",3,(IF(E1459="IP",4,(IF(E1459="MA",5,(IF(E1459="PT",6,(IF(E1459="AE",1,(IF(E1459="CM",2,(IF(E1459="DP",3,(IF(E1459="AN",1,(IF(E1459="CO",2,(IF(E1459="IM",3,(IF(E1459="MI",4,(IF(E1459="RP",5,(IF(E1459="SC",6,0)))))))))))))))))))))))))))))))))))))))</f>
        <v>1</v>
      </c>
      <c r="G1459" s="52">
        <v>5</v>
      </c>
      <c r="H1459" s="90" t="s">
        <v>115</v>
      </c>
      <c r="I1459" s="94" t="s">
        <v>85</v>
      </c>
      <c r="J1459" s="87" t="s">
        <v>1282</v>
      </c>
      <c r="K1459" s="119" t="s">
        <v>5028</v>
      </c>
      <c r="L1459" s="117">
        <f>IF(O1459="","",N1459*O1459*M1459)</f>
        <v>0</v>
      </c>
      <c r="M1459" s="108">
        <v>1</v>
      </c>
      <c r="N1459" s="95">
        <v>1</v>
      </c>
      <c r="O1459" s="109">
        <f>IF(Key!D$1="ON",P1459,IF(SUM(Q1459:DL1459)&lt;1,"",SUM(Q1459:DL1459)/COUNTIF(Q1459:DL1459,"&gt;0")))</f>
        <v>0</v>
      </c>
      <c r="P1459" s="109">
        <f>SUMIFS(Q1459:DK1459,Q$1:DK$1,Dashboard!$K$31)</f>
        <v>0</v>
      </c>
      <c r="U1459" s="95">
        <v>33</v>
      </c>
      <c r="AA1459" s="95">
        <v>25</v>
      </c>
      <c r="AH1459" s="95">
        <v>75</v>
      </c>
    </row>
    <row r="1460" spans="1:34" x14ac:dyDescent="0.3">
      <c r="A1460" s="89" t="str">
        <f>CONCATENATE(D1460,".",F1460,"-",G1460,".",H1460,"")</f>
        <v>2.1-5.1</v>
      </c>
      <c r="B1460" s="89" t="str">
        <f>IF(CONCATENATE(I1460,Key!F$2)=CONCATENATE(INDEX(Dashboard!J:J,MATCH(I1460,Dashboard!J:J,0),1),INDEX(Dashboard!J:K,MATCH(I1460,Dashboard!J:J,0),2)),"ON",IF(Dashboard!K$32="ALL","ON","-"))</f>
        <v>-</v>
      </c>
      <c r="C1460" s="88" t="s">
        <v>152</v>
      </c>
      <c r="D1460" s="89">
        <f>IF(C1460="ID",1,(IF(C1460="PR",2,(IF(C1460="DE",3,(IF(C1460="RS",4,(IF(C1460="RC",5,0)))))))))</f>
        <v>2</v>
      </c>
      <c r="E1460" s="89" t="s">
        <v>153</v>
      </c>
      <c r="F1460" s="89">
        <f>IF(E1460="AM",1,(IF(E1460="BE",2,(IF(E1460="GV",3,(IF(E1460="RA",4,(IF(E1460="RM",5,(IF(E1460="AC",1,(IF(E1460="AT",2,(IF(E1460="DS",3,(IF(E1460="IP",4,(IF(E1460="MA",5,(IF(E1460="PT",6,(IF(E1460="AE",1,(IF(E1460="CM",2,(IF(E1460="DP",3,(IF(E1460="AN",1,(IF(E1460="CO",2,(IF(E1460="IM",3,(IF(E1460="MI",4,(IF(E1460="RP",5,(IF(E1460="SC",6,0)))))))))))))))))))))))))))))))))))))))</f>
        <v>1</v>
      </c>
      <c r="G1460" s="52">
        <v>5</v>
      </c>
      <c r="H1460" s="90" t="s">
        <v>115</v>
      </c>
      <c r="I1460" s="94" t="s">
        <v>85</v>
      </c>
      <c r="J1460" s="87" t="s">
        <v>1263</v>
      </c>
      <c r="K1460" s="119" t="s">
        <v>4590</v>
      </c>
      <c r="L1460" s="117">
        <f>IF(O1460="","",N1460*O1460*M1460)</f>
        <v>0</v>
      </c>
      <c r="M1460" s="108">
        <v>1</v>
      </c>
      <c r="N1460" s="95">
        <v>1</v>
      </c>
      <c r="O1460" s="109">
        <f>IF(Key!D$1="ON",P1460,IF(SUM(Q1460:DL1460)&lt;1,"",SUM(Q1460:DL1460)/COUNTIF(Q1460:DL1460,"&gt;0")))</f>
        <v>0</v>
      </c>
      <c r="P1460" s="109">
        <f>SUMIFS(Q1460:DK1460,Q$1:DK$1,Dashboard!$K$31)</f>
        <v>0</v>
      </c>
      <c r="U1460" s="95">
        <v>33</v>
      </c>
      <c r="AA1460" s="95">
        <v>25</v>
      </c>
      <c r="AH1460" s="95">
        <v>75</v>
      </c>
    </row>
    <row r="1461" spans="1:34" x14ac:dyDescent="0.3">
      <c r="A1461" s="89" t="str">
        <f>CONCATENATE(D1461,".",F1461,"-",G1461,".",H1461,"")</f>
        <v>2.1-5.1</v>
      </c>
      <c r="B1461" s="89" t="str">
        <f>IF(CONCATENATE(I1461,Key!F$2)=CONCATENATE(INDEX(Dashboard!J:J,MATCH(I1461,Dashboard!J:J,0),1),INDEX(Dashboard!J:K,MATCH(I1461,Dashboard!J:J,0),2)),"ON",IF(Dashboard!K$32="ALL","ON","-"))</f>
        <v>-</v>
      </c>
      <c r="C1461" s="88" t="s">
        <v>152</v>
      </c>
      <c r="D1461" s="89">
        <f>IF(C1461="ID",1,(IF(C1461="PR",2,(IF(C1461="DE",3,(IF(C1461="RS",4,(IF(C1461="RC",5,0)))))))))</f>
        <v>2</v>
      </c>
      <c r="E1461" s="89" t="s">
        <v>153</v>
      </c>
      <c r="F1461" s="89">
        <f>IF(E1461="AM",1,(IF(E1461="BE",2,(IF(E1461="GV",3,(IF(E1461="RA",4,(IF(E1461="RM",5,(IF(E1461="AC",1,(IF(E1461="AT",2,(IF(E1461="DS",3,(IF(E1461="IP",4,(IF(E1461="MA",5,(IF(E1461="PT",6,(IF(E1461="AE",1,(IF(E1461="CM",2,(IF(E1461="DP",3,(IF(E1461="AN",1,(IF(E1461="CO",2,(IF(E1461="IM",3,(IF(E1461="MI",4,(IF(E1461="RP",5,(IF(E1461="SC",6,0)))))))))))))))))))))))))))))))))))))))</f>
        <v>1</v>
      </c>
      <c r="G1461" s="52">
        <v>5</v>
      </c>
      <c r="H1461" s="90" t="s">
        <v>115</v>
      </c>
      <c r="I1461" s="94" t="s">
        <v>85</v>
      </c>
      <c r="J1461" s="87" t="s">
        <v>1276</v>
      </c>
      <c r="K1461" s="119" t="s">
        <v>5022</v>
      </c>
      <c r="L1461" s="117">
        <f>IF(O1461="","",N1461*O1461*M1461)</f>
        <v>0</v>
      </c>
      <c r="M1461" s="108">
        <v>1</v>
      </c>
      <c r="N1461" s="95">
        <v>1</v>
      </c>
      <c r="O1461" s="109">
        <f>IF(Key!D$1="ON",P1461,IF(SUM(Q1461:DL1461)&lt;1,"",SUM(Q1461:DL1461)/COUNTIF(Q1461:DL1461,"&gt;0")))</f>
        <v>0</v>
      </c>
      <c r="P1461" s="109">
        <f>SUMIFS(Q1461:DK1461,Q$1:DK$1,Dashboard!$K$31)</f>
        <v>0</v>
      </c>
      <c r="U1461" s="95">
        <v>33</v>
      </c>
      <c r="AA1461" s="95">
        <v>25</v>
      </c>
      <c r="AH1461" s="95">
        <v>75</v>
      </c>
    </row>
    <row r="1462" spans="1:34" x14ac:dyDescent="0.3">
      <c r="A1462" s="89" t="str">
        <f>CONCATENATE(D1462,".",F1462,"-",G1462,".",H1462,"")</f>
        <v>2.1-5.1</v>
      </c>
      <c r="B1462" s="89" t="str">
        <f>IF(CONCATENATE(I1462,Key!F$2)=CONCATENATE(INDEX(Dashboard!J:J,MATCH(I1462,Dashboard!J:J,0),1),INDEX(Dashboard!J:K,MATCH(I1462,Dashboard!J:J,0),2)),"ON",IF(Dashboard!K$32="ALL","ON","-"))</f>
        <v>-</v>
      </c>
      <c r="C1462" s="88" t="s">
        <v>152</v>
      </c>
      <c r="D1462" s="89">
        <f>IF(C1462="ID",1,(IF(C1462="PR",2,(IF(C1462="DE",3,(IF(C1462="RS",4,(IF(C1462="RC",5,0)))))))))</f>
        <v>2</v>
      </c>
      <c r="E1462" s="89" t="s">
        <v>153</v>
      </c>
      <c r="F1462" s="89">
        <f>IF(E1462="AM",1,(IF(E1462="BE",2,(IF(E1462="GV",3,(IF(E1462="RA",4,(IF(E1462="RM",5,(IF(E1462="AC",1,(IF(E1462="AT",2,(IF(E1462="DS",3,(IF(E1462="IP",4,(IF(E1462="MA",5,(IF(E1462="PT",6,(IF(E1462="AE",1,(IF(E1462="CM",2,(IF(E1462="DP",3,(IF(E1462="AN",1,(IF(E1462="CO",2,(IF(E1462="IM",3,(IF(E1462="MI",4,(IF(E1462="RP",5,(IF(E1462="SC",6,0)))))))))))))))))))))))))))))))))))))))</f>
        <v>1</v>
      </c>
      <c r="G1462" s="52">
        <v>5</v>
      </c>
      <c r="H1462" s="90" t="s">
        <v>115</v>
      </c>
      <c r="I1462" s="94" t="s">
        <v>85</v>
      </c>
      <c r="J1462" s="87" t="s">
        <v>1262</v>
      </c>
      <c r="K1462" s="119" t="s">
        <v>4589</v>
      </c>
      <c r="L1462" s="117">
        <f>IF(O1462="","",N1462*O1462*M1462)</f>
        <v>0</v>
      </c>
      <c r="M1462" s="108">
        <v>1</v>
      </c>
      <c r="N1462" s="95">
        <v>1</v>
      </c>
      <c r="O1462" s="109">
        <f>IF(Key!D$1="ON",P1462,IF(SUM(Q1462:DL1462)&lt;1,"",SUM(Q1462:DL1462)/COUNTIF(Q1462:DL1462,"&gt;0")))</f>
        <v>0</v>
      </c>
      <c r="P1462" s="109">
        <f>SUMIFS(Q1462:DK1462,Q$1:DK$1,Dashboard!$K$31)</f>
        <v>0</v>
      </c>
      <c r="U1462" s="95">
        <v>33</v>
      </c>
      <c r="AA1462" s="95">
        <v>25</v>
      </c>
      <c r="AH1462" s="95">
        <v>75</v>
      </c>
    </row>
    <row r="1463" spans="1:34" x14ac:dyDescent="0.3">
      <c r="A1463" s="89" t="str">
        <f>CONCATENATE(D1463,".",F1463,"-",G1463,".",H1463,"")</f>
        <v>2.1-5.1</v>
      </c>
      <c r="B1463" s="89" t="str">
        <f>IF(CONCATENATE(I1463,Key!F$2)=CONCATENATE(INDEX(Dashboard!J:J,MATCH(I1463,Dashboard!J:J,0),1),INDEX(Dashboard!J:K,MATCH(I1463,Dashboard!J:J,0),2)),"ON",IF(Dashboard!K$32="ALL","ON","-"))</f>
        <v>-</v>
      </c>
      <c r="C1463" s="88" t="s">
        <v>152</v>
      </c>
      <c r="D1463" s="89">
        <f>IF(C1463="ID",1,(IF(C1463="PR",2,(IF(C1463="DE",3,(IF(C1463="RS",4,(IF(C1463="RC",5,0)))))))))</f>
        <v>2</v>
      </c>
      <c r="E1463" s="89" t="s">
        <v>153</v>
      </c>
      <c r="F1463" s="89">
        <f>IF(E1463="AM",1,(IF(E1463="BE",2,(IF(E1463="GV",3,(IF(E1463="RA",4,(IF(E1463="RM",5,(IF(E1463="AC",1,(IF(E1463="AT",2,(IF(E1463="DS",3,(IF(E1463="IP",4,(IF(E1463="MA",5,(IF(E1463="PT",6,(IF(E1463="AE",1,(IF(E1463="CM",2,(IF(E1463="DP",3,(IF(E1463="AN",1,(IF(E1463="CO",2,(IF(E1463="IM",3,(IF(E1463="MI",4,(IF(E1463="RP",5,(IF(E1463="SC",6,0)))))))))))))))))))))))))))))))))))))))</f>
        <v>1</v>
      </c>
      <c r="G1463" s="98">
        <v>5</v>
      </c>
      <c r="H1463" s="90" t="s">
        <v>115</v>
      </c>
      <c r="I1463" s="94" t="s">
        <v>85</v>
      </c>
      <c r="J1463" s="87" t="s">
        <v>1265</v>
      </c>
      <c r="K1463" s="119" t="s">
        <v>4530</v>
      </c>
      <c r="L1463" s="117">
        <f>IF(O1463="","",N1463*O1463*M1463)</f>
        <v>0</v>
      </c>
      <c r="M1463" s="108">
        <v>1</v>
      </c>
      <c r="N1463" s="95">
        <v>1</v>
      </c>
      <c r="O1463" s="109">
        <f>IF(Key!D$1="ON",P1463,IF(SUM(Q1463:DL1463)&lt;1,"",SUM(Q1463:DL1463)/COUNTIF(Q1463:DL1463,"&gt;0")))</f>
        <v>0</v>
      </c>
      <c r="P1463" s="109">
        <f>SUMIFS(Q1463:DK1463,Q$1:DK$1,Dashboard!$K$31)</f>
        <v>0</v>
      </c>
      <c r="U1463" s="95">
        <v>33</v>
      </c>
      <c r="AA1463" s="95">
        <v>25</v>
      </c>
      <c r="AH1463" s="95">
        <v>75</v>
      </c>
    </row>
    <row r="1464" spans="1:34" x14ac:dyDescent="0.3">
      <c r="A1464" s="89" t="str">
        <f>CONCATENATE(D1464,".",F1464,"-",G1464,".",H1464,"")</f>
        <v>2.1-5.1</v>
      </c>
      <c r="B1464" s="89" t="str">
        <f>IF(CONCATENATE(I1464,Key!F$2)=CONCATENATE(INDEX(Dashboard!J:J,MATCH(I1464,Dashboard!J:J,0),1),INDEX(Dashboard!J:K,MATCH(I1464,Dashboard!J:J,0),2)),"ON",IF(Dashboard!K$32="ALL","ON","-"))</f>
        <v>-</v>
      </c>
      <c r="C1464" s="88" t="s">
        <v>152</v>
      </c>
      <c r="D1464" s="89">
        <f>IF(C1464="ID",1,(IF(C1464="PR",2,(IF(C1464="DE",3,(IF(C1464="RS",4,(IF(C1464="RC",5,0)))))))))</f>
        <v>2</v>
      </c>
      <c r="E1464" s="89" t="s">
        <v>153</v>
      </c>
      <c r="F1464" s="89">
        <f>IF(E1464="AM",1,(IF(E1464="BE",2,(IF(E1464="GV",3,(IF(E1464="RA",4,(IF(E1464="RM",5,(IF(E1464="AC",1,(IF(E1464="AT",2,(IF(E1464="DS",3,(IF(E1464="IP",4,(IF(E1464="MA",5,(IF(E1464="PT",6,(IF(E1464="AE",1,(IF(E1464="CM",2,(IF(E1464="DP",3,(IF(E1464="AN",1,(IF(E1464="CO",2,(IF(E1464="IM",3,(IF(E1464="MI",4,(IF(E1464="RP",5,(IF(E1464="SC",6,0)))))))))))))))))))))))))))))))))))))))</f>
        <v>1</v>
      </c>
      <c r="G1464" s="52">
        <v>5</v>
      </c>
      <c r="H1464" s="90" t="s">
        <v>115</v>
      </c>
      <c r="I1464" s="94" t="s">
        <v>85</v>
      </c>
      <c r="J1464" s="87" t="s">
        <v>1277</v>
      </c>
      <c r="K1464" s="119" t="s">
        <v>5023</v>
      </c>
      <c r="L1464" s="117">
        <f>IF(O1464="","",N1464*O1464*M1464)</f>
        <v>0</v>
      </c>
      <c r="M1464" s="108">
        <v>1</v>
      </c>
      <c r="N1464" s="95">
        <v>1</v>
      </c>
      <c r="O1464" s="109">
        <f>IF(Key!D$1="ON",P1464,IF(SUM(Q1464:DL1464)&lt;1,"",SUM(Q1464:DL1464)/COUNTIF(Q1464:DL1464,"&gt;0")))</f>
        <v>0</v>
      </c>
      <c r="P1464" s="109">
        <f>SUMIFS(Q1464:DK1464,Q$1:DK$1,Dashboard!$K$31)</f>
        <v>0</v>
      </c>
      <c r="U1464" s="95">
        <v>33</v>
      </c>
      <c r="AA1464" s="95">
        <v>25</v>
      </c>
      <c r="AH1464" s="95">
        <v>75</v>
      </c>
    </row>
    <row r="1465" spans="1:34" x14ac:dyDescent="0.3">
      <c r="A1465" s="89" t="str">
        <f>CONCATENATE(D1465,".",F1465,"-",G1465,".",H1465,"")</f>
        <v>2.1-5.1</v>
      </c>
      <c r="B1465" s="89" t="str">
        <f>IF(CONCATENATE(I1465,Key!F$2)=CONCATENATE(INDEX(Dashboard!J:J,MATCH(I1465,Dashboard!J:J,0),1),INDEX(Dashboard!J:K,MATCH(I1465,Dashboard!J:J,0),2)),"ON",IF(Dashboard!K$32="ALL","ON","-"))</f>
        <v>-</v>
      </c>
      <c r="C1465" s="88" t="s">
        <v>152</v>
      </c>
      <c r="D1465" s="89">
        <f>IF(C1465="ID",1,(IF(C1465="PR",2,(IF(C1465="DE",3,(IF(C1465="RS",4,(IF(C1465="RC",5,0)))))))))</f>
        <v>2</v>
      </c>
      <c r="E1465" s="89" t="s">
        <v>153</v>
      </c>
      <c r="F1465" s="89">
        <f>IF(E1465="AM",1,(IF(E1465="BE",2,(IF(E1465="GV",3,(IF(E1465="RA",4,(IF(E1465="RM",5,(IF(E1465="AC",1,(IF(E1465="AT",2,(IF(E1465="DS",3,(IF(E1465="IP",4,(IF(E1465="MA",5,(IF(E1465="PT",6,(IF(E1465="AE",1,(IF(E1465="CM",2,(IF(E1465="DP",3,(IF(E1465="AN",1,(IF(E1465="CO",2,(IF(E1465="IM",3,(IF(E1465="MI",4,(IF(E1465="RP",5,(IF(E1465="SC",6,0)))))))))))))))))))))))))))))))))))))))</f>
        <v>1</v>
      </c>
      <c r="G1465" s="52">
        <v>5</v>
      </c>
      <c r="H1465" s="90" t="s">
        <v>115</v>
      </c>
      <c r="I1465" s="94" t="s">
        <v>85</v>
      </c>
      <c r="J1465" s="87" t="s">
        <v>1271</v>
      </c>
      <c r="K1465" s="119" t="s">
        <v>5017</v>
      </c>
      <c r="L1465" s="117">
        <f>IF(O1465="","",N1465*O1465*M1465)</f>
        <v>0</v>
      </c>
      <c r="M1465" s="108">
        <v>1</v>
      </c>
      <c r="N1465" s="95">
        <v>1</v>
      </c>
      <c r="O1465" s="109">
        <f>IF(Key!D$1="ON",P1465,IF(SUM(Q1465:DL1465)&lt;1,"",SUM(Q1465:DL1465)/COUNTIF(Q1465:DL1465,"&gt;0")))</f>
        <v>0</v>
      </c>
      <c r="P1465" s="109">
        <f>SUMIFS(Q1465:DK1465,Q$1:DK$1,Dashboard!$K$31)</f>
        <v>0</v>
      </c>
      <c r="U1465" s="95">
        <v>33</v>
      </c>
      <c r="AA1465" s="95">
        <v>25</v>
      </c>
      <c r="AH1465" s="95">
        <v>75</v>
      </c>
    </row>
    <row r="1466" spans="1:34" x14ac:dyDescent="0.3">
      <c r="A1466" s="89" t="str">
        <f>CONCATENATE(D1466,".",F1466,"-",G1466,".",H1466,"")</f>
        <v>2.1-5.1</v>
      </c>
      <c r="B1466" s="89" t="str">
        <f>IF(CONCATENATE(I1466,Key!F$2)=CONCATENATE(INDEX(Dashboard!J:J,MATCH(I1466,Dashboard!J:J,0),1),INDEX(Dashboard!J:K,MATCH(I1466,Dashboard!J:J,0),2)),"ON",IF(Dashboard!K$32="ALL","ON","-"))</f>
        <v>-</v>
      </c>
      <c r="C1466" s="88" t="s">
        <v>152</v>
      </c>
      <c r="D1466" s="89">
        <f>IF(C1466="ID",1,(IF(C1466="PR",2,(IF(C1466="DE",3,(IF(C1466="RS",4,(IF(C1466="RC",5,0)))))))))</f>
        <v>2</v>
      </c>
      <c r="E1466" s="89" t="s">
        <v>153</v>
      </c>
      <c r="F1466" s="89">
        <f>IF(E1466="AM",1,(IF(E1466="BE",2,(IF(E1466="GV",3,(IF(E1466="RA",4,(IF(E1466="RM",5,(IF(E1466="AC",1,(IF(E1466="AT",2,(IF(E1466="DS",3,(IF(E1466="IP",4,(IF(E1466="MA",5,(IF(E1466="PT",6,(IF(E1466="AE",1,(IF(E1466="CM",2,(IF(E1466="DP",3,(IF(E1466="AN",1,(IF(E1466="CO",2,(IF(E1466="IM",3,(IF(E1466="MI",4,(IF(E1466="RP",5,(IF(E1466="SC",6,0)))))))))))))))))))))))))))))))))))))))</f>
        <v>1</v>
      </c>
      <c r="G1466" s="98">
        <v>5</v>
      </c>
      <c r="H1466" s="90" t="s">
        <v>115</v>
      </c>
      <c r="I1466" s="94" t="s">
        <v>85</v>
      </c>
      <c r="J1466" s="87" t="s">
        <v>1264</v>
      </c>
      <c r="K1466" s="119" t="s">
        <v>4513</v>
      </c>
      <c r="L1466" s="117">
        <f>IF(O1466="","",N1466*O1466*M1466)</f>
        <v>0</v>
      </c>
      <c r="M1466" s="108">
        <v>1</v>
      </c>
      <c r="N1466" s="95">
        <v>1</v>
      </c>
      <c r="O1466" s="109">
        <f>IF(Key!D$1="ON",P1466,IF(SUM(Q1466:DL1466)&lt;1,"",SUM(Q1466:DL1466)/COUNTIF(Q1466:DL1466,"&gt;0")))</f>
        <v>0</v>
      </c>
      <c r="P1466" s="109">
        <f>SUMIFS(Q1466:DK1466,Q$1:DK$1,Dashboard!$K$31)</f>
        <v>0</v>
      </c>
      <c r="U1466" s="95">
        <v>33</v>
      </c>
      <c r="AA1466" s="95">
        <v>25</v>
      </c>
      <c r="AH1466" s="95">
        <v>75</v>
      </c>
    </row>
    <row r="1467" spans="1:34" x14ac:dyDescent="0.3">
      <c r="A1467" s="89" t="str">
        <f>CONCATENATE(D1467,".",F1467,"-",G1467,".",H1467,"")</f>
        <v>2.1-5.1</v>
      </c>
      <c r="B1467" s="89" t="str">
        <f>IF(CONCATENATE(I1467,Key!F$2)=CONCATENATE(INDEX(Dashboard!J:J,MATCH(I1467,Dashboard!J:J,0),1),INDEX(Dashboard!J:K,MATCH(I1467,Dashboard!J:J,0),2)),"ON",IF(Dashboard!K$32="ALL","ON","-"))</f>
        <v>-</v>
      </c>
      <c r="C1467" s="88" t="s">
        <v>152</v>
      </c>
      <c r="D1467" s="89">
        <f>IF(C1467="ID",1,(IF(C1467="PR",2,(IF(C1467="DE",3,(IF(C1467="RS",4,(IF(C1467="RC",5,0)))))))))</f>
        <v>2</v>
      </c>
      <c r="E1467" s="89" t="s">
        <v>153</v>
      </c>
      <c r="F1467" s="89">
        <f>IF(E1467="AM",1,(IF(E1467="BE",2,(IF(E1467="GV",3,(IF(E1467="RA",4,(IF(E1467="RM",5,(IF(E1467="AC",1,(IF(E1467="AT",2,(IF(E1467="DS",3,(IF(E1467="IP",4,(IF(E1467="MA",5,(IF(E1467="PT",6,(IF(E1467="AE",1,(IF(E1467="CM",2,(IF(E1467="DP",3,(IF(E1467="AN",1,(IF(E1467="CO",2,(IF(E1467="IM",3,(IF(E1467="MI",4,(IF(E1467="RP",5,(IF(E1467="SC",6,0)))))))))))))))))))))))))))))))))))))))</f>
        <v>1</v>
      </c>
      <c r="G1467" s="52">
        <v>5</v>
      </c>
      <c r="H1467" s="90" t="s">
        <v>115</v>
      </c>
      <c r="I1467" s="94" t="s">
        <v>85</v>
      </c>
      <c r="J1467" s="87" t="s">
        <v>1275</v>
      </c>
      <c r="K1467" s="119" t="s">
        <v>5021</v>
      </c>
      <c r="L1467" s="117">
        <f>IF(O1467="","",N1467*O1467*M1467)</f>
        <v>0</v>
      </c>
      <c r="M1467" s="108">
        <v>1</v>
      </c>
      <c r="N1467" s="95">
        <v>1</v>
      </c>
      <c r="O1467" s="109">
        <f>IF(Key!D$1="ON",P1467,IF(SUM(Q1467:DL1467)&lt;1,"",SUM(Q1467:DL1467)/COUNTIF(Q1467:DL1467,"&gt;0")))</f>
        <v>0</v>
      </c>
      <c r="P1467" s="109">
        <f>SUMIFS(Q1467:DK1467,Q$1:DK$1,Dashboard!$K$31)</f>
        <v>0</v>
      </c>
      <c r="U1467" s="95">
        <v>33</v>
      </c>
      <c r="AA1467" s="95">
        <v>25</v>
      </c>
      <c r="AH1467" s="95">
        <v>75</v>
      </c>
    </row>
    <row r="1468" spans="1:34" x14ac:dyDescent="0.3">
      <c r="A1468" s="89" t="str">
        <f>CONCATENATE(D1468,".",F1468,"-",G1468,".",H1468,"")</f>
        <v>2.1-5.1</v>
      </c>
      <c r="B1468" s="89" t="str">
        <f>IF(CONCATENATE(I1468,Key!F$2)=CONCATENATE(INDEX(Dashboard!J:J,MATCH(I1468,Dashboard!J:J,0),1),INDEX(Dashboard!J:K,MATCH(I1468,Dashboard!J:J,0),2)),"ON",IF(Dashboard!K$32="ALL","ON","-"))</f>
        <v>-</v>
      </c>
      <c r="C1468" s="88" t="s">
        <v>152</v>
      </c>
      <c r="D1468" s="89">
        <f>IF(C1468="ID",1,(IF(C1468="PR",2,(IF(C1468="DE",3,(IF(C1468="RS",4,(IF(C1468="RC",5,0)))))))))</f>
        <v>2</v>
      </c>
      <c r="E1468" s="89" t="s">
        <v>153</v>
      </c>
      <c r="F1468" s="89">
        <f>IF(E1468="AM",1,(IF(E1468="BE",2,(IF(E1468="GV",3,(IF(E1468="RA",4,(IF(E1468="RM",5,(IF(E1468="AC",1,(IF(E1468="AT",2,(IF(E1468="DS",3,(IF(E1468="IP",4,(IF(E1468="MA",5,(IF(E1468="PT",6,(IF(E1468="AE",1,(IF(E1468="CM",2,(IF(E1468="DP",3,(IF(E1468="AN",1,(IF(E1468="CO",2,(IF(E1468="IM",3,(IF(E1468="MI",4,(IF(E1468="RP",5,(IF(E1468="SC",6,0)))))))))))))))))))))))))))))))))))))))</f>
        <v>1</v>
      </c>
      <c r="G1468" s="52">
        <v>5</v>
      </c>
      <c r="H1468" s="90" t="s">
        <v>115</v>
      </c>
      <c r="I1468" s="94" t="s">
        <v>85</v>
      </c>
      <c r="J1468" s="87" t="s">
        <v>1272</v>
      </c>
      <c r="K1468" s="119" t="s">
        <v>5018</v>
      </c>
      <c r="L1468" s="117">
        <f>IF(O1468="","",N1468*O1468*M1468)</f>
        <v>0</v>
      </c>
      <c r="M1468" s="108">
        <v>1</v>
      </c>
      <c r="N1468" s="95">
        <v>1</v>
      </c>
      <c r="O1468" s="109">
        <f>IF(Key!D$1="ON",P1468,IF(SUM(Q1468:DL1468)&lt;1,"",SUM(Q1468:DL1468)/COUNTIF(Q1468:DL1468,"&gt;0")))</f>
        <v>0</v>
      </c>
      <c r="P1468" s="109">
        <f>SUMIFS(Q1468:DK1468,Q$1:DK$1,Dashboard!$K$31)</f>
        <v>0</v>
      </c>
      <c r="U1468" s="95">
        <v>33</v>
      </c>
      <c r="AA1468" s="95">
        <v>25</v>
      </c>
      <c r="AH1468" s="95">
        <v>75</v>
      </c>
    </row>
    <row r="1469" spans="1:34" x14ac:dyDescent="0.3">
      <c r="A1469" s="89" t="str">
        <f>CONCATENATE(D1469,".",F1469,"-",G1469,".",H1469,"")</f>
        <v>2.1-5.1</v>
      </c>
      <c r="B1469" s="89" t="str">
        <f>IF(CONCATENATE(I1469,Key!F$2)=CONCATENATE(INDEX(Dashboard!J:J,MATCH(I1469,Dashboard!J:J,0),1),INDEX(Dashboard!J:K,MATCH(I1469,Dashboard!J:J,0),2)),"ON",IF(Dashboard!K$32="ALL","ON","-"))</f>
        <v>-</v>
      </c>
      <c r="C1469" s="88" t="s">
        <v>152</v>
      </c>
      <c r="D1469" s="89">
        <f>IF(C1469="ID",1,(IF(C1469="PR",2,(IF(C1469="DE",3,(IF(C1469="RS",4,(IF(C1469="RC",5,0)))))))))</f>
        <v>2</v>
      </c>
      <c r="E1469" s="89" t="s">
        <v>153</v>
      </c>
      <c r="F1469" s="89">
        <f>IF(E1469="AM",1,(IF(E1469="BE",2,(IF(E1469="GV",3,(IF(E1469="RA",4,(IF(E1469="RM",5,(IF(E1469="AC",1,(IF(E1469="AT",2,(IF(E1469="DS",3,(IF(E1469="IP",4,(IF(E1469="MA",5,(IF(E1469="PT",6,(IF(E1469="AE",1,(IF(E1469="CM",2,(IF(E1469="DP",3,(IF(E1469="AN",1,(IF(E1469="CO",2,(IF(E1469="IM",3,(IF(E1469="MI",4,(IF(E1469="RP",5,(IF(E1469="SC",6,0)))))))))))))))))))))))))))))))))))))))</f>
        <v>1</v>
      </c>
      <c r="G1469" s="52">
        <v>5</v>
      </c>
      <c r="H1469" s="90" t="s">
        <v>115</v>
      </c>
      <c r="I1469" s="94" t="s">
        <v>85</v>
      </c>
      <c r="J1469" s="87" t="s">
        <v>1290</v>
      </c>
      <c r="K1469" s="119" t="s">
        <v>5016</v>
      </c>
      <c r="L1469" s="117">
        <f>IF(O1469="","",N1469*O1469*M1469)</f>
        <v>0</v>
      </c>
      <c r="M1469" s="108">
        <v>1</v>
      </c>
      <c r="N1469" s="95">
        <v>1</v>
      </c>
      <c r="O1469" s="109">
        <f>IF(Key!D$1="ON",P1469,IF(SUM(Q1469:DL1469)&lt;1,"",SUM(Q1469:DL1469)/COUNTIF(Q1469:DL1469,"&gt;0")))</f>
        <v>0</v>
      </c>
      <c r="P1469" s="109">
        <f>SUMIFS(Q1469:DK1469,Q$1:DK$1,Dashboard!$K$31)</f>
        <v>0</v>
      </c>
      <c r="U1469" s="95">
        <v>33</v>
      </c>
      <c r="AA1469" s="95">
        <v>25</v>
      </c>
      <c r="AH1469" s="95">
        <v>75</v>
      </c>
    </row>
    <row r="1470" spans="1:34" ht="15.6" x14ac:dyDescent="0.3">
      <c r="A1470" s="89" t="str">
        <f>CONCATENATE(D1470,".",F1470,"-",G1470,".",H1470,"")</f>
        <v>2.1-5.1</v>
      </c>
      <c r="B1470" s="89" t="str">
        <f>IF(CONCATENATE(I1470,Key!F$2)=CONCATENATE(INDEX(Dashboard!J:J,MATCH(I1470,Dashboard!J:J,0),1),INDEX(Dashboard!J:K,MATCH(I1470,Dashboard!J:J,0),2)),"ON",IF(Dashboard!K$32="ALL","ON","-"))</f>
        <v>-</v>
      </c>
      <c r="C1470" s="88" t="s">
        <v>152</v>
      </c>
      <c r="D1470" s="89">
        <f>IF(C1470="ID",1,(IF(C1470="PR",2,(IF(C1470="DE",3,(IF(C1470="RS",4,(IF(C1470="RC",5,0)))))))))</f>
        <v>2</v>
      </c>
      <c r="E1470" s="89" t="s">
        <v>153</v>
      </c>
      <c r="F1470" s="89">
        <f>IF(E1470="AM",1,(IF(E1470="BE",2,(IF(E1470="GV",3,(IF(E1470="RA",4,(IF(E1470="RM",5,(IF(E1470="AC",1,(IF(E1470="AT",2,(IF(E1470="DS",3,(IF(E1470="IP",4,(IF(E1470="MA",5,(IF(E1470="PT",6,(IF(E1470="AE",1,(IF(E1470="CM",2,(IF(E1470="DP",3,(IF(E1470="AN",1,(IF(E1470="CO",2,(IF(E1470="IM",3,(IF(E1470="MI",4,(IF(E1470="RP",5,(IF(E1470="SC",6,0)))))))))))))))))))))))))))))))))))))))</f>
        <v>1</v>
      </c>
      <c r="G1470" s="52">
        <v>5</v>
      </c>
      <c r="H1470" s="90" t="s">
        <v>115</v>
      </c>
      <c r="I1470" s="94" t="s">
        <v>85</v>
      </c>
      <c r="J1470" s="87" t="s">
        <v>1289</v>
      </c>
      <c r="K1470" s="119" t="s">
        <v>5015</v>
      </c>
      <c r="L1470" s="117">
        <f>IF(O1470="","",N1470*O1470*M1470)</f>
        <v>0</v>
      </c>
      <c r="M1470" s="108">
        <v>1</v>
      </c>
      <c r="N1470" s="95">
        <v>1</v>
      </c>
      <c r="O1470" s="109">
        <f>IF(Key!D$1="ON",P1470,IF(SUM(Q1470:DL1470)&lt;1,"",SUM(Q1470:DL1470)/COUNTIF(Q1470:DL1470,"&gt;0")))</f>
        <v>0</v>
      </c>
      <c r="P1470" s="109">
        <f>SUMIFS(Q1470:DK1470,Q$1:DK$1,Dashboard!$K$31)</f>
        <v>0</v>
      </c>
      <c r="U1470" s="95">
        <v>33</v>
      </c>
      <c r="AA1470" s="95">
        <v>25</v>
      </c>
      <c r="AH1470" s="95">
        <v>75</v>
      </c>
    </row>
    <row r="1471" spans="1:34" ht="15.6" x14ac:dyDescent="0.3">
      <c r="A1471" s="89" t="str">
        <f>CONCATENATE(D1471,".",F1471,"-",G1471,".",H1471,"")</f>
        <v>2.1-5.1</v>
      </c>
      <c r="B1471" s="89" t="str">
        <f>IF(CONCATENATE(I1471,Key!F$2)=CONCATENATE(INDEX(Dashboard!J:J,MATCH(I1471,Dashboard!J:J,0),1),INDEX(Dashboard!J:K,MATCH(I1471,Dashboard!J:J,0),2)),"ON",IF(Dashboard!K$32="ALL","ON","-"))</f>
        <v>-</v>
      </c>
      <c r="C1471" s="88" t="s">
        <v>152</v>
      </c>
      <c r="D1471" s="89">
        <f>IF(C1471="ID",1,(IF(C1471="PR",2,(IF(C1471="DE",3,(IF(C1471="RS",4,(IF(C1471="RC",5,0)))))))))</f>
        <v>2</v>
      </c>
      <c r="E1471" s="89" t="s">
        <v>153</v>
      </c>
      <c r="F1471" s="89">
        <f>IF(E1471="AM",1,(IF(E1471="BE",2,(IF(E1471="GV",3,(IF(E1471="RA",4,(IF(E1471="RM",5,(IF(E1471="AC",1,(IF(E1471="AT",2,(IF(E1471="DS",3,(IF(E1471="IP",4,(IF(E1471="MA",5,(IF(E1471="PT",6,(IF(E1471="AE",1,(IF(E1471="CM",2,(IF(E1471="DP",3,(IF(E1471="AN",1,(IF(E1471="CO",2,(IF(E1471="IM",3,(IF(E1471="MI",4,(IF(E1471="RP",5,(IF(E1471="SC",6,0)))))))))))))))))))))))))))))))))))))))</f>
        <v>1</v>
      </c>
      <c r="G1471" s="52">
        <v>5</v>
      </c>
      <c r="H1471" s="90" t="s">
        <v>115</v>
      </c>
      <c r="I1471" s="94" t="s">
        <v>85</v>
      </c>
      <c r="J1471" s="87" t="s">
        <v>1266</v>
      </c>
      <c r="K1471" s="119" t="s">
        <v>4545</v>
      </c>
      <c r="L1471" s="117">
        <f>IF(O1471="","",N1471*O1471*M1471)</f>
        <v>0</v>
      </c>
      <c r="M1471" s="108">
        <v>1</v>
      </c>
      <c r="N1471" s="95">
        <v>1</v>
      </c>
      <c r="O1471" s="109">
        <f>IF(Key!D$1="ON",P1471,IF(SUM(Q1471:DL1471)&lt;1,"",SUM(Q1471:DL1471)/COUNTIF(Q1471:DL1471,"&gt;0")))</f>
        <v>0</v>
      </c>
      <c r="P1471" s="109">
        <f>SUMIFS(Q1471:DK1471,Q$1:DK$1,Dashboard!$K$31)</f>
        <v>0</v>
      </c>
      <c r="U1471" s="95">
        <v>33</v>
      </c>
      <c r="AA1471" s="95">
        <v>25</v>
      </c>
      <c r="AH1471" s="95">
        <v>75</v>
      </c>
    </row>
    <row r="1472" spans="1:34" x14ac:dyDescent="0.3">
      <c r="A1472" s="89" t="str">
        <f>CONCATENATE(D1472,".",F1472,"-",G1472,".",H1472,"")</f>
        <v>2.1-5.1</v>
      </c>
      <c r="B1472" s="89" t="str">
        <f>IF(CONCATENATE(I1472,Key!F$2)=CONCATENATE(INDEX(Dashboard!J:J,MATCH(I1472,Dashboard!J:J,0),1),INDEX(Dashboard!J:K,MATCH(I1472,Dashboard!J:J,0),2)),"ON",IF(Dashboard!K$32="ALL","ON","-"))</f>
        <v>-</v>
      </c>
      <c r="C1472" s="88" t="s">
        <v>152</v>
      </c>
      <c r="D1472" s="89">
        <f>IF(C1472="ID",1,(IF(C1472="PR",2,(IF(C1472="DE",3,(IF(C1472="RS",4,(IF(C1472="RC",5,0)))))))))</f>
        <v>2</v>
      </c>
      <c r="E1472" s="89" t="s">
        <v>153</v>
      </c>
      <c r="F1472" s="89">
        <f>IF(E1472="AM",1,(IF(E1472="BE",2,(IF(E1472="GV",3,(IF(E1472="RA",4,(IF(E1472="RM",5,(IF(E1472="AC",1,(IF(E1472="AT",2,(IF(E1472="DS",3,(IF(E1472="IP",4,(IF(E1472="MA",5,(IF(E1472="PT",6,(IF(E1472="AE",1,(IF(E1472="CM",2,(IF(E1472="DP",3,(IF(E1472="AN",1,(IF(E1472="CO",2,(IF(E1472="IM",3,(IF(E1472="MI",4,(IF(E1472="RP",5,(IF(E1472="SC",6,0)))))))))))))))))))))))))))))))))))))))</f>
        <v>1</v>
      </c>
      <c r="G1472" s="52">
        <v>5</v>
      </c>
      <c r="H1472" s="90" t="s">
        <v>115</v>
      </c>
      <c r="I1472" s="94" t="s">
        <v>85</v>
      </c>
      <c r="J1472" s="87" t="s">
        <v>1283</v>
      </c>
      <c r="K1472" s="119" t="s">
        <v>5029</v>
      </c>
      <c r="L1472" s="117">
        <f>IF(O1472="","",N1472*O1472*M1472)</f>
        <v>0</v>
      </c>
      <c r="M1472" s="108">
        <v>1</v>
      </c>
      <c r="N1472" s="95">
        <v>1</v>
      </c>
      <c r="O1472" s="109">
        <f>IF(Key!D$1="ON",P1472,IF(SUM(Q1472:DL1472)&lt;1,"",SUM(Q1472:DL1472)/COUNTIF(Q1472:DL1472,"&gt;0")))</f>
        <v>0</v>
      </c>
      <c r="P1472" s="109">
        <f>SUMIFS(Q1472:DK1472,Q$1:DK$1,Dashboard!$K$31)</f>
        <v>0</v>
      </c>
      <c r="U1472" s="95">
        <v>33</v>
      </c>
      <c r="AA1472" s="95">
        <v>25</v>
      </c>
      <c r="AH1472" s="95">
        <v>75</v>
      </c>
    </row>
    <row r="1473" spans="1:34" ht="15.6" x14ac:dyDescent="0.3">
      <c r="A1473" s="89" t="str">
        <f>CONCATENATE(D1473,".",F1473,"-",G1473,".",H1473,"")</f>
        <v>2.1-5.1</v>
      </c>
      <c r="B1473" s="89" t="str">
        <f>IF(CONCATENATE(I1473,Key!F$2)=CONCATENATE(INDEX(Dashboard!J:J,MATCH(I1473,Dashboard!J:J,0),1),INDEX(Dashboard!J:K,MATCH(I1473,Dashboard!J:J,0),2)),"ON",IF(Dashboard!K$32="ALL","ON","-"))</f>
        <v>-</v>
      </c>
      <c r="C1473" s="88" t="s">
        <v>152</v>
      </c>
      <c r="D1473" s="89">
        <f>IF(C1473="ID",1,(IF(C1473="PR",2,(IF(C1473="DE",3,(IF(C1473="RS",4,(IF(C1473="RC",5,0)))))))))</f>
        <v>2</v>
      </c>
      <c r="E1473" s="89" t="s">
        <v>153</v>
      </c>
      <c r="F1473" s="89">
        <f>IF(E1473="AM",1,(IF(E1473="BE",2,(IF(E1473="GV",3,(IF(E1473="RA",4,(IF(E1473="RM",5,(IF(E1473="AC",1,(IF(E1473="AT",2,(IF(E1473="DS",3,(IF(E1473="IP",4,(IF(E1473="MA",5,(IF(E1473="PT",6,(IF(E1473="AE",1,(IF(E1473="CM",2,(IF(E1473="DP",3,(IF(E1473="AN",1,(IF(E1473="CO",2,(IF(E1473="IM",3,(IF(E1473="MI",4,(IF(E1473="RP",5,(IF(E1473="SC",6,0)))))))))))))))))))))))))))))))))))))))</f>
        <v>1</v>
      </c>
      <c r="G1473" s="52">
        <v>5</v>
      </c>
      <c r="H1473" s="90" t="s">
        <v>115</v>
      </c>
      <c r="I1473" s="94" t="s">
        <v>85</v>
      </c>
      <c r="J1473" s="87" t="s">
        <v>1288</v>
      </c>
      <c r="K1473" s="119" t="s">
        <v>5014</v>
      </c>
      <c r="L1473" s="117">
        <f>IF(O1473="","",N1473*O1473*M1473)</f>
        <v>0</v>
      </c>
      <c r="M1473" s="108">
        <v>1</v>
      </c>
      <c r="N1473" s="95">
        <v>1</v>
      </c>
      <c r="O1473" s="109">
        <f>IF(Key!D$1="ON",P1473,IF(SUM(Q1473:DL1473)&lt;1,"",SUM(Q1473:DL1473)/COUNTIF(Q1473:DL1473,"&gt;0")))</f>
        <v>0</v>
      </c>
      <c r="P1473" s="109">
        <f>SUMIFS(Q1473:DK1473,Q$1:DK$1,Dashboard!$K$31)</f>
        <v>0</v>
      </c>
      <c r="U1473" s="95">
        <v>33</v>
      </c>
      <c r="AA1473" s="95">
        <v>25</v>
      </c>
      <c r="AH1473" s="95">
        <v>75</v>
      </c>
    </row>
    <row r="1474" spans="1:34" ht="15.6" x14ac:dyDescent="0.3">
      <c r="A1474" s="89" t="str">
        <f>CONCATENATE(D1474,".",F1474,"-",G1474,".",H1474,"")</f>
        <v>2.1-5.1</v>
      </c>
      <c r="B1474" s="89" t="str">
        <f>IF(CONCATENATE(I1474,Key!F$2)=CONCATENATE(INDEX(Dashboard!J:J,MATCH(I1474,Dashboard!J:J,0),1),INDEX(Dashboard!J:K,MATCH(I1474,Dashboard!J:J,0),2)),"ON",IF(Dashboard!K$32="ALL","ON","-"))</f>
        <v>-</v>
      </c>
      <c r="C1474" s="88" t="s">
        <v>152</v>
      </c>
      <c r="D1474" s="89">
        <f>IF(C1474="ID",1,(IF(C1474="PR",2,(IF(C1474="DE",3,(IF(C1474="RS",4,(IF(C1474="RC",5,0)))))))))</f>
        <v>2</v>
      </c>
      <c r="E1474" s="89" t="s">
        <v>153</v>
      </c>
      <c r="F1474" s="89">
        <f>IF(E1474="AM",1,(IF(E1474="BE",2,(IF(E1474="GV",3,(IF(E1474="RA",4,(IF(E1474="RM",5,(IF(E1474="AC",1,(IF(E1474="AT",2,(IF(E1474="DS",3,(IF(E1474="IP",4,(IF(E1474="MA",5,(IF(E1474="PT",6,(IF(E1474="AE",1,(IF(E1474="CM",2,(IF(E1474="DP",3,(IF(E1474="AN",1,(IF(E1474="CO",2,(IF(E1474="IM",3,(IF(E1474="MI",4,(IF(E1474="RP",5,(IF(E1474="SC",6,0)))))))))))))))))))))))))))))))))))))))</f>
        <v>1</v>
      </c>
      <c r="G1474" s="52">
        <v>5</v>
      </c>
      <c r="H1474" s="90" t="s">
        <v>115</v>
      </c>
      <c r="I1474" s="94" t="s">
        <v>85</v>
      </c>
      <c r="J1474" s="87" t="s">
        <v>1296</v>
      </c>
      <c r="K1474" s="119" t="s">
        <v>1297</v>
      </c>
      <c r="L1474" s="117">
        <f>IF(O1474="","",N1474*O1474*M1474)</f>
        <v>0</v>
      </c>
      <c r="M1474" s="108">
        <v>1</v>
      </c>
      <c r="N1474" s="95">
        <v>1</v>
      </c>
      <c r="O1474" s="109">
        <f>IF(Key!D$1="ON",P1474,IF(SUM(Q1474:DL1474)&lt;1,"",SUM(Q1474:DL1474)/COUNTIF(Q1474:DL1474,"&gt;0")))</f>
        <v>0</v>
      </c>
      <c r="P1474" s="109">
        <f>SUMIFS(Q1474:DK1474,Q$1:DK$1,Dashboard!$K$31)</f>
        <v>0</v>
      </c>
      <c r="U1474" s="95">
        <v>33</v>
      </c>
      <c r="AA1474" s="95">
        <v>25</v>
      </c>
      <c r="AH1474" s="95">
        <v>75</v>
      </c>
    </row>
    <row r="1475" spans="1:34" x14ac:dyDescent="0.3">
      <c r="A1475" s="89" t="str">
        <f>CONCATENATE(D1475,".",F1475,"-",G1475,".",H1475,"")</f>
        <v>2.1-5.1</v>
      </c>
      <c r="B1475" s="89" t="str">
        <f>IF(CONCATENATE(I1475,Key!F$2)=CONCATENATE(INDEX(Dashboard!J:J,MATCH(I1475,Dashboard!J:J,0),1),INDEX(Dashboard!J:K,MATCH(I1475,Dashboard!J:J,0),2)),"ON",IF(Dashboard!K$32="ALL","ON","-"))</f>
        <v>-</v>
      </c>
      <c r="C1475" s="88" t="s">
        <v>152</v>
      </c>
      <c r="D1475" s="89">
        <f>IF(C1475="ID",1,(IF(C1475="PR",2,(IF(C1475="DE",3,(IF(C1475="RS",4,(IF(C1475="RC",5,0)))))))))</f>
        <v>2</v>
      </c>
      <c r="E1475" s="89" t="s">
        <v>153</v>
      </c>
      <c r="F1475" s="89">
        <f>IF(E1475="AM",1,(IF(E1475="BE",2,(IF(E1475="GV",3,(IF(E1475="RA",4,(IF(E1475="RM",5,(IF(E1475="AC",1,(IF(E1475="AT",2,(IF(E1475="DS",3,(IF(E1475="IP",4,(IF(E1475="MA",5,(IF(E1475="PT",6,(IF(E1475="AE",1,(IF(E1475="CM",2,(IF(E1475="DP",3,(IF(E1475="AN",1,(IF(E1475="CO",2,(IF(E1475="IM",3,(IF(E1475="MI",4,(IF(E1475="RP",5,(IF(E1475="SC",6,0)))))))))))))))))))))))))))))))))))))))</f>
        <v>1</v>
      </c>
      <c r="G1475" s="52">
        <v>5</v>
      </c>
      <c r="H1475" s="90" t="s">
        <v>115</v>
      </c>
      <c r="I1475" s="94" t="s">
        <v>85</v>
      </c>
      <c r="J1475" s="86" t="s">
        <v>846</v>
      </c>
      <c r="K1475" s="119" t="s">
        <v>4651</v>
      </c>
      <c r="L1475" s="117">
        <f>IF(O1475="","",N1475*O1475*M1475)</f>
        <v>0</v>
      </c>
      <c r="M1475" s="108">
        <v>1</v>
      </c>
      <c r="N1475" s="95">
        <v>1</v>
      </c>
      <c r="O1475" s="109">
        <f>IF(Key!D$1="ON",P1475,IF(SUM(Q1475:DL1475)&lt;1,"",SUM(Q1475:DL1475)/COUNTIF(Q1475:DL1475,"&gt;0")))</f>
        <v>0</v>
      </c>
      <c r="P1475" s="109">
        <f>SUMIFS(Q1475:DK1475,Q$1:DK$1,Dashboard!$K$31)</f>
        <v>0</v>
      </c>
      <c r="U1475" s="95">
        <v>33</v>
      </c>
      <c r="AA1475" s="95">
        <v>25</v>
      </c>
      <c r="AH1475" s="95">
        <v>75</v>
      </c>
    </row>
    <row r="1476" spans="1:34" x14ac:dyDescent="0.3">
      <c r="A1476" s="89" t="str">
        <f>CONCATENATE(D1476,".",F1476,"-",G1476,".",H1476,"")</f>
        <v>2.1-5.1</v>
      </c>
      <c r="B1476" s="89" t="str">
        <f>IF(CONCATENATE(I1476,Key!F$2)=CONCATENATE(INDEX(Dashboard!J:J,MATCH(I1476,Dashboard!J:J,0),1),INDEX(Dashboard!J:K,MATCH(I1476,Dashboard!J:J,0),2)),"ON",IF(Dashboard!K$32="ALL","ON","-"))</f>
        <v>-</v>
      </c>
      <c r="C1476" s="88" t="s">
        <v>152</v>
      </c>
      <c r="D1476" s="89">
        <f>IF(C1476="ID",1,(IF(C1476="PR",2,(IF(C1476="DE",3,(IF(C1476="RS",4,(IF(C1476="RC",5,0)))))))))</f>
        <v>2</v>
      </c>
      <c r="E1476" s="89" t="s">
        <v>153</v>
      </c>
      <c r="F1476" s="89">
        <f>IF(E1476="AM",1,(IF(E1476="BE",2,(IF(E1476="GV",3,(IF(E1476="RA",4,(IF(E1476="RM",5,(IF(E1476="AC",1,(IF(E1476="AT",2,(IF(E1476="DS",3,(IF(E1476="IP",4,(IF(E1476="MA",5,(IF(E1476="PT",6,(IF(E1476="AE",1,(IF(E1476="CM",2,(IF(E1476="DP",3,(IF(E1476="AN",1,(IF(E1476="CO",2,(IF(E1476="IM",3,(IF(E1476="MI",4,(IF(E1476="RP",5,(IF(E1476="SC",6,0)))))))))))))))))))))))))))))))))))))))</f>
        <v>1</v>
      </c>
      <c r="G1476" s="52">
        <v>5</v>
      </c>
      <c r="H1476" s="90" t="s">
        <v>115</v>
      </c>
      <c r="I1476" s="94" t="s">
        <v>85</v>
      </c>
      <c r="J1476" s="86" t="s">
        <v>848</v>
      </c>
      <c r="K1476" s="119" t="s">
        <v>4653</v>
      </c>
      <c r="L1476" s="117">
        <f>IF(O1476="","",N1476*O1476*M1476)</f>
        <v>0</v>
      </c>
      <c r="M1476" s="108">
        <v>1</v>
      </c>
      <c r="N1476" s="95">
        <v>1</v>
      </c>
      <c r="O1476" s="109">
        <f>IF(Key!D$1="ON",P1476,IF(SUM(Q1476:DL1476)&lt;1,"",SUM(Q1476:DL1476)/COUNTIF(Q1476:DL1476,"&gt;0")))</f>
        <v>0</v>
      </c>
      <c r="P1476" s="109">
        <f>SUMIFS(Q1476:DK1476,Q$1:DK$1,Dashboard!$K$31)</f>
        <v>0</v>
      </c>
      <c r="U1476" s="95">
        <v>33</v>
      </c>
      <c r="AA1476" s="95">
        <v>25</v>
      </c>
      <c r="AH1476" s="95">
        <v>75</v>
      </c>
    </row>
    <row r="1477" spans="1:34" x14ac:dyDescent="0.3">
      <c r="A1477" s="89" t="str">
        <f>CONCATENATE(D1477,".",F1477,"-",G1477,".",H1477,"")</f>
        <v>2.1-5.1</v>
      </c>
      <c r="B1477" s="89" t="str">
        <f>IF(CONCATENATE(I1477,Key!F$2)=CONCATENATE(INDEX(Dashboard!J:J,MATCH(I1477,Dashboard!J:J,0),1),INDEX(Dashboard!J:K,MATCH(I1477,Dashboard!J:J,0),2)),"ON",IF(Dashboard!K$32="ALL","ON","-"))</f>
        <v>-</v>
      </c>
      <c r="C1477" s="88" t="s">
        <v>152</v>
      </c>
      <c r="D1477" s="89">
        <f>IF(C1477="ID",1,(IF(C1477="PR",2,(IF(C1477="DE",3,(IF(C1477="RS",4,(IF(C1477="RC",5,0)))))))))</f>
        <v>2</v>
      </c>
      <c r="E1477" s="89" t="s">
        <v>153</v>
      </c>
      <c r="F1477" s="89">
        <f>IF(E1477="AM",1,(IF(E1477="BE",2,(IF(E1477="GV",3,(IF(E1477="RA",4,(IF(E1477="RM",5,(IF(E1477="AC",1,(IF(E1477="AT",2,(IF(E1477="DS",3,(IF(E1477="IP",4,(IF(E1477="MA",5,(IF(E1477="PT",6,(IF(E1477="AE",1,(IF(E1477="CM",2,(IF(E1477="DP",3,(IF(E1477="AN",1,(IF(E1477="CO",2,(IF(E1477="IM",3,(IF(E1477="MI",4,(IF(E1477="RP",5,(IF(E1477="SC",6,0)))))))))))))))))))))))))))))))))))))))</f>
        <v>1</v>
      </c>
      <c r="G1477" s="98">
        <v>5</v>
      </c>
      <c r="H1477" s="90" t="s">
        <v>115</v>
      </c>
      <c r="I1477" s="94" t="s">
        <v>85</v>
      </c>
      <c r="J1477" s="87" t="s">
        <v>1260</v>
      </c>
      <c r="K1477" s="119" t="s">
        <v>1261</v>
      </c>
      <c r="L1477" s="117">
        <f>IF(O1477="","",N1477*O1477*M1477)</f>
        <v>0</v>
      </c>
      <c r="M1477" s="108">
        <v>1</v>
      </c>
      <c r="N1477" s="95">
        <v>1</v>
      </c>
      <c r="O1477" s="109">
        <f>IF(Key!D$1="ON",P1477,IF(SUM(Q1477:DL1477)&lt;1,"",SUM(Q1477:DL1477)/COUNTIF(Q1477:DL1477,"&gt;0")))</f>
        <v>0</v>
      </c>
      <c r="P1477" s="109">
        <f>SUMIFS(Q1477:DK1477,Q$1:DK$1,Dashboard!$K$31)</f>
        <v>0</v>
      </c>
      <c r="U1477" s="95">
        <v>33</v>
      </c>
      <c r="AA1477" s="95">
        <v>25</v>
      </c>
      <c r="AH1477" s="95">
        <v>75</v>
      </c>
    </row>
    <row r="1478" spans="1:34" x14ac:dyDescent="0.3">
      <c r="A1478" s="89" t="str">
        <f>CONCATENATE(D1478,".",F1478,"-",G1478,".",H1478,"")</f>
        <v>2.1-5.1</v>
      </c>
      <c r="B1478" s="89" t="str">
        <f>IF(CONCATENATE(I1478,Key!F$2)=CONCATENATE(INDEX(Dashboard!J:J,MATCH(I1478,Dashboard!J:J,0),1),INDEX(Dashboard!J:K,MATCH(I1478,Dashboard!J:J,0),2)),"ON",IF(Dashboard!K$32="ALL","ON","-"))</f>
        <v>-</v>
      </c>
      <c r="C1478" s="88" t="s">
        <v>152</v>
      </c>
      <c r="D1478" s="89">
        <f>IF(C1478="ID",1,(IF(C1478="PR",2,(IF(C1478="DE",3,(IF(C1478="RS",4,(IF(C1478="RC",5,0)))))))))</f>
        <v>2</v>
      </c>
      <c r="E1478" s="89" t="s">
        <v>153</v>
      </c>
      <c r="F1478" s="89">
        <f>IF(E1478="AM",1,(IF(E1478="BE",2,(IF(E1478="GV",3,(IF(E1478="RA",4,(IF(E1478="RM",5,(IF(E1478="AC",1,(IF(E1478="AT",2,(IF(E1478="DS",3,(IF(E1478="IP",4,(IF(E1478="MA",5,(IF(E1478="PT",6,(IF(E1478="AE",1,(IF(E1478="CM",2,(IF(E1478="DP",3,(IF(E1478="AN",1,(IF(E1478="CO",2,(IF(E1478="IM",3,(IF(E1478="MI",4,(IF(E1478="RP",5,(IF(E1478="SC",6,0)))))))))))))))))))))))))))))))))))))))</f>
        <v>1</v>
      </c>
      <c r="G1478" s="52">
        <v>5</v>
      </c>
      <c r="H1478" s="90" t="s">
        <v>115</v>
      </c>
      <c r="I1478" s="94" t="s">
        <v>85</v>
      </c>
      <c r="J1478" s="135" t="s">
        <v>850</v>
      </c>
      <c r="K1478" s="143" t="s">
        <v>5032</v>
      </c>
      <c r="L1478" s="117">
        <f>IF(O1478="","",N1478*O1478*M1478)</f>
        <v>0</v>
      </c>
      <c r="M1478" s="108">
        <v>1</v>
      </c>
      <c r="N1478" s="95">
        <v>1</v>
      </c>
      <c r="O1478" s="109">
        <f>IF(Key!D$1="ON",P1478,IF(SUM(Q1478:DL1478)&lt;1,"",SUM(Q1478:DL1478)/COUNTIF(Q1478:DL1478,"&gt;0")))</f>
        <v>0</v>
      </c>
      <c r="P1478" s="109">
        <f>SUMIFS(Q1478:DK1478,Q$1:DK$1,Dashboard!$K$31)</f>
        <v>0</v>
      </c>
      <c r="U1478" s="95">
        <v>33</v>
      </c>
      <c r="AA1478" s="95">
        <v>25</v>
      </c>
      <c r="AH1478" s="95">
        <v>75</v>
      </c>
    </row>
    <row r="1479" spans="1:34" x14ac:dyDescent="0.3">
      <c r="A1479" s="89" t="str">
        <f>CONCATENATE(D1479,".",F1479,"-",G1479,".",H1479,"")</f>
        <v>2.1-5.1</v>
      </c>
      <c r="B1479" s="89" t="str">
        <f>IF(CONCATENATE(I1479,Key!F$2)=CONCATENATE(INDEX(Dashboard!J:J,MATCH(I1479,Dashboard!J:J,0),1),INDEX(Dashboard!J:K,MATCH(I1479,Dashboard!J:J,0),2)),"ON",IF(Dashboard!K$32="ALL","ON","-"))</f>
        <v>-</v>
      </c>
      <c r="C1479" s="88" t="s">
        <v>152</v>
      </c>
      <c r="D1479" s="89">
        <f>IF(C1479="ID",1,(IF(C1479="PR",2,(IF(C1479="DE",3,(IF(C1479="RS",4,(IF(C1479="RC",5,0)))))))))</f>
        <v>2</v>
      </c>
      <c r="E1479" s="89" t="s">
        <v>153</v>
      </c>
      <c r="F1479" s="89">
        <f>IF(E1479="AM",1,(IF(E1479="BE",2,(IF(E1479="GV",3,(IF(E1479="RA",4,(IF(E1479="RM",5,(IF(E1479="AC",1,(IF(E1479="AT",2,(IF(E1479="DS",3,(IF(E1479="IP",4,(IF(E1479="MA",5,(IF(E1479="PT",6,(IF(E1479="AE",1,(IF(E1479="CM",2,(IF(E1479="DP",3,(IF(E1479="AN",1,(IF(E1479="CO",2,(IF(E1479="IM",3,(IF(E1479="MI",4,(IF(E1479="RP",5,(IF(E1479="SC",6,0)))))))))))))))))))))))))))))))))))))))</f>
        <v>1</v>
      </c>
      <c r="G1479" s="52">
        <v>5</v>
      </c>
      <c r="H1479" s="89">
        <v>1</v>
      </c>
      <c r="I1479" s="94" t="s">
        <v>85</v>
      </c>
      <c r="J1479" s="135" t="s">
        <v>836</v>
      </c>
      <c r="K1479" s="143" t="s">
        <v>837</v>
      </c>
      <c r="L1479" s="117">
        <f>IF(O1479="","",N1479*O1479*M1479)</f>
        <v>0</v>
      </c>
      <c r="M1479" s="108">
        <v>1</v>
      </c>
      <c r="N1479" s="95">
        <v>1</v>
      </c>
      <c r="O1479" s="109">
        <f>IF(Key!D$1="ON",P1479,IF(SUM(Q1479:DL1479)&lt;1,"",SUM(Q1479:DL1479)/COUNTIF(Q1479:DL1479,"&gt;0")))</f>
        <v>0</v>
      </c>
      <c r="P1479" s="109">
        <f>SUMIFS(Q1479:DK1479,Q$1:DK$1,Dashboard!$K$31)</f>
        <v>0</v>
      </c>
      <c r="U1479" s="95">
        <v>33</v>
      </c>
      <c r="AA1479" s="95">
        <v>25</v>
      </c>
      <c r="AH1479" s="95">
        <v>75</v>
      </c>
    </row>
    <row r="1480" spans="1:34" x14ac:dyDescent="0.3">
      <c r="A1480" s="89" t="str">
        <f>CONCATENATE(D1480,".",F1480,"-",G1480,".",H1480,"")</f>
        <v>2.1-5.1</v>
      </c>
      <c r="B1480" s="89" t="str">
        <f>IF(CONCATENATE(I1480,Key!F$2)=CONCATENATE(INDEX(Dashboard!J:J,MATCH(I1480,Dashboard!J:J,0),1),INDEX(Dashboard!J:K,MATCH(I1480,Dashboard!J:J,0),2)),"ON",IF(Dashboard!K$32="ALL","ON","-"))</f>
        <v>-</v>
      </c>
      <c r="C1480" s="88" t="s">
        <v>152</v>
      </c>
      <c r="D1480" s="89">
        <f>IF(C1480="ID",1,(IF(C1480="PR",2,(IF(C1480="DE",3,(IF(C1480="RS",4,(IF(C1480="RC",5,0)))))))))</f>
        <v>2</v>
      </c>
      <c r="E1480" s="89" t="s">
        <v>153</v>
      </c>
      <c r="F1480" s="89">
        <f>IF(E1480="AM",1,(IF(E1480="BE",2,(IF(E1480="GV",3,(IF(E1480="RA",4,(IF(E1480="RM",5,(IF(E1480="AC",1,(IF(E1480="AT",2,(IF(E1480="DS",3,(IF(E1480="IP",4,(IF(E1480="MA",5,(IF(E1480="PT",6,(IF(E1480="AE",1,(IF(E1480="CM",2,(IF(E1480="DP",3,(IF(E1480="AN",1,(IF(E1480="CO",2,(IF(E1480="IM",3,(IF(E1480="MI",4,(IF(E1480="RP",5,(IF(E1480="SC",6,0)))))))))))))))))))))))))))))))))))))))</f>
        <v>1</v>
      </c>
      <c r="G1480" s="52">
        <v>5</v>
      </c>
      <c r="H1480" s="89">
        <v>1</v>
      </c>
      <c r="I1480" s="94" t="s">
        <v>85</v>
      </c>
      <c r="J1480" s="135" t="s">
        <v>838</v>
      </c>
      <c r="K1480" s="143" t="s">
        <v>3929</v>
      </c>
      <c r="L1480" s="117">
        <f>IF(O1480="","",N1480*O1480*M1480)</f>
        <v>0</v>
      </c>
      <c r="M1480" s="108">
        <v>1</v>
      </c>
      <c r="N1480" s="95">
        <v>1</v>
      </c>
      <c r="O1480" s="109">
        <f>IF(Key!D$1="ON",P1480,IF(SUM(Q1480:DL1480)&lt;1,"",SUM(Q1480:DL1480)/COUNTIF(Q1480:DL1480,"&gt;0")))</f>
        <v>0</v>
      </c>
      <c r="P1480" s="109">
        <f>SUMIFS(Q1480:DK1480,Q$1:DK$1,Dashboard!$K$31)</f>
        <v>0</v>
      </c>
      <c r="U1480" s="95">
        <v>33</v>
      </c>
      <c r="AA1480" s="95">
        <v>25</v>
      </c>
      <c r="AH1480" s="95">
        <v>75</v>
      </c>
    </row>
    <row r="1481" spans="1:34" x14ac:dyDescent="0.3">
      <c r="A1481" s="89" t="str">
        <f>CONCATENATE(D1481,".",F1481,"-",G1481,".",H1481,"")</f>
        <v>2.1-5.1</v>
      </c>
      <c r="B1481" s="89" t="str">
        <f>IF(CONCATENATE(I1481,Key!F$2)=CONCATENATE(INDEX(Dashboard!J:J,MATCH(I1481,Dashboard!J:J,0),1),INDEX(Dashboard!J:K,MATCH(I1481,Dashboard!J:J,0),2)),"ON",IF(Dashboard!K$32="ALL","ON","-"))</f>
        <v>-</v>
      </c>
      <c r="C1481" s="88" t="s">
        <v>152</v>
      </c>
      <c r="D1481" s="89">
        <f>IF(C1481="ID",1,(IF(C1481="PR",2,(IF(C1481="DE",3,(IF(C1481="RS",4,(IF(C1481="RC",5,0)))))))))</f>
        <v>2</v>
      </c>
      <c r="E1481" s="89" t="s">
        <v>153</v>
      </c>
      <c r="F1481" s="89">
        <f>IF(E1481="AM",1,(IF(E1481="BE",2,(IF(E1481="GV",3,(IF(E1481="RA",4,(IF(E1481="RM",5,(IF(E1481="AC",1,(IF(E1481="AT",2,(IF(E1481="DS",3,(IF(E1481="IP",4,(IF(E1481="MA",5,(IF(E1481="PT",6,(IF(E1481="AE",1,(IF(E1481="CM",2,(IF(E1481="DP",3,(IF(E1481="AN",1,(IF(E1481="CO",2,(IF(E1481="IM",3,(IF(E1481="MI",4,(IF(E1481="RP",5,(IF(E1481="SC",6,0)))))))))))))))))))))))))))))))))))))))</f>
        <v>1</v>
      </c>
      <c r="G1481" s="52">
        <v>5</v>
      </c>
      <c r="H1481" s="90" t="s">
        <v>115</v>
      </c>
      <c r="I1481" s="94" t="s">
        <v>92</v>
      </c>
      <c r="J1481" s="88">
        <v>1</v>
      </c>
      <c r="K1481" s="102" t="s">
        <v>5226</v>
      </c>
      <c r="L1481" s="117">
        <f>IF(O1481="","",N1481*O1481*M1481)</f>
        <v>0</v>
      </c>
      <c r="M1481" s="108">
        <v>1</v>
      </c>
      <c r="N1481" s="95">
        <v>1</v>
      </c>
      <c r="O1481" s="109">
        <f>IF(Key!D$1="ON",P1481,IF(SUM(Q1481:DL1481)&lt;1,"",SUM(Q1481:DL1481)/COUNTIF(Q1481:DL1481,"&gt;0")))</f>
        <v>0</v>
      </c>
      <c r="P1481" s="109">
        <f>SUMIFS(Q1481:DK1481,Q$1:DK$1,Dashboard!$K$31)</f>
        <v>0</v>
      </c>
      <c r="U1481" s="95">
        <v>33</v>
      </c>
      <c r="AA1481" s="95">
        <v>25</v>
      </c>
      <c r="AH1481" s="95">
        <v>75</v>
      </c>
    </row>
    <row r="1482" spans="1:34" x14ac:dyDescent="0.3">
      <c r="A1482" s="89" t="str">
        <f>CONCATENATE(D1482,".",F1482,"-",G1482,".",H1482,"")</f>
        <v>2.1-5.1</v>
      </c>
      <c r="B1482" s="89" t="str">
        <f>IF(CONCATENATE(I1482,Key!F$2)=CONCATENATE(INDEX(Dashboard!J:J,MATCH(I1482,Dashboard!J:J,0),1),INDEX(Dashboard!J:K,MATCH(I1482,Dashboard!J:J,0),2)),"ON",IF(Dashboard!K$32="ALL","ON","-"))</f>
        <v>-</v>
      </c>
      <c r="C1482" s="88" t="s">
        <v>152</v>
      </c>
      <c r="D1482" s="89">
        <f>IF(C1482="ID",1,(IF(C1482="PR",2,(IF(C1482="DE",3,(IF(C1482="RS",4,(IF(C1482="RC",5,0)))))))))</f>
        <v>2</v>
      </c>
      <c r="E1482" s="89" t="s">
        <v>153</v>
      </c>
      <c r="F1482" s="89">
        <f>IF(E1482="AM",1,(IF(E1482="BE",2,(IF(E1482="GV",3,(IF(E1482="RA",4,(IF(E1482="RM",5,(IF(E1482="AC",1,(IF(E1482="AT",2,(IF(E1482="DS",3,(IF(E1482="IP",4,(IF(E1482="MA",5,(IF(E1482="PT",6,(IF(E1482="AE",1,(IF(E1482="CM",2,(IF(E1482="DP",3,(IF(E1482="AN",1,(IF(E1482="CO",2,(IF(E1482="IM",3,(IF(E1482="MI",4,(IF(E1482="RP",5,(IF(E1482="SC",6,0)))))))))))))))))))))))))))))))))))))))</f>
        <v>1</v>
      </c>
      <c r="G1482" s="52">
        <v>5</v>
      </c>
      <c r="H1482" s="90" t="s">
        <v>115</v>
      </c>
      <c r="I1482" s="94" t="s">
        <v>92</v>
      </c>
      <c r="J1482" s="88">
        <v>1.1000000000000001</v>
      </c>
      <c r="K1482" s="102" t="s">
        <v>5226</v>
      </c>
      <c r="L1482" s="117">
        <f>IF(O1482="","",N1482*O1482*M1482)</f>
        <v>0</v>
      </c>
      <c r="M1482" s="108">
        <v>1</v>
      </c>
      <c r="N1482" s="95">
        <v>1</v>
      </c>
      <c r="O1482" s="109">
        <f>IF(Key!D$1="ON",P1482,IF(SUM(Q1482:DL1482)&lt;1,"",SUM(Q1482:DL1482)/COUNTIF(Q1482:DL1482,"&gt;0")))</f>
        <v>0</v>
      </c>
      <c r="P1482" s="109">
        <f>SUMIFS(Q1482:DK1482,Q$1:DK$1,Dashboard!$K$31)</f>
        <v>0</v>
      </c>
      <c r="U1482" s="95">
        <v>33</v>
      </c>
      <c r="AA1482" s="95">
        <v>25</v>
      </c>
      <c r="AH1482" s="95">
        <v>75</v>
      </c>
    </row>
    <row r="1483" spans="1:34" x14ac:dyDescent="0.3">
      <c r="A1483" s="89" t="str">
        <f>CONCATENATE(D1483,".",F1483,"-",G1483,".",H1483,"")</f>
        <v>2.1-5.1</v>
      </c>
      <c r="B1483" s="89" t="str">
        <f>IF(CONCATENATE(I1483,Key!F$2)=CONCATENATE(INDEX(Dashboard!J:J,MATCH(I1483,Dashboard!J:J,0),1),INDEX(Dashboard!J:K,MATCH(I1483,Dashboard!J:J,0),2)),"ON",IF(Dashboard!K$32="ALL","ON","-"))</f>
        <v>-</v>
      </c>
      <c r="C1483" s="96" t="s">
        <v>152</v>
      </c>
      <c r="D1483" s="89">
        <f>IF(C1483="ID",1,(IF(C1483="PR",2,(IF(C1483="DE",3,(IF(C1483="RS",4,(IF(C1483="RC",5,0)))))))))</f>
        <v>2</v>
      </c>
      <c r="E1483" s="89" t="s">
        <v>153</v>
      </c>
      <c r="F1483" s="89">
        <f>IF(E1483="AM",1,(IF(E1483="BE",2,(IF(E1483="GV",3,(IF(E1483="RA",4,(IF(E1483="RM",5,(IF(E1483="AC",1,(IF(E1483="AT",2,(IF(E1483="DS",3,(IF(E1483="IP",4,(IF(E1483="MA",5,(IF(E1483="PT",6,(IF(E1483="AE",1,(IF(E1483="CM",2,(IF(E1483="DP",3,(IF(E1483="AN",1,(IF(E1483="CO",2,(IF(E1483="IM",3,(IF(E1483="MI",4,(IF(E1483="RP",5,(IF(E1483="SC",6,0)))))))))))))))))))))))))))))))))))))))</f>
        <v>1</v>
      </c>
      <c r="G1483" s="98">
        <v>5</v>
      </c>
      <c r="H1483" s="90" t="s">
        <v>115</v>
      </c>
      <c r="I1483" s="94" t="s">
        <v>92</v>
      </c>
      <c r="J1483" s="88">
        <v>1.2</v>
      </c>
      <c r="K1483" s="102" t="s">
        <v>5226</v>
      </c>
      <c r="L1483" s="117">
        <f>IF(O1483="","",N1483*O1483*M1483)</f>
        <v>0</v>
      </c>
      <c r="M1483" s="108">
        <v>1</v>
      </c>
      <c r="N1483" s="95">
        <v>1</v>
      </c>
      <c r="O1483" s="109">
        <f>IF(Key!D$1="ON",P1483,IF(SUM(Q1483:DL1483)&lt;1,"",SUM(Q1483:DL1483)/COUNTIF(Q1483:DL1483,"&gt;0")))</f>
        <v>0</v>
      </c>
      <c r="P1483" s="109">
        <f>SUMIFS(Q1483:DK1483,Q$1:DK$1,Dashboard!$K$31)</f>
        <v>0</v>
      </c>
      <c r="U1483" s="95">
        <v>33</v>
      </c>
      <c r="AA1483" s="95">
        <v>25</v>
      </c>
      <c r="AH1483" s="95">
        <v>75</v>
      </c>
    </row>
    <row r="1484" spans="1:34" x14ac:dyDescent="0.3">
      <c r="A1484" s="89" t="str">
        <f>CONCATENATE(D1484,".",F1484,"-",G1484,".",H1484,"")</f>
        <v>2.1-5.1</v>
      </c>
      <c r="B1484" s="89" t="str">
        <f>IF(CONCATENATE(I1484,Key!F$2)=CONCATENATE(INDEX(Dashboard!J:J,MATCH(I1484,Dashboard!J:J,0),1),INDEX(Dashboard!J:K,MATCH(I1484,Dashboard!J:J,0),2)),"ON",IF(Dashboard!K$32="ALL","ON","-"))</f>
        <v>-</v>
      </c>
      <c r="C1484" s="88" t="s">
        <v>152</v>
      </c>
      <c r="D1484" s="89">
        <f>IF(C1484="ID",1,(IF(C1484="PR",2,(IF(C1484="DE",3,(IF(C1484="RS",4,(IF(C1484="RC",5,0)))))))))</f>
        <v>2</v>
      </c>
      <c r="E1484" s="89" t="s">
        <v>153</v>
      </c>
      <c r="F1484" s="89">
        <f>IF(E1484="AM",1,(IF(E1484="BE",2,(IF(E1484="GV",3,(IF(E1484="RA",4,(IF(E1484="RM",5,(IF(E1484="AC",1,(IF(E1484="AT",2,(IF(E1484="DS",3,(IF(E1484="IP",4,(IF(E1484="MA",5,(IF(E1484="PT",6,(IF(E1484="AE",1,(IF(E1484="CM",2,(IF(E1484="DP",3,(IF(E1484="AN",1,(IF(E1484="CO",2,(IF(E1484="IM",3,(IF(E1484="MI",4,(IF(E1484="RP",5,(IF(E1484="SC",6,0)))))))))))))))))))))))))))))))))))))))</f>
        <v>1</v>
      </c>
      <c r="G1484" s="52">
        <v>5</v>
      </c>
      <c r="H1484" s="90" t="s">
        <v>115</v>
      </c>
      <c r="I1484" s="94" t="s">
        <v>92</v>
      </c>
      <c r="J1484" s="88" t="s">
        <v>193</v>
      </c>
      <c r="K1484" s="102" t="s">
        <v>5226</v>
      </c>
      <c r="L1484" s="117">
        <f>IF(O1484="","",N1484*O1484*M1484)</f>
        <v>0</v>
      </c>
      <c r="M1484" s="108">
        <v>1</v>
      </c>
      <c r="N1484" s="95">
        <v>1</v>
      </c>
      <c r="O1484" s="109">
        <f>IF(Key!D$1="ON",P1484,IF(SUM(Q1484:DL1484)&lt;1,"",SUM(Q1484:DL1484)/COUNTIF(Q1484:DL1484,"&gt;0")))</f>
        <v>0</v>
      </c>
      <c r="P1484" s="109">
        <f>SUMIFS(Q1484:DK1484,Q$1:DK$1,Dashboard!$K$31)</f>
        <v>0</v>
      </c>
      <c r="U1484" s="95">
        <v>33</v>
      </c>
      <c r="AA1484" s="95">
        <v>25</v>
      </c>
      <c r="AH1484" s="95">
        <v>75</v>
      </c>
    </row>
    <row r="1485" spans="1:34" x14ac:dyDescent="0.3">
      <c r="A1485" s="89" t="str">
        <f>CONCATENATE(D1485,".",F1485,"-",G1485,".",H1485,"")</f>
        <v>2.1-5.1</v>
      </c>
      <c r="B1485" s="89" t="str">
        <f>IF(CONCATENATE(I1485,Key!F$2)=CONCATENATE(INDEX(Dashboard!J:J,MATCH(I1485,Dashboard!J:J,0),1),INDEX(Dashboard!J:K,MATCH(I1485,Dashboard!J:J,0),2)),"ON",IF(Dashboard!K$32="ALL","ON","-"))</f>
        <v>-</v>
      </c>
      <c r="C1485" s="96" t="s">
        <v>152</v>
      </c>
      <c r="D1485" s="89">
        <f>IF(C1485="ID",1,(IF(C1485="PR",2,(IF(C1485="DE",3,(IF(C1485="RS",4,(IF(C1485="RC",5,0)))))))))</f>
        <v>2</v>
      </c>
      <c r="E1485" s="89" t="s">
        <v>153</v>
      </c>
      <c r="F1485" s="89">
        <f>IF(E1485="AM",1,(IF(E1485="BE",2,(IF(E1485="GV",3,(IF(E1485="RA",4,(IF(E1485="RM",5,(IF(E1485="AC",1,(IF(E1485="AT",2,(IF(E1485="DS",3,(IF(E1485="IP",4,(IF(E1485="MA",5,(IF(E1485="PT",6,(IF(E1485="AE",1,(IF(E1485="CM",2,(IF(E1485="DP",3,(IF(E1485="AN",1,(IF(E1485="CO",2,(IF(E1485="IM",3,(IF(E1485="MI",4,(IF(E1485="RP",5,(IF(E1485="SC",6,0)))))))))))))))))))))))))))))))))))))))</f>
        <v>1</v>
      </c>
      <c r="G1485" s="98">
        <v>5</v>
      </c>
      <c r="H1485" s="90" t="s">
        <v>115</v>
      </c>
      <c r="I1485" s="94" t="s">
        <v>92</v>
      </c>
      <c r="J1485" s="87" t="s">
        <v>194</v>
      </c>
      <c r="K1485" s="102" t="s">
        <v>5226</v>
      </c>
      <c r="L1485" s="117">
        <f>IF(O1485="","",N1485*O1485*M1485)</f>
        <v>0</v>
      </c>
      <c r="M1485" s="108">
        <v>1</v>
      </c>
      <c r="N1485" s="95">
        <v>1</v>
      </c>
      <c r="O1485" s="109">
        <f>IF(Key!D$1="ON",P1485,IF(SUM(Q1485:DL1485)&lt;1,"",SUM(Q1485:DL1485)/COUNTIF(Q1485:DL1485,"&gt;0")))</f>
        <v>0</v>
      </c>
      <c r="P1485" s="109">
        <f>SUMIFS(Q1485:DK1485,Q$1:DK$1,Dashboard!$K$31)</f>
        <v>0</v>
      </c>
      <c r="U1485" s="95">
        <v>33</v>
      </c>
      <c r="AA1485" s="95">
        <v>25</v>
      </c>
      <c r="AH1485" s="95">
        <v>75</v>
      </c>
    </row>
    <row r="1486" spans="1:34" x14ac:dyDescent="0.3">
      <c r="A1486" s="89" t="str">
        <f>CONCATENATE(D1486,".",F1486,"-",G1486,".",H1486,"")</f>
        <v>2.1-5.1</v>
      </c>
      <c r="B1486" s="89" t="str">
        <f>IF(CONCATENATE(I1486,Key!F$2)=CONCATENATE(INDEX(Dashboard!J:J,MATCH(I1486,Dashboard!J:J,0),1),INDEX(Dashboard!J:K,MATCH(I1486,Dashboard!J:J,0),2)),"ON",IF(Dashboard!K$32="ALL","ON","-"))</f>
        <v>-</v>
      </c>
      <c r="C1486" s="96" t="s">
        <v>152</v>
      </c>
      <c r="D1486" s="89">
        <f>IF(C1486="ID",1,(IF(C1486="PR",2,(IF(C1486="DE",3,(IF(C1486="RS",4,(IF(C1486="RC",5,0)))))))))</f>
        <v>2</v>
      </c>
      <c r="E1486" s="89" t="s">
        <v>153</v>
      </c>
      <c r="F1486" s="89">
        <f>IF(E1486="AM",1,(IF(E1486="BE",2,(IF(E1486="GV",3,(IF(E1486="RA",4,(IF(E1486="RM",5,(IF(E1486="AC",1,(IF(E1486="AT",2,(IF(E1486="DS",3,(IF(E1486="IP",4,(IF(E1486="MA",5,(IF(E1486="PT",6,(IF(E1486="AE",1,(IF(E1486="CM",2,(IF(E1486="DP",3,(IF(E1486="AN",1,(IF(E1486="CO",2,(IF(E1486="IM",3,(IF(E1486="MI",4,(IF(E1486="RP",5,(IF(E1486="SC",6,0)))))))))))))))))))))))))))))))))))))))</f>
        <v>1</v>
      </c>
      <c r="G1486" s="98">
        <v>5</v>
      </c>
      <c r="H1486" s="90" t="s">
        <v>115</v>
      </c>
      <c r="I1486" s="94" t="s">
        <v>92</v>
      </c>
      <c r="J1486" s="87" t="s">
        <v>195</v>
      </c>
      <c r="K1486" s="102" t="s">
        <v>5226</v>
      </c>
      <c r="L1486" s="117">
        <f>IF(O1486="","",N1486*O1486*M1486)</f>
        <v>0</v>
      </c>
      <c r="M1486" s="108">
        <v>1</v>
      </c>
      <c r="N1486" s="95">
        <v>1</v>
      </c>
      <c r="O1486" s="109">
        <f>IF(Key!D$1="ON",P1486,IF(SUM(Q1486:DL1486)&lt;1,"",SUM(Q1486:DL1486)/COUNTIF(Q1486:DL1486,"&gt;0")))</f>
        <v>0</v>
      </c>
      <c r="P1486" s="109">
        <f>SUMIFS(Q1486:DK1486,Q$1:DK$1,Dashboard!$K$31)</f>
        <v>0</v>
      </c>
      <c r="U1486" s="95">
        <v>33</v>
      </c>
      <c r="AA1486" s="95">
        <v>25</v>
      </c>
      <c r="AH1486" s="95">
        <v>75</v>
      </c>
    </row>
    <row r="1487" spans="1:34" x14ac:dyDescent="0.3">
      <c r="A1487" s="89" t="str">
        <f>CONCATENATE(D1487,".",F1487,"-",G1487,".",H1487,"")</f>
        <v>2.1-5.1</v>
      </c>
      <c r="B1487" s="89" t="str">
        <f>IF(CONCATENATE(I1487,Key!F$2)=CONCATENATE(INDEX(Dashboard!J:J,MATCH(I1487,Dashboard!J:J,0),1),INDEX(Dashboard!J:K,MATCH(I1487,Dashboard!J:J,0),2)),"ON",IF(Dashboard!K$32="ALL","ON","-"))</f>
        <v>-</v>
      </c>
      <c r="C1487" s="96" t="s">
        <v>152</v>
      </c>
      <c r="D1487" s="89">
        <f>IF(C1487="ID",1,(IF(C1487="PR",2,(IF(C1487="DE",3,(IF(C1487="RS",4,(IF(C1487="RC",5,0)))))))))</f>
        <v>2</v>
      </c>
      <c r="E1487" s="89" t="s">
        <v>153</v>
      </c>
      <c r="F1487" s="89">
        <f>IF(E1487="AM",1,(IF(E1487="BE",2,(IF(E1487="GV",3,(IF(E1487="RA",4,(IF(E1487="RM",5,(IF(E1487="AC",1,(IF(E1487="AT",2,(IF(E1487="DS",3,(IF(E1487="IP",4,(IF(E1487="MA",5,(IF(E1487="PT",6,(IF(E1487="AE",1,(IF(E1487="CM",2,(IF(E1487="DP",3,(IF(E1487="AN",1,(IF(E1487="CO",2,(IF(E1487="IM",3,(IF(E1487="MI",4,(IF(E1487="RP",5,(IF(E1487="SC",6,0)))))))))))))))))))))))))))))))))))))))</f>
        <v>1</v>
      </c>
      <c r="G1487" s="98">
        <v>5</v>
      </c>
      <c r="H1487" s="90" t="s">
        <v>115</v>
      </c>
      <c r="I1487" s="94" t="s">
        <v>92</v>
      </c>
      <c r="J1487" s="87" t="s">
        <v>196</v>
      </c>
      <c r="K1487" s="102" t="s">
        <v>5226</v>
      </c>
      <c r="L1487" s="117">
        <f>IF(O1487="","",N1487*O1487*M1487)</f>
        <v>0</v>
      </c>
      <c r="M1487" s="108">
        <v>1</v>
      </c>
      <c r="N1487" s="95">
        <v>1</v>
      </c>
      <c r="O1487" s="109">
        <f>IF(Key!D$1="ON",P1487,IF(SUM(Q1487:DL1487)&lt;1,"",SUM(Q1487:DL1487)/COUNTIF(Q1487:DL1487,"&gt;0")))</f>
        <v>0</v>
      </c>
      <c r="P1487" s="109">
        <f>SUMIFS(Q1487:DK1487,Q$1:DK$1,Dashboard!$K$31)</f>
        <v>0</v>
      </c>
      <c r="U1487" s="95">
        <v>33</v>
      </c>
      <c r="AA1487" s="95">
        <v>25</v>
      </c>
      <c r="AH1487" s="95">
        <v>75</v>
      </c>
    </row>
    <row r="1488" spans="1:34" ht="15.6" x14ac:dyDescent="0.3">
      <c r="A1488" s="89" t="str">
        <f>CONCATENATE(D1488,".",F1488,"-",G1488,".",H1488,"")</f>
        <v>2.1-5.1</v>
      </c>
      <c r="B1488" s="89" t="str">
        <f>IF(CONCATENATE(I1488,Key!F$2)=CONCATENATE(INDEX(Dashboard!J:J,MATCH(I1488,Dashboard!J:J,0),1),INDEX(Dashboard!J:K,MATCH(I1488,Dashboard!J:J,0),2)),"ON",IF(Dashboard!K$32="ALL","ON","-"))</f>
        <v>-</v>
      </c>
      <c r="C1488" s="88" t="s">
        <v>152</v>
      </c>
      <c r="D1488" s="89">
        <f>IF(C1488="ID",1,(IF(C1488="PR",2,(IF(C1488="DE",3,(IF(C1488="RS",4,(IF(C1488="RC",5,0)))))))))</f>
        <v>2</v>
      </c>
      <c r="E1488" s="89" t="s">
        <v>153</v>
      </c>
      <c r="F1488" s="89">
        <f>IF(E1488="AM",1,(IF(E1488="BE",2,(IF(E1488="GV",3,(IF(E1488="RA",4,(IF(E1488="RM",5,(IF(E1488="AC",1,(IF(E1488="AT",2,(IF(E1488="DS",3,(IF(E1488="IP",4,(IF(E1488="MA",5,(IF(E1488="PT",6,(IF(E1488="AE",1,(IF(E1488="CM",2,(IF(E1488="DP",3,(IF(E1488="AN",1,(IF(E1488="CO",2,(IF(E1488="IM",3,(IF(E1488="MI",4,(IF(E1488="RP",5,(IF(E1488="SC",6,0)))))))))))))))))))))))))))))))))))))))</f>
        <v>1</v>
      </c>
      <c r="G1488" s="52">
        <v>5</v>
      </c>
      <c r="H1488" s="90" t="s">
        <v>115</v>
      </c>
      <c r="I1488" s="94" t="s">
        <v>92</v>
      </c>
      <c r="J1488" s="88" t="s">
        <v>197</v>
      </c>
      <c r="K1488" s="102" t="s">
        <v>5226</v>
      </c>
      <c r="L1488" s="117">
        <f>IF(O1488="","",N1488*O1488*M1488)</f>
        <v>0</v>
      </c>
      <c r="M1488" s="108">
        <v>1</v>
      </c>
      <c r="N1488" s="95">
        <v>1</v>
      </c>
      <c r="O1488" s="109">
        <f>IF(Key!D$1="ON",P1488,IF(SUM(Q1488:DL1488)&lt;1,"",SUM(Q1488:DL1488)/COUNTIF(Q1488:DL1488,"&gt;0")))</f>
        <v>0</v>
      </c>
      <c r="P1488" s="109">
        <f>SUMIFS(Q1488:DK1488,Q$1:DK$1,Dashboard!$K$31)</f>
        <v>0</v>
      </c>
      <c r="U1488" s="95">
        <v>33</v>
      </c>
      <c r="AA1488" s="95">
        <v>25</v>
      </c>
      <c r="AH1488" s="95">
        <v>75</v>
      </c>
    </row>
    <row r="1489" spans="1:34" x14ac:dyDescent="0.3">
      <c r="A1489" s="89" t="str">
        <f>CONCATENATE(D1489,".",F1489,"-",G1489,".",H1489,"")</f>
        <v>2.1-5.1</v>
      </c>
      <c r="B1489" s="89" t="str">
        <f>IF(CONCATENATE(I1489,Key!F$2)=CONCATENATE(INDEX(Dashboard!J:J,MATCH(I1489,Dashboard!J:J,0),1),INDEX(Dashboard!J:K,MATCH(I1489,Dashboard!J:J,0),2)),"ON",IF(Dashboard!K$32="ALL","ON","-"))</f>
        <v>-</v>
      </c>
      <c r="C1489" s="96" t="s">
        <v>152</v>
      </c>
      <c r="D1489" s="89">
        <f>IF(C1489="ID",1,(IF(C1489="PR",2,(IF(C1489="DE",3,(IF(C1489="RS",4,(IF(C1489="RC",5,0)))))))))</f>
        <v>2</v>
      </c>
      <c r="E1489" s="89" t="s">
        <v>153</v>
      </c>
      <c r="F1489" s="89">
        <f>IF(E1489="AM",1,(IF(E1489="BE",2,(IF(E1489="GV",3,(IF(E1489="RA",4,(IF(E1489="RM",5,(IF(E1489="AC",1,(IF(E1489="AT",2,(IF(E1489="DS",3,(IF(E1489="IP",4,(IF(E1489="MA",5,(IF(E1489="PT",6,(IF(E1489="AE",1,(IF(E1489="CM",2,(IF(E1489="DP",3,(IF(E1489="AN",1,(IF(E1489="CO",2,(IF(E1489="IM",3,(IF(E1489="MI",4,(IF(E1489="RP",5,(IF(E1489="SC",6,0)))))))))))))))))))))))))))))))))))))))</f>
        <v>1</v>
      </c>
      <c r="G1489" s="52">
        <v>5</v>
      </c>
      <c r="H1489" s="90" t="s">
        <v>115</v>
      </c>
      <c r="I1489" s="94" t="s">
        <v>92</v>
      </c>
      <c r="J1489" s="88" t="s">
        <v>198</v>
      </c>
      <c r="K1489" s="102" t="s">
        <v>5226</v>
      </c>
      <c r="L1489" s="117">
        <f>IF(O1489="","",N1489*O1489*M1489)</f>
        <v>0</v>
      </c>
      <c r="M1489" s="108">
        <v>1</v>
      </c>
      <c r="N1489" s="95">
        <v>1</v>
      </c>
      <c r="O1489" s="109">
        <f>IF(Key!D$1="ON",P1489,IF(SUM(Q1489:DL1489)&lt;1,"",SUM(Q1489:DL1489)/COUNTIF(Q1489:DL1489,"&gt;0")))</f>
        <v>0</v>
      </c>
      <c r="P1489" s="109">
        <f>SUMIFS(Q1489:DK1489,Q$1:DK$1,Dashboard!$K$31)</f>
        <v>0</v>
      </c>
      <c r="U1489" s="95">
        <v>33</v>
      </c>
      <c r="AA1489" s="95">
        <v>25</v>
      </c>
      <c r="AH1489" s="95">
        <v>75</v>
      </c>
    </row>
    <row r="1490" spans="1:34" x14ac:dyDescent="0.3">
      <c r="A1490" s="89" t="str">
        <f>CONCATENATE(D1490,".",F1490,"-",G1490,".",H1490,"")</f>
        <v>2.1-5.1</v>
      </c>
      <c r="B1490" s="89" t="str">
        <f>IF(CONCATENATE(I1490,Key!F$2)=CONCATENATE(INDEX(Dashboard!J:J,MATCH(I1490,Dashboard!J:J,0),1),INDEX(Dashboard!J:K,MATCH(I1490,Dashboard!J:J,0),2)),"ON",IF(Dashboard!K$32="ALL","ON","-"))</f>
        <v>-</v>
      </c>
      <c r="C1490" s="88" t="s">
        <v>152</v>
      </c>
      <c r="D1490" s="89">
        <f>IF(C1490="ID",1,(IF(C1490="PR",2,(IF(C1490="DE",3,(IF(C1490="RS",4,(IF(C1490="RC",5,0)))))))))</f>
        <v>2</v>
      </c>
      <c r="E1490" s="89" t="s">
        <v>153</v>
      </c>
      <c r="F1490" s="89">
        <f>IF(E1490="AM",1,(IF(E1490="BE",2,(IF(E1490="GV",3,(IF(E1490="RA",4,(IF(E1490="RM",5,(IF(E1490="AC",1,(IF(E1490="AT",2,(IF(E1490="DS",3,(IF(E1490="IP",4,(IF(E1490="MA",5,(IF(E1490="PT",6,(IF(E1490="AE",1,(IF(E1490="CM",2,(IF(E1490="DP",3,(IF(E1490="AN",1,(IF(E1490="CO",2,(IF(E1490="IM",3,(IF(E1490="MI",4,(IF(E1490="RP",5,(IF(E1490="SC",6,0)))))))))))))))))))))))))))))))))))))))</f>
        <v>1</v>
      </c>
      <c r="G1490" s="52">
        <v>5</v>
      </c>
      <c r="H1490" s="90" t="s">
        <v>115</v>
      </c>
      <c r="I1490" s="94" t="s">
        <v>92</v>
      </c>
      <c r="J1490" s="88" t="s">
        <v>199</v>
      </c>
      <c r="K1490" s="102" t="s">
        <v>5226</v>
      </c>
      <c r="L1490" s="117">
        <f>IF(O1490="","",N1490*O1490*M1490)</f>
        <v>0</v>
      </c>
      <c r="M1490" s="108">
        <v>1</v>
      </c>
      <c r="N1490" s="95">
        <v>1</v>
      </c>
      <c r="O1490" s="109">
        <f>IF(Key!D$1="ON",P1490,IF(SUM(Q1490:DL1490)&lt;1,"",SUM(Q1490:DL1490)/COUNTIF(Q1490:DL1490,"&gt;0")))</f>
        <v>0</v>
      </c>
      <c r="P1490" s="109">
        <f>SUMIFS(Q1490:DK1490,Q$1:DK$1,Dashboard!$K$31)</f>
        <v>0</v>
      </c>
      <c r="U1490" s="95">
        <v>33</v>
      </c>
      <c r="AA1490" s="95">
        <v>25</v>
      </c>
      <c r="AH1490" s="95">
        <v>75</v>
      </c>
    </row>
    <row r="1491" spans="1:34" ht="15.6" x14ac:dyDescent="0.3">
      <c r="A1491" s="89" t="str">
        <f>CONCATENATE(D1491,".",F1491,"-",G1491,".",H1491,"")</f>
        <v>2.1-5.1</v>
      </c>
      <c r="B1491" s="89" t="str">
        <f>IF(CONCATENATE(I1491,Key!F$2)=CONCATENATE(INDEX(Dashboard!J:J,MATCH(I1491,Dashboard!J:J,0),1),INDEX(Dashboard!J:K,MATCH(I1491,Dashboard!J:J,0),2)),"ON",IF(Dashboard!K$32="ALL","ON","-"))</f>
        <v>-</v>
      </c>
      <c r="C1491" s="96" t="s">
        <v>152</v>
      </c>
      <c r="D1491" s="89">
        <f>IF(C1491="ID",1,(IF(C1491="PR",2,(IF(C1491="DE",3,(IF(C1491="RS",4,(IF(C1491="RC",5,0)))))))))</f>
        <v>2</v>
      </c>
      <c r="E1491" s="89" t="s">
        <v>153</v>
      </c>
      <c r="F1491" s="89">
        <f>IF(E1491="AM",1,(IF(E1491="BE",2,(IF(E1491="GV",3,(IF(E1491="RA",4,(IF(E1491="RM",5,(IF(E1491="AC",1,(IF(E1491="AT",2,(IF(E1491="DS",3,(IF(E1491="IP",4,(IF(E1491="MA",5,(IF(E1491="PT",6,(IF(E1491="AE",1,(IF(E1491="CM",2,(IF(E1491="DP",3,(IF(E1491="AN",1,(IF(E1491="CO",2,(IF(E1491="IM",3,(IF(E1491="MI",4,(IF(E1491="RP",5,(IF(E1491="SC",6,0)))))))))))))))))))))))))))))))))))))))</f>
        <v>1</v>
      </c>
      <c r="G1491" s="52">
        <v>5</v>
      </c>
      <c r="H1491" s="90" t="s">
        <v>115</v>
      </c>
      <c r="I1491" s="94" t="s">
        <v>92</v>
      </c>
      <c r="J1491" s="88" t="s">
        <v>200</v>
      </c>
      <c r="K1491" s="102" t="s">
        <v>5226</v>
      </c>
      <c r="L1491" s="117">
        <f>IF(O1491="","",N1491*O1491*M1491)</f>
        <v>0</v>
      </c>
      <c r="M1491" s="108">
        <v>1</v>
      </c>
      <c r="N1491" s="95">
        <v>1</v>
      </c>
      <c r="O1491" s="109">
        <f>IF(Key!D$1="ON",P1491,IF(SUM(Q1491:DL1491)&lt;1,"",SUM(Q1491:DL1491)/COUNTIF(Q1491:DL1491,"&gt;0")))</f>
        <v>0</v>
      </c>
      <c r="P1491" s="109">
        <f>SUMIFS(Q1491:DK1491,Q$1:DK$1,Dashboard!$K$31)</f>
        <v>0</v>
      </c>
      <c r="U1491" s="95">
        <v>33</v>
      </c>
      <c r="AA1491" s="95">
        <v>25</v>
      </c>
      <c r="AH1491" s="95">
        <v>75</v>
      </c>
    </row>
    <row r="1492" spans="1:34" x14ac:dyDescent="0.3">
      <c r="A1492" s="89" t="str">
        <f>CONCATENATE(D1492,".",F1492,"-",G1492,".",H1492,"")</f>
        <v>2.1-5.2</v>
      </c>
      <c r="B1492" s="89" t="str">
        <f>IF(CONCATENATE(I1492,Key!F$2)=CONCATENATE(INDEX(Dashboard!J:J,MATCH(I1492,Dashboard!J:J,0),1),INDEX(Dashboard!J:K,MATCH(I1492,Dashboard!J:J,0),2)),"ON",IF(Dashboard!K$32="ALL","ON","-"))</f>
        <v>-</v>
      </c>
      <c r="C1492" s="88" t="s">
        <v>152</v>
      </c>
      <c r="D1492" s="89">
        <f>IF(C1492="ID",1,(IF(C1492="PR",2,(IF(C1492="DE",3,(IF(C1492="RS",4,(IF(C1492="RC",5,0)))))))))</f>
        <v>2</v>
      </c>
      <c r="E1492" s="89" t="s">
        <v>153</v>
      </c>
      <c r="F1492" s="89">
        <f>IF(E1492="AM",1,(IF(E1492="BE",2,(IF(E1492="GV",3,(IF(E1492="RA",4,(IF(E1492="RM",5,(IF(E1492="AC",1,(IF(E1492="AT",2,(IF(E1492="DS",3,(IF(E1492="IP",4,(IF(E1492="MA",5,(IF(E1492="PT",6,(IF(E1492="AE",1,(IF(E1492="CM",2,(IF(E1492="DP",3,(IF(E1492="AN",1,(IF(E1492="CO",2,(IF(E1492="IM",3,(IF(E1492="MI",4,(IF(E1492="RP",5,(IF(E1492="SC",6,0)))))))))))))))))))))))))))))))))))))))</f>
        <v>1</v>
      </c>
      <c r="G1492" s="52">
        <v>5</v>
      </c>
      <c r="H1492" s="89">
        <v>2</v>
      </c>
      <c r="I1492" s="94" t="s">
        <v>60</v>
      </c>
      <c r="J1492" s="88" t="s">
        <v>3194</v>
      </c>
      <c r="K1492" s="51" t="s">
        <v>5307</v>
      </c>
      <c r="L1492" s="117">
        <f>IF(O1492="","",N1492*O1492*M1492)</f>
        <v>0</v>
      </c>
      <c r="M1492" s="108">
        <v>1</v>
      </c>
      <c r="N1492" s="95">
        <v>1</v>
      </c>
      <c r="O1492" s="109">
        <f>IF(Key!D$1="ON",P1492,IF(SUM(Q1492:DL1492)&lt;1,"",SUM(Q1492:DL1492)/COUNTIF(Q1492:DL1492,"&gt;0")))</f>
        <v>0</v>
      </c>
      <c r="P1492" s="109">
        <f>SUMIFS(Q1492:DK1492,Q$1:DK$1,Dashboard!$K$31)</f>
        <v>0</v>
      </c>
      <c r="U1492" s="95">
        <v>33</v>
      </c>
      <c r="AA1492" s="95">
        <v>25</v>
      </c>
      <c r="AH1492" s="95">
        <v>75</v>
      </c>
    </row>
    <row r="1493" spans="1:34" x14ac:dyDescent="0.3">
      <c r="A1493" s="89" t="str">
        <f>CONCATENATE(D1493,".",F1493,"-",G1493,".",H1493,"")</f>
        <v>2.1-5.2</v>
      </c>
      <c r="B1493" s="89" t="str">
        <f>IF(CONCATENATE(I1493,Key!F$2)=CONCATENATE(INDEX(Dashboard!J:J,MATCH(I1493,Dashboard!J:J,0),1),INDEX(Dashboard!J:K,MATCH(I1493,Dashboard!J:J,0),2)),"ON",IF(Dashboard!K$32="ALL","ON","-"))</f>
        <v>-</v>
      </c>
      <c r="C1493" s="88" t="s">
        <v>152</v>
      </c>
      <c r="D1493" s="89">
        <f>IF(C1493="ID",1,(IF(C1493="PR",2,(IF(C1493="DE",3,(IF(C1493="RS",4,(IF(C1493="RC",5,0)))))))))</f>
        <v>2</v>
      </c>
      <c r="E1493" s="89" t="s">
        <v>153</v>
      </c>
      <c r="F1493" s="89">
        <f>IF(E1493="AM",1,(IF(E1493="BE",2,(IF(E1493="GV",3,(IF(E1493="RA",4,(IF(E1493="RM",5,(IF(E1493="AC",1,(IF(E1493="AT",2,(IF(E1493="DS",3,(IF(E1493="IP",4,(IF(E1493="MA",5,(IF(E1493="PT",6,(IF(E1493="AE",1,(IF(E1493="CM",2,(IF(E1493="DP",3,(IF(E1493="AN",1,(IF(E1493="CO",2,(IF(E1493="IM",3,(IF(E1493="MI",4,(IF(E1493="RP",5,(IF(E1493="SC",6,0)))))))))))))))))))))))))))))))))))))))</f>
        <v>1</v>
      </c>
      <c r="G1493" s="52">
        <v>5</v>
      </c>
      <c r="H1493" s="90" t="s">
        <v>112</v>
      </c>
      <c r="I1493" s="94" t="s">
        <v>77</v>
      </c>
      <c r="J1493" s="87" t="s">
        <v>1291</v>
      </c>
      <c r="K1493" s="102" t="s">
        <v>2304</v>
      </c>
      <c r="L1493" s="117">
        <f>IF(O1493="","",N1493*O1493*M1493)</f>
        <v>0</v>
      </c>
      <c r="M1493" s="108">
        <v>1</v>
      </c>
      <c r="N1493" s="95">
        <v>1</v>
      </c>
      <c r="O1493" s="109">
        <f>IF(Key!D$1="ON",P1493,IF(SUM(Q1493:DL1493)&lt;1,"",SUM(Q1493:DL1493)/COUNTIF(Q1493:DL1493,"&gt;0")))</f>
        <v>0</v>
      </c>
      <c r="P1493" s="109">
        <f>SUMIFS(Q1493:DK1493,Q$1:DK$1,Dashboard!$K$31)</f>
        <v>0</v>
      </c>
      <c r="U1493" s="95">
        <v>33</v>
      </c>
      <c r="AA1493" s="95">
        <v>25</v>
      </c>
      <c r="AH1493" s="95">
        <v>75</v>
      </c>
    </row>
    <row r="1494" spans="1:34" x14ac:dyDescent="0.3">
      <c r="A1494" s="89" t="str">
        <f>CONCATENATE(D1494,".",F1494,"-",G1494,".",H1494,"")</f>
        <v>2.1-5.3</v>
      </c>
      <c r="B1494" s="89" t="str">
        <f>IF(CONCATENATE(I1494,Key!F$2)=CONCATENATE(INDEX(Dashboard!J:J,MATCH(I1494,Dashboard!J:J,0),1),INDEX(Dashboard!J:K,MATCH(I1494,Dashboard!J:J,0),2)),"ON",IF(Dashboard!K$32="ALL","ON","-"))</f>
        <v>-</v>
      </c>
      <c r="C1494" s="88" t="s">
        <v>152</v>
      </c>
      <c r="D1494" s="89">
        <f>IF(C1494="ID",1,(IF(C1494="PR",2,(IF(C1494="DE",3,(IF(C1494="RS",4,(IF(C1494="RC",5,0)))))))))</f>
        <v>2</v>
      </c>
      <c r="E1494" s="89" t="s">
        <v>153</v>
      </c>
      <c r="F1494" s="89">
        <f>IF(E1494="AM",1,(IF(E1494="BE",2,(IF(E1494="GV",3,(IF(E1494="RA",4,(IF(E1494="RM",5,(IF(E1494="AC",1,(IF(E1494="AT",2,(IF(E1494="DS",3,(IF(E1494="IP",4,(IF(E1494="MA",5,(IF(E1494="PT",6,(IF(E1494="AE",1,(IF(E1494="CM",2,(IF(E1494="DP",3,(IF(E1494="AN",1,(IF(E1494="CO",2,(IF(E1494="IM",3,(IF(E1494="MI",4,(IF(E1494="RP",5,(IF(E1494="SC",6,0)))))))))))))))))))))))))))))))))))))))</f>
        <v>1</v>
      </c>
      <c r="G1494" s="52">
        <v>5</v>
      </c>
      <c r="H1494" s="89">
        <v>3</v>
      </c>
      <c r="I1494" s="94" t="s">
        <v>60</v>
      </c>
      <c r="J1494" s="88" t="s">
        <v>3123</v>
      </c>
      <c r="K1494" s="51" t="s">
        <v>5236</v>
      </c>
      <c r="L1494" s="117">
        <f>IF(O1494="","",N1494*O1494*M1494)</f>
        <v>0</v>
      </c>
      <c r="M1494" s="108">
        <v>1</v>
      </c>
      <c r="N1494" s="95">
        <v>1</v>
      </c>
      <c r="O1494" s="109">
        <f>IF(Key!D$1="ON",P1494,IF(SUM(Q1494:DL1494)&lt;1,"",SUM(Q1494:DL1494)/COUNTIF(Q1494:DL1494,"&gt;0")))</f>
        <v>0</v>
      </c>
      <c r="P1494" s="109">
        <f>SUMIFS(Q1494:DK1494,Q$1:DK$1,Dashboard!$K$31)</f>
        <v>0</v>
      </c>
      <c r="U1494" s="95">
        <v>33</v>
      </c>
      <c r="AA1494" s="95">
        <v>25</v>
      </c>
      <c r="AH1494" s="95">
        <v>75</v>
      </c>
    </row>
    <row r="1495" spans="1:34" x14ac:dyDescent="0.3">
      <c r="A1495" s="89" t="str">
        <f>CONCATENATE(D1495,".",F1495,"-",G1495,".",H1495,"")</f>
        <v>2.1-5.3</v>
      </c>
      <c r="B1495" s="89" t="str">
        <f>IF(CONCATENATE(I1495,Key!F$2)=CONCATENATE(INDEX(Dashboard!J:J,MATCH(I1495,Dashboard!J:J,0),1),INDEX(Dashboard!J:K,MATCH(I1495,Dashboard!J:J,0),2)),"ON",IF(Dashboard!K$32="ALL","ON","-"))</f>
        <v>-</v>
      </c>
      <c r="C1495" s="88" t="s">
        <v>152</v>
      </c>
      <c r="D1495" s="89">
        <f>IF(C1495="ID",1,(IF(C1495="PR",2,(IF(C1495="DE",3,(IF(C1495="RS",4,(IF(C1495="RC",5,0)))))))))</f>
        <v>2</v>
      </c>
      <c r="E1495" s="89" t="s">
        <v>153</v>
      </c>
      <c r="F1495" s="89">
        <f>IF(E1495="AM",1,(IF(E1495="BE",2,(IF(E1495="GV",3,(IF(E1495="RA",4,(IF(E1495="RM",5,(IF(E1495="AC",1,(IF(E1495="AT",2,(IF(E1495="DS",3,(IF(E1495="IP",4,(IF(E1495="MA",5,(IF(E1495="PT",6,(IF(E1495="AE",1,(IF(E1495="CM",2,(IF(E1495="DP",3,(IF(E1495="AN",1,(IF(E1495="CO",2,(IF(E1495="IM",3,(IF(E1495="MI",4,(IF(E1495="RP",5,(IF(E1495="SC",6,0)))))))))))))))))))))))))))))))))))))))</f>
        <v>1</v>
      </c>
      <c r="G1495" s="52">
        <v>5</v>
      </c>
      <c r="H1495" s="89">
        <v>3</v>
      </c>
      <c r="I1495" s="94" t="s">
        <v>60</v>
      </c>
      <c r="J1495" s="88" t="s">
        <v>3193</v>
      </c>
      <c r="K1495" s="51" t="s">
        <v>5306</v>
      </c>
      <c r="L1495" s="117">
        <f>IF(O1495="","",N1495*O1495*M1495)</f>
        <v>0</v>
      </c>
      <c r="M1495" s="108">
        <v>1</v>
      </c>
      <c r="N1495" s="95">
        <v>1</v>
      </c>
      <c r="O1495" s="109">
        <f>IF(Key!D$1="ON",P1495,IF(SUM(Q1495:DL1495)&lt;1,"",SUM(Q1495:DL1495)/COUNTIF(Q1495:DL1495,"&gt;0")))</f>
        <v>0</v>
      </c>
      <c r="P1495" s="109">
        <f>SUMIFS(Q1495:DK1495,Q$1:DK$1,Dashboard!$K$31)</f>
        <v>0</v>
      </c>
      <c r="U1495" s="95">
        <v>33</v>
      </c>
      <c r="AA1495" s="95">
        <v>25</v>
      </c>
      <c r="AH1495" s="95">
        <v>75</v>
      </c>
    </row>
    <row r="1496" spans="1:34" x14ac:dyDescent="0.3">
      <c r="A1496" s="89" t="str">
        <f>CONCATENATE(D1496,".",F1496,"-",G1496,".",H1496,"")</f>
        <v>2.1-5.3</v>
      </c>
      <c r="B1496" s="89" t="str">
        <f>IF(CONCATENATE(I1496,Key!F$2)=CONCATENATE(INDEX(Dashboard!J:J,MATCH(I1496,Dashboard!J:J,0),1),INDEX(Dashboard!J:K,MATCH(I1496,Dashboard!J:J,0),2)),"ON",IF(Dashboard!K$32="ALL","ON","-"))</f>
        <v>-</v>
      </c>
      <c r="C1496" s="88" t="s">
        <v>152</v>
      </c>
      <c r="D1496" s="89">
        <f>IF(C1496="ID",1,(IF(C1496="PR",2,(IF(C1496="DE",3,(IF(C1496="RS",4,(IF(C1496="RC",5,0)))))))))</f>
        <v>2</v>
      </c>
      <c r="E1496" s="89" t="s">
        <v>153</v>
      </c>
      <c r="F1496" s="89">
        <f>IF(E1496="AM",1,(IF(E1496="BE",2,(IF(E1496="GV",3,(IF(E1496="RA",4,(IF(E1496="RM",5,(IF(E1496="AC",1,(IF(E1496="AT",2,(IF(E1496="DS",3,(IF(E1496="IP",4,(IF(E1496="MA",5,(IF(E1496="PT",6,(IF(E1496="AE",1,(IF(E1496="CM",2,(IF(E1496="DP",3,(IF(E1496="AN",1,(IF(E1496="CO",2,(IF(E1496="IM",3,(IF(E1496="MI",4,(IF(E1496="RP",5,(IF(E1496="SC",6,0)))))))))))))))))))))))))))))))))))))))</f>
        <v>1</v>
      </c>
      <c r="G1496" s="52">
        <v>5</v>
      </c>
      <c r="H1496" s="90" t="s">
        <v>280</v>
      </c>
      <c r="I1496" s="94" t="s">
        <v>77</v>
      </c>
      <c r="J1496" s="87" t="s">
        <v>1292</v>
      </c>
      <c r="K1496" s="102" t="s">
        <v>2305</v>
      </c>
      <c r="L1496" s="117">
        <f>IF(O1496="","",N1496*O1496*M1496)</f>
        <v>0</v>
      </c>
      <c r="M1496" s="108">
        <v>1</v>
      </c>
      <c r="N1496" s="95">
        <v>1</v>
      </c>
      <c r="O1496" s="109">
        <f>IF(Key!D$1="ON",P1496,IF(SUM(Q1496:DL1496)&lt;1,"",SUM(Q1496:DL1496)/COUNTIF(Q1496:DL1496,"&gt;0")))</f>
        <v>0</v>
      </c>
      <c r="P1496" s="109">
        <f>SUMIFS(Q1496:DK1496,Q$1:DK$1,Dashboard!$K$31)</f>
        <v>0</v>
      </c>
      <c r="U1496" s="95">
        <v>33</v>
      </c>
      <c r="AA1496" s="95">
        <v>25</v>
      </c>
      <c r="AH1496" s="95">
        <v>75</v>
      </c>
    </row>
    <row r="1497" spans="1:34" x14ac:dyDescent="0.3">
      <c r="A1497" s="89" t="str">
        <f>CONCATENATE(D1497,".",F1497,"-",G1497,".",H1497,"")</f>
        <v>2.1-5.5</v>
      </c>
      <c r="B1497" s="89" t="str">
        <f>IF(CONCATENATE(I1497,Key!F$2)=CONCATENATE(INDEX(Dashboard!J:J,MATCH(I1497,Dashboard!J:J,0),1),INDEX(Dashboard!J:K,MATCH(I1497,Dashboard!J:J,0),2)),"ON",IF(Dashboard!K$32="ALL","ON","-"))</f>
        <v>-</v>
      </c>
      <c r="C1497" s="88" t="s">
        <v>152</v>
      </c>
      <c r="D1497" s="89">
        <f>IF(C1497="ID",1,(IF(C1497="PR",2,(IF(C1497="DE",3,(IF(C1497="RS",4,(IF(C1497="RC",5,0)))))))))</f>
        <v>2</v>
      </c>
      <c r="E1497" s="89" t="s">
        <v>153</v>
      </c>
      <c r="F1497" s="89">
        <f>IF(E1497="AM",1,(IF(E1497="BE",2,(IF(E1497="GV",3,(IF(E1497="RA",4,(IF(E1497="RM",5,(IF(E1497="AC",1,(IF(E1497="AT",2,(IF(E1497="DS",3,(IF(E1497="IP",4,(IF(E1497="MA",5,(IF(E1497="PT",6,(IF(E1497="AE",1,(IF(E1497="CM",2,(IF(E1497="DP",3,(IF(E1497="AN",1,(IF(E1497="CO",2,(IF(E1497="IM",3,(IF(E1497="MI",4,(IF(E1497="RP",5,(IF(E1497="SC",6,0)))))))))))))))))))))))))))))))))))))))</f>
        <v>1</v>
      </c>
      <c r="G1497" s="52">
        <v>5</v>
      </c>
      <c r="H1497" s="90" t="s">
        <v>123</v>
      </c>
      <c r="I1497" s="94" t="s">
        <v>77</v>
      </c>
      <c r="J1497" s="87" t="s">
        <v>1293</v>
      </c>
      <c r="K1497" s="102" t="s">
        <v>2306</v>
      </c>
      <c r="L1497" s="117">
        <f>IF(O1497="","",N1497*O1497*M1497)</f>
        <v>0</v>
      </c>
      <c r="M1497" s="108">
        <v>1</v>
      </c>
      <c r="N1497" s="95">
        <v>1</v>
      </c>
      <c r="O1497" s="109">
        <f>IF(Key!D$1="ON",P1497,IF(SUM(Q1497:DL1497)&lt;1,"",SUM(Q1497:DL1497)/COUNTIF(Q1497:DL1497,"&gt;0")))</f>
        <v>0</v>
      </c>
      <c r="P1497" s="109">
        <f>SUMIFS(Q1497:DK1497,Q$1:DK$1,Dashboard!$K$31)</f>
        <v>0</v>
      </c>
      <c r="U1497" s="95">
        <v>33</v>
      </c>
      <c r="AA1497" s="95">
        <v>25</v>
      </c>
      <c r="AH1497" s="95">
        <v>75</v>
      </c>
    </row>
    <row r="1498" spans="1:34" x14ac:dyDescent="0.3">
      <c r="A1498" s="89" t="str">
        <f>CONCATENATE(D1498,".",F1498,"-",G1498,".",H1498,"")</f>
        <v>2.1-5.5</v>
      </c>
      <c r="B1498" s="89" t="str">
        <f>IF(CONCATENATE(I1498,Key!F$2)=CONCATENATE(INDEX(Dashboard!J:J,MATCH(I1498,Dashboard!J:J,0),1),INDEX(Dashboard!J:K,MATCH(I1498,Dashboard!J:J,0),2)),"ON",IF(Dashboard!K$32="ALL","ON","-"))</f>
        <v>-</v>
      </c>
      <c r="C1498" s="88" t="s">
        <v>152</v>
      </c>
      <c r="D1498" s="89">
        <f>IF(C1498="ID",1,(IF(C1498="PR",2,(IF(C1498="DE",3,(IF(C1498="RS",4,(IF(C1498="RC",5,0)))))))))</f>
        <v>2</v>
      </c>
      <c r="E1498" s="89" t="s">
        <v>153</v>
      </c>
      <c r="F1498" s="89">
        <f>IF(E1498="AM",1,(IF(E1498="BE",2,(IF(E1498="GV",3,(IF(E1498="RA",4,(IF(E1498="RM",5,(IF(E1498="AC",1,(IF(E1498="AT",2,(IF(E1498="DS",3,(IF(E1498="IP",4,(IF(E1498="MA",5,(IF(E1498="PT",6,(IF(E1498="AE",1,(IF(E1498="CM",2,(IF(E1498="DP",3,(IF(E1498="AN",1,(IF(E1498="CO",2,(IF(E1498="IM",3,(IF(E1498="MI",4,(IF(E1498="RP",5,(IF(E1498="SC",6,0)))))))))))))))))))))))))))))))))))))))</f>
        <v>1</v>
      </c>
      <c r="G1498" s="52">
        <v>5</v>
      </c>
      <c r="H1498" s="90" t="s">
        <v>123</v>
      </c>
      <c r="I1498" s="94" t="s">
        <v>77</v>
      </c>
      <c r="J1498" s="87" t="s">
        <v>1294</v>
      </c>
      <c r="K1498" s="102" t="s">
        <v>2307</v>
      </c>
      <c r="L1498" s="117">
        <f>IF(O1498="","",N1498*O1498*M1498)</f>
        <v>0</v>
      </c>
      <c r="M1498" s="108">
        <v>1</v>
      </c>
      <c r="N1498" s="95">
        <v>1</v>
      </c>
      <c r="O1498" s="109">
        <f>IF(Key!D$1="ON",P1498,IF(SUM(Q1498:DL1498)&lt;1,"",SUM(Q1498:DL1498)/COUNTIF(Q1498:DL1498,"&gt;0")))</f>
        <v>0</v>
      </c>
      <c r="P1498" s="109">
        <f>SUMIFS(Q1498:DK1498,Q$1:DK$1,Dashboard!$K$31)</f>
        <v>0</v>
      </c>
      <c r="U1498" s="95">
        <v>33</v>
      </c>
      <c r="AA1498" s="95">
        <v>25</v>
      </c>
      <c r="AH1498" s="95">
        <v>75</v>
      </c>
    </row>
    <row r="1499" spans="1:34" x14ac:dyDescent="0.3">
      <c r="A1499" s="89" t="str">
        <f>CONCATENATE(D1499,".",F1499,"-",G1499,".",H1499,"")</f>
        <v>2.1-5.5</v>
      </c>
      <c r="B1499" s="89" t="str">
        <f>IF(CONCATENATE(I1499,Key!F$2)=CONCATENATE(INDEX(Dashboard!J:J,MATCH(I1499,Dashboard!J:J,0),1),INDEX(Dashboard!J:K,MATCH(I1499,Dashboard!J:J,0),2)),"ON",IF(Dashboard!K$32="ALL","ON","-"))</f>
        <v>-</v>
      </c>
      <c r="C1499" s="88" t="s">
        <v>152</v>
      </c>
      <c r="D1499" s="89">
        <f>IF(C1499="ID",1,(IF(C1499="PR",2,(IF(C1499="DE",3,(IF(C1499="RS",4,(IF(C1499="RC",5,0)))))))))</f>
        <v>2</v>
      </c>
      <c r="E1499" s="89" t="s">
        <v>153</v>
      </c>
      <c r="F1499" s="89">
        <f>IF(E1499="AM",1,(IF(E1499="BE",2,(IF(E1499="GV",3,(IF(E1499="RA",4,(IF(E1499="RM",5,(IF(E1499="AC",1,(IF(E1499="AT",2,(IF(E1499="DS",3,(IF(E1499="IP",4,(IF(E1499="MA",5,(IF(E1499="PT",6,(IF(E1499="AE",1,(IF(E1499="CM",2,(IF(E1499="DP",3,(IF(E1499="AN",1,(IF(E1499="CO",2,(IF(E1499="IM",3,(IF(E1499="MI",4,(IF(E1499="RP",5,(IF(E1499="SC",6,0)))))))))))))))))))))))))))))))))))))))</f>
        <v>1</v>
      </c>
      <c r="G1499" s="52">
        <v>5</v>
      </c>
      <c r="H1499" s="90" t="s">
        <v>123</v>
      </c>
      <c r="I1499" s="94" t="s">
        <v>77</v>
      </c>
      <c r="J1499" s="87" t="s">
        <v>1296</v>
      </c>
      <c r="K1499" s="102" t="s">
        <v>2308</v>
      </c>
      <c r="L1499" s="117">
        <f>IF(O1499="","",N1499*O1499*M1499)</f>
        <v>0</v>
      </c>
      <c r="M1499" s="108">
        <v>1</v>
      </c>
      <c r="N1499" s="95">
        <v>1</v>
      </c>
      <c r="O1499" s="109">
        <f>IF(Key!D$1="ON",P1499,IF(SUM(Q1499:DL1499)&lt;1,"",SUM(Q1499:DL1499)/COUNTIF(Q1499:DL1499,"&gt;0")))</f>
        <v>0</v>
      </c>
      <c r="P1499" s="109">
        <f>SUMIFS(Q1499:DK1499,Q$1:DK$1,Dashboard!$K$31)</f>
        <v>0</v>
      </c>
      <c r="U1499" s="95">
        <v>33</v>
      </c>
      <c r="AA1499" s="95">
        <v>25</v>
      </c>
      <c r="AH1499" s="95">
        <v>75</v>
      </c>
    </row>
    <row r="1500" spans="1:34" x14ac:dyDescent="0.3">
      <c r="A1500" s="89" t="str">
        <f>CONCATENATE(D1500,".",F1500,"-",G1500,".",H1500,"")</f>
        <v>2.1-5.5</v>
      </c>
      <c r="B1500" s="89" t="str">
        <f>IF(CONCATENATE(I1500,Key!F$2)=CONCATENATE(INDEX(Dashboard!J:J,MATCH(I1500,Dashboard!J:J,0),1),INDEX(Dashboard!J:K,MATCH(I1500,Dashboard!J:J,0),2)),"ON",IF(Dashboard!K$32="ALL","ON","-"))</f>
        <v>-</v>
      </c>
      <c r="C1500" s="88" t="s">
        <v>152</v>
      </c>
      <c r="D1500" s="89">
        <f>IF(C1500="ID",1,(IF(C1500="PR",2,(IF(C1500="DE",3,(IF(C1500="RS",4,(IF(C1500="RC",5,0)))))))))</f>
        <v>2</v>
      </c>
      <c r="E1500" s="89" t="s">
        <v>153</v>
      </c>
      <c r="F1500" s="89">
        <f>IF(E1500="AM",1,(IF(E1500="BE",2,(IF(E1500="GV",3,(IF(E1500="RA",4,(IF(E1500="RM",5,(IF(E1500="AC",1,(IF(E1500="AT",2,(IF(E1500="DS",3,(IF(E1500="IP",4,(IF(E1500="MA",5,(IF(E1500="PT",6,(IF(E1500="AE",1,(IF(E1500="CM",2,(IF(E1500="DP",3,(IF(E1500="AN",1,(IF(E1500="CO",2,(IF(E1500="IM",3,(IF(E1500="MI",4,(IF(E1500="RP",5,(IF(E1500="SC",6,0)))))))))))))))))))))))))))))))))))))))</f>
        <v>1</v>
      </c>
      <c r="G1500" s="52">
        <v>5</v>
      </c>
      <c r="H1500" s="90" t="s">
        <v>123</v>
      </c>
      <c r="I1500" s="94" t="s">
        <v>77</v>
      </c>
      <c r="J1500" s="87" t="s">
        <v>1298</v>
      </c>
      <c r="K1500" s="102" t="s">
        <v>2309</v>
      </c>
      <c r="L1500" s="117">
        <f>IF(O1500="","",N1500*O1500*M1500)</f>
        <v>0</v>
      </c>
      <c r="M1500" s="108">
        <v>1</v>
      </c>
      <c r="N1500" s="95">
        <v>1</v>
      </c>
      <c r="O1500" s="109">
        <f>IF(Key!D$1="ON",P1500,IF(SUM(Q1500:DL1500)&lt;1,"",SUM(Q1500:DL1500)/COUNTIF(Q1500:DL1500,"&gt;0")))</f>
        <v>0</v>
      </c>
      <c r="P1500" s="109">
        <f>SUMIFS(Q1500:DK1500,Q$1:DK$1,Dashboard!$K$31)</f>
        <v>0</v>
      </c>
      <c r="U1500" s="95">
        <v>33</v>
      </c>
      <c r="AA1500" s="95">
        <v>25</v>
      </c>
      <c r="AH1500" s="95">
        <v>75</v>
      </c>
    </row>
    <row r="1501" spans="1:34" ht="15.6" x14ac:dyDescent="0.3">
      <c r="A1501" s="89" t="str">
        <f>CONCATENATE(D1501,".",F1501,"-",G1501,".",H1501,"")</f>
        <v>2.1-6.0</v>
      </c>
      <c r="B1501" s="89" t="str">
        <f>IF(CONCATENATE(I1501,Key!F$2)=CONCATENATE(INDEX(Dashboard!J:J,MATCH(I1501,Dashboard!J:J,0),1),INDEX(Dashboard!J:K,MATCH(I1501,Dashboard!J:J,0),2)),"ON",IF(Dashboard!K$32="ALL","ON","-"))</f>
        <v>-</v>
      </c>
      <c r="C1501" s="88" t="s">
        <v>152</v>
      </c>
      <c r="D1501" s="89">
        <f>IF(C1501="ID",1,(IF(C1501="PR",2,(IF(C1501="DE",3,(IF(C1501="RS",4,(IF(C1501="RC",5,0)))))))))</f>
        <v>2</v>
      </c>
      <c r="E1501" s="89" t="s">
        <v>153</v>
      </c>
      <c r="F1501" s="89">
        <f>IF(E1501="AM",1,(IF(E1501="BE",2,(IF(E1501="GV",3,(IF(E1501="RA",4,(IF(E1501="RM",5,(IF(E1501="AC",1,(IF(E1501="AT",2,(IF(E1501="DS",3,(IF(E1501="IP",4,(IF(E1501="MA",5,(IF(E1501="PT",6,(IF(E1501="AE",1,(IF(E1501="CM",2,(IF(E1501="DP",3,(IF(E1501="AN",1,(IF(E1501="CO",2,(IF(E1501="IM",3,(IF(E1501="MI",4,(IF(E1501="RP",5,(IF(E1501="SC",6,0)))))))))))))))))))))))))))))))))))))))</f>
        <v>1</v>
      </c>
      <c r="G1501" s="52">
        <v>6</v>
      </c>
      <c r="H1501" s="90" t="s">
        <v>347</v>
      </c>
      <c r="I1501" s="94" t="s">
        <v>2835</v>
      </c>
      <c r="J1501" s="54" t="s">
        <v>2925</v>
      </c>
      <c r="K1501" s="150" t="s">
        <v>2926</v>
      </c>
      <c r="L1501" s="117">
        <f>IF(O1501="","",N1501*O1501*M1501)</f>
        <v>0</v>
      </c>
      <c r="M1501" s="108">
        <v>1</v>
      </c>
      <c r="N1501" s="95">
        <v>1</v>
      </c>
      <c r="O1501" s="109">
        <f>IF(Key!D$1="ON",P1501,IF(SUM(Q1501:DL1501)&lt;1,"",SUM(Q1501:DL1501)/COUNTIF(Q1501:DL1501,"&gt;0")))</f>
        <v>0</v>
      </c>
      <c r="P1501" s="109">
        <f>SUMIFS(Q1501:DK1501,Q$1:DK$1,Dashboard!$K$31)</f>
        <v>0</v>
      </c>
      <c r="U1501" s="95">
        <v>33</v>
      </c>
    </row>
    <row r="1502" spans="1:34" x14ac:dyDescent="0.3">
      <c r="A1502" s="89" t="str">
        <f>CONCATENATE(D1502,".",F1502,"-",G1502,".",H1502,"")</f>
        <v>2.1-6.1</v>
      </c>
      <c r="B1502" s="89" t="str">
        <f>IF(CONCATENATE(I1502,Key!F$2)=CONCATENATE(INDEX(Dashboard!J:J,MATCH(I1502,Dashboard!J:J,0),1),INDEX(Dashboard!J:K,MATCH(I1502,Dashboard!J:J,0),2)),"ON",IF(Dashboard!K$32="ALL","ON","-"))</f>
        <v>ON</v>
      </c>
      <c r="C1502" s="130" t="s">
        <v>152</v>
      </c>
      <c r="D1502" s="89">
        <f>IF(C1502="ID",1,(IF(C1502="PR",2,(IF(C1502="DE",3,(IF(C1502="RS",4,(IF(C1502="RC",5,0)))))))))</f>
        <v>2</v>
      </c>
      <c r="E1502" s="95" t="s">
        <v>153</v>
      </c>
      <c r="F1502" s="89">
        <f>IF(E1502="AM",1,(IF(E1502="BE",2,(IF(E1502="GV",3,(IF(E1502="RA",4,(IF(E1502="RM",5,(IF(E1502="AC",1,(IF(E1502="AT",2,(IF(E1502="DS",3,(IF(E1502="IP",4,(IF(E1502="MA",5,(IF(E1502="PT",6,(IF(E1502="AE",1,(IF(E1502="CM",2,(IF(E1502="DP",3,(IF(E1502="AN",1,(IF(E1502="CO",2,(IF(E1502="IM",3,(IF(E1502="MI",4,(IF(E1502="RP",5,(IF(E1502="SC",6,0)))))))))))))))))))))))))))))))))))))))</f>
        <v>1</v>
      </c>
      <c r="G1502" s="52">
        <v>6</v>
      </c>
      <c r="H1502" s="90" t="s">
        <v>115</v>
      </c>
      <c r="I1502" s="94" t="s">
        <v>4107</v>
      </c>
      <c r="J1502" s="86" t="s">
        <v>3936</v>
      </c>
      <c r="K1502" s="101" t="s">
        <v>4423</v>
      </c>
      <c r="L1502" s="117">
        <f>IF(O1502="","",N1502*O1502*M1502)</f>
        <v>0</v>
      </c>
      <c r="M1502" s="108">
        <v>1</v>
      </c>
      <c r="N1502" s="95">
        <v>1</v>
      </c>
      <c r="O1502" s="109">
        <f>IF(Key!D$1="ON",P1502,IF(SUM(Q1502:DL1502)&lt;1,"",SUM(Q1502:DL1502)/COUNTIF(Q1502:DL1502,"&gt;0")))</f>
        <v>0</v>
      </c>
      <c r="P1502" s="109">
        <f>SUMIFS(Q1502:DK1502,Q$1:DK$1,Dashboard!$K$31)</f>
        <v>0</v>
      </c>
      <c r="U1502" s="95">
        <v>33</v>
      </c>
      <c r="AA1502" s="95">
        <v>25</v>
      </c>
      <c r="AH1502" s="95">
        <v>75</v>
      </c>
    </row>
    <row r="1503" spans="1:34" x14ac:dyDescent="0.3">
      <c r="A1503" s="89" t="str">
        <f>CONCATENATE(D1503,".",F1503,"-",G1503,".",H1503,"")</f>
        <v>2.1-6.1</v>
      </c>
      <c r="B1503" s="89" t="str">
        <f>IF(CONCATENATE(I1503,Key!F$2)=CONCATENATE(INDEX(Dashboard!J:J,MATCH(I1503,Dashboard!J:J,0),1),INDEX(Dashboard!J:K,MATCH(I1503,Dashboard!J:J,0),2)),"ON",IF(Dashboard!K$32="ALL","ON","-"))</f>
        <v>ON</v>
      </c>
      <c r="C1503" s="130" t="s">
        <v>152</v>
      </c>
      <c r="D1503" s="89">
        <f>IF(C1503="ID",1,(IF(C1503="PR",2,(IF(C1503="DE",3,(IF(C1503="RS",4,(IF(C1503="RC",5,0)))))))))</f>
        <v>2</v>
      </c>
      <c r="E1503" s="95" t="s">
        <v>153</v>
      </c>
      <c r="F1503" s="89">
        <f>IF(E1503="AM",1,(IF(E1503="BE",2,(IF(E1503="GV",3,(IF(E1503="RA",4,(IF(E1503="RM",5,(IF(E1503="AC",1,(IF(E1503="AT",2,(IF(E1503="DS",3,(IF(E1503="IP",4,(IF(E1503="MA",5,(IF(E1503="PT",6,(IF(E1503="AE",1,(IF(E1503="CM",2,(IF(E1503="DP",3,(IF(E1503="AN",1,(IF(E1503="CO",2,(IF(E1503="IM",3,(IF(E1503="MI",4,(IF(E1503="RP",5,(IF(E1503="SC",6,0)))))))))))))))))))))))))))))))))))))))</f>
        <v>1</v>
      </c>
      <c r="G1503" s="52">
        <v>6</v>
      </c>
      <c r="H1503" s="90" t="s">
        <v>115</v>
      </c>
      <c r="I1503" s="94" t="s">
        <v>4107</v>
      </c>
      <c r="J1503" s="86" t="s">
        <v>3944</v>
      </c>
      <c r="K1503" s="101" t="s">
        <v>4122</v>
      </c>
      <c r="L1503" s="117">
        <f>IF(O1503="","",N1503*O1503*M1503)</f>
        <v>0</v>
      </c>
      <c r="M1503" s="108">
        <v>1</v>
      </c>
      <c r="N1503" s="95">
        <v>1</v>
      </c>
      <c r="O1503" s="109">
        <f>IF(Key!D$1="ON",P1503,IF(SUM(Q1503:DL1503)&lt;1,"",SUM(Q1503:DL1503)/COUNTIF(Q1503:DL1503,"&gt;0")))</f>
        <v>0</v>
      </c>
      <c r="P1503" s="109">
        <f>SUMIFS(Q1503:DK1503,Q$1:DK$1,Dashboard!$K$31)</f>
        <v>0</v>
      </c>
      <c r="U1503" s="95">
        <v>33</v>
      </c>
      <c r="AA1503" s="95">
        <v>25</v>
      </c>
      <c r="AH1503" s="95">
        <v>75</v>
      </c>
    </row>
    <row r="1504" spans="1:34" x14ac:dyDescent="0.3">
      <c r="A1504" s="89" t="str">
        <f>CONCATENATE(D1504,".",F1504,"-",G1504,".",H1504,"")</f>
        <v>2.1-6.1</v>
      </c>
      <c r="B1504" s="89" t="str">
        <f>IF(CONCATENATE(I1504,Key!F$2)=CONCATENATE(INDEX(Dashboard!J:J,MATCH(I1504,Dashboard!J:J,0),1),INDEX(Dashboard!J:K,MATCH(I1504,Dashboard!J:J,0),2)),"ON",IF(Dashboard!K$32="ALL","ON","-"))</f>
        <v>ON</v>
      </c>
      <c r="C1504" s="88" t="s">
        <v>152</v>
      </c>
      <c r="D1504" s="89">
        <f>IF(C1504="ID",1,(IF(C1504="PR",2,(IF(C1504="DE",3,(IF(C1504="RS",4,(IF(C1504="RC",5,0)))))))))</f>
        <v>2</v>
      </c>
      <c r="E1504" s="89" t="s">
        <v>153</v>
      </c>
      <c r="F1504" s="89">
        <f>IF(E1504="AM",1,(IF(E1504="BE",2,(IF(E1504="GV",3,(IF(E1504="RA",4,(IF(E1504="RM",5,(IF(E1504="AC",1,(IF(E1504="AT",2,(IF(E1504="DS",3,(IF(E1504="IP",4,(IF(E1504="MA",5,(IF(E1504="PT",6,(IF(E1504="AE",1,(IF(E1504="CM",2,(IF(E1504="DP",3,(IF(E1504="AN",1,(IF(E1504="CO",2,(IF(E1504="IM",3,(IF(E1504="MI",4,(IF(E1504="RP",5,(IF(E1504="SC",6,0)))))))))))))))))))))))))))))))))))))))</f>
        <v>1</v>
      </c>
      <c r="G1504" s="52">
        <v>6</v>
      </c>
      <c r="H1504" s="90" t="s">
        <v>115</v>
      </c>
      <c r="I1504" s="94" t="s">
        <v>4107</v>
      </c>
      <c r="J1504" s="86" t="s">
        <v>3952</v>
      </c>
      <c r="K1504" s="101" t="s">
        <v>4357</v>
      </c>
      <c r="L1504" s="117">
        <f>IF(O1504="","",N1504*O1504*M1504)</f>
        <v>0</v>
      </c>
      <c r="M1504" s="108">
        <v>1</v>
      </c>
      <c r="N1504" s="95">
        <v>1</v>
      </c>
      <c r="O1504" s="109">
        <f>IF(Key!D$1="ON",P1504,IF(SUM(Q1504:DL1504)&lt;1,"",SUM(Q1504:DL1504)/COUNTIF(Q1504:DL1504,"&gt;0")))</f>
        <v>0</v>
      </c>
      <c r="P1504" s="109">
        <f>SUMIFS(Q1504:DK1504,Q$1:DK$1,Dashboard!$K$31)</f>
        <v>0</v>
      </c>
      <c r="U1504" s="95">
        <v>33</v>
      </c>
      <c r="AA1504" s="95">
        <v>25</v>
      </c>
      <c r="AH1504" s="95">
        <v>75</v>
      </c>
    </row>
    <row r="1505" spans="1:34" x14ac:dyDescent="0.3">
      <c r="A1505" s="89" t="str">
        <f>CONCATENATE(D1505,".",F1505,"-",G1505,".",H1505,"")</f>
        <v>2.1-6.1</v>
      </c>
      <c r="B1505" s="89" t="str">
        <f>IF(CONCATENATE(I1505,Key!F$2)=CONCATENATE(INDEX(Dashboard!J:J,MATCH(I1505,Dashboard!J:J,0),1),INDEX(Dashboard!J:K,MATCH(I1505,Dashboard!J:J,0),2)),"ON",IF(Dashboard!K$32="ALL","ON","-"))</f>
        <v>ON</v>
      </c>
      <c r="C1505" s="130" t="s">
        <v>152</v>
      </c>
      <c r="D1505" s="89">
        <f>IF(C1505="ID",1,(IF(C1505="PR",2,(IF(C1505="DE",3,(IF(C1505="RS",4,(IF(C1505="RC",5,0)))))))))</f>
        <v>2</v>
      </c>
      <c r="E1505" s="95" t="s">
        <v>153</v>
      </c>
      <c r="F1505" s="89">
        <f>IF(E1505="AM",1,(IF(E1505="BE",2,(IF(E1505="GV",3,(IF(E1505="RA",4,(IF(E1505="RM",5,(IF(E1505="AC",1,(IF(E1505="AT",2,(IF(E1505="DS",3,(IF(E1505="IP",4,(IF(E1505="MA",5,(IF(E1505="PT",6,(IF(E1505="AE",1,(IF(E1505="CM",2,(IF(E1505="DP",3,(IF(E1505="AN",1,(IF(E1505="CO",2,(IF(E1505="IM",3,(IF(E1505="MI",4,(IF(E1505="RP",5,(IF(E1505="SC",6,0)))))))))))))))))))))))))))))))))))))))</f>
        <v>1</v>
      </c>
      <c r="G1505" s="52">
        <v>6</v>
      </c>
      <c r="H1505" s="90" t="s">
        <v>115</v>
      </c>
      <c r="I1505" s="94" t="s">
        <v>4107</v>
      </c>
      <c r="J1505" s="86" t="s">
        <v>3954</v>
      </c>
      <c r="K1505" s="101" t="s">
        <v>4139</v>
      </c>
      <c r="L1505" s="117">
        <f>IF(O1505="","",N1505*O1505*M1505)</f>
        <v>0</v>
      </c>
      <c r="M1505" s="108">
        <v>1</v>
      </c>
      <c r="N1505" s="95">
        <v>1</v>
      </c>
      <c r="O1505" s="109">
        <f>IF(Key!D$1="ON",P1505,IF(SUM(Q1505:DL1505)&lt;1,"",SUM(Q1505:DL1505)/COUNTIF(Q1505:DL1505,"&gt;0")))</f>
        <v>0</v>
      </c>
      <c r="P1505" s="109">
        <f>SUMIFS(Q1505:DK1505,Q$1:DK$1,Dashboard!$K$31)</f>
        <v>0</v>
      </c>
      <c r="U1505" s="95">
        <v>33</v>
      </c>
      <c r="AA1505" s="95">
        <v>25</v>
      </c>
      <c r="AH1505" s="95">
        <v>75</v>
      </c>
    </row>
    <row r="1506" spans="1:34" x14ac:dyDescent="0.3">
      <c r="A1506" s="89" t="str">
        <f>CONCATENATE(D1506,".",F1506,"-",G1506,".",H1506,"")</f>
        <v>2.1-6.1</v>
      </c>
      <c r="B1506" s="89" t="str">
        <f>IF(CONCATENATE(I1506,Key!F$2)=CONCATENATE(INDEX(Dashboard!J:J,MATCH(I1506,Dashboard!J:J,0),1),INDEX(Dashboard!J:K,MATCH(I1506,Dashboard!J:J,0),2)),"ON",IF(Dashboard!K$32="ALL","ON","-"))</f>
        <v>ON</v>
      </c>
      <c r="C1506" s="130" t="s">
        <v>152</v>
      </c>
      <c r="D1506" s="89">
        <f>IF(C1506="ID",1,(IF(C1506="PR",2,(IF(C1506="DE",3,(IF(C1506="RS",4,(IF(C1506="RC",5,0)))))))))</f>
        <v>2</v>
      </c>
      <c r="E1506" s="95" t="s">
        <v>153</v>
      </c>
      <c r="F1506" s="89">
        <f>IF(E1506="AM",1,(IF(E1506="BE",2,(IF(E1506="GV",3,(IF(E1506="RA",4,(IF(E1506="RM",5,(IF(E1506="AC",1,(IF(E1506="AT",2,(IF(E1506="DS",3,(IF(E1506="IP",4,(IF(E1506="MA",5,(IF(E1506="PT",6,(IF(E1506="AE",1,(IF(E1506="CM",2,(IF(E1506="DP",3,(IF(E1506="AN",1,(IF(E1506="CO",2,(IF(E1506="IM",3,(IF(E1506="MI",4,(IF(E1506="RP",5,(IF(E1506="SC",6,0)))))))))))))))))))))))))))))))))))))))</f>
        <v>1</v>
      </c>
      <c r="G1506" s="52">
        <v>6</v>
      </c>
      <c r="H1506" s="90" t="s">
        <v>115</v>
      </c>
      <c r="I1506" s="94" t="s">
        <v>4107</v>
      </c>
      <c r="J1506" s="86" t="s">
        <v>3994</v>
      </c>
      <c r="K1506" s="101" t="s">
        <v>4444</v>
      </c>
      <c r="L1506" s="117">
        <f>IF(O1506="","",N1506*O1506*M1506)</f>
        <v>0</v>
      </c>
      <c r="M1506" s="108">
        <v>1</v>
      </c>
      <c r="N1506" s="95">
        <v>1</v>
      </c>
      <c r="O1506" s="109">
        <f>IF(Key!D$1="ON",P1506,IF(SUM(Q1506:DL1506)&lt;1,"",SUM(Q1506:DL1506)/COUNTIF(Q1506:DL1506,"&gt;0")))</f>
        <v>0</v>
      </c>
      <c r="P1506" s="109">
        <f>SUMIFS(Q1506:DK1506,Q$1:DK$1,Dashboard!$K$31)</f>
        <v>0</v>
      </c>
      <c r="U1506" s="95">
        <v>33</v>
      </c>
      <c r="AA1506" s="95">
        <v>25</v>
      </c>
      <c r="AH1506" s="95">
        <v>75</v>
      </c>
    </row>
    <row r="1507" spans="1:34" ht="15.6" x14ac:dyDescent="0.3">
      <c r="A1507" s="89" t="str">
        <f>CONCATENATE(D1507,".",F1507,"-",G1507,".",H1507,"")</f>
        <v>2.1-6.1</v>
      </c>
      <c r="B1507" s="89" t="str">
        <f>IF(CONCATENATE(I1507,Key!F$2)=CONCATENATE(INDEX(Dashboard!J:J,MATCH(I1507,Dashboard!J:J,0),1),INDEX(Dashboard!J:K,MATCH(I1507,Dashboard!J:J,0),2)),"ON",IF(Dashboard!K$32="ALL","ON","-"))</f>
        <v>ON</v>
      </c>
      <c r="C1507" s="130" t="s">
        <v>152</v>
      </c>
      <c r="D1507" s="89">
        <f>IF(C1507="ID",1,(IF(C1507="PR",2,(IF(C1507="DE",3,(IF(C1507="RS",4,(IF(C1507="RC",5,0)))))))))</f>
        <v>2</v>
      </c>
      <c r="E1507" s="95" t="s">
        <v>153</v>
      </c>
      <c r="F1507" s="89">
        <f>IF(E1507="AM",1,(IF(E1507="BE",2,(IF(E1507="GV",3,(IF(E1507="RA",4,(IF(E1507="RM",5,(IF(E1507="AC",1,(IF(E1507="AT",2,(IF(E1507="DS",3,(IF(E1507="IP",4,(IF(E1507="MA",5,(IF(E1507="PT",6,(IF(E1507="AE",1,(IF(E1507="CM",2,(IF(E1507="DP",3,(IF(E1507="AN",1,(IF(E1507="CO",2,(IF(E1507="IM",3,(IF(E1507="MI",4,(IF(E1507="RP",5,(IF(E1507="SC",6,0)))))))))))))))))))))))))))))))))))))))</f>
        <v>1</v>
      </c>
      <c r="G1507" s="52">
        <v>6</v>
      </c>
      <c r="H1507" s="90" t="s">
        <v>115</v>
      </c>
      <c r="I1507" s="94" t="s">
        <v>4107</v>
      </c>
      <c r="J1507" s="86" t="s">
        <v>3994</v>
      </c>
      <c r="K1507" s="101" t="s">
        <v>4444</v>
      </c>
      <c r="L1507" s="117">
        <f>IF(O1507="","",N1507*O1507*M1507)</f>
        <v>0</v>
      </c>
      <c r="M1507" s="108">
        <v>1</v>
      </c>
      <c r="N1507" s="95">
        <v>1</v>
      </c>
      <c r="O1507" s="109">
        <f>IF(Key!D$1="ON",P1507,IF(SUM(Q1507:DL1507)&lt;1,"",SUM(Q1507:DL1507)/COUNTIF(Q1507:DL1507,"&gt;0")))</f>
        <v>0</v>
      </c>
      <c r="P1507" s="109">
        <f>SUMIFS(Q1507:DK1507,Q$1:DK$1,Dashboard!$K$31)</f>
        <v>0</v>
      </c>
      <c r="U1507" s="95">
        <v>33</v>
      </c>
      <c r="AA1507" s="95">
        <v>25</v>
      </c>
      <c r="AH1507" s="95">
        <v>75</v>
      </c>
    </row>
    <row r="1508" spans="1:34" x14ac:dyDescent="0.3">
      <c r="A1508" s="89" t="str">
        <f>CONCATENATE(D1508,".",F1508,"-",G1508,".",H1508,"")</f>
        <v>2.1-6.1</v>
      </c>
      <c r="B1508" s="89" t="str">
        <f>IF(CONCATENATE(I1508,Key!F$2)=CONCATENATE(INDEX(Dashboard!J:J,MATCH(I1508,Dashboard!J:J,0),1),INDEX(Dashboard!J:K,MATCH(I1508,Dashboard!J:J,0),2)),"ON",IF(Dashboard!K$32="ALL","ON","-"))</f>
        <v>ON</v>
      </c>
      <c r="C1508" s="130" t="s">
        <v>152</v>
      </c>
      <c r="D1508" s="89">
        <f>IF(C1508="ID",1,(IF(C1508="PR",2,(IF(C1508="DE",3,(IF(C1508="RS",4,(IF(C1508="RC",5,0)))))))))</f>
        <v>2</v>
      </c>
      <c r="E1508" s="95" t="s">
        <v>153</v>
      </c>
      <c r="F1508" s="89">
        <f>IF(E1508="AM",1,(IF(E1508="BE",2,(IF(E1508="GV",3,(IF(E1508="RA",4,(IF(E1508="RM",5,(IF(E1508="AC",1,(IF(E1508="AT",2,(IF(E1508="DS",3,(IF(E1508="IP",4,(IF(E1508="MA",5,(IF(E1508="PT",6,(IF(E1508="AE",1,(IF(E1508="CM",2,(IF(E1508="DP",3,(IF(E1508="AN",1,(IF(E1508="CO",2,(IF(E1508="IM",3,(IF(E1508="MI",4,(IF(E1508="RP",5,(IF(E1508="SC",6,0)))))))))))))))))))))))))))))))))))))))</f>
        <v>1</v>
      </c>
      <c r="G1508" s="52">
        <v>6</v>
      </c>
      <c r="H1508" s="90" t="s">
        <v>115</v>
      </c>
      <c r="I1508" s="94" t="s">
        <v>4107</v>
      </c>
      <c r="J1508" s="86" t="s">
        <v>3995</v>
      </c>
      <c r="K1508" s="101" t="s">
        <v>4445</v>
      </c>
      <c r="L1508" s="117">
        <f>IF(O1508="","",N1508*O1508*M1508)</f>
        <v>0</v>
      </c>
      <c r="M1508" s="108">
        <v>1</v>
      </c>
      <c r="N1508" s="95">
        <v>1</v>
      </c>
      <c r="O1508" s="109">
        <f>IF(Key!D$1="ON",P1508,IF(SUM(Q1508:DL1508)&lt;1,"",SUM(Q1508:DL1508)/COUNTIF(Q1508:DL1508,"&gt;0")))</f>
        <v>0</v>
      </c>
      <c r="P1508" s="109">
        <f>SUMIFS(Q1508:DK1508,Q$1:DK$1,Dashboard!$K$31)</f>
        <v>0</v>
      </c>
      <c r="U1508" s="95">
        <v>33</v>
      </c>
      <c r="AA1508" s="95">
        <v>25</v>
      </c>
      <c r="AH1508" s="95">
        <v>75</v>
      </c>
    </row>
    <row r="1509" spans="1:34" ht="15.6" x14ac:dyDescent="0.3">
      <c r="A1509" s="89" t="str">
        <f>CONCATENATE(D1509,".",F1509,"-",G1509,".",H1509,"")</f>
        <v>2.1-6.1</v>
      </c>
      <c r="B1509" s="89" t="str">
        <f>IF(CONCATENATE(I1509,Key!F$2)=CONCATENATE(INDEX(Dashboard!J:J,MATCH(I1509,Dashboard!J:J,0),1),INDEX(Dashboard!J:K,MATCH(I1509,Dashboard!J:J,0),2)),"ON",IF(Dashboard!K$32="ALL","ON","-"))</f>
        <v>ON</v>
      </c>
      <c r="C1509" s="130" t="s">
        <v>152</v>
      </c>
      <c r="D1509" s="89">
        <f>IF(C1509="ID",1,(IF(C1509="PR",2,(IF(C1509="DE",3,(IF(C1509="RS",4,(IF(C1509="RC",5,0)))))))))</f>
        <v>2</v>
      </c>
      <c r="E1509" s="95" t="s">
        <v>153</v>
      </c>
      <c r="F1509" s="89">
        <f>IF(E1509="AM",1,(IF(E1509="BE",2,(IF(E1509="GV",3,(IF(E1509="RA",4,(IF(E1509="RM",5,(IF(E1509="AC",1,(IF(E1509="AT",2,(IF(E1509="DS",3,(IF(E1509="IP",4,(IF(E1509="MA",5,(IF(E1509="PT",6,(IF(E1509="AE",1,(IF(E1509="CM",2,(IF(E1509="DP",3,(IF(E1509="AN",1,(IF(E1509="CO",2,(IF(E1509="IM",3,(IF(E1509="MI",4,(IF(E1509="RP",5,(IF(E1509="SC",6,0)))))))))))))))))))))))))))))))))))))))</f>
        <v>1</v>
      </c>
      <c r="G1509" s="52">
        <v>6</v>
      </c>
      <c r="H1509" s="90" t="s">
        <v>115</v>
      </c>
      <c r="I1509" s="94" t="s">
        <v>4107</v>
      </c>
      <c r="J1509" s="86" t="s">
        <v>3995</v>
      </c>
      <c r="K1509" s="101" t="s">
        <v>4445</v>
      </c>
      <c r="L1509" s="117">
        <f>IF(O1509="","",N1509*O1509*M1509)</f>
        <v>0</v>
      </c>
      <c r="M1509" s="108">
        <v>1</v>
      </c>
      <c r="N1509" s="95">
        <v>1</v>
      </c>
      <c r="O1509" s="109">
        <f>IF(Key!D$1="ON",P1509,IF(SUM(Q1509:DL1509)&lt;1,"",SUM(Q1509:DL1509)/COUNTIF(Q1509:DL1509,"&gt;0")))</f>
        <v>0</v>
      </c>
      <c r="P1509" s="109">
        <f>SUMIFS(Q1509:DK1509,Q$1:DK$1,Dashboard!$K$31)</f>
        <v>0</v>
      </c>
      <c r="U1509" s="95">
        <v>33</v>
      </c>
      <c r="AA1509" s="95">
        <v>25</v>
      </c>
      <c r="AH1509" s="95">
        <v>75</v>
      </c>
    </row>
    <row r="1510" spans="1:34" ht="15.6" x14ac:dyDescent="0.3">
      <c r="A1510" s="89" t="str">
        <f>CONCATENATE(D1510,".",F1510,"-",G1510,".",H1510,"")</f>
        <v>2.1-6.1</v>
      </c>
      <c r="B1510" s="89" t="str">
        <f>IF(CONCATENATE(I1510,Key!F$2)=CONCATENATE(INDEX(Dashboard!J:J,MATCH(I1510,Dashboard!J:J,0),1),INDEX(Dashboard!J:K,MATCH(I1510,Dashboard!J:J,0),2)),"ON",IF(Dashboard!K$32="ALL","ON","-"))</f>
        <v>ON</v>
      </c>
      <c r="C1510" s="130" t="s">
        <v>152</v>
      </c>
      <c r="D1510" s="89">
        <f>IF(C1510="ID",1,(IF(C1510="PR",2,(IF(C1510="DE",3,(IF(C1510="RS",4,(IF(C1510="RC",5,0)))))))))</f>
        <v>2</v>
      </c>
      <c r="E1510" s="95" t="s">
        <v>153</v>
      </c>
      <c r="F1510" s="89">
        <f>IF(E1510="AM",1,(IF(E1510="BE",2,(IF(E1510="GV",3,(IF(E1510="RA",4,(IF(E1510="RM",5,(IF(E1510="AC",1,(IF(E1510="AT",2,(IF(E1510="DS",3,(IF(E1510="IP",4,(IF(E1510="MA",5,(IF(E1510="PT",6,(IF(E1510="AE",1,(IF(E1510="CM",2,(IF(E1510="DP",3,(IF(E1510="AN",1,(IF(E1510="CO",2,(IF(E1510="IM",3,(IF(E1510="MI",4,(IF(E1510="RP",5,(IF(E1510="SC",6,0)))))))))))))))))))))))))))))))))))))))</f>
        <v>1</v>
      </c>
      <c r="G1510" s="52">
        <v>6</v>
      </c>
      <c r="H1510" s="90" t="s">
        <v>115</v>
      </c>
      <c r="I1510" s="94" t="s">
        <v>4107</v>
      </c>
      <c r="J1510" s="86" t="s">
        <v>3996</v>
      </c>
      <c r="K1510" s="101" t="s">
        <v>4169</v>
      </c>
      <c r="L1510" s="117">
        <f>IF(O1510="","",N1510*O1510*M1510)</f>
        <v>0</v>
      </c>
      <c r="M1510" s="108">
        <v>1</v>
      </c>
      <c r="N1510" s="95">
        <v>1</v>
      </c>
      <c r="O1510" s="109">
        <f>IF(Key!D$1="ON",P1510,IF(SUM(Q1510:DL1510)&lt;1,"",SUM(Q1510:DL1510)/COUNTIF(Q1510:DL1510,"&gt;0")))</f>
        <v>0</v>
      </c>
      <c r="P1510" s="109">
        <f>SUMIFS(Q1510:DK1510,Q$1:DK$1,Dashboard!$K$31)</f>
        <v>0</v>
      </c>
      <c r="U1510" s="95">
        <v>33</v>
      </c>
      <c r="AA1510" s="95">
        <v>25</v>
      </c>
      <c r="AH1510" s="95">
        <v>75</v>
      </c>
    </row>
    <row r="1511" spans="1:34" x14ac:dyDescent="0.3">
      <c r="A1511" s="89" t="str">
        <f>CONCATENATE(D1511,".",F1511,"-",G1511,".",H1511,"")</f>
        <v>2.1-6.1</v>
      </c>
      <c r="B1511" s="89" t="str">
        <f>IF(CONCATENATE(I1511,Key!F$2)=CONCATENATE(INDEX(Dashboard!J:J,MATCH(I1511,Dashboard!J:J,0),1),INDEX(Dashboard!J:K,MATCH(I1511,Dashboard!J:J,0),2)),"ON",IF(Dashboard!K$32="ALL","ON","-"))</f>
        <v>ON</v>
      </c>
      <c r="C1511" s="130" t="s">
        <v>152</v>
      </c>
      <c r="D1511" s="89">
        <f>IF(C1511="ID",1,(IF(C1511="PR",2,(IF(C1511="DE",3,(IF(C1511="RS",4,(IF(C1511="RC",5,0)))))))))</f>
        <v>2</v>
      </c>
      <c r="E1511" s="95" t="s">
        <v>153</v>
      </c>
      <c r="F1511" s="89">
        <f>IF(E1511="AM",1,(IF(E1511="BE",2,(IF(E1511="GV",3,(IF(E1511="RA",4,(IF(E1511="RM",5,(IF(E1511="AC",1,(IF(E1511="AT",2,(IF(E1511="DS",3,(IF(E1511="IP",4,(IF(E1511="MA",5,(IF(E1511="PT",6,(IF(E1511="AE",1,(IF(E1511="CM",2,(IF(E1511="DP",3,(IF(E1511="AN",1,(IF(E1511="CO",2,(IF(E1511="IM",3,(IF(E1511="MI",4,(IF(E1511="RP",5,(IF(E1511="SC",6,0)))))))))))))))))))))))))))))))))))))))</f>
        <v>1</v>
      </c>
      <c r="G1511" s="52">
        <v>6</v>
      </c>
      <c r="H1511" s="90" t="s">
        <v>115</v>
      </c>
      <c r="I1511" s="94" t="s">
        <v>4107</v>
      </c>
      <c r="J1511" s="86" t="s">
        <v>3996</v>
      </c>
      <c r="K1511" s="101" t="s">
        <v>4169</v>
      </c>
      <c r="L1511" s="117">
        <f>IF(O1511="","",N1511*O1511*M1511)</f>
        <v>0</v>
      </c>
      <c r="M1511" s="108">
        <v>1</v>
      </c>
      <c r="N1511" s="95">
        <v>1</v>
      </c>
      <c r="O1511" s="109">
        <f>IF(Key!D$1="ON",P1511,IF(SUM(Q1511:DL1511)&lt;1,"",SUM(Q1511:DL1511)/COUNTIF(Q1511:DL1511,"&gt;0")))</f>
        <v>0</v>
      </c>
      <c r="P1511" s="109">
        <f>SUMIFS(Q1511:DK1511,Q$1:DK$1,Dashboard!$K$31)</f>
        <v>0</v>
      </c>
      <c r="U1511" s="95">
        <v>33</v>
      </c>
      <c r="AA1511" s="95">
        <v>25</v>
      </c>
      <c r="AH1511" s="95">
        <v>75</v>
      </c>
    </row>
    <row r="1512" spans="1:34" x14ac:dyDescent="0.3">
      <c r="A1512" s="89" t="str">
        <f>CONCATENATE(D1512,".",F1512,"-",G1512,".",H1512,"")</f>
        <v>2.1-6.1</v>
      </c>
      <c r="B1512" s="89" t="str">
        <f>IF(CONCATENATE(I1512,Key!F$2)=CONCATENATE(INDEX(Dashboard!J:J,MATCH(I1512,Dashboard!J:J,0),1),INDEX(Dashboard!J:K,MATCH(I1512,Dashboard!J:J,0),2)),"ON",IF(Dashboard!K$32="ALL","ON","-"))</f>
        <v>ON</v>
      </c>
      <c r="C1512" s="130" t="s">
        <v>152</v>
      </c>
      <c r="D1512" s="89">
        <f>IF(C1512="ID",1,(IF(C1512="PR",2,(IF(C1512="DE",3,(IF(C1512="RS",4,(IF(C1512="RC",5,0)))))))))</f>
        <v>2</v>
      </c>
      <c r="E1512" s="95" t="s">
        <v>153</v>
      </c>
      <c r="F1512" s="89">
        <f>IF(E1512="AM",1,(IF(E1512="BE",2,(IF(E1512="GV",3,(IF(E1512="RA",4,(IF(E1512="RM",5,(IF(E1512="AC",1,(IF(E1512="AT",2,(IF(E1512="DS",3,(IF(E1512="IP",4,(IF(E1512="MA",5,(IF(E1512="PT",6,(IF(E1512="AE",1,(IF(E1512="CM",2,(IF(E1512="DP",3,(IF(E1512="AN",1,(IF(E1512="CO",2,(IF(E1512="IM",3,(IF(E1512="MI",4,(IF(E1512="RP",5,(IF(E1512="SC",6,0)))))))))))))))))))))))))))))))))))))))</f>
        <v>1</v>
      </c>
      <c r="G1512" s="52">
        <v>6</v>
      </c>
      <c r="H1512" s="90" t="s">
        <v>115</v>
      </c>
      <c r="I1512" s="94" t="s">
        <v>4107</v>
      </c>
      <c r="J1512" s="86" t="s">
        <v>3997</v>
      </c>
      <c r="K1512" s="101" t="s">
        <v>4171</v>
      </c>
      <c r="L1512" s="117">
        <f>IF(O1512="","",N1512*O1512*M1512)</f>
        <v>0</v>
      </c>
      <c r="M1512" s="108">
        <v>1</v>
      </c>
      <c r="N1512" s="95">
        <v>1</v>
      </c>
      <c r="O1512" s="109">
        <f>IF(Key!D$1="ON",P1512,IF(SUM(Q1512:DL1512)&lt;1,"",SUM(Q1512:DL1512)/COUNTIF(Q1512:DL1512,"&gt;0")))</f>
        <v>0</v>
      </c>
      <c r="P1512" s="109">
        <f>SUMIFS(Q1512:DK1512,Q$1:DK$1,Dashboard!$K$31)</f>
        <v>0</v>
      </c>
      <c r="U1512" s="95">
        <v>33</v>
      </c>
      <c r="AA1512" s="95">
        <v>25</v>
      </c>
      <c r="AH1512" s="95">
        <v>75</v>
      </c>
    </row>
    <row r="1513" spans="1:34" x14ac:dyDescent="0.3">
      <c r="A1513" s="89" t="str">
        <f>CONCATENATE(D1513,".",F1513,"-",G1513,".",H1513,"")</f>
        <v>2.1-6.1</v>
      </c>
      <c r="B1513" s="89" t="str">
        <f>IF(CONCATENATE(I1513,Key!F$2)=CONCATENATE(INDEX(Dashboard!J:J,MATCH(I1513,Dashboard!J:J,0),1),INDEX(Dashboard!J:K,MATCH(I1513,Dashboard!J:J,0),2)),"ON",IF(Dashboard!K$32="ALL","ON","-"))</f>
        <v>ON</v>
      </c>
      <c r="C1513" s="130" t="s">
        <v>152</v>
      </c>
      <c r="D1513" s="89">
        <f>IF(C1513="ID",1,(IF(C1513="PR",2,(IF(C1513="DE",3,(IF(C1513="RS",4,(IF(C1513="RC",5,0)))))))))</f>
        <v>2</v>
      </c>
      <c r="E1513" s="95" t="s">
        <v>153</v>
      </c>
      <c r="F1513" s="89">
        <f>IF(E1513="AM",1,(IF(E1513="BE",2,(IF(E1513="GV",3,(IF(E1513="RA",4,(IF(E1513="RM",5,(IF(E1513="AC",1,(IF(E1513="AT",2,(IF(E1513="DS",3,(IF(E1513="IP",4,(IF(E1513="MA",5,(IF(E1513="PT",6,(IF(E1513="AE",1,(IF(E1513="CM",2,(IF(E1513="DP",3,(IF(E1513="AN",1,(IF(E1513="CO",2,(IF(E1513="IM",3,(IF(E1513="MI",4,(IF(E1513="RP",5,(IF(E1513="SC",6,0)))))))))))))))))))))))))))))))))))))))</f>
        <v>1</v>
      </c>
      <c r="G1513" s="52">
        <v>6</v>
      </c>
      <c r="H1513" s="90" t="s">
        <v>115</v>
      </c>
      <c r="I1513" s="94" t="s">
        <v>4107</v>
      </c>
      <c r="J1513" s="86" t="s">
        <v>3997</v>
      </c>
      <c r="K1513" s="101" t="s">
        <v>4171</v>
      </c>
      <c r="L1513" s="117">
        <f>IF(O1513="","",N1513*O1513*M1513)</f>
        <v>0</v>
      </c>
      <c r="M1513" s="108">
        <v>1</v>
      </c>
      <c r="N1513" s="95">
        <v>1</v>
      </c>
      <c r="O1513" s="109">
        <f>IF(Key!D$1="ON",P1513,IF(SUM(Q1513:DL1513)&lt;1,"",SUM(Q1513:DL1513)/COUNTIF(Q1513:DL1513,"&gt;0")))</f>
        <v>0</v>
      </c>
      <c r="P1513" s="109">
        <f>SUMIFS(Q1513:DK1513,Q$1:DK$1,Dashboard!$K$31)</f>
        <v>0</v>
      </c>
      <c r="U1513" s="95">
        <v>33</v>
      </c>
      <c r="AA1513" s="95">
        <v>25</v>
      </c>
      <c r="AH1513" s="95">
        <v>75</v>
      </c>
    </row>
    <row r="1514" spans="1:34" x14ac:dyDescent="0.3">
      <c r="A1514" s="89" t="str">
        <f>CONCATENATE(D1514,".",F1514,"-",G1514,".",H1514,"")</f>
        <v>2.1-6.1</v>
      </c>
      <c r="B1514" s="89" t="str">
        <f>IF(CONCATENATE(I1514,Key!F$2)=CONCATENATE(INDEX(Dashboard!J:J,MATCH(I1514,Dashboard!J:J,0),1),INDEX(Dashboard!J:K,MATCH(I1514,Dashboard!J:J,0),2)),"ON",IF(Dashboard!K$32="ALL","ON","-"))</f>
        <v>ON</v>
      </c>
      <c r="C1514" s="130" t="s">
        <v>152</v>
      </c>
      <c r="D1514" s="89">
        <f>IF(C1514="ID",1,(IF(C1514="PR",2,(IF(C1514="DE",3,(IF(C1514="RS",4,(IF(C1514="RC",5,0)))))))))</f>
        <v>2</v>
      </c>
      <c r="E1514" s="95" t="s">
        <v>153</v>
      </c>
      <c r="F1514" s="89">
        <f>IF(E1514="AM",1,(IF(E1514="BE",2,(IF(E1514="GV",3,(IF(E1514="RA",4,(IF(E1514="RM",5,(IF(E1514="AC",1,(IF(E1514="AT",2,(IF(E1514="DS",3,(IF(E1514="IP",4,(IF(E1514="MA",5,(IF(E1514="PT",6,(IF(E1514="AE",1,(IF(E1514="CM",2,(IF(E1514="DP",3,(IF(E1514="AN",1,(IF(E1514="CO",2,(IF(E1514="IM",3,(IF(E1514="MI",4,(IF(E1514="RP",5,(IF(E1514="SC",6,0)))))))))))))))))))))))))))))))))))))))</f>
        <v>1</v>
      </c>
      <c r="G1514" s="52">
        <v>6</v>
      </c>
      <c r="H1514" s="90" t="s">
        <v>115</v>
      </c>
      <c r="I1514" s="94" t="s">
        <v>4107</v>
      </c>
      <c r="J1514" s="86" t="s">
        <v>3998</v>
      </c>
      <c r="K1514" s="101" t="s">
        <v>4173</v>
      </c>
      <c r="L1514" s="117">
        <f>IF(O1514="","",N1514*O1514*M1514)</f>
        <v>0</v>
      </c>
      <c r="M1514" s="108">
        <v>1</v>
      </c>
      <c r="N1514" s="95">
        <v>1</v>
      </c>
      <c r="O1514" s="109">
        <f>IF(Key!D$1="ON",P1514,IF(SUM(Q1514:DL1514)&lt;1,"",SUM(Q1514:DL1514)/COUNTIF(Q1514:DL1514,"&gt;0")))</f>
        <v>0</v>
      </c>
      <c r="P1514" s="109">
        <f>SUMIFS(Q1514:DK1514,Q$1:DK$1,Dashboard!$K$31)</f>
        <v>0</v>
      </c>
      <c r="U1514" s="95">
        <v>33</v>
      </c>
      <c r="AA1514" s="95">
        <v>25</v>
      </c>
      <c r="AH1514" s="95">
        <v>75</v>
      </c>
    </row>
    <row r="1515" spans="1:34" x14ac:dyDescent="0.3">
      <c r="A1515" s="89" t="str">
        <f>CONCATENATE(D1515,".",F1515,"-",G1515,".",H1515,"")</f>
        <v>2.1-6.1</v>
      </c>
      <c r="B1515" s="89" t="str">
        <f>IF(CONCATENATE(I1515,Key!F$2)=CONCATENATE(INDEX(Dashboard!J:J,MATCH(I1515,Dashboard!J:J,0),1),INDEX(Dashboard!J:K,MATCH(I1515,Dashboard!J:J,0),2)),"ON",IF(Dashboard!K$32="ALL","ON","-"))</f>
        <v>ON</v>
      </c>
      <c r="C1515" s="130" t="s">
        <v>152</v>
      </c>
      <c r="D1515" s="89">
        <f>IF(C1515="ID",1,(IF(C1515="PR",2,(IF(C1515="DE",3,(IF(C1515="RS",4,(IF(C1515="RC",5,0)))))))))</f>
        <v>2</v>
      </c>
      <c r="E1515" s="95" t="s">
        <v>153</v>
      </c>
      <c r="F1515" s="89">
        <f>IF(E1515="AM",1,(IF(E1515="BE",2,(IF(E1515="GV",3,(IF(E1515="RA",4,(IF(E1515="RM",5,(IF(E1515="AC",1,(IF(E1515="AT",2,(IF(E1515="DS",3,(IF(E1515="IP",4,(IF(E1515="MA",5,(IF(E1515="PT",6,(IF(E1515="AE",1,(IF(E1515="CM",2,(IF(E1515="DP",3,(IF(E1515="AN",1,(IF(E1515="CO",2,(IF(E1515="IM",3,(IF(E1515="MI",4,(IF(E1515="RP",5,(IF(E1515="SC",6,0)))))))))))))))))))))))))))))))))))))))</f>
        <v>1</v>
      </c>
      <c r="G1515" s="52">
        <v>6</v>
      </c>
      <c r="H1515" s="90" t="s">
        <v>115</v>
      </c>
      <c r="I1515" s="94" t="s">
        <v>4107</v>
      </c>
      <c r="J1515" s="86" t="s">
        <v>3998</v>
      </c>
      <c r="K1515" s="101" t="s">
        <v>4173</v>
      </c>
      <c r="L1515" s="117">
        <f>IF(O1515="","",N1515*O1515*M1515)</f>
        <v>0</v>
      </c>
      <c r="M1515" s="108">
        <v>1</v>
      </c>
      <c r="N1515" s="95">
        <v>1</v>
      </c>
      <c r="O1515" s="109">
        <f>IF(Key!D$1="ON",P1515,IF(SUM(Q1515:DL1515)&lt;1,"",SUM(Q1515:DL1515)/COUNTIF(Q1515:DL1515,"&gt;0")))</f>
        <v>0</v>
      </c>
      <c r="P1515" s="109">
        <f>SUMIFS(Q1515:DK1515,Q$1:DK$1,Dashboard!$K$31)</f>
        <v>0</v>
      </c>
      <c r="U1515" s="95">
        <v>33</v>
      </c>
      <c r="AA1515" s="95">
        <v>25</v>
      </c>
      <c r="AH1515" s="95">
        <v>75</v>
      </c>
    </row>
    <row r="1516" spans="1:34" x14ac:dyDescent="0.3">
      <c r="A1516" s="89" t="str">
        <f>CONCATENATE(D1516,".",F1516,"-",G1516,".",H1516,"")</f>
        <v>2.1-6.1</v>
      </c>
      <c r="B1516" s="89" t="str">
        <f>IF(CONCATENATE(I1516,Key!F$2)=CONCATENATE(INDEX(Dashboard!J:J,MATCH(I1516,Dashboard!J:J,0),1),INDEX(Dashboard!J:K,MATCH(I1516,Dashboard!J:J,0),2)),"ON",IF(Dashboard!K$32="ALL","ON","-"))</f>
        <v>ON</v>
      </c>
      <c r="C1516" s="130" t="s">
        <v>152</v>
      </c>
      <c r="D1516" s="89">
        <f>IF(C1516="ID",1,(IF(C1516="PR",2,(IF(C1516="DE",3,(IF(C1516="RS",4,(IF(C1516="RC",5,0)))))))))</f>
        <v>2</v>
      </c>
      <c r="E1516" s="95" t="s">
        <v>153</v>
      </c>
      <c r="F1516" s="89">
        <f>IF(E1516="AM",1,(IF(E1516="BE",2,(IF(E1516="GV",3,(IF(E1516="RA",4,(IF(E1516="RM",5,(IF(E1516="AC",1,(IF(E1516="AT",2,(IF(E1516="DS",3,(IF(E1516="IP",4,(IF(E1516="MA",5,(IF(E1516="PT",6,(IF(E1516="AE",1,(IF(E1516="CM",2,(IF(E1516="DP",3,(IF(E1516="AN",1,(IF(E1516="CO",2,(IF(E1516="IM",3,(IF(E1516="MI",4,(IF(E1516="RP",5,(IF(E1516="SC",6,0)))))))))))))))))))))))))))))))))))))))</f>
        <v>1</v>
      </c>
      <c r="G1516" s="52">
        <v>6</v>
      </c>
      <c r="H1516" s="90" t="s">
        <v>115</v>
      </c>
      <c r="I1516" s="94" t="s">
        <v>4107</v>
      </c>
      <c r="J1516" s="86" t="s">
        <v>3999</v>
      </c>
      <c r="K1516" s="101" t="s">
        <v>4446</v>
      </c>
      <c r="L1516" s="117">
        <f>IF(O1516="","",N1516*O1516*M1516)</f>
        <v>0</v>
      </c>
      <c r="M1516" s="108">
        <v>1</v>
      </c>
      <c r="N1516" s="95">
        <v>1</v>
      </c>
      <c r="O1516" s="109">
        <f>IF(Key!D$1="ON",P1516,IF(SUM(Q1516:DL1516)&lt;1,"",SUM(Q1516:DL1516)/COUNTIF(Q1516:DL1516,"&gt;0")))</f>
        <v>0</v>
      </c>
      <c r="P1516" s="109">
        <f>SUMIFS(Q1516:DK1516,Q$1:DK$1,Dashboard!$K$31)</f>
        <v>0</v>
      </c>
      <c r="U1516" s="95">
        <v>33</v>
      </c>
      <c r="AA1516" s="95">
        <v>25</v>
      </c>
      <c r="AH1516" s="95">
        <v>75</v>
      </c>
    </row>
    <row r="1517" spans="1:34" x14ac:dyDescent="0.3">
      <c r="A1517" s="89" t="str">
        <f>CONCATENATE(D1517,".",F1517,"-",G1517,".",H1517,"")</f>
        <v>2.1-6.1</v>
      </c>
      <c r="B1517" s="89" t="str">
        <f>IF(CONCATENATE(I1517,Key!F$2)=CONCATENATE(INDEX(Dashboard!J:J,MATCH(I1517,Dashboard!J:J,0),1),INDEX(Dashboard!J:K,MATCH(I1517,Dashboard!J:J,0),2)),"ON",IF(Dashboard!K$32="ALL","ON","-"))</f>
        <v>ON</v>
      </c>
      <c r="C1517" s="130" t="s">
        <v>152</v>
      </c>
      <c r="D1517" s="89">
        <f>IF(C1517="ID",1,(IF(C1517="PR",2,(IF(C1517="DE",3,(IF(C1517="RS",4,(IF(C1517="RC",5,0)))))))))</f>
        <v>2</v>
      </c>
      <c r="E1517" s="95" t="s">
        <v>153</v>
      </c>
      <c r="F1517" s="89">
        <f>IF(E1517="AM",1,(IF(E1517="BE",2,(IF(E1517="GV",3,(IF(E1517="RA",4,(IF(E1517="RM",5,(IF(E1517="AC",1,(IF(E1517="AT",2,(IF(E1517="DS",3,(IF(E1517="IP",4,(IF(E1517="MA",5,(IF(E1517="PT",6,(IF(E1517="AE",1,(IF(E1517="CM",2,(IF(E1517="DP",3,(IF(E1517="AN",1,(IF(E1517="CO",2,(IF(E1517="IM",3,(IF(E1517="MI",4,(IF(E1517="RP",5,(IF(E1517="SC",6,0)))))))))))))))))))))))))))))))))))))))</f>
        <v>1</v>
      </c>
      <c r="G1517" s="52">
        <v>6</v>
      </c>
      <c r="H1517" s="90" t="s">
        <v>115</v>
      </c>
      <c r="I1517" s="94" t="s">
        <v>4107</v>
      </c>
      <c r="J1517" s="86" t="s">
        <v>3999</v>
      </c>
      <c r="K1517" s="101" t="s">
        <v>4446</v>
      </c>
      <c r="L1517" s="117">
        <f>IF(O1517="","",N1517*O1517*M1517)</f>
        <v>0</v>
      </c>
      <c r="M1517" s="108">
        <v>1</v>
      </c>
      <c r="N1517" s="95">
        <v>1</v>
      </c>
      <c r="O1517" s="109">
        <f>IF(Key!D$1="ON",P1517,IF(SUM(Q1517:DL1517)&lt;1,"",SUM(Q1517:DL1517)/COUNTIF(Q1517:DL1517,"&gt;0")))</f>
        <v>0</v>
      </c>
      <c r="P1517" s="109">
        <f>SUMIFS(Q1517:DK1517,Q$1:DK$1,Dashboard!$K$31)</f>
        <v>0</v>
      </c>
      <c r="U1517" s="95">
        <v>33</v>
      </c>
      <c r="AA1517" s="95">
        <v>25</v>
      </c>
      <c r="AH1517" s="95">
        <v>75</v>
      </c>
    </row>
    <row r="1518" spans="1:34" x14ac:dyDescent="0.3">
      <c r="A1518" s="89" t="str">
        <f>CONCATENATE(D1518,".",F1518,"-",G1518,".",H1518,"")</f>
        <v>2.1-6.1</v>
      </c>
      <c r="B1518" s="89" t="str">
        <f>IF(CONCATENATE(I1518,Key!F$2)=CONCATENATE(INDEX(Dashboard!J:J,MATCH(I1518,Dashboard!J:J,0),1),INDEX(Dashboard!J:K,MATCH(I1518,Dashboard!J:J,0),2)),"ON",IF(Dashboard!K$32="ALL","ON","-"))</f>
        <v>ON</v>
      </c>
      <c r="C1518" s="130" t="s">
        <v>152</v>
      </c>
      <c r="D1518" s="89">
        <f>IF(C1518="ID",1,(IF(C1518="PR",2,(IF(C1518="DE",3,(IF(C1518="RS",4,(IF(C1518="RC",5,0)))))))))</f>
        <v>2</v>
      </c>
      <c r="E1518" s="95" t="s">
        <v>153</v>
      </c>
      <c r="F1518" s="89">
        <f>IF(E1518="AM",1,(IF(E1518="BE",2,(IF(E1518="GV",3,(IF(E1518="RA",4,(IF(E1518="RM",5,(IF(E1518="AC",1,(IF(E1518="AT",2,(IF(E1518="DS",3,(IF(E1518="IP",4,(IF(E1518="MA",5,(IF(E1518="PT",6,(IF(E1518="AE",1,(IF(E1518="CM",2,(IF(E1518="DP",3,(IF(E1518="AN",1,(IF(E1518="CO",2,(IF(E1518="IM",3,(IF(E1518="MI",4,(IF(E1518="RP",5,(IF(E1518="SC",6,0)))))))))))))))))))))))))))))))))))))))</f>
        <v>1</v>
      </c>
      <c r="G1518" s="52">
        <v>6</v>
      </c>
      <c r="H1518" s="90" t="s">
        <v>115</v>
      </c>
      <c r="I1518" s="94" t="s">
        <v>4107</v>
      </c>
      <c r="J1518" s="86" t="s">
        <v>4001</v>
      </c>
      <c r="K1518" s="101" t="s">
        <v>4376</v>
      </c>
      <c r="L1518" s="117">
        <f>IF(O1518="","",N1518*O1518*M1518)</f>
        <v>0</v>
      </c>
      <c r="M1518" s="108">
        <v>1</v>
      </c>
      <c r="N1518" s="95">
        <v>1</v>
      </c>
      <c r="O1518" s="109">
        <f>IF(Key!D$1="ON",P1518,IF(SUM(Q1518:DL1518)&lt;1,"",SUM(Q1518:DL1518)/COUNTIF(Q1518:DL1518,"&gt;0")))</f>
        <v>0</v>
      </c>
      <c r="P1518" s="109">
        <f>SUMIFS(Q1518:DK1518,Q$1:DK$1,Dashboard!$K$31)</f>
        <v>0</v>
      </c>
      <c r="U1518" s="95">
        <v>33</v>
      </c>
      <c r="AA1518" s="95">
        <v>25</v>
      </c>
      <c r="AH1518" s="95">
        <v>75</v>
      </c>
    </row>
    <row r="1519" spans="1:34" ht="15.6" x14ac:dyDescent="0.3">
      <c r="A1519" s="89" t="str">
        <f>CONCATENATE(D1519,".",F1519,"-",G1519,".",H1519,"")</f>
        <v>2.1-6.1</v>
      </c>
      <c r="B1519" s="89" t="str">
        <f>IF(CONCATENATE(I1519,Key!F$2)=CONCATENATE(INDEX(Dashboard!J:J,MATCH(I1519,Dashboard!J:J,0),1),INDEX(Dashboard!J:K,MATCH(I1519,Dashboard!J:J,0),2)),"ON",IF(Dashboard!K$32="ALL","ON","-"))</f>
        <v>ON</v>
      </c>
      <c r="C1519" s="130" t="s">
        <v>152</v>
      </c>
      <c r="D1519" s="89">
        <f>IF(C1519="ID",1,(IF(C1519="PR",2,(IF(C1519="DE",3,(IF(C1519="RS",4,(IF(C1519="RC",5,0)))))))))</f>
        <v>2</v>
      </c>
      <c r="E1519" s="95" t="s">
        <v>153</v>
      </c>
      <c r="F1519" s="89">
        <f>IF(E1519="AM",1,(IF(E1519="BE",2,(IF(E1519="GV",3,(IF(E1519="RA",4,(IF(E1519="RM",5,(IF(E1519="AC",1,(IF(E1519="AT",2,(IF(E1519="DS",3,(IF(E1519="IP",4,(IF(E1519="MA",5,(IF(E1519="PT",6,(IF(E1519="AE",1,(IF(E1519="CM",2,(IF(E1519="DP",3,(IF(E1519="AN",1,(IF(E1519="CO",2,(IF(E1519="IM",3,(IF(E1519="MI",4,(IF(E1519="RP",5,(IF(E1519="SC",6,0)))))))))))))))))))))))))))))))))))))))</f>
        <v>1</v>
      </c>
      <c r="G1519" s="52">
        <v>6</v>
      </c>
      <c r="H1519" s="90" t="s">
        <v>115</v>
      </c>
      <c r="I1519" s="94" t="s">
        <v>4107</v>
      </c>
      <c r="J1519" s="86" t="s">
        <v>4001</v>
      </c>
      <c r="K1519" s="101" t="s">
        <v>4376</v>
      </c>
      <c r="L1519" s="117">
        <f>IF(O1519="","",N1519*O1519*M1519)</f>
        <v>0</v>
      </c>
      <c r="M1519" s="108">
        <v>1</v>
      </c>
      <c r="N1519" s="95">
        <v>1</v>
      </c>
      <c r="O1519" s="109">
        <f>IF(Key!D$1="ON",P1519,IF(SUM(Q1519:DL1519)&lt;1,"",SUM(Q1519:DL1519)/COUNTIF(Q1519:DL1519,"&gt;0")))</f>
        <v>0</v>
      </c>
      <c r="P1519" s="109">
        <f>SUMIFS(Q1519:DK1519,Q$1:DK$1,Dashboard!$K$31)</f>
        <v>0</v>
      </c>
      <c r="U1519" s="95">
        <v>33</v>
      </c>
      <c r="AA1519" s="95">
        <v>25</v>
      </c>
      <c r="AH1519" s="95">
        <v>75</v>
      </c>
    </row>
    <row r="1520" spans="1:34" x14ac:dyDescent="0.3">
      <c r="A1520" s="89" t="str">
        <f>CONCATENATE(D1520,".",F1520,"-",G1520,".",H1520,"")</f>
        <v>2.1-6.1</v>
      </c>
      <c r="B1520" s="89" t="str">
        <f>IF(CONCATENATE(I1520,Key!F$2)=CONCATENATE(INDEX(Dashboard!J:J,MATCH(I1520,Dashboard!J:J,0),1),INDEX(Dashboard!J:K,MATCH(I1520,Dashboard!J:J,0),2)),"ON",IF(Dashboard!K$32="ALL","ON","-"))</f>
        <v>ON</v>
      </c>
      <c r="C1520" s="130" t="s">
        <v>152</v>
      </c>
      <c r="D1520" s="89">
        <f>IF(C1520="ID",1,(IF(C1520="PR",2,(IF(C1520="DE",3,(IF(C1520="RS",4,(IF(C1520="RC",5,0)))))))))</f>
        <v>2</v>
      </c>
      <c r="E1520" s="95" t="s">
        <v>153</v>
      </c>
      <c r="F1520" s="89">
        <f>IF(E1520="AM",1,(IF(E1520="BE",2,(IF(E1520="GV",3,(IF(E1520="RA",4,(IF(E1520="RM",5,(IF(E1520="AC",1,(IF(E1520="AT",2,(IF(E1520="DS",3,(IF(E1520="IP",4,(IF(E1520="MA",5,(IF(E1520="PT",6,(IF(E1520="AE",1,(IF(E1520="CM",2,(IF(E1520="DP",3,(IF(E1520="AN",1,(IF(E1520="CO",2,(IF(E1520="IM",3,(IF(E1520="MI",4,(IF(E1520="RP",5,(IF(E1520="SC",6,0)))))))))))))))))))))))))))))))))))))))</f>
        <v>1</v>
      </c>
      <c r="G1520" s="52">
        <v>6</v>
      </c>
      <c r="H1520" s="90" t="s">
        <v>115</v>
      </c>
      <c r="I1520" s="94" t="s">
        <v>4107</v>
      </c>
      <c r="J1520" s="86" t="s">
        <v>4002</v>
      </c>
      <c r="K1520" s="101" t="s">
        <v>4447</v>
      </c>
      <c r="L1520" s="117">
        <f>IF(O1520="","",N1520*O1520*M1520)</f>
        <v>0</v>
      </c>
      <c r="M1520" s="108">
        <v>1</v>
      </c>
      <c r="N1520" s="95">
        <v>1</v>
      </c>
      <c r="O1520" s="109">
        <f>IF(Key!D$1="ON",P1520,IF(SUM(Q1520:DL1520)&lt;1,"",SUM(Q1520:DL1520)/COUNTIF(Q1520:DL1520,"&gt;0")))</f>
        <v>0</v>
      </c>
      <c r="P1520" s="109">
        <f>SUMIFS(Q1520:DK1520,Q$1:DK$1,Dashboard!$K$31)</f>
        <v>0</v>
      </c>
      <c r="U1520" s="95">
        <v>33</v>
      </c>
      <c r="AA1520" s="95">
        <v>25</v>
      </c>
      <c r="AH1520" s="95">
        <v>75</v>
      </c>
    </row>
    <row r="1521" spans="1:34" x14ac:dyDescent="0.3">
      <c r="A1521" s="89" t="str">
        <f>CONCATENATE(D1521,".",F1521,"-",G1521,".",H1521,"")</f>
        <v>2.1-6.1</v>
      </c>
      <c r="B1521" s="89" t="str">
        <f>IF(CONCATENATE(I1521,Key!F$2)=CONCATENATE(INDEX(Dashboard!J:J,MATCH(I1521,Dashboard!J:J,0),1),INDEX(Dashboard!J:K,MATCH(I1521,Dashboard!J:J,0),2)),"ON",IF(Dashboard!K$32="ALL","ON","-"))</f>
        <v>ON</v>
      </c>
      <c r="C1521" s="130" t="s">
        <v>152</v>
      </c>
      <c r="D1521" s="89">
        <f>IF(C1521="ID",1,(IF(C1521="PR",2,(IF(C1521="DE",3,(IF(C1521="RS",4,(IF(C1521="RC",5,0)))))))))</f>
        <v>2</v>
      </c>
      <c r="E1521" s="95" t="s">
        <v>153</v>
      </c>
      <c r="F1521" s="89">
        <f>IF(E1521="AM",1,(IF(E1521="BE",2,(IF(E1521="GV",3,(IF(E1521="RA",4,(IF(E1521="RM",5,(IF(E1521="AC",1,(IF(E1521="AT",2,(IF(E1521="DS",3,(IF(E1521="IP",4,(IF(E1521="MA",5,(IF(E1521="PT",6,(IF(E1521="AE",1,(IF(E1521="CM",2,(IF(E1521="DP",3,(IF(E1521="AN",1,(IF(E1521="CO",2,(IF(E1521="IM",3,(IF(E1521="MI",4,(IF(E1521="RP",5,(IF(E1521="SC",6,0)))))))))))))))))))))))))))))))))))))))</f>
        <v>1</v>
      </c>
      <c r="G1521" s="52">
        <v>6</v>
      </c>
      <c r="H1521" s="90" t="s">
        <v>115</v>
      </c>
      <c r="I1521" s="94" t="s">
        <v>4107</v>
      </c>
      <c r="J1521" s="86" t="s">
        <v>4002</v>
      </c>
      <c r="K1521" s="101" t="s">
        <v>4447</v>
      </c>
      <c r="L1521" s="117">
        <f>IF(O1521="","",N1521*O1521*M1521)</f>
        <v>0</v>
      </c>
      <c r="M1521" s="108">
        <v>1</v>
      </c>
      <c r="N1521" s="95">
        <v>1</v>
      </c>
      <c r="O1521" s="109">
        <f>IF(Key!D$1="ON",P1521,IF(SUM(Q1521:DL1521)&lt;1,"",SUM(Q1521:DL1521)/COUNTIF(Q1521:DL1521,"&gt;0")))</f>
        <v>0</v>
      </c>
      <c r="P1521" s="109">
        <f>SUMIFS(Q1521:DK1521,Q$1:DK$1,Dashboard!$K$31)</f>
        <v>0</v>
      </c>
      <c r="U1521" s="95">
        <v>33</v>
      </c>
      <c r="AA1521" s="95">
        <v>25</v>
      </c>
      <c r="AH1521" s="95">
        <v>75</v>
      </c>
    </row>
    <row r="1522" spans="1:34" x14ac:dyDescent="0.3">
      <c r="A1522" s="89" t="str">
        <f>CONCATENATE(D1522,".",F1522,"-",G1522,".",H1522,"")</f>
        <v>2.1-6.1</v>
      </c>
      <c r="B1522" s="89" t="str">
        <f>IF(CONCATENATE(I1522,Key!F$2)=CONCATENATE(INDEX(Dashboard!J:J,MATCH(I1522,Dashboard!J:J,0),1),INDEX(Dashboard!J:K,MATCH(I1522,Dashboard!J:J,0),2)),"ON",IF(Dashboard!K$32="ALL","ON","-"))</f>
        <v>ON</v>
      </c>
      <c r="C1522" s="130" t="s">
        <v>152</v>
      </c>
      <c r="D1522" s="89">
        <f>IF(C1522="ID",1,(IF(C1522="PR",2,(IF(C1522="DE",3,(IF(C1522="RS",4,(IF(C1522="RC",5,0)))))))))</f>
        <v>2</v>
      </c>
      <c r="E1522" s="95" t="s">
        <v>153</v>
      </c>
      <c r="F1522" s="89">
        <f>IF(E1522="AM",1,(IF(E1522="BE",2,(IF(E1522="GV",3,(IF(E1522="RA",4,(IF(E1522="RM",5,(IF(E1522="AC",1,(IF(E1522="AT",2,(IF(E1522="DS",3,(IF(E1522="IP",4,(IF(E1522="MA",5,(IF(E1522="PT",6,(IF(E1522="AE",1,(IF(E1522="CM",2,(IF(E1522="DP",3,(IF(E1522="AN",1,(IF(E1522="CO",2,(IF(E1522="IM",3,(IF(E1522="MI",4,(IF(E1522="RP",5,(IF(E1522="SC",6,0)))))))))))))))))))))))))))))))))))))))</f>
        <v>1</v>
      </c>
      <c r="G1522" s="52">
        <v>6</v>
      </c>
      <c r="H1522" s="90" t="s">
        <v>115</v>
      </c>
      <c r="I1522" s="94" t="s">
        <v>4107</v>
      </c>
      <c r="J1522" s="86" t="s">
        <v>4003</v>
      </c>
      <c r="K1522" s="101" t="s">
        <v>4377</v>
      </c>
      <c r="L1522" s="117">
        <f>IF(O1522="","",N1522*O1522*M1522)</f>
        <v>0</v>
      </c>
      <c r="M1522" s="108">
        <v>1</v>
      </c>
      <c r="N1522" s="95">
        <v>1</v>
      </c>
      <c r="O1522" s="109">
        <f>IF(Key!D$1="ON",P1522,IF(SUM(Q1522:DL1522)&lt;1,"",SUM(Q1522:DL1522)/COUNTIF(Q1522:DL1522,"&gt;0")))</f>
        <v>0</v>
      </c>
      <c r="P1522" s="109">
        <f>SUMIFS(Q1522:DK1522,Q$1:DK$1,Dashboard!$K$31)</f>
        <v>0</v>
      </c>
      <c r="U1522" s="95">
        <v>33</v>
      </c>
      <c r="AA1522" s="95">
        <v>25</v>
      </c>
      <c r="AH1522" s="95">
        <v>75</v>
      </c>
    </row>
    <row r="1523" spans="1:34" x14ac:dyDescent="0.3">
      <c r="A1523" s="89" t="str">
        <f>CONCATENATE(D1523,".",F1523,"-",G1523,".",H1523,"")</f>
        <v>2.1-6.1</v>
      </c>
      <c r="B1523" s="89" t="str">
        <f>IF(CONCATENATE(I1523,Key!F$2)=CONCATENATE(INDEX(Dashboard!J:J,MATCH(I1523,Dashboard!J:J,0),1),INDEX(Dashboard!J:K,MATCH(I1523,Dashboard!J:J,0),2)),"ON",IF(Dashboard!K$32="ALL","ON","-"))</f>
        <v>ON</v>
      </c>
      <c r="C1523" s="130" t="s">
        <v>152</v>
      </c>
      <c r="D1523" s="89">
        <f>IF(C1523="ID",1,(IF(C1523="PR",2,(IF(C1523="DE",3,(IF(C1523="RS",4,(IF(C1523="RC",5,0)))))))))</f>
        <v>2</v>
      </c>
      <c r="E1523" s="95" t="s">
        <v>153</v>
      </c>
      <c r="F1523" s="89">
        <f>IF(E1523="AM",1,(IF(E1523="BE",2,(IF(E1523="GV",3,(IF(E1523="RA",4,(IF(E1523="RM",5,(IF(E1523="AC",1,(IF(E1523="AT",2,(IF(E1523="DS",3,(IF(E1523="IP",4,(IF(E1523="MA",5,(IF(E1523="PT",6,(IF(E1523="AE",1,(IF(E1523="CM",2,(IF(E1523="DP",3,(IF(E1523="AN",1,(IF(E1523="CO",2,(IF(E1523="IM",3,(IF(E1523="MI",4,(IF(E1523="RP",5,(IF(E1523="SC",6,0)))))))))))))))))))))))))))))))))))))))</f>
        <v>1</v>
      </c>
      <c r="G1523" s="52">
        <v>6</v>
      </c>
      <c r="H1523" s="90" t="s">
        <v>115</v>
      </c>
      <c r="I1523" s="94" t="s">
        <v>4107</v>
      </c>
      <c r="J1523" s="86" t="s">
        <v>4003</v>
      </c>
      <c r="K1523" s="101" t="s">
        <v>4377</v>
      </c>
      <c r="L1523" s="117">
        <f>IF(O1523="","",N1523*O1523*M1523)</f>
        <v>0</v>
      </c>
      <c r="M1523" s="108">
        <v>1</v>
      </c>
      <c r="N1523" s="95">
        <v>1</v>
      </c>
      <c r="O1523" s="109">
        <f>IF(Key!D$1="ON",P1523,IF(SUM(Q1523:DL1523)&lt;1,"",SUM(Q1523:DL1523)/COUNTIF(Q1523:DL1523,"&gt;0")))</f>
        <v>0</v>
      </c>
      <c r="P1523" s="109">
        <f>SUMIFS(Q1523:DK1523,Q$1:DK$1,Dashboard!$K$31)</f>
        <v>0</v>
      </c>
      <c r="U1523" s="95">
        <v>33</v>
      </c>
      <c r="AA1523" s="95">
        <v>25</v>
      </c>
      <c r="AH1523" s="95">
        <v>75</v>
      </c>
    </row>
    <row r="1524" spans="1:34" ht="15.6" x14ac:dyDescent="0.3">
      <c r="A1524" s="89" t="str">
        <f>CONCATENATE(D1524,".",F1524,"-",G1524,".",H1524,"")</f>
        <v>2.1-6.1</v>
      </c>
      <c r="B1524" s="89" t="str">
        <f>IF(CONCATENATE(I1524,Key!F$2)=CONCATENATE(INDEX(Dashboard!J:J,MATCH(I1524,Dashboard!J:J,0),1),INDEX(Dashboard!J:K,MATCH(I1524,Dashboard!J:J,0),2)),"ON",IF(Dashboard!K$32="ALL","ON","-"))</f>
        <v>ON</v>
      </c>
      <c r="C1524" s="130" t="s">
        <v>152</v>
      </c>
      <c r="D1524" s="89">
        <f>IF(C1524="ID",1,(IF(C1524="PR",2,(IF(C1524="DE",3,(IF(C1524="RS",4,(IF(C1524="RC",5,0)))))))))</f>
        <v>2</v>
      </c>
      <c r="E1524" s="95" t="s">
        <v>153</v>
      </c>
      <c r="F1524" s="89">
        <f>IF(E1524="AM",1,(IF(E1524="BE",2,(IF(E1524="GV",3,(IF(E1524="RA",4,(IF(E1524="RM",5,(IF(E1524="AC",1,(IF(E1524="AT",2,(IF(E1524="DS",3,(IF(E1524="IP",4,(IF(E1524="MA",5,(IF(E1524="PT",6,(IF(E1524="AE",1,(IF(E1524="CM",2,(IF(E1524="DP",3,(IF(E1524="AN",1,(IF(E1524="CO",2,(IF(E1524="IM",3,(IF(E1524="MI",4,(IF(E1524="RP",5,(IF(E1524="SC",6,0)))))))))))))))))))))))))))))))))))))))</f>
        <v>1</v>
      </c>
      <c r="G1524" s="52">
        <v>6</v>
      </c>
      <c r="H1524" s="90" t="s">
        <v>115</v>
      </c>
      <c r="I1524" s="94" t="s">
        <v>4107</v>
      </c>
      <c r="J1524" s="86" t="s">
        <v>4004</v>
      </c>
      <c r="K1524" s="101" t="s">
        <v>4167</v>
      </c>
      <c r="L1524" s="117">
        <f>IF(O1524="","",N1524*O1524*M1524)</f>
        <v>0</v>
      </c>
      <c r="M1524" s="108">
        <v>1</v>
      </c>
      <c r="N1524" s="95">
        <v>1</v>
      </c>
      <c r="O1524" s="109">
        <f>IF(Key!D$1="ON",P1524,IF(SUM(Q1524:DL1524)&lt;1,"",SUM(Q1524:DL1524)/COUNTIF(Q1524:DL1524,"&gt;0")))</f>
        <v>0</v>
      </c>
      <c r="P1524" s="109">
        <f>SUMIFS(Q1524:DK1524,Q$1:DK$1,Dashboard!$K$31)</f>
        <v>0</v>
      </c>
      <c r="U1524" s="95">
        <v>33</v>
      </c>
      <c r="AA1524" s="95">
        <v>25</v>
      </c>
      <c r="AH1524" s="95">
        <v>75</v>
      </c>
    </row>
    <row r="1525" spans="1:34" ht="15.6" x14ac:dyDescent="0.3">
      <c r="A1525" s="89" t="str">
        <f>CONCATENATE(D1525,".",F1525,"-",G1525,".",H1525,"")</f>
        <v>2.1-6.1</v>
      </c>
      <c r="B1525" s="89" t="str">
        <f>IF(CONCATENATE(I1525,Key!F$2)=CONCATENATE(INDEX(Dashboard!J:J,MATCH(I1525,Dashboard!J:J,0),1),INDEX(Dashboard!J:K,MATCH(I1525,Dashboard!J:J,0),2)),"ON",IF(Dashboard!K$32="ALL","ON","-"))</f>
        <v>ON</v>
      </c>
      <c r="C1525" s="130" t="s">
        <v>152</v>
      </c>
      <c r="D1525" s="89">
        <f>IF(C1525="ID",1,(IF(C1525="PR",2,(IF(C1525="DE",3,(IF(C1525="RS",4,(IF(C1525="RC",5,0)))))))))</f>
        <v>2</v>
      </c>
      <c r="E1525" s="95" t="s">
        <v>153</v>
      </c>
      <c r="F1525" s="89">
        <f>IF(E1525="AM",1,(IF(E1525="BE",2,(IF(E1525="GV",3,(IF(E1525="RA",4,(IF(E1525="RM",5,(IF(E1525="AC",1,(IF(E1525="AT",2,(IF(E1525="DS",3,(IF(E1525="IP",4,(IF(E1525="MA",5,(IF(E1525="PT",6,(IF(E1525="AE",1,(IF(E1525="CM",2,(IF(E1525="DP",3,(IF(E1525="AN",1,(IF(E1525="CO",2,(IF(E1525="IM",3,(IF(E1525="MI",4,(IF(E1525="RP",5,(IF(E1525="SC",6,0)))))))))))))))))))))))))))))))))))))))</f>
        <v>1</v>
      </c>
      <c r="G1525" s="52">
        <v>6</v>
      </c>
      <c r="H1525" s="90" t="s">
        <v>115</v>
      </c>
      <c r="I1525" s="94" t="s">
        <v>4107</v>
      </c>
      <c r="J1525" s="86" t="s">
        <v>4004</v>
      </c>
      <c r="K1525" s="101" t="s">
        <v>4167</v>
      </c>
      <c r="L1525" s="117">
        <f>IF(O1525="","",N1525*O1525*M1525)</f>
        <v>0</v>
      </c>
      <c r="M1525" s="108">
        <v>1</v>
      </c>
      <c r="N1525" s="95">
        <v>1</v>
      </c>
      <c r="O1525" s="109">
        <f>IF(Key!D$1="ON",P1525,IF(SUM(Q1525:DL1525)&lt;1,"",SUM(Q1525:DL1525)/COUNTIF(Q1525:DL1525,"&gt;0")))</f>
        <v>0</v>
      </c>
      <c r="P1525" s="109">
        <f>SUMIFS(Q1525:DK1525,Q$1:DK$1,Dashboard!$K$31)</f>
        <v>0</v>
      </c>
      <c r="U1525" s="95">
        <v>33</v>
      </c>
      <c r="AA1525" s="95">
        <v>25</v>
      </c>
      <c r="AH1525" s="95">
        <v>75</v>
      </c>
    </row>
    <row r="1526" spans="1:34" ht="15.6" x14ac:dyDescent="0.3">
      <c r="A1526" s="89" t="str">
        <f>CONCATENATE(D1526,".",F1526,"-",G1526,".",H1526,"")</f>
        <v>2.1-6.1</v>
      </c>
      <c r="B1526" s="89" t="str">
        <f>IF(CONCATENATE(I1526,Key!F$2)=CONCATENATE(INDEX(Dashboard!J:J,MATCH(I1526,Dashboard!J:J,0),1),INDEX(Dashboard!J:K,MATCH(I1526,Dashboard!J:J,0),2)),"ON",IF(Dashboard!K$32="ALL","ON","-"))</f>
        <v>-</v>
      </c>
      <c r="C1526" s="88" t="s">
        <v>152</v>
      </c>
      <c r="D1526" s="89">
        <f>IF(C1526="ID",1,(IF(C1526="PR",2,(IF(C1526="DE",3,(IF(C1526="RS",4,(IF(C1526="RC",5,0)))))))))</f>
        <v>2</v>
      </c>
      <c r="E1526" s="89" t="s">
        <v>153</v>
      </c>
      <c r="F1526" s="89">
        <f>IF(E1526="AM",1,(IF(E1526="BE",2,(IF(E1526="GV",3,(IF(E1526="RA",4,(IF(E1526="RM",5,(IF(E1526="AC",1,(IF(E1526="AT",2,(IF(E1526="DS",3,(IF(E1526="IP",4,(IF(E1526="MA",5,(IF(E1526="PT",6,(IF(E1526="AE",1,(IF(E1526="CM",2,(IF(E1526="DP",3,(IF(E1526="AN",1,(IF(E1526="CO",2,(IF(E1526="IM",3,(IF(E1526="MI",4,(IF(E1526="RP",5,(IF(E1526="SC",6,0)))))))))))))))))))))))))))))))))))))))</f>
        <v>1</v>
      </c>
      <c r="G1526" s="52">
        <v>6</v>
      </c>
      <c r="H1526" s="99">
        <v>1</v>
      </c>
      <c r="I1526" s="94" t="s">
        <v>37</v>
      </c>
      <c r="J1526" s="86">
        <v>1.5</v>
      </c>
      <c r="K1526" s="102" t="s">
        <v>3721</v>
      </c>
      <c r="L1526" s="117">
        <f>IF(O1526="","",N1526*O1526*M1526)</f>
        <v>0</v>
      </c>
      <c r="M1526" s="108">
        <v>1</v>
      </c>
      <c r="N1526" s="95">
        <v>1</v>
      </c>
      <c r="O1526" s="109">
        <f>IF(Key!D$1="ON",P1526,IF(SUM(Q1526:DL1526)&lt;1,"",SUM(Q1526:DL1526)/COUNTIF(Q1526:DL1526,"&gt;0")))</f>
        <v>0</v>
      </c>
      <c r="P1526" s="109">
        <f>SUMIFS(Q1526:DK1526,Q$1:DK$1,Dashboard!$K$31)</f>
        <v>0</v>
      </c>
      <c r="U1526" s="95">
        <v>33</v>
      </c>
      <c r="AA1526" s="95">
        <v>25</v>
      </c>
      <c r="AH1526" s="95">
        <v>75</v>
      </c>
    </row>
    <row r="1527" spans="1:34" x14ac:dyDescent="0.3">
      <c r="A1527" s="89" t="str">
        <f>CONCATENATE(D1527,".",F1527,"-",G1527,".",H1527,"")</f>
        <v>2.1-6.1</v>
      </c>
      <c r="B1527" s="89" t="str">
        <f>IF(CONCATENATE(I1527,Key!F$2)=CONCATENATE(INDEX(Dashboard!J:J,MATCH(I1527,Dashboard!J:J,0),1),INDEX(Dashboard!J:K,MATCH(I1527,Dashboard!J:J,0),2)),"ON",IF(Dashboard!K$32="ALL","ON","-"))</f>
        <v>-</v>
      </c>
      <c r="C1527" s="88" t="s">
        <v>152</v>
      </c>
      <c r="D1527" s="89">
        <f>IF(C1527="ID",1,(IF(C1527="PR",2,(IF(C1527="DE",3,(IF(C1527="RS",4,(IF(C1527="RC",5,0)))))))))</f>
        <v>2</v>
      </c>
      <c r="E1527" s="89" t="s">
        <v>153</v>
      </c>
      <c r="F1527" s="89">
        <f>IF(E1527="AM",1,(IF(E1527="BE",2,(IF(E1527="GV",3,(IF(E1527="RA",4,(IF(E1527="RM",5,(IF(E1527="AC",1,(IF(E1527="AT",2,(IF(E1527="DS",3,(IF(E1527="IP",4,(IF(E1527="MA",5,(IF(E1527="PT",6,(IF(E1527="AE",1,(IF(E1527="CM",2,(IF(E1527="DP",3,(IF(E1527="AN",1,(IF(E1527="CO",2,(IF(E1527="IM",3,(IF(E1527="MI",4,(IF(E1527="RP",5,(IF(E1527="SC",6,0)))))))))))))))))))))))))))))))))))))))</f>
        <v>1</v>
      </c>
      <c r="G1527" s="52">
        <v>6</v>
      </c>
      <c r="H1527" s="99">
        <v>1</v>
      </c>
      <c r="I1527" s="94" t="s">
        <v>37</v>
      </c>
      <c r="J1527" s="86">
        <v>1.6</v>
      </c>
      <c r="K1527" s="102" t="s">
        <v>3722</v>
      </c>
      <c r="L1527" s="117">
        <f>IF(O1527="","",N1527*O1527*M1527)</f>
        <v>0</v>
      </c>
      <c r="M1527" s="108">
        <v>1</v>
      </c>
      <c r="N1527" s="95">
        <v>1</v>
      </c>
      <c r="O1527" s="109">
        <f>IF(Key!D$1="ON",P1527,IF(SUM(Q1527:DL1527)&lt;1,"",SUM(Q1527:DL1527)/COUNTIF(Q1527:DL1527,"&gt;0")))</f>
        <v>0</v>
      </c>
      <c r="P1527" s="109">
        <f>SUMIFS(Q1527:DK1527,Q$1:DK$1,Dashboard!$K$31)</f>
        <v>0</v>
      </c>
      <c r="U1527" s="95">
        <v>33</v>
      </c>
      <c r="AA1527" s="95">
        <v>25</v>
      </c>
      <c r="AH1527" s="95">
        <v>75</v>
      </c>
    </row>
    <row r="1528" spans="1:34" x14ac:dyDescent="0.3">
      <c r="A1528" s="89" t="str">
        <f>CONCATENATE(D1528,".",F1528,"-",G1528,".",H1528,"")</f>
        <v>2.1-6.1</v>
      </c>
      <c r="B1528" s="89" t="str">
        <f>IF(CONCATENATE(I1528,Key!F$2)=CONCATENATE(INDEX(Dashboard!J:J,MATCH(I1528,Dashboard!J:J,0),1),INDEX(Dashboard!J:K,MATCH(I1528,Dashboard!J:J,0),2)),"ON",IF(Dashboard!K$32="ALL","ON","-"))</f>
        <v>-</v>
      </c>
      <c r="C1528" s="88" t="s">
        <v>152</v>
      </c>
      <c r="D1528" s="89">
        <f>IF(C1528="ID",1,(IF(C1528="PR",2,(IF(C1528="DE",3,(IF(C1528="RS",4,(IF(C1528="RC",5,0)))))))))</f>
        <v>2</v>
      </c>
      <c r="E1528" s="89" t="s">
        <v>153</v>
      </c>
      <c r="F1528" s="89">
        <f>IF(E1528="AM",1,(IF(E1528="BE",2,(IF(E1528="GV",3,(IF(E1528="RA",4,(IF(E1528="RM",5,(IF(E1528="AC",1,(IF(E1528="AT",2,(IF(E1528="DS",3,(IF(E1528="IP",4,(IF(E1528="MA",5,(IF(E1528="PT",6,(IF(E1528="AE",1,(IF(E1528="CM",2,(IF(E1528="DP",3,(IF(E1528="AN",1,(IF(E1528="CO",2,(IF(E1528="IM",3,(IF(E1528="MI",4,(IF(E1528="RP",5,(IF(E1528="SC",6,0)))))))))))))))))))))))))))))))))))))))</f>
        <v>1</v>
      </c>
      <c r="G1528" s="52">
        <v>6</v>
      </c>
      <c r="H1528" s="99">
        <v>1</v>
      </c>
      <c r="I1528" s="94" t="s">
        <v>37</v>
      </c>
      <c r="J1528" s="86">
        <v>5.6</v>
      </c>
      <c r="K1528" s="102" t="s">
        <v>3723</v>
      </c>
      <c r="L1528" s="117">
        <f>IF(O1528="","",N1528*O1528*M1528)</f>
        <v>0</v>
      </c>
      <c r="M1528" s="108">
        <v>1</v>
      </c>
      <c r="N1528" s="95">
        <v>1</v>
      </c>
      <c r="O1528" s="109">
        <f>IF(Key!D$1="ON",P1528,IF(SUM(Q1528:DL1528)&lt;1,"",SUM(Q1528:DL1528)/COUNTIF(Q1528:DL1528,"&gt;0")))</f>
        <v>0</v>
      </c>
      <c r="P1528" s="109">
        <f>SUMIFS(Q1528:DK1528,Q$1:DK$1,Dashboard!$K$31)</f>
        <v>0</v>
      </c>
      <c r="U1528" s="95">
        <v>33</v>
      </c>
      <c r="AA1528" s="95">
        <v>25</v>
      </c>
      <c r="AH1528" s="95">
        <v>75</v>
      </c>
    </row>
    <row r="1529" spans="1:34" x14ac:dyDescent="0.3">
      <c r="A1529" s="89" t="str">
        <f>CONCATENATE(D1529,".",F1529,"-",G1529,".",H1529,"")</f>
        <v>2.1-6.1</v>
      </c>
      <c r="B1529" s="89" t="str">
        <f>IF(CONCATENATE(I1529,Key!F$2)=CONCATENATE(INDEX(Dashboard!J:J,MATCH(I1529,Dashboard!J:J,0),1),INDEX(Dashboard!J:K,MATCH(I1529,Dashboard!J:J,0),2)),"ON",IF(Dashboard!K$32="ALL","ON","-"))</f>
        <v>-</v>
      </c>
      <c r="C1529" s="88" t="s">
        <v>152</v>
      </c>
      <c r="D1529" s="89">
        <f>IF(C1529="ID",1,(IF(C1529="PR",2,(IF(C1529="DE",3,(IF(C1529="RS",4,(IF(C1529="RC",5,0)))))))))</f>
        <v>2</v>
      </c>
      <c r="E1529" s="89" t="s">
        <v>153</v>
      </c>
      <c r="F1529" s="89">
        <f>IF(E1529="AM",1,(IF(E1529="BE",2,(IF(E1529="GV",3,(IF(E1529="RA",4,(IF(E1529="RM",5,(IF(E1529="AC",1,(IF(E1529="AT",2,(IF(E1529="DS",3,(IF(E1529="IP",4,(IF(E1529="MA",5,(IF(E1529="PT",6,(IF(E1529="AE",1,(IF(E1529="CM",2,(IF(E1529="DP",3,(IF(E1529="AN",1,(IF(E1529="CO",2,(IF(E1529="IM",3,(IF(E1529="MI",4,(IF(E1529="RP",5,(IF(E1529="SC",6,0)))))))))))))))))))))))))))))))))))))))</f>
        <v>1</v>
      </c>
      <c r="G1529" s="52">
        <v>6</v>
      </c>
      <c r="H1529" s="99">
        <v>1</v>
      </c>
      <c r="I1529" s="94" t="s">
        <v>37</v>
      </c>
      <c r="J1529" s="86">
        <v>15.1</v>
      </c>
      <c r="K1529" s="102" t="s">
        <v>3725</v>
      </c>
      <c r="L1529" s="117">
        <f>IF(O1529="","",N1529*O1529*M1529)</f>
        <v>0</v>
      </c>
      <c r="M1529" s="108">
        <v>1</v>
      </c>
      <c r="N1529" s="95">
        <v>1</v>
      </c>
      <c r="O1529" s="109">
        <f>IF(Key!D$1="ON",P1529,IF(SUM(Q1529:DL1529)&lt;1,"",SUM(Q1529:DL1529)/COUNTIF(Q1529:DL1529,"&gt;0")))</f>
        <v>0</v>
      </c>
      <c r="P1529" s="109">
        <f>SUMIFS(Q1529:DK1529,Q$1:DK$1,Dashboard!$K$31)</f>
        <v>0</v>
      </c>
      <c r="U1529" s="95">
        <v>33</v>
      </c>
      <c r="AA1529" s="95">
        <v>25</v>
      </c>
      <c r="AH1529" s="95">
        <v>75</v>
      </c>
    </row>
    <row r="1530" spans="1:34" x14ac:dyDescent="0.3">
      <c r="A1530" s="89" t="str">
        <f>CONCATENATE(D1530,".",F1530,"-",G1530,".",H1530,"")</f>
        <v>2.1-6.1</v>
      </c>
      <c r="B1530" s="89" t="str">
        <f>IF(CONCATENATE(I1530,Key!F$2)=CONCATENATE(INDEX(Dashboard!J:J,MATCH(I1530,Dashboard!J:J,0),1),INDEX(Dashboard!J:K,MATCH(I1530,Dashboard!J:J,0),2)),"ON",IF(Dashboard!K$32="ALL","ON","-"))</f>
        <v>-</v>
      </c>
      <c r="C1530" s="88" t="s">
        <v>152</v>
      </c>
      <c r="D1530" s="89">
        <f>IF(C1530="ID",1,(IF(C1530="PR",2,(IF(C1530="DE",3,(IF(C1530="RS",4,(IF(C1530="RC",5,0)))))))))</f>
        <v>2</v>
      </c>
      <c r="E1530" s="89" t="s">
        <v>153</v>
      </c>
      <c r="F1530" s="89">
        <f>IF(E1530="AM",1,(IF(E1530="BE",2,(IF(E1530="GV",3,(IF(E1530="RA",4,(IF(E1530="RM",5,(IF(E1530="AC",1,(IF(E1530="AT",2,(IF(E1530="DS",3,(IF(E1530="IP",4,(IF(E1530="MA",5,(IF(E1530="PT",6,(IF(E1530="AE",1,(IF(E1530="CM",2,(IF(E1530="DP",3,(IF(E1530="AN",1,(IF(E1530="CO",2,(IF(E1530="IM",3,(IF(E1530="MI",4,(IF(E1530="RP",5,(IF(E1530="SC",6,0)))))))))))))))))))))))))))))))))))))))</f>
        <v>1</v>
      </c>
      <c r="G1530" s="52">
        <v>6</v>
      </c>
      <c r="H1530" s="99">
        <v>1</v>
      </c>
      <c r="I1530" s="94" t="s">
        <v>37</v>
      </c>
      <c r="J1530" s="86">
        <v>16.11</v>
      </c>
      <c r="K1530" s="102" t="s">
        <v>3727</v>
      </c>
      <c r="L1530" s="117">
        <f>IF(O1530="","",N1530*O1530*M1530)</f>
        <v>0</v>
      </c>
      <c r="M1530" s="108">
        <v>1</v>
      </c>
      <c r="N1530" s="95">
        <v>1</v>
      </c>
      <c r="O1530" s="109">
        <f>IF(Key!D$1="ON",P1530,IF(SUM(Q1530:DL1530)&lt;1,"",SUM(Q1530:DL1530)/COUNTIF(Q1530:DL1530,"&gt;0")))</f>
        <v>0</v>
      </c>
      <c r="P1530" s="109">
        <f>SUMIFS(Q1530:DK1530,Q$1:DK$1,Dashboard!$K$31)</f>
        <v>0</v>
      </c>
      <c r="U1530" s="95">
        <v>33</v>
      </c>
      <c r="AA1530" s="95">
        <v>25</v>
      </c>
      <c r="AH1530" s="95">
        <v>75</v>
      </c>
    </row>
    <row r="1531" spans="1:34" x14ac:dyDescent="0.3">
      <c r="A1531" s="89" t="str">
        <f>CONCATENATE(D1531,".",F1531,"-",G1531,".",H1531,"")</f>
        <v>2.1-6.1</v>
      </c>
      <c r="B1531" s="89" t="str">
        <f>IF(CONCATENATE(I1531,Key!F$2)=CONCATENATE(INDEX(Dashboard!J:J,MATCH(I1531,Dashboard!J:J,0),1),INDEX(Dashboard!J:K,MATCH(I1531,Dashboard!J:J,0),2)),"ON",IF(Dashboard!K$32="ALL","ON","-"))</f>
        <v>-</v>
      </c>
      <c r="C1531" s="88" t="s">
        <v>152</v>
      </c>
      <c r="D1531" s="89">
        <f>IF(C1531="ID",1,(IF(C1531="PR",2,(IF(C1531="DE",3,(IF(C1531="RS",4,(IF(C1531="RC",5,0)))))))))</f>
        <v>2</v>
      </c>
      <c r="E1531" s="89" t="s">
        <v>153</v>
      </c>
      <c r="F1531" s="89">
        <f>IF(E1531="AM",1,(IF(E1531="BE",2,(IF(E1531="GV",3,(IF(E1531="RA",4,(IF(E1531="RM",5,(IF(E1531="AC",1,(IF(E1531="AT",2,(IF(E1531="DS",3,(IF(E1531="IP",4,(IF(E1531="MA",5,(IF(E1531="PT",6,(IF(E1531="AE",1,(IF(E1531="CM",2,(IF(E1531="DP",3,(IF(E1531="AN",1,(IF(E1531="CO",2,(IF(E1531="IM",3,(IF(E1531="MI",4,(IF(E1531="RP",5,(IF(E1531="SC",6,0)))))))))))))))))))))))))))))))))))))))</f>
        <v>1</v>
      </c>
      <c r="G1531" s="52">
        <v>6</v>
      </c>
      <c r="H1531" s="99">
        <v>1</v>
      </c>
      <c r="I1531" s="94" t="s">
        <v>37</v>
      </c>
      <c r="J1531" s="86">
        <v>5.7</v>
      </c>
      <c r="K1531" s="102" t="s">
        <v>3724</v>
      </c>
      <c r="L1531" s="117">
        <f>IF(O1531="","",N1531*O1531*M1531)</f>
        <v>0</v>
      </c>
      <c r="M1531" s="108">
        <v>1</v>
      </c>
      <c r="N1531" s="95">
        <v>1</v>
      </c>
      <c r="O1531" s="109">
        <f>IF(Key!D$1="ON",P1531,IF(SUM(Q1531:DL1531)&lt;1,"",SUM(Q1531:DL1531)/COUNTIF(Q1531:DL1531,"&gt;0")))</f>
        <v>0</v>
      </c>
      <c r="P1531" s="109">
        <f>SUMIFS(Q1531:DK1531,Q$1:DK$1,Dashboard!$K$31)</f>
        <v>0</v>
      </c>
      <c r="U1531" s="95">
        <v>33</v>
      </c>
      <c r="AA1531" s="95">
        <v>25</v>
      </c>
      <c r="AH1531" s="95">
        <v>75</v>
      </c>
    </row>
    <row r="1532" spans="1:34" x14ac:dyDescent="0.3">
      <c r="A1532" s="89" t="str">
        <f>CONCATENATE(D1532,".",F1532,"-",G1532,".",H1532,"")</f>
        <v>2.1-6.1</v>
      </c>
      <c r="B1532" s="89" t="str">
        <f>IF(CONCATENATE(I1532,Key!F$2)=CONCATENATE(INDEX(Dashboard!J:J,MATCH(I1532,Dashboard!J:J,0),1),INDEX(Dashboard!J:K,MATCH(I1532,Dashboard!J:J,0),2)),"ON",IF(Dashboard!K$32="ALL","ON","-"))</f>
        <v>-</v>
      </c>
      <c r="C1532" s="88" t="s">
        <v>152</v>
      </c>
      <c r="D1532" s="89">
        <f>IF(C1532="ID",1,(IF(C1532="PR",2,(IF(C1532="DE",3,(IF(C1532="RS",4,(IF(C1532="RC",5,0)))))))))</f>
        <v>2</v>
      </c>
      <c r="E1532" s="89" t="s">
        <v>153</v>
      </c>
      <c r="F1532" s="89">
        <f>IF(E1532="AM",1,(IF(E1532="BE",2,(IF(E1532="GV",3,(IF(E1532="RA",4,(IF(E1532="RM",5,(IF(E1532="AC",1,(IF(E1532="AT",2,(IF(E1532="DS",3,(IF(E1532="IP",4,(IF(E1532="MA",5,(IF(E1532="PT",6,(IF(E1532="AE",1,(IF(E1532="CM",2,(IF(E1532="DP",3,(IF(E1532="AN",1,(IF(E1532="CO",2,(IF(E1532="IM",3,(IF(E1532="MI",4,(IF(E1532="RP",5,(IF(E1532="SC",6,0)))))))))))))))))))))))))))))))))))))))</f>
        <v>1</v>
      </c>
      <c r="G1532" s="52">
        <v>6</v>
      </c>
      <c r="H1532" s="99">
        <v>1</v>
      </c>
      <c r="I1532" s="94" t="s">
        <v>37</v>
      </c>
      <c r="J1532" s="86">
        <v>15.6</v>
      </c>
      <c r="K1532" s="102" t="s">
        <v>3726</v>
      </c>
      <c r="L1532" s="117">
        <f>IF(O1532="","",N1532*O1532*M1532)</f>
        <v>0</v>
      </c>
      <c r="M1532" s="108">
        <v>1</v>
      </c>
      <c r="N1532" s="95">
        <v>1</v>
      </c>
      <c r="O1532" s="109">
        <f>IF(Key!D$1="ON",P1532,IF(SUM(Q1532:DL1532)&lt;1,"",SUM(Q1532:DL1532)/COUNTIF(Q1532:DL1532,"&gt;0")))</f>
        <v>0</v>
      </c>
      <c r="P1532" s="109">
        <f>SUMIFS(Q1532:DK1532,Q$1:DK$1,Dashboard!$K$31)</f>
        <v>0</v>
      </c>
      <c r="U1532" s="95">
        <v>33</v>
      </c>
      <c r="AA1532" s="95">
        <v>25</v>
      </c>
      <c r="AH1532" s="95">
        <v>75</v>
      </c>
    </row>
    <row r="1533" spans="1:34" x14ac:dyDescent="0.3">
      <c r="A1533" s="89" t="str">
        <f>CONCATENATE(D1533,".",F1533,"-",G1533,".",H1533,"")</f>
        <v>2.1-6.1</v>
      </c>
      <c r="B1533" s="89" t="str">
        <f>IF(CONCATENATE(I1533,Key!F$2)=CONCATENATE(INDEX(Dashboard!J:J,MATCH(I1533,Dashboard!J:J,0),1),INDEX(Dashboard!J:K,MATCH(I1533,Dashboard!J:J,0),2)),"ON",IF(Dashboard!K$32="ALL","ON","-"))</f>
        <v>-</v>
      </c>
      <c r="C1533" s="88" t="s">
        <v>152</v>
      </c>
      <c r="D1533" s="89">
        <f>IF(C1533="ID",1,(IF(C1533="PR",2,(IF(C1533="DE",3,(IF(C1533="RS",4,(IF(C1533="RC",5,0)))))))))</f>
        <v>2</v>
      </c>
      <c r="E1533" s="89" t="s">
        <v>153</v>
      </c>
      <c r="F1533" s="89">
        <f>IF(E1533="AM",1,(IF(E1533="BE",2,(IF(E1533="GV",3,(IF(E1533="RA",4,(IF(E1533="RM",5,(IF(E1533="AC",1,(IF(E1533="AT",2,(IF(E1533="DS",3,(IF(E1533="IP",4,(IF(E1533="MA",5,(IF(E1533="PT",6,(IF(E1533="AE",1,(IF(E1533="CM",2,(IF(E1533="DP",3,(IF(E1533="AN",1,(IF(E1533="CO",2,(IF(E1533="IM",3,(IF(E1533="MI",4,(IF(E1533="RP",5,(IF(E1533="SC",6,0)))))))))))))))))))))))))))))))))))))))</f>
        <v>1</v>
      </c>
      <c r="G1533" s="52">
        <v>6</v>
      </c>
      <c r="H1533" s="99">
        <v>1</v>
      </c>
      <c r="I1533" s="94" t="s">
        <v>37</v>
      </c>
      <c r="J1533" s="86">
        <v>16.12</v>
      </c>
      <c r="K1533" s="102" t="s">
        <v>3728</v>
      </c>
      <c r="L1533" s="117">
        <f>IF(O1533="","",N1533*O1533*M1533)</f>
        <v>0</v>
      </c>
      <c r="M1533" s="108">
        <v>1</v>
      </c>
      <c r="N1533" s="95">
        <v>1</v>
      </c>
      <c r="O1533" s="109">
        <f>IF(Key!D$1="ON",P1533,IF(SUM(Q1533:DL1533)&lt;1,"",SUM(Q1533:DL1533)/COUNTIF(Q1533:DL1533,"&gt;0")))</f>
        <v>0</v>
      </c>
      <c r="P1533" s="109">
        <f>SUMIFS(Q1533:DK1533,Q$1:DK$1,Dashboard!$K$31)</f>
        <v>0</v>
      </c>
      <c r="U1533" s="95">
        <v>33</v>
      </c>
      <c r="AA1533" s="95">
        <v>25</v>
      </c>
      <c r="AH1533" s="95">
        <v>75</v>
      </c>
    </row>
    <row r="1534" spans="1:34" x14ac:dyDescent="0.3">
      <c r="A1534" s="89" t="str">
        <f>CONCATENATE(D1534,".",F1534,"-",G1534,".",H1534,"")</f>
        <v>2.1-6.1</v>
      </c>
      <c r="B1534" s="89" t="str">
        <f>IF(CONCATENATE(I1534,Key!F$2)=CONCATENATE(INDEX(Dashboard!J:J,MATCH(I1534,Dashboard!J:J,0),1),INDEX(Dashboard!J:K,MATCH(I1534,Dashboard!J:J,0),2)),"ON",IF(Dashboard!K$32="ALL","ON","-"))</f>
        <v>-</v>
      </c>
      <c r="C1534" s="88" t="s">
        <v>152</v>
      </c>
      <c r="D1534" s="89">
        <f>IF(C1534="ID",1,(IF(C1534="PR",2,(IF(C1534="DE",3,(IF(C1534="RS",4,(IF(C1534="RC",5,0)))))))))</f>
        <v>2</v>
      </c>
      <c r="E1534" s="89" t="s">
        <v>153</v>
      </c>
      <c r="F1534" s="89">
        <f>IF(E1534="AM",1,(IF(E1534="BE",2,(IF(E1534="GV",3,(IF(E1534="RA",4,(IF(E1534="RM",5,(IF(E1534="AC",1,(IF(E1534="AT",2,(IF(E1534="DS",3,(IF(E1534="IP",4,(IF(E1534="MA",5,(IF(E1534="PT",6,(IF(E1534="AE",1,(IF(E1534="CM",2,(IF(E1534="DP",3,(IF(E1534="AN",1,(IF(E1534="CO",2,(IF(E1534="IM",3,(IF(E1534="MI",4,(IF(E1534="RP",5,(IF(E1534="SC",6,0)))))))))))))))))))))))))))))))))))))))</f>
        <v>1</v>
      </c>
      <c r="G1534" s="52">
        <v>6</v>
      </c>
      <c r="H1534" s="99">
        <v>1</v>
      </c>
      <c r="I1534" s="94" t="s">
        <v>41</v>
      </c>
      <c r="J1534" s="86">
        <v>1.6</v>
      </c>
      <c r="K1534" s="103" t="s">
        <v>3457</v>
      </c>
      <c r="L1534" s="117">
        <f>IF(O1534="","",N1534*O1534*M1534)</f>
        <v>0</v>
      </c>
      <c r="M1534" s="108">
        <v>1</v>
      </c>
      <c r="N1534" s="95">
        <v>1</v>
      </c>
      <c r="O1534" s="109">
        <f>IF(Key!D$1="ON",P1534,IF(SUM(Q1534:DL1534)&lt;1,"",SUM(Q1534:DL1534)/COUNTIF(Q1534:DL1534,"&gt;0")))</f>
        <v>0</v>
      </c>
      <c r="P1534" s="109">
        <f>SUMIFS(Q1534:DK1534,Q$1:DK$1,Dashboard!$K$31)</f>
        <v>0</v>
      </c>
      <c r="U1534" s="95">
        <v>33</v>
      </c>
    </row>
    <row r="1535" spans="1:34" x14ac:dyDescent="0.3">
      <c r="A1535" s="89" t="str">
        <f>CONCATENATE(D1535,".",F1535,"-",G1535,".",H1535,"")</f>
        <v>2.1-6.1</v>
      </c>
      <c r="B1535" s="89" t="str">
        <f>IF(CONCATENATE(I1535,Key!F$2)=CONCATENATE(INDEX(Dashboard!J:J,MATCH(I1535,Dashboard!J:J,0),1),INDEX(Dashboard!J:K,MATCH(I1535,Dashboard!J:J,0),2)),"ON",IF(Dashboard!K$32="ALL","ON","-"))</f>
        <v>-</v>
      </c>
      <c r="C1535" s="88" t="s">
        <v>152</v>
      </c>
      <c r="D1535" s="89">
        <f>IF(C1535="ID",1,(IF(C1535="PR",2,(IF(C1535="DE",3,(IF(C1535="RS",4,(IF(C1535="RC",5,0)))))))))</f>
        <v>2</v>
      </c>
      <c r="E1535" s="89" t="s">
        <v>153</v>
      </c>
      <c r="F1535" s="89">
        <f>IF(E1535="AM",1,(IF(E1535="BE",2,(IF(E1535="GV",3,(IF(E1535="RA",4,(IF(E1535="RM",5,(IF(E1535="AC",1,(IF(E1535="AT",2,(IF(E1535="DS",3,(IF(E1535="IP",4,(IF(E1535="MA",5,(IF(E1535="PT",6,(IF(E1535="AE",1,(IF(E1535="CM",2,(IF(E1535="DP",3,(IF(E1535="AN",1,(IF(E1535="CO",2,(IF(E1535="IM",3,(IF(E1535="MI",4,(IF(E1535="RP",5,(IF(E1535="SC",6,0)))))))))))))))))))))))))))))))))))))))</f>
        <v>1</v>
      </c>
      <c r="G1535" s="52">
        <v>6</v>
      </c>
      <c r="H1535" s="99">
        <v>1</v>
      </c>
      <c r="I1535" s="94" t="s">
        <v>41</v>
      </c>
      <c r="J1535" s="86">
        <v>1.7</v>
      </c>
      <c r="K1535" s="103" t="s">
        <v>3458</v>
      </c>
      <c r="L1535" s="117">
        <f>IF(O1535="","",N1535*O1535*M1535)</f>
        <v>0</v>
      </c>
      <c r="M1535" s="108">
        <v>1</v>
      </c>
      <c r="N1535" s="95">
        <v>1</v>
      </c>
      <c r="O1535" s="109">
        <f>IF(Key!D$1="ON",P1535,IF(SUM(Q1535:DL1535)&lt;1,"",SUM(Q1535:DL1535)/COUNTIF(Q1535:DL1535,"&gt;0")))</f>
        <v>0</v>
      </c>
      <c r="P1535" s="109">
        <f>SUMIFS(Q1535:DK1535,Q$1:DK$1,Dashboard!$K$31)</f>
        <v>0</v>
      </c>
      <c r="U1535" s="95">
        <v>33</v>
      </c>
    </row>
    <row r="1536" spans="1:34" ht="15.6" x14ac:dyDescent="0.3">
      <c r="A1536" s="89" t="str">
        <f>CONCATENATE(D1536,".",F1536,"-",G1536,".",H1536,"")</f>
        <v>2.1-6.1</v>
      </c>
      <c r="B1536" s="89" t="str">
        <f>IF(CONCATENATE(I1536,Key!F$2)=CONCATENATE(INDEX(Dashboard!J:J,MATCH(I1536,Dashboard!J:J,0),1),INDEX(Dashboard!J:K,MATCH(I1536,Dashboard!J:J,0),2)),"ON",IF(Dashboard!K$32="ALL","ON","-"))</f>
        <v>-</v>
      </c>
      <c r="C1536" s="88" t="s">
        <v>152</v>
      </c>
      <c r="D1536" s="89">
        <f>IF(C1536="ID",1,(IF(C1536="PR",2,(IF(C1536="DE",3,(IF(C1536="RS",4,(IF(C1536="RC",5,0)))))))))</f>
        <v>2</v>
      </c>
      <c r="E1536" s="89" t="s">
        <v>153</v>
      </c>
      <c r="F1536" s="89">
        <f>IF(E1536="AM",1,(IF(E1536="BE",2,(IF(E1536="GV",3,(IF(E1536="RA",4,(IF(E1536="RM",5,(IF(E1536="AC",1,(IF(E1536="AT",2,(IF(E1536="DS",3,(IF(E1536="IP",4,(IF(E1536="MA",5,(IF(E1536="PT",6,(IF(E1536="AE",1,(IF(E1536="CM",2,(IF(E1536="DP",3,(IF(E1536="AN",1,(IF(E1536="CO",2,(IF(E1536="IM",3,(IF(E1536="MI",4,(IF(E1536="RP",5,(IF(E1536="SC",6,0)))))))))))))))))))))))))))))))))))))))</f>
        <v>1</v>
      </c>
      <c r="G1536" s="52">
        <v>6</v>
      </c>
      <c r="H1536" s="99">
        <v>1</v>
      </c>
      <c r="I1536" s="94" t="s">
        <v>41</v>
      </c>
      <c r="J1536" s="86">
        <v>1.8</v>
      </c>
      <c r="K1536" s="103" t="s">
        <v>3459</v>
      </c>
      <c r="L1536" s="117">
        <f>IF(O1536="","",N1536*O1536*M1536)</f>
        <v>0</v>
      </c>
      <c r="M1536" s="108">
        <v>1</v>
      </c>
      <c r="N1536" s="95">
        <v>1</v>
      </c>
      <c r="O1536" s="109">
        <f>IF(Key!D$1="ON",P1536,IF(SUM(Q1536:DL1536)&lt;1,"",SUM(Q1536:DL1536)/COUNTIF(Q1536:DL1536,"&gt;0")))</f>
        <v>0</v>
      </c>
      <c r="P1536" s="109">
        <f>SUMIFS(Q1536:DK1536,Q$1:DK$1,Dashboard!$K$31)</f>
        <v>0</v>
      </c>
      <c r="U1536" s="95">
        <v>33</v>
      </c>
    </row>
    <row r="1537" spans="1:34" x14ac:dyDescent="0.3">
      <c r="A1537" s="89" t="str">
        <f>CONCATENATE(D1537,".",F1537,"-",G1537,".",H1537,"")</f>
        <v>2.1-6.1</v>
      </c>
      <c r="B1537" s="89" t="str">
        <f>IF(CONCATENATE(I1537,Key!F$2)=CONCATENATE(INDEX(Dashboard!J:J,MATCH(I1537,Dashboard!J:J,0),1),INDEX(Dashboard!J:K,MATCH(I1537,Dashboard!J:J,0),2)),"ON",IF(Dashboard!K$32="ALL","ON","-"))</f>
        <v>-</v>
      </c>
      <c r="C1537" s="88" t="s">
        <v>152</v>
      </c>
      <c r="D1537" s="89">
        <f>IF(C1537="ID",1,(IF(C1537="PR",2,(IF(C1537="DE",3,(IF(C1537="RS",4,(IF(C1537="RC",5,0)))))))))</f>
        <v>2</v>
      </c>
      <c r="E1537" s="89" t="s">
        <v>153</v>
      </c>
      <c r="F1537" s="89">
        <f>IF(E1537="AM",1,(IF(E1537="BE",2,(IF(E1537="GV",3,(IF(E1537="RA",4,(IF(E1537="RM",5,(IF(E1537="AC",1,(IF(E1537="AT",2,(IF(E1537="DS",3,(IF(E1537="IP",4,(IF(E1537="MA",5,(IF(E1537="PT",6,(IF(E1537="AE",1,(IF(E1537="CM",2,(IF(E1537="DP",3,(IF(E1537="AN",1,(IF(E1537="CO",2,(IF(E1537="IM",3,(IF(E1537="MI",4,(IF(E1537="RP",5,(IF(E1537="SC",6,0)))))))))))))))))))))))))))))))))))))))</f>
        <v>1</v>
      </c>
      <c r="G1537" s="52">
        <v>6</v>
      </c>
      <c r="H1537" s="99">
        <v>1</v>
      </c>
      <c r="I1537" s="94" t="s">
        <v>41</v>
      </c>
      <c r="J1537" s="86">
        <v>3.3</v>
      </c>
      <c r="K1537" s="103" t="s">
        <v>3472</v>
      </c>
      <c r="L1537" s="117">
        <f>IF(O1537="","",N1537*O1537*M1537)</f>
        <v>0</v>
      </c>
      <c r="M1537" s="108">
        <v>1</v>
      </c>
      <c r="N1537" s="95">
        <v>1</v>
      </c>
      <c r="O1537" s="109">
        <f>IF(Key!D$1="ON",P1537,IF(SUM(Q1537:DL1537)&lt;1,"",SUM(Q1537:DL1537)/COUNTIF(Q1537:DL1537,"&gt;0")))</f>
        <v>0</v>
      </c>
      <c r="P1537" s="109">
        <f>SUMIFS(Q1537:DK1537,Q$1:DK$1,Dashboard!$K$31)</f>
        <v>0</v>
      </c>
      <c r="U1537" s="95">
        <v>33</v>
      </c>
    </row>
    <row r="1538" spans="1:34" x14ac:dyDescent="0.3">
      <c r="A1538" s="89" t="str">
        <f>CONCATENATE(D1538,".",F1538,"-",G1538,".",H1538,"")</f>
        <v>2.1-6.1</v>
      </c>
      <c r="B1538" s="89" t="str">
        <f>IF(CONCATENATE(I1538,Key!F$2)=CONCATENATE(INDEX(Dashboard!J:J,MATCH(I1538,Dashboard!J:J,0),1),INDEX(Dashboard!J:K,MATCH(I1538,Dashboard!J:J,0),2)),"ON",IF(Dashboard!K$32="ALL","ON","-"))</f>
        <v>-</v>
      </c>
      <c r="C1538" s="88" t="s">
        <v>152</v>
      </c>
      <c r="D1538" s="89">
        <f>IF(C1538="ID",1,(IF(C1538="PR",2,(IF(C1538="DE",3,(IF(C1538="RS",4,(IF(C1538="RC",5,0)))))))))</f>
        <v>2</v>
      </c>
      <c r="E1538" s="89" t="s">
        <v>153</v>
      </c>
      <c r="F1538" s="89">
        <f>IF(E1538="AM",1,(IF(E1538="BE",2,(IF(E1538="GV",3,(IF(E1538="RA",4,(IF(E1538="RM",5,(IF(E1538="AC",1,(IF(E1538="AT",2,(IF(E1538="DS",3,(IF(E1538="IP",4,(IF(E1538="MA",5,(IF(E1538="PT",6,(IF(E1538="AE",1,(IF(E1538="CM",2,(IF(E1538="DP",3,(IF(E1538="AN",1,(IF(E1538="CO",2,(IF(E1538="IM",3,(IF(E1538="MI",4,(IF(E1538="RP",5,(IF(E1538="SC",6,0)))))))))))))))))))))))))))))))))))))))</f>
        <v>1</v>
      </c>
      <c r="G1538" s="52">
        <v>6</v>
      </c>
      <c r="H1538" s="99">
        <v>1</v>
      </c>
      <c r="I1538" s="94" t="s">
        <v>41</v>
      </c>
      <c r="J1538" s="86">
        <v>4.4000000000000004</v>
      </c>
      <c r="K1538" s="103" t="s">
        <v>3480</v>
      </c>
      <c r="L1538" s="117">
        <f>IF(O1538="","",N1538*O1538*M1538)</f>
        <v>0</v>
      </c>
      <c r="M1538" s="108">
        <v>1</v>
      </c>
      <c r="N1538" s="95">
        <v>1</v>
      </c>
      <c r="O1538" s="109">
        <f>IF(Key!D$1="ON",P1538,IF(SUM(Q1538:DL1538)&lt;1,"",SUM(Q1538:DL1538)/COUNTIF(Q1538:DL1538,"&gt;0")))</f>
        <v>0</v>
      </c>
      <c r="P1538" s="109">
        <f>SUMIFS(Q1538:DK1538,Q$1:DK$1,Dashboard!$K$31)</f>
        <v>0</v>
      </c>
      <c r="U1538" s="95">
        <v>33</v>
      </c>
    </row>
    <row r="1539" spans="1:34" x14ac:dyDescent="0.3">
      <c r="A1539" s="89" t="str">
        <f>CONCATENATE(D1539,".",F1539,"-",G1539,".",H1539,"")</f>
        <v>2.1-6.1</v>
      </c>
      <c r="B1539" s="89" t="str">
        <f>IF(CONCATENATE(I1539,Key!F$2)=CONCATENATE(INDEX(Dashboard!J:J,MATCH(I1539,Dashboard!J:J,0),1),INDEX(Dashboard!J:K,MATCH(I1539,Dashboard!J:J,0),2)),"ON",IF(Dashboard!K$32="ALL","ON","-"))</f>
        <v>-</v>
      </c>
      <c r="C1539" s="88" t="s">
        <v>152</v>
      </c>
      <c r="D1539" s="89">
        <f>IF(C1539="ID",1,(IF(C1539="PR",2,(IF(C1539="DE",3,(IF(C1539="RS",4,(IF(C1539="RC",5,0)))))))))</f>
        <v>2</v>
      </c>
      <c r="E1539" s="89" t="s">
        <v>153</v>
      </c>
      <c r="F1539" s="89">
        <f>IF(E1539="AM",1,(IF(E1539="BE",2,(IF(E1539="GV",3,(IF(E1539="RA",4,(IF(E1539="RM",5,(IF(E1539="AC",1,(IF(E1539="AT",2,(IF(E1539="DS",3,(IF(E1539="IP",4,(IF(E1539="MA",5,(IF(E1539="PT",6,(IF(E1539="AE",1,(IF(E1539="CM",2,(IF(E1539="DP",3,(IF(E1539="AN",1,(IF(E1539="CO",2,(IF(E1539="IM",3,(IF(E1539="MI",4,(IF(E1539="RP",5,(IF(E1539="SC",6,0)))))))))))))))))))))))))))))))))))))))</f>
        <v>1</v>
      </c>
      <c r="G1539" s="52">
        <v>6</v>
      </c>
      <c r="H1539" s="99">
        <v>1</v>
      </c>
      <c r="I1539" s="94" t="s">
        <v>41</v>
      </c>
      <c r="J1539" s="86">
        <v>4.5</v>
      </c>
      <c r="K1539" s="103" t="s">
        <v>3481</v>
      </c>
      <c r="L1539" s="117">
        <f>IF(O1539="","",N1539*O1539*M1539)</f>
        <v>0</v>
      </c>
      <c r="M1539" s="108">
        <v>1</v>
      </c>
      <c r="N1539" s="95">
        <v>1</v>
      </c>
      <c r="O1539" s="109">
        <f>IF(Key!D$1="ON",P1539,IF(SUM(Q1539:DL1539)&lt;1,"",SUM(Q1539:DL1539)/COUNTIF(Q1539:DL1539,"&gt;0")))</f>
        <v>0</v>
      </c>
      <c r="P1539" s="109">
        <f>SUMIFS(Q1539:DK1539,Q$1:DK$1,Dashboard!$K$31)</f>
        <v>0</v>
      </c>
      <c r="U1539" s="95">
        <v>33</v>
      </c>
    </row>
    <row r="1540" spans="1:34" x14ac:dyDescent="0.3">
      <c r="A1540" s="89" t="str">
        <f>CONCATENATE(D1540,".",F1540,"-",G1540,".",H1540,"")</f>
        <v>2.1-6.1</v>
      </c>
      <c r="B1540" s="89" t="str">
        <f>IF(CONCATENATE(I1540,Key!F$2)=CONCATENATE(INDEX(Dashboard!J:J,MATCH(I1540,Dashboard!J:J,0),1),INDEX(Dashboard!J:K,MATCH(I1540,Dashboard!J:J,0),2)),"ON",IF(Dashboard!K$32="ALL","ON","-"))</f>
        <v>-</v>
      </c>
      <c r="C1540" s="88" t="s">
        <v>152</v>
      </c>
      <c r="D1540" s="89">
        <f>IF(C1540="ID",1,(IF(C1540="PR",2,(IF(C1540="DE",3,(IF(C1540="RS",4,(IF(C1540="RC",5,0)))))))))</f>
        <v>2</v>
      </c>
      <c r="E1540" s="89" t="s">
        <v>153</v>
      </c>
      <c r="F1540" s="89">
        <f>IF(E1540="AM",1,(IF(E1540="BE",2,(IF(E1540="GV",3,(IF(E1540="RA",4,(IF(E1540="RM",5,(IF(E1540="AC",1,(IF(E1540="AT",2,(IF(E1540="DS",3,(IF(E1540="IP",4,(IF(E1540="MA",5,(IF(E1540="PT",6,(IF(E1540="AE",1,(IF(E1540="CM",2,(IF(E1540="DP",3,(IF(E1540="AN",1,(IF(E1540="CO",2,(IF(E1540="IM",3,(IF(E1540="MI",4,(IF(E1540="RP",5,(IF(E1540="SC",6,0)))))))))))))))))))))))))))))))))))))))</f>
        <v>1</v>
      </c>
      <c r="G1540" s="52">
        <v>6</v>
      </c>
      <c r="H1540" s="99">
        <v>1</v>
      </c>
      <c r="I1540" s="94" t="s">
        <v>41</v>
      </c>
      <c r="J1540" s="86">
        <v>13.4</v>
      </c>
      <c r="K1540" s="103" t="s">
        <v>3556</v>
      </c>
      <c r="L1540" s="117">
        <f>IF(O1540="","",N1540*O1540*M1540)</f>
        <v>0</v>
      </c>
      <c r="M1540" s="108">
        <v>1</v>
      </c>
      <c r="N1540" s="95">
        <v>1</v>
      </c>
      <c r="O1540" s="109">
        <f>IF(Key!D$1="ON",P1540,IF(SUM(Q1540:DL1540)&lt;1,"",SUM(Q1540:DL1540)/COUNTIF(Q1540:DL1540,"&gt;0")))</f>
        <v>0</v>
      </c>
      <c r="P1540" s="109">
        <f>SUMIFS(Q1540:DK1540,Q$1:DK$1,Dashboard!$K$31)</f>
        <v>0</v>
      </c>
      <c r="U1540" s="95">
        <v>33</v>
      </c>
    </row>
    <row r="1541" spans="1:34" x14ac:dyDescent="0.3">
      <c r="A1541" s="89" t="str">
        <f>CONCATENATE(D1541,".",F1541,"-",G1541,".",H1541,"")</f>
        <v>2.1-6.1</v>
      </c>
      <c r="B1541" s="89" t="str">
        <f>IF(CONCATENATE(I1541,Key!F$2)=CONCATENATE(INDEX(Dashboard!J:J,MATCH(I1541,Dashboard!J:J,0),1),INDEX(Dashboard!J:K,MATCH(I1541,Dashboard!J:J,0),2)),"ON",IF(Dashboard!K$32="ALL","ON","-"))</f>
        <v>-</v>
      </c>
      <c r="C1541" s="88" t="s">
        <v>152</v>
      </c>
      <c r="D1541" s="89">
        <f>IF(C1541="ID",1,(IF(C1541="PR",2,(IF(C1541="DE",3,(IF(C1541="RS",4,(IF(C1541="RC",5,0)))))))))</f>
        <v>2</v>
      </c>
      <c r="E1541" s="89" t="s">
        <v>153</v>
      </c>
      <c r="F1541" s="89">
        <f>IF(E1541="AM",1,(IF(E1541="BE",2,(IF(E1541="GV",3,(IF(E1541="RA",4,(IF(E1541="RM",5,(IF(E1541="AC",1,(IF(E1541="AT",2,(IF(E1541="DS",3,(IF(E1541="IP",4,(IF(E1541="MA",5,(IF(E1541="PT",6,(IF(E1541="AE",1,(IF(E1541="CM",2,(IF(E1541="DP",3,(IF(E1541="AN",1,(IF(E1541="CO",2,(IF(E1541="IM",3,(IF(E1541="MI",4,(IF(E1541="RP",5,(IF(E1541="SC",6,0)))))))))))))))))))))))))))))))))))))))</f>
        <v>1</v>
      </c>
      <c r="G1541" s="52">
        <v>6</v>
      </c>
      <c r="H1541" s="99">
        <v>1</v>
      </c>
      <c r="I1541" s="94" t="s">
        <v>41</v>
      </c>
      <c r="J1541" s="86">
        <v>15.1</v>
      </c>
      <c r="K1541" s="103" t="s">
        <v>3573</v>
      </c>
      <c r="L1541" s="117">
        <f>IF(O1541="","",N1541*O1541*M1541)</f>
        <v>0</v>
      </c>
      <c r="M1541" s="108">
        <v>1</v>
      </c>
      <c r="N1541" s="95">
        <v>1</v>
      </c>
      <c r="O1541" s="109">
        <f>IF(Key!D$1="ON",P1541,IF(SUM(Q1541:DL1541)&lt;1,"",SUM(Q1541:DL1541)/COUNTIF(Q1541:DL1541,"&gt;0")))</f>
        <v>0</v>
      </c>
      <c r="P1541" s="109">
        <f>SUMIFS(Q1541:DK1541,Q$1:DK$1,Dashboard!$K$31)</f>
        <v>0</v>
      </c>
      <c r="U1541" s="95">
        <v>33</v>
      </c>
    </row>
    <row r="1542" spans="1:34" x14ac:dyDescent="0.3">
      <c r="A1542" s="89" t="str">
        <f>CONCATENATE(D1542,".",F1542,"-",G1542,".",H1542,"")</f>
        <v>2.1-6.1</v>
      </c>
      <c r="B1542" s="89" t="str">
        <f>IF(CONCATENATE(I1542,Key!F$2)=CONCATENATE(INDEX(Dashboard!J:J,MATCH(I1542,Dashboard!J:J,0),1),INDEX(Dashboard!J:K,MATCH(I1542,Dashboard!J:J,0),2)),"ON",IF(Dashboard!K$32="ALL","ON","-"))</f>
        <v>-</v>
      </c>
      <c r="C1542" s="88" t="s">
        <v>152</v>
      </c>
      <c r="D1542" s="89">
        <f>IF(C1542="ID",1,(IF(C1542="PR",2,(IF(C1542="DE",3,(IF(C1542="RS",4,(IF(C1542="RC",5,0)))))))))</f>
        <v>2</v>
      </c>
      <c r="E1542" s="89" t="s">
        <v>153</v>
      </c>
      <c r="F1542" s="89">
        <f>IF(E1542="AM",1,(IF(E1542="BE",2,(IF(E1542="GV",3,(IF(E1542="RA",4,(IF(E1542="RM",5,(IF(E1542="AC",1,(IF(E1542="AT",2,(IF(E1542="DS",3,(IF(E1542="IP",4,(IF(E1542="MA",5,(IF(E1542="PT",6,(IF(E1542="AE",1,(IF(E1542="CM",2,(IF(E1542="DP",3,(IF(E1542="AN",1,(IF(E1542="CO",2,(IF(E1542="IM",3,(IF(E1542="MI",4,(IF(E1542="RP",5,(IF(E1542="SC",6,0)))))))))))))))))))))))))))))))))))))))</f>
        <v>1</v>
      </c>
      <c r="G1542" s="52">
        <v>6</v>
      </c>
      <c r="H1542" s="99">
        <v>1</v>
      </c>
      <c r="I1542" s="94" t="s">
        <v>41</v>
      </c>
      <c r="J1542" s="86">
        <v>16.3</v>
      </c>
      <c r="K1542" s="103" t="s">
        <v>3588</v>
      </c>
      <c r="L1542" s="117">
        <f>IF(O1542="","",N1542*O1542*M1542)</f>
        <v>0</v>
      </c>
      <c r="M1542" s="108">
        <v>1</v>
      </c>
      <c r="N1542" s="95">
        <v>1</v>
      </c>
      <c r="O1542" s="109">
        <f>IF(Key!D$1="ON",P1542,IF(SUM(Q1542:DL1542)&lt;1,"",SUM(Q1542:DL1542)/COUNTIF(Q1542:DL1542,"&gt;0")))</f>
        <v>0</v>
      </c>
      <c r="P1542" s="109">
        <f>SUMIFS(Q1542:DK1542,Q$1:DK$1,Dashboard!$K$31)</f>
        <v>0</v>
      </c>
      <c r="U1542" s="95">
        <v>33</v>
      </c>
    </row>
    <row r="1543" spans="1:34" x14ac:dyDescent="0.3">
      <c r="A1543" s="89" t="str">
        <f>CONCATENATE(D1543,".",F1543,"-",G1543,".",H1543,"")</f>
        <v>2.1-6.1</v>
      </c>
      <c r="B1543" s="89" t="str">
        <f>IF(CONCATENATE(I1543,Key!F$2)=CONCATENATE(INDEX(Dashboard!J:J,MATCH(I1543,Dashboard!J:J,0),1),INDEX(Dashboard!J:K,MATCH(I1543,Dashboard!J:J,0),2)),"ON",IF(Dashboard!K$32="ALL","ON","-"))</f>
        <v>-</v>
      </c>
      <c r="C1543" s="96" t="s">
        <v>152</v>
      </c>
      <c r="D1543" s="89">
        <f>IF(C1543="ID",1,(IF(C1543="PR",2,(IF(C1543="DE",3,(IF(C1543="RS",4,(IF(C1543="RC",5,0)))))))))</f>
        <v>2</v>
      </c>
      <c r="E1543" s="89" t="s">
        <v>153</v>
      </c>
      <c r="F1543" s="89">
        <f>IF(E1543="AM",1,(IF(E1543="BE",2,(IF(E1543="GV",3,(IF(E1543="RA",4,(IF(E1543="RM",5,(IF(E1543="AC",1,(IF(E1543="AT",2,(IF(E1543="DS",3,(IF(E1543="IP",4,(IF(E1543="MA",5,(IF(E1543="PT",6,(IF(E1543="AE",1,(IF(E1543="CM",2,(IF(E1543="DP",3,(IF(E1543="AN",1,(IF(E1543="CO",2,(IF(E1543="IM",3,(IF(E1543="MI",4,(IF(E1543="RP",5,(IF(E1543="SC",6,0)))))))))))))))))))))))))))))))))))))))</f>
        <v>1</v>
      </c>
      <c r="G1543" s="98">
        <v>6</v>
      </c>
      <c r="H1543" s="90" t="s">
        <v>115</v>
      </c>
      <c r="I1543" s="94" t="s">
        <v>52</v>
      </c>
      <c r="J1543" s="88" t="s">
        <v>3396</v>
      </c>
      <c r="K1543" s="103" t="s">
        <v>3397</v>
      </c>
      <c r="L1543" s="117">
        <f>IF(O1543="","",N1543*O1543*M1543)</f>
        <v>0</v>
      </c>
      <c r="M1543" s="108">
        <v>1</v>
      </c>
      <c r="N1543" s="95">
        <v>1</v>
      </c>
      <c r="O1543" s="109">
        <f>IF(Key!D$1="ON",P1543,IF(SUM(Q1543:DL1543)&lt;1,"",SUM(Q1543:DL1543)/COUNTIF(Q1543:DL1543,"&gt;0")))</f>
        <v>0</v>
      </c>
      <c r="P1543" s="109">
        <f>SUMIFS(Q1543:DK1543,Q$1:DK$1,Dashboard!$K$31)</f>
        <v>0</v>
      </c>
      <c r="U1543" s="95">
        <v>33</v>
      </c>
      <c r="AA1543" s="95">
        <v>25</v>
      </c>
      <c r="AH1543" s="95">
        <v>75</v>
      </c>
    </row>
    <row r="1544" spans="1:34" x14ac:dyDescent="0.3">
      <c r="A1544" s="89" t="str">
        <f>CONCATENATE(D1544,".",F1544,"-",G1544,".",H1544,"")</f>
        <v>2.1-6.1</v>
      </c>
      <c r="B1544" s="89" t="str">
        <f>IF(CONCATENATE(I1544,Key!F$2)=CONCATENATE(INDEX(Dashboard!J:J,MATCH(I1544,Dashboard!J:J,0),1),INDEX(Dashboard!J:K,MATCH(I1544,Dashboard!J:J,0),2)),"ON",IF(Dashboard!K$32="ALL","ON","-"))</f>
        <v>-</v>
      </c>
      <c r="C1544" s="88" t="s">
        <v>152</v>
      </c>
      <c r="D1544" s="89">
        <f>IF(C1544="ID",1,(IF(C1544="PR",2,(IF(C1544="DE",3,(IF(C1544="RS",4,(IF(C1544="RC",5,0)))))))))</f>
        <v>2</v>
      </c>
      <c r="E1544" s="89" t="s">
        <v>153</v>
      </c>
      <c r="F1544" s="89">
        <f>IF(E1544="AM",1,(IF(E1544="BE",2,(IF(E1544="GV",3,(IF(E1544="RA",4,(IF(E1544="RM",5,(IF(E1544="AC",1,(IF(E1544="AT",2,(IF(E1544="DS",3,(IF(E1544="IP",4,(IF(E1544="MA",5,(IF(E1544="PT",6,(IF(E1544="AE",1,(IF(E1544="CM",2,(IF(E1544="DP",3,(IF(E1544="AN",1,(IF(E1544="CO",2,(IF(E1544="IM",3,(IF(E1544="MI",4,(IF(E1544="RP",5,(IF(E1544="SC",6,0)))))))))))))))))))))))))))))))))))))))</f>
        <v>1</v>
      </c>
      <c r="G1544" s="52">
        <v>6</v>
      </c>
      <c r="H1544" s="89">
        <v>1</v>
      </c>
      <c r="I1544" s="94" t="s">
        <v>60</v>
      </c>
      <c r="J1544" s="88" t="s">
        <v>3195</v>
      </c>
      <c r="K1544" s="51" t="s">
        <v>5308</v>
      </c>
      <c r="L1544" s="117">
        <f>IF(O1544="","",N1544*O1544*M1544)</f>
        <v>0</v>
      </c>
      <c r="M1544" s="108">
        <v>1</v>
      </c>
      <c r="N1544" s="95">
        <v>1</v>
      </c>
      <c r="O1544" s="109">
        <f>IF(Key!D$1="ON",P1544,IF(SUM(Q1544:DL1544)&lt;1,"",SUM(Q1544:DL1544)/COUNTIF(Q1544:DL1544,"&gt;0")))</f>
        <v>0</v>
      </c>
      <c r="P1544" s="109">
        <f>SUMIFS(Q1544:DK1544,Q$1:DK$1,Dashboard!$K$31)</f>
        <v>0</v>
      </c>
      <c r="U1544" s="95">
        <v>33</v>
      </c>
      <c r="AA1544" s="95">
        <v>25</v>
      </c>
      <c r="AH1544" s="95">
        <v>75</v>
      </c>
    </row>
    <row r="1545" spans="1:34" x14ac:dyDescent="0.3">
      <c r="A1545" s="89" t="str">
        <f>CONCATENATE(D1545,".",F1545,"-",G1545,".",H1545,"")</f>
        <v>2.1-6.1</v>
      </c>
      <c r="B1545" s="89" t="str">
        <f>IF(CONCATENATE(I1545,Key!F$2)=CONCATENATE(INDEX(Dashboard!J:J,MATCH(I1545,Dashboard!J:J,0),1),INDEX(Dashboard!J:K,MATCH(I1545,Dashboard!J:J,0),2)),"ON",IF(Dashboard!K$32="ALL","ON","-"))</f>
        <v>-</v>
      </c>
      <c r="C1545" s="88" t="s">
        <v>152</v>
      </c>
      <c r="D1545" s="89">
        <f>IF(C1545="ID",1,(IF(C1545="PR",2,(IF(C1545="DE",3,(IF(C1545="RS",4,(IF(C1545="RC",5,0)))))))))</f>
        <v>2</v>
      </c>
      <c r="E1545" s="89" t="s">
        <v>153</v>
      </c>
      <c r="F1545" s="89">
        <f>IF(E1545="AM",1,(IF(E1545="BE",2,(IF(E1545="GV",3,(IF(E1545="RA",4,(IF(E1545="RM",5,(IF(E1545="AC",1,(IF(E1545="AT",2,(IF(E1545="DS",3,(IF(E1545="IP",4,(IF(E1545="MA",5,(IF(E1545="PT",6,(IF(E1545="AE",1,(IF(E1545="CM",2,(IF(E1545="DP",3,(IF(E1545="AN",1,(IF(E1545="CO",2,(IF(E1545="IM",3,(IF(E1545="MI",4,(IF(E1545="RP",5,(IF(E1545="SC",6,0)))))))))))))))))))))))))))))))))))))))</f>
        <v>1</v>
      </c>
      <c r="G1545" s="98">
        <v>6</v>
      </c>
      <c r="H1545" s="89">
        <v>1</v>
      </c>
      <c r="I1545" s="94" t="s">
        <v>73</v>
      </c>
      <c r="J1545" s="86" t="s">
        <v>4144</v>
      </c>
      <c r="K1545" s="107" t="s">
        <v>4269</v>
      </c>
      <c r="L1545" s="117">
        <f>IF(O1545="","",N1545*O1545*M1545)</f>
        <v>0</v>
      </c>
      <c r="M1545" s="108">
        <v>1</v>
      </c>
      <c r="N1545" s="95">
        <v>1</v>
      </c>
      <c r="O1545" s="109">
        <f>IF(Key!D$1="ON",P1545,IF(SUM(Q1545:DL1545)&lt;1,"",SUM(Q1545:DL1545)/COUNTIF(Q1545:DL1545,"&gt;0")))</f>
        <v>0</v>
      </c>
      <c r="P1545" s="109">
        <f>SUMIFS(Q1545:DK1545,Q$1:DK$1,Dashboard!$K$31)</f>
        <v>0</v>
      </c>
      <c r="U1545" s="95">
        <v>33</v>
      </c>
      <c r="AA1545" s="95">
        <v>25</v>
      </c>
      <c r="AH1545" s="95">
        <v>75</v>
      </c>
    </row>
    <row r="1546" spans="1:34" x14ac:dyDescent="0.3">
      <c r="A1546" s="89" t="str">
        <f>CONCATENATE(D1546,".",F1546,"-",G1546,".",H1546,"")</f>
        <v>2.1-6.1</v>
      </c>
      <c r="B1546" s="89" t="str">
        <f>IF(CONCATENATE(I1546,Key!F$2)=CONCATENATE(INDEX(Dashboard!J:J,MATCH(I1546,Dashboard!J:J,0),1),INDEX(Dashboard!J:K,MATCH(I1546,Dashboard!J:J,0),2)),"ON",IF(Dashboard!K$32="ALL","ON","-"))</f>
        <v>-</v>
      </c>
      <c r="C1546" s="88" t="s">
        <v>152</v>
      </c>
      <c r="D1546" s="89">
        <f>IF(C1546="ID",1,(IF(C1546="PR",2,(IF(C1546="DE",3,(IF(C1546="RS",4,(IF(C1546="RC",5,0)))))))))</f>
        <v>2</v>
      </c>
      <c r="E1546" s="89" t="s">
        <v>153</v>
      </c>
      <c r="F1546" s="89">
        <f>IF(E1546="AM",1,(IF(E1546="BE",2,(IF(E1546="GV",3,(IF(E1546="RA",4,(IF(E1546="RM",5,(IF(E1546="AC",1,(IF(E1546="AT",2,(IF(E1546="DS",3,(IF(E1546="IP",4,(IF(E1546="MA",5,(IF(E1546="PT",6,(IF(E1546="AE",1,(IF(E1546="CM",2,(IF(E1546="DP",3,(IF(E1546="AN",1,(IF(E1546="CO",2,(IF(E1546="IM",3,(IF(E1546="MI",4,(IF(E1546="RP",5,(IF(E1546="SC",6,0)))))))))))))))))))))))))))))))))))))))</f>
        <v>1</v>
      </c>
      <c r="G1546" s="52">
        <v>6</v>
      </c>
      <c r="H1546" s="90" t="s">
        <v>115</v>
      </c>
      <c r="I1546" s="94" t="s">
        <v>77</v>
      </c>
      <c r="J1546" s="87" t="s">
        <v>1299</v>
      </c>
      <c r="K1546" s="102" t="s">
        <v>2310</v>
      </c>
      <c r="L1546" s="117">
        <f>IF(O1546="","",N1546*O1546*M1546)</f>
        <v>0</v>
      </c>
      <c r="M1546" s="108">
        <v>1</v>
      </c>
      <c r="N1546" s="95">
        <v>1</v>
      </c>
      <c r="O1546" s="109">
        <f>IF(Key!D$1="ON",P1546,IF(SUM(Q1546:DL1546)&lt;1,"",SUM(Q1546:DL1546)/COUNTIF(Q1546:DL1546,"&gt;0")))</f>
        <v>0</v>
      </c>
      <c r="P1546" s="109">
        <f>SUMIFS(Q1546:DK1546,Q$1:DK$1,Dashboard!$K$31)</f>
        <v>0</v>
      </c>
      <c r="U1546" s="95">
        <v>33</v>
      </c>
      <c r="AA1546" s="95">
        <v>25</v>
      </c>
      <c r="AH1546" s="95">
        <v>75</v>
      </c>
    </row>
    <row r="1547" spans="1:34" x14ac:dyDescent="0.3">
      <c r="A1547" s="89" t="str">
        <f>CONCATENATE(D1547,".",F1547,"-",G1547,".",H1547,"")</f>
        <v>2.1-6.1</v>
      </c>
      <c r="B1547" s="89" t="str">
        <f>IF(CONCATENATE(I1547,Key!F$2)=CONCATENATE(INDEX(Dashboard!J:J,MATCH(I1547,Dashboard!J:J,0),1),INDEX(Dashboard!J:K,MATCH(I1547,Dashboard!J:J,0),2)),"ON",IF(Dashboard!K$32="ALL","ON","-"))</f>
        <v>-</v>
      </c>
      <c r="C1547" s="88" t="s">
        <v>152</v>
      </c>
      <c r="D1547" s="89">
        <f>IF(C1547="ID",1,(IF(C1547="PR",2,(IF(C1547="DE",3,(IF(C1547="RS",4,(IF(C1547="RC",5,0)))))))))</f>
        <v>2</v>
      </c>
      <c r="E1547" s="89" t="s">
        <v>153</v>
      </c>
      <c r="F1547" s="89">
        <f>IF(E1547="AM",1,(IF(E1547="BE",2,(IF(E1547="GV",3,(IF(E1547="RA",4,(IF(E1547="RM",5,(IF(E1547="AC",1,(IF(E1547="AT",2,(IF(E1547="DS",3,(IF(E1547="IP",4,(IF(E1547="MA",5,(IF(E1547="PT",6,(IF(E1547="AE",1,(IF(E1547="CM",2,(IF(E1547="DP",3,(IF(E1547="AN",1,(IF(E1547="CO",2,(IF(E1547="IM",3,(IF(E1547="MI",4,(IF(E1547="RP",5,(IF(E1547="SC",6,0)))))))))))))))))))))))))))))))))))))))</f>
        <v>1</v>
      </c>
      <c r="G1547" s="52">
        <v>6</v>
      </c>
      <c r="H1547" s="90" t="s">
        <v>115</v>
      </c>
      <c r="I1547" s="94" t="s">
        <v>77</v>
      </c>
      <c r="J1547" s="87" t="s">
        <v>1301</v>
      </c>
      <c r="K1547" s="102" t="s">
        <v>2311</v>
      </c>
      <c r="L1547" s="117">
        <f>IF(O1547="","",N1547*O1547*M1547)</f>
        <v>0</v>
      </c>
      <c r="M1547" s="108">
        <v>1</v>
      </c>
      <c r="N1547" s="95">
        <v>1</v>
      </c>
      <c r="O1547" s="109">
        <f>IF(Key!D$1="ON",P1547,IF(SUM(Q1547:DL1547)&lt;1,"",SUM(Q1547:DL1547)/COUNTIF(Q1547:DL1547,"&gt;0")))</f>
        <v>0</v>
      </c>
      <c r="P1547" s="109">
        <f>SUMIFS(Q1547:DK1547,Q$1:DK$1,Dashboard!$K$31)</f>
        <v>0</v>
      </c>
      <c r="U1547" s="95">
        <v>33</v>
      </c>
      <c r="AA1547" s="95">
        <v>25</v>
      </c>
      <c r="AH1547" s="95">
        <v>75</v>
      </c>
    </row>
    <row r="1548" spans="1:34" ht="15.6" x14ac:dyDescent="0.3">
      <c r="A1548" s="89" t="str">
        <f>CONCATENATE(D1548,".",F1548,"-",G1548,".",H1548,"")</f>
        <v>2.1-6.1</v>
      </c>
      <c r="B1548" s="89" t="str">
        <f>IF(CONCATENATE(I1548,Key!F$2)=CONCATENATE(INDEX(Dashboard!J:J,MATCH(I1548,Dashboard!J:J,0),1),INDEX(Dashboard!J:K,MATCH(I1548,Dashboard!J:J,0),2)),"ON",IF(Dashboard!K$32="ALL","ON","-"))</f>
        <v>-</v>
      </c>
      <c r="C1548" s="88" t="s">
        <v>152</v>
      </c>
      <c r="D1548" s="89">
        <f>IF(C1548="ID",1,(IF(C1548="PR",2,(IF(C1548="DE",3,(IF(C1548="RS",4,(IF(C1548="RC",5,0)))))))))</f>
        <v>2</v>
      </c>
      <c r="E1548" s="89" t="s">
        <v>153</v>
      </c>
      <c r="F1548" s="89">
        <f>IF(E1548="AM",1,(IF(E1548="BE",2,(IF(E1548="GV",3,(IF(E1548="RA",4,(IF(E1548="RM",5,(IF(E1548="AC",1,(IF(E1548="AT",2,(IF(E1548="DS",3,(IF(E1548="IP",4,(IF(E1548="MA",5,(IF(E1548="PT",6,(IF(E1548="AE",1,(IF(E1548="CM",2,(IF(E1548="DP",3,(IF(E1548="AN",1,(IF(E1548="CO",2,(IF(E1548="IM",3,(IF(E1548="MI",4,(IF(E1548="RP",5,(IF(E1548="SC",6,0)))))))))))))))))))))))))))))))))))))))</f>
        <v>1</v>
      </c>
      <c r="G1548" s="52">
        <v>6</v>
      </c>
      <c r="H1548" s="90" t="s">
        <v>115</v>
      </c>
      <c r="I1548" s="94" t="s">
        <v>77</v>
      </c>
      <c r="J1548" s="87" t="s">
        <v>1936</v>
      </c>
      <c r="K1548" s="102" t="s">
        <v>2312</v>
      </c>
      <c r="L1548" s="117">
        <f>IF(O1548="","",N1548*O1548*M1548)</f>
        <v>0</v>
      </c>
      <c r="M1548" s="108">
        <v>1</v>
      </c>
      <c r="N1548" s="95">
        <v>1</v>
      </c>
      <c r="O1548" s="109">
        <f>IF(Key!D$1="ON",P1548,IF(SUM(Q1548:DL1548)&lt;1,"",SUM(Q1548:DL1548)/COUNTIF(Q1548:DL1548,"&gt;0")))</f>
        <v>0</v>
      </c>
      <c r="P1548" s="109">
        <f>SUMIFS(Q1548:DK1548,Q$1:DK$1,Dashboard!$K$31)</f>
        <v>0</v>
      </c>
      <c r="U1548" s="95">
        <v>33</v>
      </c>
      <c r="AA1548" s="95">
        <v>25</v>
      </c>
      <c r="AH1548" s="95">
        <v>75</v>
      </c>
    </row>
    <row r="1549" spans="1:34" x14ac:dyDescent="0.3">
      <c r="A1549" s="89" t="str">
        <f>CONCATENATE(D1549,".",F1549,"-",G1549,".",H1549,"")</f>
        <v>2.1-6.1</v>
      </c>
      <c r="B1549" s="89" t="str">
        <f>IF(CONCATENATE(I1549,Key!F$2)=CONCATENATE(INDEX(Dashboard!J:J,MATCH(I1549,Dashboard!J:J,0),1),INDEX(Dashboard!J:K,MATCH(I1549,Dashboard!J:J,0),2)),"ON",IF(Dashboard!K$32="ALL","ON","-"))</f>
        <v>-</v>
      </c>
      <c r="C1549" s="88" t="s">
        <v>152</v>
      </c>
      <c r="D1549" s="89">
        <f>IF(C1549="ID",1,(IF(C1549="PR",2,(IF(C1549="DE",3,(IF(C1549="RS",4,(IF(C1549="RC",5,0)))))))))</f>
        <v>2</v>
      </c>
      <c r="E1549" s="89" t="s">
        <v>153</v>
      </c>
      <c r="F1549" s="89">
        <f>IF(E1549="AM",1,(IF(E1549="BE",2,(IF(E1549="GV",3,(IF(E1549="RA",4,(IF(E1549="RM",5,(IF(E1549="AC",1,(IF(E1549="AT",2,(IF(E1549="DS",3,(IF(E1549="IP",4,(IF(E1549="MA",5,(IF(E1549="PT",6,(IF(E1549="AE",1,(IF(E1549="CM",2,(IF(E1549="DP",3,(IF(E1549="AN",1,(IF(E1549="CO",2,(IF(E1549="IM",3,(IF(E1549="MI",4,(IF(E1549="RP",5,(IF(E1549="SC",6,0)))))))))))))))))))))))))))))))))))))))</f>
        <v>1</v>
      </c>
      <c r="G1549" s="52">
        <v>6</v>
      </c>
      <c r="H1549" s="90" t="s">
        <v>115</v>
      </c>
      <c r="I1549" s="94" t="s">
        <v>85</v>
      </c>
      <c r="J1549" s="86" t="s">
        <v>630</v>
      </c>
      <c r="K1549" s="119" t="s">
        <v>4568</v>
      </c>
      <c r="L1549" s="117">
        <f>IF(O1549="","",N1549*O1549*M1549)</f>
        <v>0</v>
      </c>
      <c r="M1549" s="108">
        <v>1</v>
      </c>
      <c r="N1549" s="95">
        <v>1</v>
      </c>
      <c r="O1549" s="109">
        <f>IF(Key!D$1="ON",P1549,IF(SUM(Q1549:DL1549)&lt;1,"",SUM(Q1549:DL1549)/COUNTIF(Q1549:DL1549,"&gt;0")))</f>
        <v>0</v>
      </c>
      <c r="P1549" s="109">
        <f>SUMIFS(Q1549:DK1549,Q$1:DK$1,Dashboard!$K$31)</f>
        <v>0</v>
      </c>
      <c r="U1549" s="95">
        <v>33</v>
      </c>
      <c r="AA1549" s="95">
        <v>25</v>
      </c>
      <c r="AH1549" s="95">
        <v>75</v>
      </c>
    </row>
    <row r="1550" spans="1:34" x14ac:dyDescent="0.3">
      <c r="A1550" s="89" t="str">
        <f>CONCATENATE(D1550,".",F1550,"-",G1550,".",H1550,"")</f>
        <v>2.1-6.1</v>
      </c>
      <c r="B1550" s="89" t="str">
        <f>IF(CONCATENATE(I1550,Key!F$2)=CONCATENATE(INDEX(Dashboard!J:J,MATCH(I1550,Dashboard!J:J,0),1),INDEX(Dashboard!J:K,MATCH(I1550,Dashboard!J:J,0),2)),"ON",IF(Dashboard!K$32="ALL","ON","-"))</f>
        <v>-</v>
      </c>
      <c r="C1550" s="88" t="s">
        <v>152</v>
      </c>
      <c r="D1550" s="89">
        <f>IF(C1550="ID",1,(IF(C1550="PR",2,(IF(C1550="DE",3,(IF(C1550="RS",4,(IF(C1550="RC",5,0)))))))))</f>
        <v>2</v>
      </c>
      <c r="E1550" s="89" t="s">
        <v>153</v>
      </c>
      <c r="F1550" s="89">
        <f>IF(E1550="AM",1,(IF(E1550="BE",2,(IF(E1550="GV",3,(IF(E1550="RA",4,(IF(E1550="RM",5,(IF(E1550="AC",1,(IF(E1550="AT",2,(IF(E1550="DS",3,(IF(E1550="IP",4,(IF(E1550="MA",5,(IF(E1550="PT",6,(IF(E1550="AE",1,(IF(E1550="CM",2,(IF(E1550="DP",3,(IF(E1550="AN",1,(IF(E1550="CO",2,(IF(E1550="IM",3,(IF(E1550="MI",4,(IF(E1550="RP",5,(IF(E1550="SC",6,0)))))))))))))))))))))))))))))))))))))))</f>
        <v>1</v>
      </c>
      <c r="G1550" s="52">
        <v>6</v>
      </c>
      <c r="H1550" s="90" t="s">
        <v>115</v>
      </c>
      <c r="I1550" s="94" t="s">
        <v>85</v>
      </c>
      <c r="J1550" s="87" t="s">
        <v>1301</v>
      </c>
      <c r="K1550" s="119" t="s">
        <v>4645</v>
      </c>
      <c r="L1550" s="117">
        <f>IF(O1550="","",N1550*O1550*M1550)</f>
        <v>0</v>
      </c>
      <c r="M1550" s="108">
        <v>1</v>
      </c>
      <c r="N1550" s="95">
        <v>1</v>
      </c>
      <c r="O1550" s="109">
        <f>IF(Key!D$1="ON",P1550,IF(SUM(Q1550:DL1550)&lt;1,"",SUM(Q1550:DL1550)/COUNTIF(Q1550:DL1550,"&gt;0")))</f>
        <v>0</v>
      </c>
      <c r="P1550" s="109">
        <f>SUMIFS(Q1550:DK1550,Q$1:DK$1,Dashboard!$K$31)</f>
        <v>0</v>
      </c>
      <c r="U1550" s="95">
        <v>33</v>
      </c>
      <c r="AA1550" s="95">
        <v>25</v>
      </c>
      <c r="AH1550" s="95">
        <v>75</v>
      </c>
    </row>
    <row r="1551" spans="1:34" x14ac:dyDescent="0.3">
      <c r="A1551" s="89" t="str">
        <f>CONCATENATE(D1551,".",F1551,"-",G1551,".",H1551,"")</f>
        <v>2.1-6.1</v>
      </c>
      <c r="B1551" s="89" t="str">
        <f>IF(CONCATENATE(I1551,Key!F$2)=CONCATENATE(INDEX(Dashboard!J:J,MATCH(I1551,Dashboard!J:J,0),1),INDEX(Dashboard!J:K,MATCH(I1551,Dashboard!J:J,0),2)),"ON",IF(Dashboard!K$32="ALL","ON","-"))</f>
        <v>-</v>
      </c>
      <c r="C1551" s="88" t="s">
        <v>152</v>
      </c>
      <c r="D1551" s="89">
        <f>IF(C1551="ID",1,(IF(C1551="PR",2,(IF(C1551="DE",3,(IF(C1551="RS",4,(IF(C1551="RC",5,0)))))))))</f>
        <v>2</v>
      </c>
      <c r="E1551" s="89" t="s">
        <v>153</v>
      </c>
      <c r="F1551" s="89">
        <f>IF(E1551="AM",1,(IF(E1551="BE",2,(IF(E1551="GV",3,(IF(E1551="RA",4,(IF(E1551="RM",5,(IF(E1551="AC",1,(IF(E1551="AT",2,(IF(E1551="DS",3,(IF(E1551="IP",4,(IF(E1551="MA",5,(IF(E1551="PT",6,(IF(E1551="AE",1,(IF(E1551="CM",2,(IF(E1551="DP",3,(IF(E1551="AN",1,(IF(E1551="CO",2,(IF(E1551="IM",3,(IF(E1551="MI",4,(IF(E1551="RP",5,(IF(E1551="SC",6,0)))))))))))))))))))))))))))))))))))))))</f>
        <v>1</v>
      </c>
      <c r="G1551" s="52">
        <v>6</v>
      </c>
      <c r="H1551" s="90" t="s">
        <v>115</v>
      </c>
      <c r="I1551" s="94" t="s">
        <v>85</v>
      </c>
      <c r="J1551" s="86" t="s">
        <v>1299</v>
      </c>
      <c r="K1551" s="119" t="s">
        <v>1300</v>
      </c>
      <c r="L1551" s="117">
        <f>IF(O1551="","",N1551*O1551*M1551)</f>
        <v>0</v>
      </c>
      <c r="M1551" s="108">
        <v>1</v>
      </c>
      <c r="N1551" s="95">
        <v>1</v>
      </c>
      <c r="O1551" s="109">
        <f>IF(Key!D$1="ON",P1551,IF(SUM(Q1551:DL1551)&lt;1,"",SUM(Q1551:DL1551)/COUNTIF(Q1551:DL1551,"&gt;0")))</f>
        <v>0</v>
      </c>
      <c r="P1551" s="109">
        <f>SUMIFS(Q1551:DK1551,Q$1:DK$1,Dashboard!$K$31)</f>
        <v>0</v>
      </c>
      <c r="U1551" s="95">
        <v>33</v>
      </c>
      <c r="AA1551" s="95">
        <v>25</v>
      </c>
      <c r="AH1551" s="95">
        <v>75</v>
      </c>
    </row>
    <row r="1552" spans="1:34" x14ac:dyDescent="0.3">
      <c r="A1552" s="89" t="str">
        <f>CONCATENATE(D1552,".",F1552,"-",G1552,".",H1552,"")</f>
        <v>2.1-6.1</v>
      </c>
      <c r="B1552" s="89" t="str">
        <f>IF(CONCATENATE(I1552,Key!F$2)=CONCATENATE(INDEX(Dashboard!J:J,MATCH(I1552,Dashboard!J:J,0),1),INDEX(Dashboard!J:K,MATCH(I1552,Dashboard!J:J,0),2)),"ON",IF(Dashboard!K$32="ALL","ON","-"))</f>
        <v>-</v>
      </c>
      <c r="C1552" s="88" t="s">
        <v>152</v>
      </c>
      <c r="D1552" s="89">
        <f>IF(C1552="ID",1,(IF(C1552="PR",2,(IF(C1552="DE",3,(IF(C1552="RS",4,(IF(C1552="RC",5,0)))))))))</f>
        <v>2</v>
      </c>
      <c r="E1552" s="89" t="s">
        <v>153</v>
      </c>
      <c r="F1552" s="89">
        <f>IF(E1552="AM",1,(IF(E1552="BE",2,(IF(E1552="GV",3,(IF(E1552="RA",4,(IF(E1552="RM",5,(IF(E1552="AC",1,(IF(E1552="AT",2,(IF(E1552="DS",3,(IF(E1552="IP",4,(IF(E1552="MA",5,(IF(E1552="PT",6,(IF(E1552="AE",1,(IF(E1552="CM",2,(IF(E1552="DP",3,(IF(E1552="AN",1,(IF(E1552="CO",2,(IF(E1552="IM",3,(IF(E1552="MI",4,(IF(E1552="RP",5,(IF(E1552="SC",6,0)))))))))))))))))))))))))))))))))))))))</f>
        <v>1</v>
      </c>
      <c r="G1552" s="52">
        <v>6</v>
      </c>
      <c r="H1552" s="90" t="s">
        <v>115</v>
      </c>
      <c r="I1552" s="94" t="s">
        <v>85</v>
      </c>
      <c r="J1552" s="87" t="s">
        <v>1766</v>
      </c>
      <c r="K1552" s="119" t="s">
        <v>5044</v>
      </c>
      <c r="L1552" s="117">
        <f>IF(O1552="","",N1552*O1552*M1552)</f>
        <v>0</v>
      </c>
      <c r="M1552" s="108">
        <v>1</v>
      </c>
      <c r="N1552" s="95">
        <v>1</v>
      </c>
      <c r="O1552" s="109">
        <f>IF(Key!D$1="ON",P1552,IF(SUM(Q1552:DL1552)&lt;1,"",SUM(Q1552:DL1552)/COUNTIF(Q1552:DL1552,"&gt;0")))</f>
        <v>0</v>
      </c>
      <c r="P1552" s="109">
        <f>SUMIFS(Q1552:DK1552,Q$1:DK$1,Dashboard!$K$31)</f>
        <v>0</v>
      </c>
      <c r="U1552" s="95">
        <v>33</v>
      </c>
      <c r="AA1552" s="95">
        <v>25</v>
      </c>
      <c r="AH1552" s="95">
        <v>75</v>
      </c>
    </row>
    <row r="1553" spans="1:34" x14ac:dyDescent="0.3">
      <c r="A1553" s="89" t="str">
        <f>CONCATENATE(D1553,".",F1553,"-",G1553,".",H1553,"")</f>
        <v>2.1-6.1</v>
      </c>
      <c r="B1553" s="89" t="str">
        <f>IF(CONCATENATE(I1553,Key!F$2)=CONCATENATE(INDEX(Dashboard!J:J,MATCH(I1553,Dashboard!J:J,0),1),INDEX(Dashboard!J:K,MATCH(I1553,Dashboard!J:J,0),2)),"ON",IF(Dashboard!K$32="ALL","ON","-"))</f>
        <v>-</v>
      </c>
      <c r="C1553" s="88" t="s">
        <v>152</v>
      </c>
      <c r="D1553" s="89">
        <f>IF(C1553="ID",1,(IF(C1553="PR",2,(IF(C1553="DE",3,(IF(C1553="RS",4,(IF(C1553="RC",5,0)))))))))</f>
        <v>2</v>
      </c>
      <c r="E1553" s="89" t="s">
        <v>153</v>
      </c>
      <c r="F1553" s="89">
        <f>IF(E1553="AM",1,(IF(E1553="BE",2,(IF(E1553="GV",3,(IF(E1553="RA",4,(IF(E1553="RM",5,(IF(E1553="AC",1,(IF(E1553="AT",2,(IF(E1553="DS",3,(IF(E1553="IP",4,(IF(E1553="MA",5,(IF(E1553="PT",6,(IF(E1553="AE",1,(IF(E1553="CM",2,(IF(E1553="DP",3,(IF(E1553="AN",1,(IF(E1553="CO",2,(IF(E1553="IM",3,(IF(E1553="MI",4,(IF(E1553="RP",5,(IF(E1553="SC",6,0)))))))))))))))))))))))))))))))))))))))</f>
        <v>1</v>
      </c>
      <c r="G1553" s="52">
        <v>6</v>
      </c>
      <c r="H1553" s="90" t="s">
        <v>115</v>
      </c>
      <c r="I1553" s="94" t="s">
        <v>85</v>
      </c>
      <c r="J1553" s="87" t="s">
        <v>1774</v>
      </c>
      <c r="K1553" s="119" t="s">
        <v>5075</v>
      </c>
      <c r="L1553" s="117">
        <f>IF(O1553="","",N1553*O1553*M1553)</f>
        <v>0</v>
      </c>
      <c r="M1553" s="108">
        <v>1</v>
      </c>
      <c r="N1553" s="95">
        <v>1</v>
      </c>
      <c r="O1553" s="109">
        <f>IF(Key!D$1="ON",P1553,IF(SUM(Q1553:DL1553)&lt;1,"",SUM(Q1553:DL1553)/COUNTIF(Q1553:DL1553,"&gt;0")))</f>
        <v>0</v>
      </c>
      <c r="P1553" s="109">
        <f>SUMIFS(Q1553:DK1553,Q$1:DK$1,Dashboard!$K$31)</f>
        <v>0</v>
      </c>
      <c r="U1553" s="95">
        <v>33</v>
      </c>
      <c r="AA1553" s="95">
        <v>25</v>
      </c>
      <c r="AH1553" s="95">
        <v>75</v>
      </c>
    </row>
    <row r="1554" spans="1:34" x14ac:dyDescent="0.3">
      <c r="A1554" s="89" t="str">
        <f>CONCATENATE(D1554,".",F1554,"-",G1554,".",H1554,"")</f>
        <v>2.1-6.1</v>
      </c>
      <c r="B1554" s="89" t="str">
        <f>IF(CONCATENATE(I1554,Key!F$2)=CONCATENATE(INDEX(Dashboard!J:J,MATCH(I1554,Dashboard!J:J,0),1),INDEX(Dashboard!J:K,MATCH(I1554,Dashboard!J:J,0),2)),"ON",IF(Dashboard!K$32="ALL","ON","-"))</f>
        <v>-</v>
      </c>
      <c r="C1554" s="88" t="s">
        <v>152</v>
      </c>
      <c r="D1554" s="89">
        <f>IF(C1554="ID",1,(IF(C1554="PR",2,(IF(C1554="DE",3,(IF(C1554="RS",4,(IF(C1554="RC",5,0)))))))))</f>
        <v>2</v>
      </c>
      <c r="E1554" s="89" t="s">
        <v>153</v>
      </c>
      <c r="F1554" s="89">
        <f>IF(E1554="AM",1,(IF(E1554="BE",2,(IF(E1554="GV",3,(IF(E1554="RA",4,(IF(E1554="RM",5,(IF(E1554="AC",1,(IF(E1554="AT",2,(IF(E1554="DS",3,(IF(E1554="IP",4,(IF(E1554="MA",5,(IF(E1554="PT",6,(IF(E1554="AE",1,(IF(E1554="CM",2,(IF(E1554="DP",3,(IF(E1554="AN",1,(IF(E1554="CO",2,(IF(E1554="IM",3,(IF(E1554="MI",4,(IF(E1554="RP",5,(IF(E1554="SC",6,0)))))))))))))))))))))))))))))))))))))))</f>
        <v>1</v>
      </c>
      <c r="G1554" s="52">
        <v>6</v>
      </c>
      <c r="H1554" s="90" t="s">
        <v>115</v>
      </c>
      <c r="I1554" s="94" t="s">
        <v>85</v>
      </c>
      <c r="J1554" s="135" t="s">
        <v>631</v>
      </c>
      <c r="K1554" s="143" t="s">
        <v>4580</v>
      </c>
      <c r="L1554" s="117">
        <f>IF(O1554="","",N1554*O1554*M1554)</f>
        <v>0</v>
      </c>
      <c r="M1554" s="108">
        <v>1</v>
      </c>
      <c r="N1554" s="95">
        <v>1</v>
      </c>
      <c r="O1554" s="109">
        <f>IF(Key!D$1="ON",P1554,IF(SUM(Q1554:DL1554)&lt;1,"",SUM(Q1554:DL1554)/COUNTIF(Q1554:DL1554,"&gt;0")))</f>
        <v>0</v>
      </c>
      <c r="P1554" s="109">
        <f>SUMIFS(Q1554:DK1554,Q$1:DK$1,Dashboard!$K$31)</f>
        <v>0</v>
      </c>
      <c r="U1554" s="95">
        <v>33</v>
      </c>
      <c r="AA1554" s="95">
        <v>25</v>
      </c>
      <c r="AH1554" s="95">
        <v>75</v>
      </c>
    </row>
    <row r="1555" spans="1:34" x14ac:dyDescent="0.3">
      <c r="A1555" s="89" t="str">
        <f>CONCATENATE(D1555,".",F1555,"-",G1555,".",H1555,"")</f>
        <v>2.1-6.1</v>
      </c>
      <c r="B1555" s="89" t="str">
        <f>IF(CONCATENATE(I1555,Key!F$2)=CONCATENATE(INDEX(Dashboard!J:J,MATCH(I1555,Dashboard!J:J,0),1),INDEX(Dashboard!J:K,MATCH(I1555,Dashboard!J:J,0),2)),"ON",IF(Dashboard!K$32="ALL","ON","-"))</f>
        <v>-</v>
      </c>
      <c r="C1555" s="88" t="s">
        <v>152</v>
      </c>
      <c r="D1555" s="89">
        <f>IF(C1555="ID",1,(IF(C1555="PR",2,(IF(C1555="DE",3,(IF(C1555="RS",4,(IF(C1555="RC",5,0)))))))))</f>
        <v>2</v>
      </c>
      <c r="E1555" s="89" t="s">
        <v>153</v>
      </c>
      <c r="F1555" s="89">
        <f>IF(E1555="AM",1,(IF(E1555="BE",2,(IF(E1555="GV",3,(IF(E1555="RA",4,(IF(E1555="RM",5,(IF(E1555="AC",1,(IF(E1555="AT",2,(IF(E1555="DS",3,(IF(E1555="IP",4,(IF(E1555="MA",5,(IF(E1555="PT",6,(IF(E1555="AE",1,(IF(E1555="CM",2,(IF(E1555="DP",3,(IF(E1555="AN",1,(IF(E1555="CO",2,(IF(E1555="IM",3,(IF(E1555="MI",4,(IF(E1555="RP",5,(IF(E1555="SC",6,0)))))))))))))))))))))))))))))))))))))))</f>
        <v>1</v>
      </c>
      <c r="G1555" s="52">
        <v>6</v>
      </c>
      <c r="H1555" s="90" t="s">
        <v>115</v>
      </c>
      <c r="I1555" s="94" t="s">
        <v>85</v>
      </c>
      <c r="J1555" s="135" t="s">
        <v>633</v>
      </c>
      <c r="K1555" s="143" t="s">
        <v>4508</v>
      </c>
      <c r="L1555" s="117">
        <f>IF(O1555="","",N1555*O1555*M1555)</f>
        <v>0</v>
      </c>
      <c r="M1555" s="108">
        <v>1</v>
      </c>
      <c r="N1555" s="95">
        <v>1</v>
      </c>
      <c r="O1555" s="109">
        <f>IF(Key!D$1="ON",P1555,IF(SUM(Q1555:DL1555)&lt;1,"",SUM(Q1555:DL1555)/COUNTIF(Q1555:DL1555,"&gt;0")))</f>
        <v>0</v>
      </c>
      <c r="P1555" s="109">
        <f>SUMIFS(Q1555:DK1555,Q$1:DK$1,Dashboard!$K$31)</f>
        <v>0</v>
      </c>
      <c r="U1555" s="95">
        <v>33</v>
      </c>
      <c r="AA1555" s="95">
        <v>25</v>
      </c>
      <c r="AH1555" s="95">
        <v>75</v>
      </c>
    </row>
    <row r="1556" spans="1:34" x14ac:dyDescent="0.3">
      <c r="A1556" s="89" t="str">
        <f>CONCATENATE(D1556,".",F1556,"-",G1556,".",H1556,"")</f>
        <v>2.1-6.1</v>
      </c>
      <c r="B1556" s="89" t="str">
        <f>IF(CONCATENATE(I1556,Key!F$2)=CONCATENATE(INDEX(Dashboard!J:J,MATCH(I1556,Dashboard!J:J,0),1),INDEX(Dashboard!J:K,MATCH(I1556,Dashboard!J:J,0),2)),"ON",IF(Dashboard!K$32="ALL","ON","-"))</f>
        <v>-</v>
      </c>
      <c r="C1556" s="88" t="s">
        <v>152</v>
      </c>
      <c r="D1556" s="89">
        <f>IF(C1556="ID",1,(IF(C1556="PR",2,(IF(C1556="DE",3,(IF(C1556="RS",4,(IF(C1556="RC",5,0)))))))))</f>
        <v>2</v>
      </c>
      <c r="E1556" s="89" t="s">
        <v>153</v>
      </c>
      <c r="F1556" s="89">
        <f>IF(E1556="AM",1,(IF(E1556="BE",2,(IF(E1556="GV",3,(IF(E1556="RA",4,(IF(E1556="RM",5,(IF(E1556="AC",1,(IF(E1556="AT",2,(IF(E1556="DS",3,(IF(E1556="IP",4,(IF(E1556="MA",5,(IF(E1556="PT",6,(IF(E1556="AE",1,(IF(E1556="CM",2,(IF(E1556="DP",3,(IF(E1556="AN",1,(IF(E1556="CO",2,(IF(E1556="IM",3,(IF(E1556="MI",4,(IF(E1556="RP",5,(IF(E1556="SC",6,0)))))))))))))))))))))))))))))))))))))))</f>
        <v>1</v>
      </c>
      <c r="G1556" s="52">
        <v>6</v>
      </c>
      <c r="H1556" s="90" t="s">
        <v>115</v>
      </c>
      <c r="I1556" s="94" t="s">
        <v>85</v>
      </c>
      <c r="J1556" s="135" t="s">
        <v>635</v>
      </c>
      <c r="K1556" s="143" t="s">
        <v>4510</v>
      </c>
      <c r="L1556" s="117">
        <f>IF(O1556="","",N1556*O1556*M1556)</f>
        <v>0</v>
      </c>
      <c r="M1556" s="108">
        <v>1</v>
      </c>
      <c r="N1556" s="95">
        <v>1</v>
      </c>
      <c r="O1556" s="109">
        <f>IF(Key!D$1="ON",P1556,IF(SUM(Q1556:DL1556)&lt;1,"",SUM(Q1556:DL1556)/COUNTIF(Q1556:DL1556,"&gt;0")))</f>
        <v>0</v>
      </c>
      <c r="P1556" s="109">
        <f>SUMIFS(Q1556:DK1556,Q$1:DK$1,Dashboard!$K$31)</f>
        <v>0</v>
      </c>
      <c r="U1556" s="95">
        <v>33</v>
      </c>
      <c r="AA1556" s="95">
        <v>25</v>
      </c>
      <c r="AH1556" s="95">
        <v>75</v>
      </c>
    </row>
    <row r="1557" spans="1:34" x14ac:dyDescent="0.3">
      <c r="A1557" s="89" t="str">
        <f>CONCATENATE(D1557,".",F1557,"-",G1557,".",H1557,"")</f>
        <v>2.1-6.1</v>
      </c>
      <c r="B1557" s="89" t="str">
        <f>IF(CONCATENATE(I1557,Key!F$2)=CONCATENATE(INDEX(Dashboard!J:J,MATCH(I1557,Dashboard!J:J,0),1),INDEX(Dashboard!J:K,MATCH(I1557,Dashboard!J:J,0),2)),"ON",IF(Dashboard!K$32="ALL","ON","-"))</f>
        <v>-</v>
      </c>
      <c r="C1557" s="88" t="s">
        <v>152</v>
      </c>
      <c r="D1557" s="89">
        <f>IF(C1557="ID",1,(IF(C1557="PR",2,(IF(C1557="DE",3,(IF(C1557="RS",4,(IF(C1557="RC",5,0)))))))))</f>
        <v>2</v>
      </c>
      <c r="E1557" s="89" t="s">
        <v>153</v>
      </c>
      <c r="F1557" s="89">
        <f>IF(E1557="AM",1,(IF(E1557="BE",2,(IF(E1557="GV",3,(IF(E1557="RA",4,(IF(E1557="RM",5,(IF(E1557="AC",1,(IF(E1557="AT",2,(IF(E1557="DS",3,(IF(E1557="IP",4,(IF(E1557="MA",5,(IF(E1557="PT",6,(IF(E1557="AE",1,(IF(E1557="CM",2,(IF(E1557="DP",3,(IF(E1557="AN",1,(IF(E1557="CO",2,(IF(E1557="IM",3,(IF(E1557="MI",4,(IF(E1557="RP",5,(IF(E1557="SC",6,0)))))))))))))))))))))))))))))))))))))))</f>
        <v>1</v>
      </c>
      <c r="G1557" s="52">
        <v>6</v>
      </c>
      <c r="H1557" s="90" t="s">
        <v>115</v>
      </c>
      <c r="I1557" s="94" t="s">
        <v>85</v>
      </c>
      <c r="J1557" s="135" t="s">
        <v>637</v>
      </c>
      <c r="K1557" s="143" t="s">
        <v>4511</v>
      </c>
      <c r="L1557" s="117">
        <f>IF(O1557="","",N1557*O1557*M1557)</f>
        <v>0</v>
      </c>
      <c r="M1557" s="108">
        <v>1</v>
      </c>
      <c r="N1557" s="95">
        <v>1</v>
      </c>
      <c r="O1557" s="109">
        <f>IF(Key!D$1="ON",P1557,IF(SUM(Q1557:DL1557)&lt;1,"",SUM(Q1557:DL1557)/COUNTIF(Q1557:DL1557,"&gt;0")))</f>
        <v>0</v>
      </c>
      <c r="P1557" s="109">
        <f>SUMIFS(Q1557:DK1557,Q$1:DK$1,Dashboard!$K$31)</f>
        <v>0</v>
      </c>
      <c r="U1557" s="95">
        <v>33</v>
      </c>
      <c r="AA1557" s="95">
        <v>25</v>
      </c>
      <c r="AH1557" s="95">
        <v>75</v>
      </c>
    </row>
    <row r="1558" spans="1:34" x14ac:dyDescent="0.3">
      <c r="A1558" s="89" t="str">
        <f>CONCATENATE(D1558,".",F1558,"-",G1558,".",H1558,"")</f>
        <v>2.1-6.1</v>
      </c>
      <c r="B1558" s="89" t="str">
        <f>IF(CONCATENATE(I1558,Key!F$2)=CONCATENATE(INDEX(Dashboard!J:J,MATCH(I1558,Dashboard!J:J,0),1),INDEX(Dashboard!J:K,MATCH(I1558,Dashboard!J:J,0),2)),"ON",IF(Dashboard!K$32="ALL","ON","-"))</f>
        <v>-</v>
      </c>
      <c r="C1558" s="88" t="s">
        <v>152</v>
      </c>
      <c r="D1558" s="89">
        <f>IF(C1558="ID",1,(IF(C1558="PR",2,(IF(C1558="DE",3,(IF(C1558="RS",4,(IF(C1558="RC",5,0)))))))))</f>
        <v>2</v>
      </c>
      <c r="E1558" s="89" t="s">
        <v>153</v>
      </c>
      <c r="F1558" s="89">
        <f>IF(E1558="AM",1,(IF(E1558="BE",2,(IF(E1558="GV",3,(IF(E1558="RA",4,(IF(E1558="RM",5,(IF(E1558="AC",1,(IF(E1558="AT",2,(IF(E1558="DS",3,(IF(E1558="IP",4,(IF(E1558="MA",5,(IF(E1558="PT",6,(IF(E1558="AE",1,(IF(E1558="CM",2,(IF(E1558="DP",3,(IF(E1558="AN",1,(IF(E1558="CO",2,(IF(E1558="IM",3,(IF(E1558="MI",4,(IF(E1558="RP",5,(IF(E1558="SC",6,0)))))))))))))))))))))))))))))))))))))))</f>
        <v>1</v>
      </c>
      <c r="G1558" s="52">
        <v>6</v>
      </c>
      <c r="H1558" s="89">
        <v>1</v>
      </c>
      <c r="I1558" s="94" t="s">
        <v>85</v>
      </c>
      <c r="J1558" s="135" t="s">
        <v>685</v>
      </c>
      <c r="K1558" s="143" t="s">
        <v>4754</v>
      </c>
      <c r="L1558" s="117">
        <f>IF(O1558="","",N1558*O1558*M1558)</f>
        <v>0</v>
      </c>
      <c r="M1558" s="108">
        <v>1</v>
      </c>
      <c r="N1558" s="95">
        <v>1</v>
      </c>
      <c r="O1558" s="109">
        <f>IF(Key!D$1="ON",P1558,IF(SUM(Q1558:DL1558)&lt;1,"",SUM(Q1558:DL1558)/COUNTIF(Q1558:DL1558,"&gt;0")))</f>
        <v>0</v>
      </c>
      <c r="P1558" s="109">
        <f>SUMIFS(Q1558:DK1558,Q$1:DK$1,Dashboard!$K$31)</f>
        <v>0</v>
      </c>
      <c r="U1558" s="95">
        <v>33</v>
      </c>
      <c r="AA1558" s="95">
        <v>25</v>
      </c>
      <c r="AH1558" s="95">
        <v>75</v>
      </c>
    </row>
    <row r="1559" spans="1:34" x14ac:dyDescent="0.3">
      <c r="A1559" s="89" t="str">
        <f>CONCATENATE(D1559,".",F1559,"-",G1559,".",H1559,"")</f>
        <v>2.1-6.1</v>
      </c>
      <c r="B1559" s="89" t="str">
        <f>IF(CONCATENATE(I1559,Key!F$2)=CONCATENATE(INDEX(Dashboard!J:J,MATCH(I1559,Dashboard!J:J,0),1),INDEX(Dashboard!J:K,MATCH(I1559,Dashboard!J:J,0),2)),"ON",IF(Dashboard!K$32="ALL","ON","-"))</f>
        <v>-</v>
      </c>
      <c r="C1559" s="88" t="s">
        <v>152</v>
      </c>
      <c r="D1559" s="89">
        <f>IF(C1559="ID",1,(IF(C1559="PR",2,(IF(C1559="DE",3,(IF(C1559="RS",4,(IF(C1559="RC",5,0)))))))))</f>
        <v>2</v>
      </c>
      <c r="E1559" s="89" t="s">
        <v>153</v>
      </c>
      <c r="F1559" s="89">
        <f>IF(E1559="AM",1,(IF(E1559="BE",2,(IF(E1559="GV",3,(IF(E1559="RA",4,(IF(E1559="RM",5,(IF(E1559="AC",1,(IF(E1559="AT",2,(IF(E1559="DS",3,(IF(E1559="IP",4,(IF(E1559="MA",5,(IF(E1559="PT",6,(IF(E1559="AE",1,(IF(E1559="CM",2,(IF(E1559="DP",3,(IF(E1559="AN",1,(IF(E1559="CO",2,(IF(E1559="IM",3,(IF(E1559="MI",4,(IF(E1559="RP",5,(IF(E1559="SC",6,0)))))))))))))))))))))))))))))))))))))))</f>
        <v>1</v>
      </c>
      <c r="G1559" s="52">
        <v>6</v>
      </c>
      <c r="H1559" s="90" t="s">
        <v>115</v>
      </c>
      <c r="I1559" s="94" t="s">
        <v>85</v>
      </c>
      <c r="J1559" s="135" t="s">
        <v>693</v>
      </c>
      <c r="K1559" s="143" t="s">
        <v>4772</v>
      </c>
      <c r="L1559" s="117">
        <f>IF(O1559="","",N1559*O1559*M1559)</f>
        <v>0</v>
      </c>
      <c r="M1559" s="108">
        <v>1</v>
      </c>
      <c r="N1559" s="95">
        <v>1</v>
      </c>
      <c r="O1559" s="109">
        <f>IF(Key!D$1="ON",P1559,IF(SUM(Q1559:DL1559)&lt;1,"",SUM(Q1559:DL1559)/COUNTIF(Q1559:DL1559,"&gt;0")))</f>
        <v>0</v>
      </c>
      <c r="P1559" s="109">
        <f>SUMIFS(Q1559:DK1559,Q$1:DK$1,Dashboard!$K$31)</f>
        <v>0</v>
      </c>
      <c r="U1559" s="95">
        <v>33</v>
      </c>
      <c r="AA1559" s="95">
        <v>25</v>
      </c>
      <c r="AH1559" s="95">
        <v>75</v>
      </c>
    </row>
    <row r="1560" spans="1:34" x14ac:dyDescent="0.3">
      <c r="A1560" s="89" t="str">
        <f>CONCATENATE(D1560,".",F1560,"-",G1560,".",H1560,"")</f>
        <v>2.1-6.1</v>
      </c>
      <c r="B1560" s="89" t="str">
        <f>IF(CONCATENATE(I1560,Key!F$2)=CONCATENATE(INDEX(Dashboard!J:J,MATCH(I1560,Dashboard!J:J,0),1),INDEX(Dashboard!J:K,MATCH(I1560,Dashboard!J:J,0),2)),"ON",IF(Dashboard!K$32="ALL","ON","-"))</f>
        <v>-</v>
      </c>
      <c r="C1560" s="88" t="s">
        <v>152</v>
      </c>
      <c r="D1560" s="89">
        <f>IF(C1560="ID",1,(IF(C1560="PR",2,(IF(C1560="DE",3,(IF(C1560="RS",4,(IF(C1560="RC",5,0)))))))))</f>
        <v>2</v>
      </c>
      <c r="E1560" s="89" t="s">
        <v>153</v>
      </c>
      <c r="F1560" s="89">
        <f>IF(E1560="AM",1,(IF(E1560="BE",2,(IF(E1560="GV",3,(IF(E1560="RA",4,(IF(E1560="RM",5,(IF(E1560="AC",1,(IF(E1560="AT",2,(IF(E1560="DS",3,(IF(E1560="IP",4,(IF(E1560="MA",5,(IF(E1560="PT",6,(IF(E1560="AE",1,(IF(E1560="CM",2,(IF(E1560="DP",3,(IF(E1560="AN",1,(IF(E1560="CO",2,(IF(E1560="IM",3,(IF(E1560="MI",4,(IF(E1560="RP",5,(IF(E1560="SC",6,0)))))))))))))))))))))))))))))))))))))))</f>
        <v>1</v>
      </c>
      <c r="G1560" s="52">
        <v>6</v>
      </c>
      <c r="H1560" s="90" t="s">
        <v>115</v>
      </c>
      <c r="I1560" s="94" t="s">
        <v>85</v>
      </c>
      <c r="J1560" s="135" t="s">
        <v>694</v>
      </c>
      <c r="K1560" s="143" t="s">
        <v>4773</v>
      </c>
      <c r="L1560" s="117">
        <f>IF(O1560="","",N1560*O1560*M1560)</f>
        <v>0</v>
      </c>
      <c r="M1560" s="108">
        <v>1</v>
      </c>
      <c r="N1560" s="95">
        <v>1</v>
      </c>
      <c r="O1560" s="109">
        <f>IF(Key!D$1="ON",P1560,IF(SUM(Q1560:DL1560)&lt;1,"",SUM(Q1560:DL1560)/COUNTIF(Q1560:DL1560,"&gt;0")))</f>
        <v>0</v>
      </c>
      <c r="P1560" s="109">
        <f>SUMIFS(Q1560:DK1560,Q$1:DK$1,Dashboard!$K$31)</f>
        <v>0</v>
      </c>
      <c r="U1560" s="95">
        <v>33</v>
      </c>
      <c r="AA1560" s="95">
        <v>25</v>
      </c>
      <c r="AH1560" s="95">
        <v>75</v>
      </c>
    </row>
    <row r="1561" spans="1:34" x14ac:dyDescent="0.3">
      <c r="A1561" s="89" t="str">
        <f>CONCATENATE(D1561,".",F1561,"-",G1561,".",H1561,"")</f>
        <v>2.1-6.1</v>
      </c>
      <c r="B1561" s="89" t="str">
        <f>IF(CONCATENATE(I1561,Key!F$2)=CONCATENATE(INDEX(Dashboard!J:J,MATCH(I1561,Dashboard!J:J,0),1),INDEX(Dashboard!J:K,MATCH(I1561,Dashboard!J:J,0),2)),"ON",IF(Dashboard!K$32="ALL","ON","-"))</f>
        <v>-</v>
      </c>
      <c r="C1561" s="88" t="s">
        <v>152</v>
      </c>
      <c r="D1561" s="89">
        <f>IF(C1561="ID",1,(IF(C1561="PR",2,(IF(C1561="DE",3,(IF(C1561="RS",4,(IF(C1561="RC",5,0)))))))))</f>
        <v>2</v>
      </c>
      <c r="E1561" s="89" t="s">
        <v>153</v>
      </c>
      <c r="F1561" s="89">
        <f>IF(E1561="AM",1,(IF(E1561="BE",2,(IF(E1561="GV",3,(IF(E1561="RA",4,(IF(E1561="RM",5,(IF(E1561="AC",1,(IF(E1561="AT",2,(IF(E1561="DS",3,(IF(E1561="IP",4,(IF(E1561="MA",5,(IF(E1561="PT",6,(IF(E1561="AE",1,(IF(E1561="CM",2,(IF(E1561="DP",3,(IF(E1561="AN",1,(IF(E1561="CO",2,(IF(E1561="IM",3,(IF(E1561="MI",4,(IF(E1561="RP",5,(IF(E1561="SC",6,0)))))))))))))))))))))))))))))))))))))))</f>
        <v>1</v>
      </c>
      <c r="G1561" s="52">
        <v>6</v>
      </c>
      <c r="H1561" s="90" t="s">
        <v>115</v>
      </c>
      <c r="I1561" s="94" t="s">
        <v>85</v>
      </c>
      <c r="J1561" s="136" t="s">
        <v>696</v>
      </c>
      <c r="K1561" s="143" t="s">
        <v>4761</v>
      </c>
      <c r="L1561" s="117">
        <f>IF(O1561="","",N1561*O1561*M1561)</f>
        <v>0</v>
      </c>
      <c r="M1561" s="108">
        <v>1</v>
      </c>
      <c r="N1561" s="95">
        <v>1</v>
      </c>
      <c r="O1561" s="109">
        <f>IF(Key!D$1="ON",P1561,IF(SUM(Q1561:DL1561)&lt;1,"",SUM(Q1561:DL1561)/COUNTIF(Q1561:DL1561,"&gt;0")))</f>
        <v>0</v>
      </c>
      <c r="P1561" s="109">
        <f>SUMIFS(Q1561:DK1561,Q$1:DK$1,Dashboard!$K$31)</f>
        <v>0</v>
      </c>
      <c r="U1561" s="95">
        <v>33</v>
      </c>
      <c r="AA1561" s="95">
        <v>25</v>
      </c>
      <c r="AH1561" s="95">
        <v>75</v>
      </c>
    </row>
    <row r="1562" spans="1:34" ht="15.6" x14ac:dyDescent="0.3">
      <c r="A1562" s="89" t="str">
        <f>CONCATENATE(D1562,".",F1562,"-",G1562,".",H1562,"")</f>
        <v>2.1-6.1</v>
      </c>
      <c r="B1562" s="89" t="str">
        <f>IF(CONCATENATE(I1562,Key!F$2)=CONCATENATE(INDEX(Dashboard!J:J,MATCH(I1562,Dashboard!J:J,0),1),INDEX(Dashboard!J:K,MATCH(I1562,Dashboard!J:J,0),2)),"ON",IF(Dashboard!K$32="ALL","ON","-"))</f>
        <v>-</v>
      </c>
      <c r="C1562" s="88" t="s">
        <v>152</v>
      </c>
      <c r="D1562" s="89">
        <f>IF(C1562="ID",1,(IF(C1562="PR",2,(IF(C1562="DE",3,(IF(C1562="RS",4,(IF(C1562="RC",5,0)))))))))</f>
        <v>2</v>
      </c>
      <c r="E1562" s="89" t="s">
        <v>153</v>
      </c>
      <c r="F1562" s="89">
        <f>IF(E1562="AM",1,(IF(E1562="BE",2,(IF(E1562="GV",3,(IF(E1562="RA",4,(IF(E1562="RM",5,(IF(E1562="AC",1,(IF(E1562="AT",2,(IF(E1562="DS",3,(IF(E1562="IP",4,(IF(E1562="MA",5,(IF(E1562="PT",6,(IF(E1562="AE",1,(IF(E1562="CM",2,(IF(E1562="DP",3,(IF(E1562="AN",1,(IF(E1562="CO",2,(IF(E1562="IM",3,(IF(E1562="MI",4,(IF(E1562="RP",5,(IF(E1562="SC",6,0)))))))))))))))))))))))))))))))))))))))</f>
        <v>1</v>
      </c>
      <c r="G1562" s="52">
        <v>6</v>
      </c>
      <c r="H1562" s="90" t="s">
        <v>115</v>
      </c>
      <c r="I1562" s="94" t="s">
        <v>85</v>
      </c>
      <c r="J1562" s="135" t="s">
        <v>697</v>
      </c>
      <c r="K1562" s="143" t="s">
        <v>4647</v>
      </c>
      <c r="L1562" s="117">
        <f>IF(O1562="","",N1562*O1562*M1562)</f>
        <v>0</v>
      </c>
      <c r="M1562" s="108">
        <v>1</v>
      </c>
      <c r="N1562" s="95">
        <v>1</v>
      </c>
      <c r="O1562" s="109">
        <f>IF(Key!D$1="ON",P1562,IF(SUM(Q1562:DL1562)&lt;1,"",SUM(Q1562:DL1562)/COUNTIF(Q1562:DL1562,"&gt;0")))</f>
        <v>0</v>
      </c>
      <c r="P1562" s="109">
        <f>SUMIFS(Q1562:DK1562,Q$1:DK$1,Dashboard!$K$31)</f>
        <v>0</v>
      </c>
      <c r="U1562" s="95">
        <v>33</v>
      </c>
      <c r="AA1562" s="95">
        <v>25</v>
      </c>
      <c r="AH1562" s="95">
        <v>75</v>
      </c>
    </row>
    <row r="1563" spans="1:34" ht="15.6" x14ac:dyDescent="0.3">
      <c r="A1563" s="89" t="str">
        <f>CONCATENATE(D1563,".",F1563,"-",G1563,".",H1563,"")</f>
        <v>2.1-6.1</v>
      </c>
      <c r="B1563" s="89" t="str">
        <f>IF(CONCATENATE(I1563,Key!F$2)=CONCATENATE(INDEX(Dashboard!J:J,MATCH(I1563,Dashboard!J:J,0),1),INDEX(Dashboard!J:K,MATCH(I1563,Dashboard!J:J,0),2)),"ON",IF(Dashboard!K$32="ALL","ON","-"))</f>
        <v>-</v>
      </c>
      <c r="C1563" s="88" t="s">
        <v>152</v>
      </c>
      <c r="D1563" s="89">
        <f>IF(C1563="ID",1,(IF(C1563="PR",2,(IF(C1563="DE",3,(IF(C1563="RS",4,(IF(C1563="RC",5,0)))))))))</f>
        <v>2</v>
      </c>
      <c r="E1563" s="89" t="s">
        <v>153</v>
      </c>
      <c r="F1563" s="89">
        <f>IF(E1563="AM",1,(IF(E1563="BE",2,(IF(E1563="GV",3,(IF(E1563="RA",4,(IF(E1563="RM",5,(IF(E1563="AC",1,(IF(E1563="AT",2,(IF(E1563="DS",3,(IF(E1563="IP",4,(IF(E1563="MA",5,(IF(E1563="PT",6,(IF(E1563="AE",1,(IF(E1563="CM",2,(IF(E1563="DP",3,(IF(E1563="AN",1,(IF(E1563="CO",2,(IF(E1563="IM",3,(IF(E1563="MI",4,(IF(E1563="RP",5,(IF(E1563="SC",6,0)))))))))))))))))))))))))))))))))))))))</f>
        <v>1</v>
      </c>
      <c r="G1563" s="52">
        <v>6</v>
      </c>
      <c r="H1563" s="89">
        <v>1</v>
      </c>
      <c r="I1563" s="94" t="s">
        <v>85</v>
      </c>
      <c r="J1563" s="135" t="s">
        <v>777</v>
      </c>
      <c r="K1563" s="143" t="s">
        <v>778</v>
      </c>
      <c r="L1563" s="117">
        <f>IF(O1563="","",N1563*O1563*M1563)</f>
        <v>0</v>
      </c>
      <c r="M1563" s="108">
        <v>1</v>
      </c>
      <c r="N1563" s="95">
        <v>1</v>
      </c>
      <c r="O1563" s="109">
        <f>IF(Key!D$1="ON",P1563,IF(SUM(Q1563:DL1563)&lt;1,"",SUM(Q1563:DL1563)/COUNTIF(Q1563:DL1563,"&gt;0")))</f>
        <v>0</v>
      </c>
      <c r="P1563" s="109">
        <f>SUMIFS(Q1563:DK1563,Q$1:DK$1,Dashboard!$K$31)</f>
        <v>0</v>
      </c>
      <c r="U1563" s="95">
        <v>33</v>
      </c>
      <c r="AA1563" s="95">
        <v>25</v>
      </c>
      <c r="AH1563" s="95">
        <v>75</v>
      </c>
    </row>
    <row r="1564" spans="1:34" ht="15.6" x14ac:dyDescent="0.3">
      <c r="A1564" s="89" t="str">
        <f>CONCATENATE(D1564,".",F1564,"-",G1564,".",H1564,"")</f>
        <v>2.1-6.1</v>
      </c>
      <c r="B1564" s="89" t="str">
        <f>IF(CONCATENATE(I1564,Key!F$2)=CONCATENATE(INDEX(Dashboard!J:J,MATCH(I1564,Dashboard!J:J,0),1),INDEX(Dashboard!J:K,MATCH(I1564,Dashboard!J:J,0),2)),"ON",IF(Dashboard!K$32="ALL","ON","-"))</f>
        <v>-</v>
      </c>
      <c r="C1564" s="88" t="s">
        <v>152</v>
      </c>
      <c r="D1564" s="89">
        <f>IF(C1564="ID",1,(IF(C1564="PR",2,(IF(C1564="DE",3,(IF(C1564="RS",4,(IF(C1564="RC",5,0)))))))))</f>
        <v>2</v>
      </c>
      <c r="E1564" s="89" t="s">
        <v>153</v>
      </c>
      <c r="F1564" s="89">
        <f>IF(E1564="AM",1,(IF(E1564="BE",2,(IF(E1564="GV",3,(IF(E1564="RA",4,(IF(E1564="RM",5,(IF(E1564="AC",1,(IF(E1564="AT",2,(IF(E1564="DS",3,(IF(E1564="IP",4,(IF(E1564="MA",5,(IF(E1564="PT",6,(IF(E1564="AE",1,(IF(E1564="CM",2,(IF(E1564="DP",3,(IF(E1564="AN",1,(IF(E1564="CO",2,(IF(E1564="IM",3,(IF(E1564="MI",4,(IF(E1564="RP",5,(IF(E1564="SC",6,0)))))))))))))))))))))))))))))))))))))))</f>
        <v>1</v>
      </c>
      <c r="G1564" s="52">
        <v>6</v>
      </c>
      <c r="H1564" s="89">
        <v>1</v>
      </c>
      <c r="I1564" s="94" t="s">
        <v>85</v>
      </c>
      <c r="J1564" s="135" t="s">
        <v>683</v>
      </c>
      <c r="K1564" s="143" t="s">
        <v>684</v>
      </c>
      <c r="L1564" s="117">
        <f>IF(O1564="","",N1564*O1564*M1564)</f>
        <v>0</v>
      </c>
      <c r="M1564" s="108">
        <v>1</v>
      </c>
      <c r="N1564" s="95">
        <v>1</v>
      </c>
      <c r="O1564" s="109">
        <f>IF(Key!D$1="ON",P1564,IF(SUM(Q1564:DL1564)&lt;1,"",SUM(Q1564:DL1564)/COUNTIF(Q1564:DL1564,"&gt;0")))</f>
        <v>0</v>
      </c>
      <c r="P1564" s="109">
        <f>SUMIFS(Q1564:DK1564,Q$1:DK$1,Dashboard!$K$31)</f>
        <v>0</v>
      </c>
      <c r="U1564" s="95">
        <v>33</v>
      </c>
      <c r="AA1564" s="95">
        <v>25</v>
      </c>
      <c r="AH1564" s="95">
        <v>75</v>
      </c>
    </row>
    <row r="1565" spans="1:34" ht="15.6" x14ac:dyDescent="0.3">
      <c r="A1565" s="89" t="str">
        <f>CONCATENATE(D1565,".",F1565,"-",G1565,".",H1565,"")</f>
        <v>2.1-6.1</v>
      </c>
      <c r="B1565" s="89" t="str">
        <f>IF(CONCATENATE(I1565,Key!F$2)=CONCATENATE(INDEX(Dashboard!J:J,MATCH(I1565,Dashboard!J:J,0),1),INDEX(Dashboard!J:K,MATCH(I1565,Dashboard!J:J,0),2)),"ON",IF(Dashboard!K$32="ALL","ON","-"))</f>
        <v>-</v>
      </c>
      <c r="C1565" s="88" t="s">
        <v>152</v>
      </c>
      <c r="D1565" s="89">
        <f>IF(C1565="ID",1,(IF(C1565="PR",2,(IF(C1565="DE",3,(IF(C1565="RS",4,(IF(C1565="RC",5,0)))))))))</f>
        <v>2</v>
      </c>
      <c r="E1565" s="89" t="s">
        <v>153</v>
      </c>
      <c r="F1565" s="89">
        <f>IF(E1565="AM",1,(IF(E1565="BE",2,(IF(E1565="GV",3,(IF(E1565="RA",4,(IF(E1565="RM",5,(IF(E1565="AC",1,(IF(E1565="AT",2,(IF(E1565="DS",3,(IF(E1565="IP",4,(IF(E1565="MA",5,(IF(E1565="PT",6,(IF(E1565="AE",1,(IF(E1565="CM",2,(IF(E1565="DP",3,(IF(E1565="AN",1,(IF(E1565="CO",2,(IF(E1565="IM",3,(IF(E1565="MI",4,(IF(E1565="RP",5,(IF(E1565="SC",6,0)))))))))))))))))))))))))))))))))))))))</f>
        <v>1</v>
      </c>
      <c r="G1565" s="52">
        <v>6</v>
      </c>
      <c r="H1565" s="89">
        <v>1</v>
      </c>
      <c r="I1565" s="94" t="s">
        <v>85</v>
      </c>
      <c r="J1565" s="135" t="s">
        <v>686</v>
      </c>
      <c r="K1565" s="143" t="s">
        <v>4781</v>
      </c>
      <c r="L1565" s="117">
        <f>IF(O1565="","",N1565*O1565*M1565)</f>
        <v>0</v>
      </c>
      <c r="M1565" s="108">
        <v>1</v>
      </c>
      <c r="N1565" s="95">
        <v>1</v>
      </c>
      <c r="O1565" s="109">
        <f>IF(Key!D$1="ON",P1565,IF(SUM(Q1565:DL1565)&lt;1,"",SUM(Q1565:DL1565)/COUNTIF(Q1565:DL1565,"&gt;0")))</f>
        <v>0</v>
      </c>
      <c r="P1565" s="109">
        <f>SUMIFS(Q1565:DK1565,Q$1:DK$1,Dashboard!$K$31)</f>
        <v>0</v>
      </c>
      <c r="U1565" s="95">
        <v>33</v>
      </c>
      <c r="AA1565" s="95">
        <v>25</v>
      </c>
      <c r="AH1565" s="95">
        <v>75</v>
      </c>
    </row>
    <row r="1566" spans="1:34" x14ac:dyDescent="0.3">
      <c r="A1566" s="89" t="str">
        <f>CONCATENATE(D1566,".",F1566,"-",G1566,".",H1566,"")</f>
        <v>2.1-6.1</v>
      </c>
      <c r="B1566" s="89" t="str">
        <f>IF(CONCATENATE(I1566,Key!F$2)=CONCATENATE(INDEX(Dashboard!J:J,MATCH(I1566,Dashboard!J:J,0),1),INDEX(Dashboard!J:K,MATCH(I1566,Dashboard!J:J,0),2)),"ON",IF(Dashboard!K$32="ALL","ON","-"))</f>
        <v>-</v>
      </c>
      <c r="C1566" s="88" t="s">
        <v>152</v>
      </c>
      <c r="D1566" s="89">
        <f>IF(C1566="ID",1,(IF(C1566="PR",2,(IF(C1566="DE",3,(IF(C1566="RS",4,(IF(C1566="RC",5,0)))))))))</f>
        <v>2</v>
      </c>
      <c r="E1566" s="89" t="s">
        <v>153</v>
      </c>
      <c r="F1566" s="89">
        <f>IF(E1566="AM",1,(IF(E1566="BE",2,(IF(E1566="GV",3,(IF(E1566="RA",4,(IF(E1566="RM",5,(IF(E1566="AC",1,(IF(E1566="AT",2,(IF(E1566="DS",3,(IF(E1566="IP",4,(IF(E1566="MA",5,(IF(E1566="PT",6,(IF(E1566="AE",1,(IF(E1566="CM",2,(IF(E1566="DP",3,(IF(E1566="AN",1,(IF(E1566="CO",2,(IF(E1566="IM",3,(IF(E1566="MI",4,(IF(E1566="RP",5,(IF(E1566="SC",6,0)))))))))))))))))))))))))))))))))))))))</f>
        <v>1</v>
      </c>
      <c r="G1566" s="52">
        <v>6</v>
      </c>
      <c r="H1566" s="89">
        <v>1</v>
      </c>
      <c r="I1566" s="94" t="s">
        <v>85</v>
      </c>
      <c r="J1566" s="135" t="s">
        <v>687</v>
      </c>
      <c r="K1566" s="143" t="s">
        <v>4782</v>
      </c>
      <c r="L1566" s="117">
        <f>IF(O1566="","",N1566*O1566*M1566)</f>
        <v>0</v>
      </c>
      <c r="M1566" s="108">
        <v>1</v>
      </c>
      <c r="N1566" s="95">
        <v>1</v>
      </c>
      <c r="O1566" s="109">
        <f>IF(Key!D$1="ON",P1566,IF(SUM(Q1566:DL1566)&lt;1,"",SUM(Q1566:DL1566)/COUNTIF(Q1566:DL1566,"&gt;0")))</f>
        <v>0</v>
      </c>
      <c r="P1566" s="109">
        <f>SUMIFS(Q1566:DK1566,Q$1:DK$1,Dashboard!$K$31)</f>
        <v>0</v>
      </c>
      <c r="U1566" s="95">
        <v>33</v>
      </c>
      <c r="AA1566" s="95">
        <v>25</v>
      </c>
      <c r="AH1566" s="95">
        <v>75</v>
      </c>
    </row>
    <row r="1567" spans="1:34" x14ac:dyDescent="0.3">
      <c r="A1567" s="89" t="str">
        <f>CONCATENATE(D1567,".",F1567,"-",G1567,".",H1567,"")</f>
        <v>2.1-6.1</v>
      </c>
      <c r="B1567" s="89" t="str">
        <f>IF(CONCATENATE(I1567,Key!F$2)=CONCATENATE(INDEX(Dashboard!J:J,MATCH(I1567,Dashboard!J:J,0),1),INDEX(Dashboard!J:K,MATCH(I1567,Dashboard!J:J,0),2)),"ON",IF(Dashboard!K$32="ALL","ON","-"))</f>
        <v>-</v>
      </c>
      <c r="C1567" s="88" t="s">
        <v>152</v>
      </c>
      <c r="D1567" s="89">
        <f>IF(C1567="ID",1,(IF(C1567="PR",2,(IF(C1567="DE",3,(IF(C1567="RS",4,(IF(C1567="RC",5,0)))))))))</f>
        <v>2</v>
      </c>
      <c r="E1567" s="89" t="s">
        <v>153</v>
      </c>
      <c r="F1567" s="89">
        <f>IF(E1567="AM",1,(IF(E1567="BE",2,(IF(E1567="GV",3,(IF(E1567="RA",4,(IF(E1567="RM",5,(IF(E1567="AC",1,(IF(E1567="AT",2,(IF(E1567="DS",3,(IF(E1567="IP",4,(IF(E1567="MA",5,(IF(E1567="PT",6,(IF(E1567="AE",1,(IF(E1567="CM",2,(IF(E1567="DP",3,(IF(E1567="AN",1,(IF(E1567="CO",2,(IF(E1567="IM",3,(IF(E1567="MI",4,(IF(E1567="RP",5,(IF(E1567="SC",6,0)))))))))))))))))))))))))))))))))))))))</f>
        <v>1</v>
      </c>
      <c r="G1567" s="52">
        <v>6</v>
      </c>
      <c r="H1567" s="89">
        <v>1</v>
      </c>
      <c r="I1567" s="94" t="s">
        <v>85</v>
      </c>
      <c r="J1567" s="135" t="s">
        <v>688</v>
      </c>
      <c r="K1567" s="143" t="s">
        <v>4783</v>
      </c>
      <c r="L1567" s="117">
        <f>IF(O1567="","",N1567*O1567*M1567)</f>
        <v>0</v>
      </c>
      <c r="M1567" s="108">
        <v>1</v>
      </c>
      <c r="N1567" s="95">
        <v>1</v>
      </c>
      <c r="O1567" s="109">
        <f>IF(Key!D$1="ON",P1567,IF(SUM(Q1567:DL1567)&lt;1,"",SUM(Q1567:DL1567)/COUNTIF(Q1567:DL1567,"&gt;0")))</f>
        <v>0</v>
      </c>
      <c r="P1567" s="109">
        <f>SUMIFS(Q1567:DK1567,Q$1:DK$1,Dashboard!$K$31)</f>
        <v>0</v>
      </c>
      <c r="U1567" s="95">
        <v>33</v>
      </c>
      <c r="AA1567" s="95">
        <v>25</v>
      </c>
      <c r="AH1567" s="95">
        <v>75</v>
      </c>
    </row>
    <row r="1568" spans="1:34" x14ac:dyDescent="0.3">
      <c r="A1568" s="89" t="str">
        <f>CONCATENATE(D1568,".",F1568,"-",G1568,".",H1568,"")</f>
        <v>2.1-6.1</v>
      </c>
      <c r="B1568" s="89" t="str">
        <f>IF(CONCATENATE(I1568,Key!F$2)=CONCATENATE(INDEX(Dashboard!J:J,MATCH(I1568,Dashboard!J:J,0),1),INDEX(Dashboard!J:K,MATCH(I1568,Dashboard!J:J,0),2)),"ON",IF(Dashboard!K$32="ALL","ON","-"))</f>
        <v>-</v>
      </c>
      <c r="C1568" s="88" t="s">
        <v>152</v>
      </c>
      <c r="D1568" s="89">
        <f>IF(C1568="ID",1,(IF(C1568="PR",2,(IF(C1568="DE",3,(IF(C1568="RS",4,(IF(C1568="RC",5,0)))))))))</f>
        <v>2</v>
      </c>
      <c r="E1568" s="89" t="s">
        <v>153</v>
      </c>
      <c r="F1568" s="89">
        <f>IF(E1568="AM",1,(IF(E1568="BE",2,(IF(E1568="GV",3,(IF(E1568="RA",4,(IF(E1568="RM",5,(IF(E1568="AC",1,(IF(E1568="AT",2,(IF(E1568="DS",3,(IF(E1568="IP",4,(IF(E1568="MA",5,(IF(E1568="PT",6,(IF(E1568="AE",1,(IF(E1568="CM",2,(IF(E1568="DP",3,(IF(E1568="AN",1,(IF(E1568="CO",2,(IF(E1568="IM",3,(IF(E1568="MI",4,(IF(E1568="RP",5,(IF(E1568="SC",6,0)))))))))))))))))))))))))))))))))))))))</f>
        <v>1</v>
      </c>
      <c r="G1568" s="52">
        <v>6</v>
      </c>
      <c r="H1568" s="89">
        <v>1</v>
      </c>
      <c r="I1568" s="94" t="s">
        <v>85</v>
      </c>
      <c r="J1568" s="135" t="s">
        <v>689</v>
      </c>
      <c r="K1568" s="143" t="s">
        <v>4784</v>
      </c>
      <c r="L1568" s="117">
        <f>IF(O1568="","",N1568*O1568*M1568)</f>
        <v>0</v>
      </c>
      <c r="M1568" s="108">
        <v>1</v>
      </c>
      <c r="N1568" s="95">
        <v>1</v>
      </c>
      <c r="O1568" s="109">
        <f>IF(Key!D$1="ON",P1568,IF(SUM(Q1568:DL1568)&lt;1,"",SUM(Q1568:DL1568)/COUNTIF(Q1568:DL1568,"&gt;0")))</f>
        <v>0</v>
      </c>
      <c r="P1568" s="109">
        <f>SUMIFS(Q1568:DK1568,Q$1:DK$1,Dashboard!$K$31)</f>
        <v>0</v>
      </c>
      <c r="U1568" s="95">
        <v>33</v>
      </c>
      <c r="AA1568" s="95">
        <v>25</v>
      </c>
      <c r="AH1568" s="95">
        <v>75</v>
      </c>
    </row>
    <row r="1569" spans="1:34" x14ac:dyDescent="0.3">
      <c r="A1569" s="89" t="str">
        <f>CONCATENATE(D1569,".",F1569,"-",G1569,".",H1569,"")</f>
        <v>2.1-6.1</v>
      </c>
      <c r="B1569" s="89" t="str">
        <f>IF(CONCATENATE(I1569,Key!F$2)=CONCATENATE(INDEX(Dashboard!J:J,MATCH(I1569,Dashboard!J:J,0),1),INDEX(Dashboard!J:K,MATCH(I1569,Dashboard!J:J,0),2)),"ON",IF(Dashboard!K$32="ALL","ON","-"))</f>
        <v>-</v>
      </c>
      <c r="C1569" s="88" t="s">
        <v>152</v>
      </c>
      <c r="D1569" s="89">
        <f>IF(C1569="ID",1,(IF(C1569="PR",2,(IF(C1569="DE",3,(IF(C1569="RS",4,(IF(C1569="RC",5,0)))))))))</f>
        <v>2</v>
      </c>
      <c r="E1569" s="89" t="s">
        <v>153</v>
      </c>
      <c r="F1569" s="89">
        <f>IF(E1569="AM",1,(IF(E1569="BE",2,(IF(E1569="GV",3,(IF(E1569="RA",4,(IF(E1569="RM",5,(IF(E1569="AC",1,(IF(E1569="AT",2,(IF(E1569="DS",3,(IF(E1569="IP",4,(IF(E1569="MA",5,(IF(E1569="PT",6,(IF(E1569="AE",1,(IF(E1569="CM",2,(IF(E1569="DP",3,(IF(E1569="AN",1,(IF(E1569="CO",2,(IF(E1569="IM",3,(IF(E1569="MI",4,(IF(E1569="RP",5,(IF(E1569="SC",6,0)))))))))))))))))))))))))))))))))))))))</f>
        <v>1</v>
      </c>
      <c r="G1569" s="52">
        <v>6</v>
      </c>
      <c r="H1569" s="89">
        <v>1</v>
      </c>
      <c r="I1569" s="94" t="s">
        <v>85</v>
      </c>
      <c r="J1569" s="135" t="s">
        <v>690</v>
      </c>
      <c r="K1569" s="143" t="s">
        <v>4785</v>
      </c>
      <c r="L1569" s="117">
        <f>IF(O1569="","",N1569*O1569*M1569)</f>
        <v>0</v>
      </c>
      <c r="M1569" s="108">
        <v>1</v>
      </c>
      <c r="N1569" s="95">
        <v>1</v>
      </c>
      <c r="O1569" s="109">
        <f>IF(Key!D$1="ON",P1569,IF(SUM(Q1569:DL1569)&lt;1,"",SUM(Q1569:DL1569)/COUNTIF(Q1569:DL1569,"&gt;0")))</f>
        <v>0</v>
      </c>
      <c r="P1569" s="109">
        <f>SUMIFS(Q1569:DK1569,Q$1:DK$1,Dashboard!$K$31)</f>
        <v>0</v>
      </c>
      <c r="U1569" s="95">
        <v>33</v>
      </c>
      <c r="AA1569" s="95">
        <v>25</v>
      </c>
      <c r="AH1569" s="95">
        <v>75</v>
      </c>
    </row>
    <row r="1570" spans="1:34" x14ac:dyDescent="0.3">
      <c r="A1570" s="89" t="str">
        <f>CONCATENATE(D1570,".",F1570,"-",G1570,".",H1570,"")</f>
        <v>2.1-6.1</v>
      </c>
      <c r="B1570" s="89" t="str">
        <f>IF(CONCATENATE(I1570,Key!F$2)=CONCATENATE(INDEX(Dashboard!J:J,MATCH(I1570,Dashboard!J:J,0),1),INDEX(Dashboard!J:K,MATCH(I1570,Dashboard!J:J,0),2)),"ON",IF(Dashboard!K$32="ALL","ON","-"))</f>
        <v>-</v>
      </c>
      <c r="C1570" s="88" t="s">
        <v>152</v>
      </c>
      <c r="D1570" s="89">
        <f>IF(C1570="ID",1,(IF(C1570="PR",2,(IF(C1570="DE",3,(IF(C1570="RS",4,(IF(C1570="RC",5,0)))))))))</f>
        <v>2</v>
      </c>
      <c r="E1570" s="89" t="s">
        <v>153</v>
      </c>
      <c r="F1570" s="89">
        <f>IF(E1570="AM",1,(IF(E1570="BE",2,(IF(E1570="GV",3,(IF(E1570="RA",4,(IF(E1570="RM",5,(IF(E1570="AC",1,(IF(E1570="AT",2,(IF(E1570="DS",3,(IF(E1570="IP",4,(IF(E1570="MA",5,(IF(E1570="PT",6,(IF(E1570="AE",1,(IF(E1570="CM",2,(IF(E1570="DP",3,(IF(E1570="AN",1,(IF(E1570="CO",2,(IF(E1570="IM",3,(IF(E1570="MI",4,(IF(E1570="RP",5,(IF(E1570="SC",6,0)))))))))))))))))))))))))))))))))))))))</f>
        <v>1</v>
      </c>
      <c r="G1570" s="52">
        <v>6</v>
      </c>
      <c r="H1570" s="90" t="s">
        <v>115</v>
      </c>
      <c r="I1570" s="94" t="s">
        <v>85</v>
      </c>
      <c r="J1570" s="135" t="s">
        <v>857</v>
      </c>
      <c r="K1570" s="143" t="s">
        <v>5151</v>
      </c>
      <c r="L1570" s="117">
        <f>IF(O1570="","",N1570*O1570*M1570)</f>
        <v>0</v>
      </c>
      <c r="M1570" s="108">
        <v>1</v>
      </c>
      <c r="N1570" s="95">
        <v>1</v>
      </c>
      <c r="O1570" s="109">
        <f>IF(Key!D$1="ON",P1570,IF(SUM(Q1570:DL1570)&lt;1,"",SUM(Q1570:DL1570)/COUNTIF(Q1570:DL1570,"&gt;0")))</f>
        <v>0</v>
      </c>
      <c r="P1570" s="109">
        <f>SUMIFS(Q1570:DK1570,Q$1:DK$1,Dashboard!$K$31)</f>
        <v>0</v>
      </c>
      <c r="U1570" s="95">
        <v>33</v>
      </c>
      <c r="AA1570" s="95">
        <v>25</v>
      </c>
      <c r="AH1570" s="95">
        <v>75</v>
      </c>
    </row>
    <row r="1571" spans="1:34" x14ac:dyDescent="0.3">
      <c r="A1571" s="89" t="str">
        <f>CONCATENATE(D1571,".",F1571,"-",G1571,".",H1571,"")</f>
        <v>2.1-6.1</v>
      </c>
      <c r="B1571" s="89" t="str">
        <f>IF(CONCATENATE(I1571,Key!F$2)=CONCATENATE(INDEX(Dashboard!J:J,MATCH(I1571,Dashboard!J:J,0),1),INDEX(Dashboard!J:K,MATCH(I1571,Dashboard!J:J,0),2)),"ON",IF(Dashboard!K$32="ALL","ON","-"))</f>
        <v>-</v>
      </c>
      <c r="C1571" s="88" t="s">
        <v>152</v>
      </c>
      <c r="D1571" s="89">
        <f>IF(C1571="ID",1,(IF(C1571="PR",2,(IF(C1571="DE",3,(IF(C1571="RS",4,(IF(C1571="RC",5,0)))))))))</f>
        <v>2</v>
      </c>
      <c r="E1571" s="89" t="s">
        <v>153</v>
      </c>
      <c r="F1571" s="89">
        <f>IF(E1571="AM",1,(IF(E1571="BE",2,(IF(E1571="GV",3,(IF(E1571="RA",4,(IF(E1571="RM",5,(IF(E1571="AC",1,(IF(E1571="AT",2,(IF(E1571="DS",3,(IF(E1571="IP",4,(IF(E1571="MA",5,(IF(E1571="PT",6,(IF(E1571="AE",1,(IF(E1571="CM",2,(IF(E1571="DP",3,(IF(E1571="AN",1,(IF(E1571="CO",2,(IF(E1571="IM",3,(IF(E1571="MI",4,(IF(E1571="RP",5,(IF(E1571="SC",6,0)))))))))))))))))))))))))))))))))))))))</f>
        <v>1</v>
      </c>
      <c r="G1571" s="52">
        <v>6</v>
      </c>
      <c r="H1571" s="90" t="s">
        <v>115</v>
      </c>
      <c r="I1571" s="94" t="s">
        <v>89</v>
      </c>
      <c r="J1571" s="88">
        <v>500.12</v>
      </c>
      <c r="K1571" s="102" t="s">
        <v>486</v>
      </c>
      <c r="L1571" s="117">
        <f>IF(O1571="","",N1571*O1571*M1571)</f>
        <v>0</v>
      </c>
      <c r="M1571" s="108">
        <v>1</v>
      </c>
      <c r="N1571" s="95">
        <v>1</v>
      </c>
      <c r="O1571" s="109">
        <f>IF(Key!D$1="ON",P1571,IF(SUM(Q1571:DL1571)&lt;1,"",SUM(Q1571:DL1571)/COUNTIF(Q1571:DL1571,"&gt;0")))</f>
        <v>0</v>
      </c>
      <c r="P1571" s="109">
        <f>SUMIFS(Q1571:DK1571,Q$1:DK$1,Dashboard!$K$31)</f>
        <v>0</v>
      </c>
      <c r="U1571" s="95">
        <v>33</v>
      </c>
      <c r="AA1571" s="95">
        <v>25</v>
      </c>
      <c r="AH1571" s="95">
        <v>75</v>
      </c>
    </row>
    <row r="1572" spans="1:34" x14ac:dyDescent="0.3">
      <c r="A1572" s="89" t="str">
        <f>CONCATENATE(D1572,".",F1572,"-",G1572,".",H1572,"")</f>
        <v>2.1-6.1</v>
      </c>
      <c r="B1572" s="89" t="str">
        <f>IF(CONCATENATE(I1572,Key!F$2)=CONCATENATE(INDEX(Dashboard!J:J,MATCH(I1572,Dashboard!J:J,0),1),INDEX(Dashboard!J:K,MATCH(I1572,Dashboard!J:J,0),2)),"ON",IF(Dashboard!K$32="ALL","ON","-"))</f>
        <v>-</v>
      </c>
      <c r="C1572" s="88" t="s">
        <v>152</v>
      </c>
      <c r="D1572" s="89">
        <f>IF(C1572="ID",1,(IF(C1572="PR",2,(IF(C1572="DE",3,(IF(C1572="RS",4,(IF(C1572="RC",5,0)))))))))</f>
        <v>2</v>
      </c>
      <c r="E1572" s="89" t="s">
        <v>153</v>
      </c>
      <c r="F1572" s="89">
        <f>IF(E1572="AM",1,(IF(E1572="BE",2,(IF(E1572="GV",3,(IF(E1572="RA",4,(IF(E1572="RM",5,(IF(E1572="AC",1,(IF(E1572="AT",2,(IF(E1572="DS",3,(IF(E1572="IP",4,(IF(E1572="MA",5,(IF(E1572="PT",6,(IF(E1572="AE",1,(IF(E1572="CM",2,(IF(E1572="DP",3,(IF(E1572="AN",1,(IF(E1572="CO",2,(IF(E1572="IM",3,(IF(E1572="MI",4,(IF(E1572="RP",5,(IF(E1572="SC",6,0)))))))))))))))))))))))))))))))))))))))</f>
        <v>1</v>
      </c>
      <c r="G1572" s="52">
        <v>6</v>
      </c>
      <c r="H1572" s="90" t="s">
        <v>115</v>
      </c>
      <c r="I1572" s="94" t="s">
        <v>89</v>
      </c>
      <c r="J1572" s="88" t="s">
        <v>487</v>
      </c>
      <c r="K1572" s="102" t="s">
        <v>488</v>
      </c>
      <c r="L1572" s="117">
        <f>IF(O1572="","",N1572*O1572*M1572)</f>
        <v>0</v>
      </c>
      <c r="M1572" s="108">
        <v>1</v>
      </c>
      <c r="N1572" s="95">
        <v>1</v>
      </c>
      <c r="O1572" s="109">
        <f>IF(Key!D$1="ON",P1572,IF(SUM(Q1572:DL1572)&lt;1,"",SUM(Q1572:DL1572)/COUNTIF(Q1572:DL1572,"&gt;0")))</f>
        <v>0</v>
      </c>
      <c r="P1572" s="109">
        <f>SUMIFS(Q1572:DK1572,Q$1:DK$1,Dashboard!$K$31)</f>
        <v>0</v>
      </c>
      <c r="U1572" s="95">
        <v>33</v>
      </c>
      <c r="AA1572" s="95">
        <v>25</v>
      </c>
      <c r="AH1572" s="95">
        <v>75</v>
      </c>
    </row>
    <row r="1573" spans="1:34" x14ac:dyDescent="0.3">
      <c r="A1573" s="89" t="str">
        <f>CONCATENATE(D1573,".",F1573,"-",G1573,".",H1573,"")</f>
        <v>2.1-6.1</v>
      </c>
      <c r="B1573" s="89" t="str">
        <f>IF(CONCATENATE(I1573,Key!F$2)=CONCATENATE(INDEX(Dashboard!J:J,MATCH(I1573,Dashboard!J:J,0),1),INDEX(Dashboard!J:K,MATCH(I1573,Dashboard!J:J,0),2)),"ON",IF(Dashboard!K$32="ALL","ON","-"))</f>
        <v>-</v>
      </c>
      <c r="C1573" s="88" t="s">
        <v>152</v>
      </c>
      <c r="D1573" s="89">
        <f>IF(C1573="ID",1,(IF(C1573="PR",2,(IF(C1573="DE",3,(IF(C1573="RS",4,(IF(C1573="RC",5,0)))))))))</f>
        <v>2</v>
      </c>
      <c r="E1573" s="89" t="s">
        <v>153</v>
      </c>
      <c r="F1573" s="89">
        <f>IF(E1573="AM",1,(IF(E1573="BE",2,(IF(E1573="GV",3,(IF(E1573="RA",4,(IF(E1573="RM",5,(IF(E1573="AC",1,(IF(E1573="AT",2,(IF(E1573="DS",3,(IF(E1573="IP",4,(IF(E1573="MA",5,(IF(E1573="PT",6,(IF(E1573="AE",1,(IF(E1573="CM",2,(IF(E1573="DP",3,(IF(E1573="AN",1,(IF(E1573="CO",2,(IF(E1573="IM",3,(IF(E1573="MI",4,(IF(E1573="RP",5,(IF(E1573="SC",6,0)))))))))))))))))))))))))))))))))))))))</f>
        <v>1</v>
      </c>
      <c r="G1573" s="52">
        <v>6</v>
      </c>
      <c r="H1573" s="90" t="s">
        <v>115</v>
      </c>
      <c r="I1573" s="94" t="s">
        <v>89</v>
      </c>
      <c r="J1573" s="88" t="s">
        <v>489</v>
      </c>
      <c r="K1573" s="102" t="s">
        <v>490</v>
      </c>
      <c r="L1573" s="117">
        <f>IF(O1573="","",N1573*O1573*M1573)</f>
        <v>0</v>
      </c>
      <c r="M1573" s="108">
        <v>1</v>
      </c>
      <c r="N1573" s="95">
        <v>1</v>
      </c>
      <c r="O1573" s="109">
        <f>IF(Key!D$1="ON",P1573,IF(SUM(Q1573:DL1573)&lt;1,"",SUM(Q1573:DL1573)/COUNTIF(Q1573:DL1573,"&gt;0")))</f>
        <v>0</v>
      </c>
      <c r="P1573" s="109">
        <f>SUMIFS(Q1573:DK1573,Q$1:DK$1,Dashboard!$K$31)</f>
        <v>0</v>
      </c>
      <c r="U1573" s="95">
        <v>33</v>
      </c>
      <c r="AA1573" s="95">
        <v>25</v>
      </c>
      <c r="AH1573" s="95">
        <v>75</v>
      </c>
    </row>
    <row r="1574" spans="1:34" x14ac:dyDescent="0.3">
      <c r="A1574" s="89" t="str">
        <f>CONCATENATE(D1574,".",F1574,"-",G1574,".",H1574,"")</f>
        <v>2.1-6.1</v>
      </c>
      <c r="B1574" s="89" t="str">
        <f>IF(CONCATENATE(I1574,Key!F$2)=CONCATENATE(INDEX(Dashboard!J:J,MATCH(I1574,Dashboard!J:J,0),1),INDEX(Dashboard!J:K,MATCH(I1574,Dashboard!J:J,0),2)),"ON",IF(Dashboard!K$32="ALL","ON","-"))</f>
        <v>-</v>
      </c>
      <c r="C1574" s="88" t="s">
        <v>152</v>
      </c>
      <c r="D1574" s="89">
        <f>IF(C1574="ID",1,(IF(C1574="PR",2,(IF(C1574="DE",3,(IF(C1574="RS",4,(IF(C1574="RC",5,0)))))))))</f>
        <v>2</v>
      </c>
      <c r="E1574" s="89" t="s">
        <v>153</v>
      </c>
      <c r="F1574" s="89">
        <f>IF(E1574="AM",1,(IF(E1574="BE",2,(IF(E1574="GV",3,(IF(E1574="RA",4,(IF(E1574="RM",5,(IF(E1574="AC",1,(IF(E1574="AT",2,(IF(E1574="DS",3,(IF(E1574="IP",4,(IF(E1574="MA",5,(IF(E1574="PT",6,(IF(E1574="AE",1,(IF(E1574="CM",2,(IF(E1574="DP",3,(IF(E1574="AN",1,(IF(E1574="CO",2,(IF(E1574="IM",3,(IF(E1574="MI",4,(IF(E1574="RP",5,(IF(E1574="SC",6,0)))))))))))))))))))))))))))))))))))))))</f>
        <v>1</v>
      </c>
      <c r="G1574" s="52">
        <v>6</v>
      </c>
      <c r="H1574" s="90" t="s">
        <v>115</v>
      </c>
      <c r="I1574" s="94" t="s">
        <v>92</v>
      </c>
      <c r="J1574" s="88" t="s">
        <v>201</v>
      </c>
      <c r="K1574" s="102" t="s">
        <v>5226</v>
      </c>
      <c r="L1574" s="117">
        <f>IF(O1574="","",N1574*O1574*M1574)</f>
        <v>0</v>
      </c>
      <c r="M1574" s="108">
        <v>1</v>
      </c>
      <c r="N1574" s="95">
        <v>1</v>
      </c>
      <c r="O1574" s="109">
        <f>IF(Key!D$1="ON",P1574,IF(SUM(Q1574:DL1574)&lt;1,"",SUM(Q1574:DL1574)/COUNTIF(Q1574:DL1574,"&gt;0")))</f>
        <v>0</v>
      </c>
      <c r="P1574" s="109">
        <f>SUMIFS(Q1574:DK1574,Q$1:DK$1,Dashboard!$K$31)</f>
        <v>0</v>
      </c>
      <c r="U1574" s="95">
        <v>33</v>
      </c>
      <c r="AA1574" s="95">
        <v>25</v>
      </c>
      <c r="AH1574" s="95">
        <v>75</v>
      </c>
    </row>
    <row r="1575" spans="1:34" x14ac:dyDescent="0.3">
      <c r="A1575" s="89" t="str">
        <f>CONCATENATE(D1575,".",F1575,"-",G1575,".",H1575,"")</f>
        <v>2.1-6.2</v>
      </c>
      <c r="B1575" s="89" t="str">
        <f>IF(CONCATENATE(I1575,Key!F$2)=CONCATENATE(INDEX(Dashboard!J:J,MATCH(I1575,Dashboard!J:J,0),1),INDEX(Dashboard!J:K,MATCH(I1575,Dashboard!J:J,0),2)),"ON",IF(Dashboard!K$32="ALL","ON","-"))</f>
        <v>-</v>
      </c>
      <c r="C1575" s="88" t="s">
        <v>152</v>
      </c>
      <c r="D1575" s="89">
        <f>IF(C1575="ID",1,(IF(C1575="PR",2,(IF(C1575="DE",3,(IF(C1575="RS",4,(IF(C1575="RC",5,0)))))))))</f>
        <v>2</v>
      </c>
      <c r="E1575" s="89" t="s">
        <v>153</v>
      </c>
      <c r="F1575" s="89">
        <f>IF(E1575="AM",1,(IF(E1575="BE",2,(IF(E1575="GV",3,(IF(E1575="RA",4,(IF(E1575="RM",5,(IF(E1575="AC",1,(IF(E1575="AT",2,(IF(E1575="DS",3,(IF(E1575="IP",4,(IF(E1575="MA",5,(IF(E1575="PT",6,(IF(E1575="AE",1,(IF(E1575="CM",2,(IF(E1575="DP",3,(IF(E1575="AN",1,(IF(E1575="CO",2,(IF(E1575="IM",3,(IF(E1575="MI",4,(IF(E1575="RP",5,(IF(E1575="SC",6,0)))))))))))))))))))))))))))))))))))))))</f>
        <v>1</v>
      </c>
      <c r="G1575" s="52">
        <v>6</v>
      </c>
      <c r="H1575" s="90" t="s">
        <v>112</v>
      </c>
      <c r="I1575" s="94" t="s">
        <v>64</v>
      </c>
      <c r="J1575" s="87" t="s">
        <v>1302</v>
      </c>
      <c r="K1575" s="102" t="s">
        <v>2313</v>
      </c>
      <c r="L1575" s="117">
        <f>IF(O1575="","",N1575*O1575*M1575)</f>
        <v>0</v>
      </c>
      <c r="M1575" s="108">
        <v>1</v>
      </c>
      <c r="N1575" s="95">
        <v>1</v>
      </c>
      <c r="O1575" s="109">
        <f>IF(Key!D$1="ON",P1575,IF(SUM(Q1575:DL1575)&lt;1,"",SUM(Q1575:DL1575)/COUNTIF(Q1575:DL1575,"&gt;0")))</f>
        <v>0</v>
      </c>
      <c r="P1575" s="109">
        <f>SUMIFS(Q1575:DK1575,Q$1:DK$1,Dashboard!$K$31)</f>
        <v>0</v>
      </c>
      <c r="U1575" s="95">
        <v>33</v>
      </c>
      <c r="AA1575" s="95">
        <v>25</v>
      </c>
      <c r="AH1575" s="95">
        <v>75</v>
      </c>
    </row>
    <row r="1576" spans="1:34" x14ac:dyDescent="0.3">
      <c r="A1576" s="89" t="str">
        <f>CONCATENATE(D1576,".",F1576,"-",G1576,".",H1576,"")</f>
        <v>2.1-6.2</v>
      </c>
      <c r="B1576" s="89" t="str">
        <f>IF(CONCATENATE(I1576,Key!F$2)=CONCATENATE(INDEX(Dashboard!J:J,MATCH(I1576,Dashboard!J:J,0),1),INDEX(Dashboard!J:K,MATCH(I1576,Dashboard!J:J,0),2)),"ON",IF(Dashboard!K$32="ALL","ON","-"))</f>
        <v>-</v>
      </c>
      <c r="C1576" s="88" t="s">
        <v>152</v>
      </c>
      <c r="D1576" s="89">
        <f>IF(C1576="ID",1,(IF(C1576="PR",2,(IF(C1576="DE",3,(IF(C1576="RS",4,(IF(C1576="RC",5,0)))))))))</f>
        <v>2</v>
      </c>
      <c r="E1576" s="89" t="s">
        <v>153</v>
      </c>
      <c r="F1576" s="89">
        <f>IF(E1576="AM",1,(IF(E1576="BE",2,(IF(E1576="GV",3,(IF(E1576="RA",4,(IF(E1576="RM",5,(IF(E1576="AC",1,(IF(E1576="AT",2,(IF(E1576="DS",3,(IF(E1576="IP",4,(IF(E1576="MA",5,(IF(E1576="PT",6,(IF(E1576="AE",1,(IF(E1576="CM",2,(IF(E1576="DP",3,(IF(E1576="AN",1,(IF(E1576="CO",2,(IF(E1576="IM",3,(IF(E1576="MI",4,(IF(E1576="RP",5,(IF(E1576="SC",6,0)))))))))))))))))))))))))))))))))))))))</f>
        <v>1</v>
      </c>
      <c r="G1576" s="52">
        <v>6</v>
      </c>
      <c r="H1576" s="90" t="s">
        <v>112</v>
      </c>
      <c r="I1576" s="94" t="s">
        <v>64</v>
      </c>
      <c r="J1576" s="87" t="s">
        <v>1303</v>
      </c>
      <c r="K1576" s="102" t="s">
        <v>2314</v>
      </c>
      <c r="L1576" s="117">
        <f>IF(O1576="","",N1576*O1576*M1576)</f>
        <v>0</v>
      </c>
      <c r="M1576" s="108">
        <v>1</v>
      </c>
      <c r="N1576" s="95">
        <v>1</v>
      </c>
      <c r="O1576" s="109">
        <f>IF(Key!D$1="ON",P1576,IF(SUM(Q1576:DL1576)&lt;1,"",SUM(Q1576:DL1576)/COUNTIF(Q1576:DL1576,"&gt;0")))</f>
        <v>0</v>
      </c>
      <c r="P1576" s="109">
        <f>SUMIFS(Q1576:DK1576,Q$1:DK$1,Dashboard!$K$31)</f>
        <v>0</v>
      </c>
      <c r="U1576" s="95">
        <v>33</v>
      </c>
      <c r="AA1576" s="95">
        <v>25</v>
      </c>
      <c r="AH1576" s="95">
        <v>75</v>
      </c>
    </row>
    <row r="1577" spans="1:34" x14ac:dyDescent="0.3">
      <c r="A1577" s="89" t="str">
        <f>CONCATENATE(D1577,".",F1577,"-",G1577,".",H1577,"")</f>
        <v>2.1-6.2</v>
      </c>
      <c r="B1577" s="89" t="str">
        <f>IF(CONCATENATE(I1577,Key!F$2)=CONCATENATE(INDEX(Dashboard!J:J,MATCH(I1577,Dashboard!J:J,0),1),INDEX(Dashboard!J:K,MATCH(I1577,Dashboard!J:J,0),2)),"ON",IF(Dashboard!K$32="ALL","ON","-"))</f>
        <v>-</v>
      </c>
      <c r="C1577" s="88" t="s">
        <v>152</v>
      </c>
      <c r="D1577" s="89">
        <f>IF(C1577="ID",1,(IF(C1577="PR",2,(IF(C1577="DE",3,(IF(C1577="RS",4,(IF(C1577="RC",5,0)))))))))</f>
        <v>2</v>
      </c>
      <c r="E1577" s="89" t="s">
        <v>153</v>
      </c>
      <c r="F1577" s="89">
        <f>IF(E1577="AM",1,(IF(E1577="BE",2,(IF(E1577="GV",3,(IF(E1577="RA",4,(IF(E1577="RM",5,(IF(E1577="AC",1,(IF(E1577="AT",2,(IF(E1577="DS",3,(IF(E1577="IP",4,(IF(E1577="MA",5,(IF(E1577="PT",6,(IF(E1577="AE",1,(IF(E1577="CM",2,(IF(E1577="DP",3,(IF(E1577="AN",1,(IF(E1577="CO",2,(IF(E1577="IM",3,(IF(E1577="MI",4,(IF(E1577="RP",5,(IF(E1577="SC",6,0)))))))))))))))))))))))))))))))))))))))</f>
        <v>1</v>
      </c>
      <c r="G1577" s="52">
        <v>6</v>
      </c>
      <c r="H1577" s="90" t="s">
        <v>112</v>
      </c>
      <c r="I1577" s="94" t="s">
        <v>64</v>
      </c>
      <c r="J1577" s="87" t="s">
        <v>1304</v>
      </c>
      <c r="K1577" s="102" t="s">
        <v>2315</v>
      </c>
      <c r="L1577" s="117">
        <f>IF(O1577="","",N1577*O1577*M1577)</f>
        <v>0</v>
      </c>
      <c r="M1577" s="108">
        <v>1</v>
      </c>
      <c r="N1577" s="95">
        <v>1</v>
      </c>
      <c r="O1577" s="109">
        <f>IF(Key!D$1="ON",P1577,IF(SUM(Q1577:DL1577)&lt;1,"",SUM(Q1577:DL1577)/COUNTIF(Q1577:DL1577,"&gt;0")))</f>
        <v>0</v>
      </c>
      <c r="P1577" s="109">
        <f>SUMIFS(Q1577:DK1577,Q$1:DK$1,Dashboard!$K$31)</f>
        <v>0</v>
      </c>
      <c r="U1577" s="95">
        <v>33</v>
      </c>
      <c r="AA1577" s="95">
        <v>25</v>
      </c>
      <c r="AH1577" s="95">
        <v>75</v>
      </c>
    </row>
    <row r="1578" spans="1:34" ht="15.6" x14ac:dyDescent="0.3">
      <c r="A1578" s="89" t="str">
        <f>CONCATENATE(D1578,".",F1578,"-",G1578,".",H1578,"")</f>
        <v>2.1-6.2</v>
      </c>
      <c r="B1578" s="89" t="str">
        <f>IF(CONCATENATE(I1578,Key!F$2)=CONCATENATE(INDEX(Dashboard!J:J,MATCH(I1578,Dashboard!J:J,0),1),INDEX(Dashboard!J:K,MATCH(I1578,Dashboard!J:J,0),2)),"ON",IF(Dashboard!K$32="ALL","ON","-"))</f>
        <v>-</v>
      </c>
      <c r="C1578" s="88" t="s">
        <v>152</v>
      </c>
      <c r="D1578" s="89">
        <f>IF(C1578="ID",1,(IF(C1578="PR",2,(IF(C1578="DE",3,(IF(C1578="RS",4,(IF(C1578="RC",5,0)))))))))</f>
        <v>2</v>
      </c>
      <c r="E1578" s="89" t="s">
        <v>153</v>
      </c>
      <c r="F1578" s="89">
        <f>IF(E1578="AM",1,(IF(E1578="BE",2,(IF(E1578="GV",3,(IF(E1578="RA",4,(IF(E1578="RM",5,(IF(E1578="AC",1,(IF(E1578="AT",2,(IF(E1578="DS",3,(IF(E1578="IP",4,(IF(E1578="MA",5,(IF(E1578="PT",6,(IF(E1578="AE",1,(IF(E1578="CM",2,(IF(E1578="DP",3,(IF(E1578="AN",1,(IF(E1578="CO",2,(IF(E1578="IM",3,(IF(E1578="MI",4,(IF(E1578="RP",5,(IF(E1578="SC",6,0)))))))))))))))))))))))))))))))))))))))</f>
        <v>1</v>
      </c>
      <c r="G1578" s="52">
        <v>6</v>
      </c>
      <c r="H1578" s="90" t="s">
        <v>112</v>
      </c>
      <c r="I1578" s="94" t="s">
        <v>64</v>
      </c>
      <c r="J1578" s="87" t="s">
        <v>1307</v>
      </c>
      <c r="K1578" s="102" t="s">
        <v>2317</v>
      </c>
      <c r="L1578" s="117">
        <f>IF(O1578="","",N1578*O1578*M1578)</f>
        <v>0</v>
      </c>
      <c r="M1578" s="108">
        <v>1</v>
      </c>
      <c r="N1578" s="95">
        <v>1</v>
      </c>
      <c r="O1578" s="109">
        <f>IF(Key!D$1="ON",P1578,IF(SUM(Q1578:DL1578)&lt;1,"",SUM(Q1578:DL1578)/COUNTIF(Q1578:DL1578,"&gt;0")))</f>
        <v>0</v>
      </c>
      <c r="P1578" s="109">
        <f>SUMIFS(Q1578:DK1578,Q$1:DK$1,Dashboard!$K$31)</f>
        <v>0</v>
      </c>
      <c r="U1578" s="95">
        <v>33</v>
      </c>
      <c r="AA1578" s="95">
        <v>25</v>
      </c>
      <c r="AH1578" s="95">
        <v>75</v>
      </c>
    </row>
    <row r="1579" spans="1:34" ht="15.6" x14ac:dyDescent="0.3">
      <c r="A1579" s="89" t="str">
        <f>CONCATENATE(D1579,".",F1579,"-",G1579,".",H1579,"")</f>
        <v>2.1-6.2</v>
      </c>
      <c r="B1579" s="89" t="str">
        <f>IF(CONCATENATE(I1579,Key!F$2)=CONCATENATE(INDEX(Dashboard!J:J,MATCH(I1579,Dashboard!J:J,0),1),INDEX(Dashboard!J:K,MATCH(I1579,Dashboard!J:J,0),2)),"ON",IF(Dashboard!K$32="ALL","ON","-"))</f>
        <v>-</v>
      </c>
      <c r="C1579" s="88" t="s">
        <v>152</v>
      </c>
      <c r="D1579" s="89">
        <f>IF(C1579="ID",1,(IF(C1579="PR",2,(IF(C1579="DE",3,(IF(C1579="RS",4,(IF(C1579="RC",5,0)))))))))</f>
        <v>2</v>
      </c>
      <c r="E1579" s="89" t="s">
        <v>153</v>
      </c>
      <c r="F1579" s="89">
        <f>IF(E1579="AM",1,(IF(E1579="BE",2,(IF(E1579="GV",3,(IF(E1579="RA",4,(IF(E1579="RM",5,(IF(E1579="AC",1,(IF(E1579="AT",2,(IF(E1579="DS",3,(IF(E1579="IP",4,(IF(E1579="MA",5,(IF(E1579="PT",6,(IF(E1579="AE",1,(IF(E1579="CM",2,(IF(E1579="DP",3,(IF(E1579="AN",1,(IF(E1579="CO",2,(IF(E1579="IM",3,(IF(E1579="MI",4,(IF(E1579="RP",5,(IF(E1579="SC",6,0)))))))))))))))))))))))))))))))))))))))</f>
        <v>1</v>
      </c>
      <c r="G1579" s="52">
        <v>6</v>
      </c>
      <c r="H1579" s="90" t="s">
        <v>112</v>
      </c>
      <c r="I1579" s="94" t="s">
        <v>77</v>
      </c>
      <c r="J1579" s="87" t="s">
        <v>1302</v>
      </c>
      <c r="K1579" s="102" t="s">
        <v>2313</v>
      </c>
      <c r="L1579" s="117">
        <f>IF(O1579="","",N1579*O1579*M1579)</f>
        <v>0</v>
      </c>
      <c r="M1579" s="108">
        <v>1</v>
      </c>
      <c r="N1579" s="95">
        <v>1</v>
      </c>
      <c r="O1579" s="109">
        <f>IF(Key!D$1="ON",P1579,IF(SUM(Q1579:DL1579)&lt;1,"",SUM(Q1579:DL1579)/COUNTIF(Q1579:DL1579,"&gt;0")))</f>
        <v>0</v>
      </c>
      <c r="P1579" s="109">
        <f>SUMIFS(Q1579:DK1579,Q$1:DK$1,Dashboard!$K$31)</f>
        <v>0</v>
      </c>
      <c r="U1579" s="95">
        <v>33</v>
      </c>
      <c r="AA1579" s="95">
        <v>25</v>
      </c>
      <c r="AH1579" s="95">
        <v>75</v>
      </c>
    </row>
    <row r="1580" spans="1:34" x14ac:dyDescent="0.3">
      <c r="A1580" s="89" t="str">
        <f>CONCATENATE(D1580,".",F1580,"-",G1580,".",H1580,"")</f>
        <v>2.1-6.2</v>
      </c>
      <c r="B1580" s="89" t="str">
        <f>IF(CONCATENATE(I1580,Key!F$2)=CONCATENATE(INDEX(Dashboard!J:J,MATCH(I1580,Dashboard!J:J,0),1),INDEX(Dashboard!J:K,MATCH(I1580,Dashboard!J:J,0),2)),"ON",IF(Dashboard!K$32="ALL","ON","-"))</f>
        <v>-</v>
      </c>
      <c r="C1580" s="88" t="s">
        <v>152</v>
      </c>
      <c r="D1580" s="89">
        <f>IF(C1580="ID",1,(IF(C1580="PR",2,(IF(C1580="DE",3,(IF(C1580="RS",4,(IF(C1580="RC",5,0)))))))))</f>
        <v>2</v>
      </c>
      <c r="E1580" s="89" t="s">
        <v>153</v>
      </c>
      <c r="F1580" s="89">
        <f>IF(E1580="AM",1,(IF(E1580="BE",2,(IF(E1580="GV",3,(IF(E1580="RA",4,(IF(E1580="RM",5,(IF(E1580="AC",1,(IF(E1580="AT",2,(IF(E1580="DS",3,(IF(E1580="IP",4,(IF(E1580="MA",5,(IF(E1580="PT",6,(IF(E1580="AE",1,(IF(E1580="CM",2,(IF(E1580="DP",3,(IF(E1580="AN",1,(IF(E1580="CO",2,(IF(E1580="IM",3,(IF(E1580="MI",4,(IF(E1580="RP",5,(IF(E1580="SC",6,0)))))))))))))))))))))))))))))))))))))))</f>
        <v>1</v>
      </c>
      <c r="G1580" s="52">
        <v>6</v>
      </c>
      <c r="H1580" s="90" t="s">
        <v>112</v>
      </c>
      <c r="I1580" s="94" t="s">
        <v>77</v>
      </c>
      <c r="J1580" s="87" t="s">
        <v>1303</v>
      </c>
      <c r="K1580" s="102" t="s">
        <v>2314</v>
      </c>
      <c r="L1580" s="117">
        <f>IF(O1580="","",N1580*O1580*M1580)</f>
        <v>0</v>
      </c>
      <c r="M1580" s="108">
        <v>1</v>
      </c>
      <c r="N1580" s="95">
        <v>1</v>
      </c>
      <c r="O1580" s="109">
        <f>IF(Key!D$1="ON",P1580,IF(SUM(Q1580:DL1580)&lt;1,"",SUM(Q1580:DL1580)/COUNTIF(Q1580:DL1580,"&gt;0")))</f>
        <v>0</v>
      </c>
      <c r="P1580" s="109">
        <f>SUMIFS(Q1580:DK1580,Q$1:DK$1,Dashboard!$K$31)</f>
        <v>0</v>
      </c>
      <c r="U1580" s="95">
        <v>33</v>
      </c>
      <c r="AA1580" s="95">
        <v>25</v>
      </c>
      <c r="AH1580" s="95">
        <v>75</v>
      </c>
    </row>
    <row r="1581" spans="1:34" x14ac:dyDescent="0.3">
      <c r="A1581" s="89" t="str">
        <f>CONCATENATE(D1581,".",F1581,"-",G1581,".",H1581,"")</f>
        <v>2.1-6.2</v>
      </c>
      <c r="B1581" s="89" t="str">
        <f>IF(CONCATENATE(I1581,Key!F$2)=CONCATENATE(INDEX(Dashboard!J:J,MATCH(I1581,Dashboard!J:J,0),1),INDEX(Dashboard!J:K,MATCH(I1581,Dashboard!J:J,0),2)),"ON",IF(Dashboard!K$32="ALL","ON","-"))</f>
        <v>-</v>
      </c>
      <c r="C1581" s="88" t="s">
        <v>152</v>
      </c>
      <c r="D1581" s="89">
        <f>IF(C1581="ID",1,(IF(C1581="PR",2,(IF(C1581="DE",3,(IF(C1581="RS",4,(IF(C1581="RC",5,0)))))))))</f>
        <v>2</v>
      </c>
      <c r="E1581" s="89" t="s">
        <v>153</v>
      </c>
      <c r="F1581" s="89">
        <f>IF(E1581="AM",1,(IF(E1581="BE",2,(IF(E1581="GV",3,(IF(E1581="RA",4,(IF(E1581="RM",5,(IF(E1581="AC",1,(IF(E1581="AT",2,(IF(E1581="DS",3,(IF(E1581="IP",4,(IF(E1581="MA",5,(IF(E1581="PT",6,(IF(E1581="AE",1,(IF(E1581="CM",2,(IF(E1581="DP",3,(IF(E1581="AN",1,(IF(E1581="CO",2,(IF(E1581="IM",3,(IF(E1581="MI",4,(IF(E1581="RP",5,(IF(E1581="SC",6,0)))))))))))))))))))))))))))))))))))))))</f>
        <v>1</v>
      </c>
      <c r="G1581" s="52">
        <v>6</v>
      </c>
      <c r="H1581" s="90" t="s">
        <v>112</v>
      </c>
      <c r="I1581" s="94" t="s">
        <v>77</v>
      </c>
      <c r="J1581" s="87" t="s">
        <v>1304</v>
      </c>
      <c r="K1581" s="102" t="s">
        <v>2315</v>
      </c>
      <c r="L1581" s="117">
        <f>IF(O1581="","",N1581*O1581*M1581)</f>
        <v>0</v>
      </c>
      <c r="M1581" s="108">
        <v>1</v>
      </c>
      <c r="N1581" s="95">
        <v>1</v>
      </c>
      <c r="O1581" s="109">
        <f>IF(Key!D$1="ON",P1581,IF(SUM(Q1581:DL1581)&lt;1,"",SUM(Q1581:DL1581)/COUNTIF(Q1581:DL1581,"&gt;0")))</f>
        <v>0</v>
      </c>
      <c r="P1581" s="109">
        <f>SUMIFS(Q1581:DK1581,Q$1:DK$1,Dashboard!$K$31)</f>
        <v>0</v>
      </c>
      <c r="U1581" s="95">
        <v>33</v>
      </c>
      <c r="AA1581" s="95">
        <v>25</v>
      </c>
      <c r="AH1581" s="95">
        <v>75</v>
      </c>
    </row>
    <row r="1582" spans="1:34" x14ac:dyDescent="0.3">
      <c r="A1582" s="89" t="str">
        <f>CONCATENATE(D1582,".",F1582,"-",G1582,".",H1582,"")</f>
        <v>2.1-6.2</v>
      </c>
      <c r="B1582" s="89" t="str">
        <f>IF(CONCATENATE(I1582,Key!F$2)=CONCATENATE(INDEX(Dashboard!J:J,MATCH(I1582,Dashboard!J:J,0),1),INDEX(Dashboard!J:K,MATCH(I1582,Dashboard!J:J,0),2)),"ON",IF(Dashboard!K$32="ALL","ON","-"))</f>
        <v>-</v>
      </c>
      <c r="C1582" s="88" t="s">
        <v>152</v>
      </c>
      <c r="D1582" s="89">
        <f>IF(C1582="ID",1,(IF(C1582="PR",2,(IF(C1582="DE",3,(IF(C1582="RS",4,(IF(C1582="RC",5,0)))))))))</f>
        <v>2</v>
      </c>
      <c r="E1582" s="89" t="s">
        <v>153</v>
      </c>
      <c r="F1582" s="89">
        <f>IF(E1582="AM",1,(IF(E1582="BE",2,(IF(E1582="GV",3,(IF(E1582="RA",4,(IF(E1582="RM",5,(IF(E1582="AC",1,(IF(E1582="AT",2,(IF(E1582="DS",3,(IF(E1582="IP",4,(IF(E1582="MA",5,(IF(E1582="PT",6,(IF(E1582="AE",1,(IF(E1582="CM",2,(IF(E1582="DP",3,(IF(E1582="AN",1,(IF(E1582="CO",2,(IF(E1582="IM",3,(IF(E1582="MI",4,(IF(E1582="RP",5,(IF(E1582="SC",6,0)))))))))))))))))))))))))))))))))))))))</f>
        <v>1</v>
      </c>
      <c r="G1582" s="52">
        <v>6</v>
      </c>
      <c r="H1582" s="90" t="s">
        <v>112</v>
      </c>
      <c r="I1582" s="94" t="s">
        <v>77</v>
      </c>
      <c r="J1582" s="87" t="s">
        <v>1305</v>
      </c>
      <c r="K1582" s="102" t="s">
        <v>2316</v>
      </c>
      <c r="L1582" s="117">
        <f>IF(O1582="","",N1582*O1582*M1582)</f>
        <v>0</v>
      </c>
      <c r="M1582" s="108">
        <v>1</v>
      </c>
      <c r="N1582" s="95">
        <v>1</v>
      </c>
      <c r="O1582" s="109">
        <f>IF(Key!D$1="ON",P1582,IF(SUM(Q1582:DL1582)&lt;1,"",SUM(Q1582:DL1582)/COUNTIF(Q1582:DL1582,"&gt;0")))</f>
        <v>0</v>
      </c>
      <c r="P1582" s="109">
        <f>SUMIFS(Q1582:DK1582,Q$1:DK$1,Dashboard!$K$31)</f>
        <v>0</v>
      </c>
      <c r="U1582" s="95">
        <v>33</v>
      </c>
      <c r="AA1582" s="95">
        <v>25</v>
      </c>
      <c r="AH1582" s="95">
        <v>75</v>
      </c>
    </row>
    <row r="1583" spans="1:34" x14ac:dyDescent="0.3">
      <c r="A1583" s="89" t="str">
        <f>CONCATENATE(D1583,".",F1583,"-",G1583,".",H1583,"")</f>
        <v>2.1-6.2</v>
      </c>
      <c r="B1583" s="89" t="str">
        <f>IF(CONCATENATE(I1583,Key!F$2)=CONCATENATE(INDEX(Dashboard!J:J,MATCH(I1583,Dashboard!J:J,0),1),INDEX(Dashboard!J:K,MATCH(I1583,Dashboard!J:J,0),2)),"ON",IF(Dashboard!K$32="ALL","ON","-"))</f>
        <v>-</v>
      </c>
      <c r="C1583" s="88" t="s">
        <v>152</v>
      </c>
      <c r="D1583" s="89">
        <f>IF(C1583="ID",1,(IF(C1583="PR",2,(IF(C1583="DE",3,(IF(C1583="RS",4,(IF(C1583="RC",5,0)))))))))</f>
        <v>2</v>
      </c>
      <c r="E1583" s="89" t="s">
        <v>153</v>
      </c>
      <c r="F1583" s="89">
        <f>IF(E1583="AM",1,(IF(E1583="BE",2,(IF(E1583="GV",3,(IF(E1583="RA",4,(IF(E1583="RM",5,(IF(E1583="AC",1,(IF(E1583="AT",2,(IF(E1583="DS",3,(IF(E1583="IP",4,(IF(E1583="MA",5,(IF(E1583="PT",6,(IF(E1583="AE",1,(IF(E1583="CM",2,(IF(E1583="DP",3,(IF(E1583="AN",1,(IF(E1583="CO",2,(IF(E1583="IM",3,(IF(E1583="MI",4,(IF(E1583="RP",5,(IF(E1583="SC",6,0)))))))))))))))))))))))))))))))))))))))</f>
        <v>1</v>
      </c>
      <c r="G1583" s="52">
        <v>6</v>
      </c>
      <c r="H1583" s="90" t="s">
        <v>112</v>
      </c>
      <c r="I1583" s="94" t="s">
        <v>77</v>
      </c>
      <c r="J1583" s="87" t="s">
        <v>1307</v>
      </c>
      <c r="K1583" s="102" t="s">
        <v>2317</v>
      </c>
      <c r="L1583" s="117">
        <f>IF(O1583="","",N1583*O1583*M1583)</f>
        <v>0</v>
      </c>
      <c r="M1583" s="108">
        <v>1</v>
      </c>
      <c r="N1583" s="95">
        <v>1</v>
      </c>
      <c r="O1583" s="109">
        <f>IF(Key!D$1="ON",P1583,IF(SUM(Q1583:DL1583)&lt;1,"",SUM(Q1583:DL1583)/COUNTIF(Q1583:DL1583,"&gt;0")))</f>
        <v>0</v>
      </c>
      <c r="P1583" s="109">
        <f>SUMIFS(Q1583:DK1583,Q$1:DK$1,Dashboard!$K$31)</f>
        <v>0</v>
      </c>
      <c r="U1583" s="95">
        <v>33</v>
      </c>
      <c r="AA1583" s="95">
        <v>25</v>
      </c>
      <c r="AH1583" s="95">
        <v>75</v>
      </c>
    </row>
    <row r="1584" spans="1:34" x14ac:dyDescent="0.3">
      <c r="A1584" s="89" t="str">
        <f>CONCATENATE(D1584,".",F1584,"-",G1584,".",H1584,"")</f>
        <v>2.1-6.2</v>
      </c>
      <c r="B1584" s="89" t="str">
        <f>IF(CONCATENATE(I1584,Key!F$2)=CONCATENATE(INDEX(Dashboard!J:J,MATCH(I1584,Dashboard!J:J,0),1),INDEX(Dashboard!J:K,MATCH(I1584,Dashboard!J:J,0),2)),"ON",IF(Dashboard!K$32="ALL","ON","-"))</f>
        <v>-</v>
      </c>
      <c r="C1584" s="88" t="s">
        <v>152</v>
      </c>
      <c r="D1584" s="89">
        <f>IF(C1584="ID",1,(IF(C1584="PR",2,(IF(C1584="DE",3,(IF(C1584="RS",4,(IF(C1584="RC",5,0)))))))))</f>
        <v>2</v>
      </c>
      <c r="E1584" s="89" t="s">
        <v>153</v>
      </c>
      <c r="F1584" s="89">
        <f>IF(E1584="AM",1,(IF(E1584="BE",2,(IF(E1584="GV",3,(IF(E1584="RA",4,(IF(E1584="RM",5,(IF(E1584="AC",1,(IF(E1584="AT",2,(IF(E1584="DS",3,(IF(E1584="IP",4,(IF(E1584="MA",5,(IF(E1584="PT",6,(IF(E1584="AE",1,(IF(E1584="CM",2,(IF(E1584="DP",3,(IF(E1584="AN",1,(IF(E1584="CO",2,(IF(E1584="IM",3,(IF(E1584="MI",4,(IF(E1584="RP",5,(IF(E1584="SC",6,0)))))))))))))))))))))))))))))))))))))))</f>
        <v>1</v>
      </c>
      <c r="G1584" s="52">
        <v>6</v>
      </c>
      <c r="H1584" s="90" t="s">
        <v>112</v>
      </c>
      <c r="I1584" s="94" t="s">
        <v>85</v>
      </c>
      <c r="J1584" s="87" t="s">
        <v>1307</v>
      </c>
      <c r="K1584" s="119" t="s">
        <v>4500</v>
      </c>
      <c r="L1584" s="117">
        <f>IF(O1584="","",N1584*O1584*M1584)</f>
        <v>0</v>
      </c>
      <c r="M1584" s="108">
        <v>1</v>
      </c>
      <c r="N1584" s="95">
        <v>1</v>
      </c>
      <c r="O1584" s="109">
        <f>IF(Key!D$1="ON",P1584,IF(SUM(Q1584:DL1584)&lt;1,"",SUM(Q1584:DL1584)/COUNTIF(Q1584:DL1584,"&gt;0")))</f>
        <v>0</v>
      </c>
      <c r="P1584" s="109">
        <f>SUMIFS(Q1584:DK1584,Q$1:DK$1,Dashboard!$K$31)</f>
        <v>0</v>
      </c>
      <c r="U1584" s="95">
        <v>33</v>
      </c>
      <c r="AA1584" s="95">
        <v>25</v>
      </c>
      <c r="AH1584" s="95">
        <v>75</v>
      </c>
    </row>
    <row r="1585" spans="1:34" x14ac:dyDescent="0.3">
      <c r="A1585" s="89" t="str">
        <f>CONCATENATE(D1585,".",F1585,"-",G1585,".",H1585,"")</f>
        <v>2.1-6.2</v>
      </c>
      <c r="B1585" s="89" t="str">
        <f>IF(CONCATENATE(I1585,Key!F$2)=CONCATENATE(INDEX(Dashboard!J:J,MATCH(I1585,Dashboard!J:J,0),1),INDEX(Dashboard!J:K,MATCH(I1585,Dashboard!J:J,0),2)),"ON",IF(Dashboard!K$32="ALL","ON","-"))</f>
        <v>-</v>
      </c>
      <c r="C1585" s="88" t="s">
        <v>152</v>
      </c>
      <c r="D1585" s="89">
        <f>IF(C1585="ID",1,(IF(C1585="PR",2,(IF(C1585="DE",3,(IF(C1585="RS",4,(IF(C1585="RC",5,0)))))))))</f>
        <v>2</v>
      </c>
      <c r="E1585" s="89" t="s">
        <v>153</v>
      </c>
      <c r="F1585" s="89">
        <f>IF(E1585="AM",1,(IF(E1585="BE",2,(IF(E1585="GV",3,(IF(E1585="RA",4,(IF(E1585="RM",5,(IF(E1585="AC",1,(IF(E1585="AT",2,(IF(E1585="DS",3,(IF(E1585="IP",4,(IF(E1585="MA",5,(IF(E1585="PT",6,(IF(E1585="AE",1,(IF(E1585="CM",2,(IF(E1585="DP",3,(IF(E1585="AN",1,(IF(E1585="CO",2,(IF(E1585="IM",3,(IF(E1585="MI",4,(IF(E1585="RP",5,(IF(E1585="SC",6,0)))))))))))))))))))))))))))))))))))))))</f>
        <v>1</v>
      </c>
      <c r="G1585" s="52">
        <v>6</v>
      </c>
      <c r="H1585" s="90" t="s">
        <v>112</v>
      </c>
      <c r="I1585" s="94" t="s">
        <v>85</v>
      </c>
      <c r="J1585" s="87" t="s">
        <v>1303</v>
      </c>
      <c r="K1585" s="119" t="s">
        <v>4493</v>
      </c>
      <c r="L1585" s="117">
        <f>IF(O1585="","",N1585*O1585*M1585)</f>
        <v>0</v>
      </c>
      <c r="M1585" s="108">
        <v>1</v>
      </c>
      <c r="N1585" s="95">
        <v>1</v>
      </c>
      <c r="O1585" s="109">
        <f>IF(Key!D$1="ON",P1585,IF(SUM(Q1585:DL1585)&lt;1,"",SUM(Q1585:DL1585)/COUNTIF(Q1585:DL1585,"&gt;0")))</f>
        <v>0</v>
      </c>
      <c r="P1585" s="109">
        <f>SUMIFS(Q1585:DK1585,Q$1:DK$1,Dashboard!$K$31)</f>
        <v>0</v>
      </c>
      <c r="U1585" s="95">
        <v>33</v>
      </c>
      <c r="AA1585" s="95">
        <v>25</v>
      </c>
      <c r="AH1585" s="95">
        <v>75</v>
      </c>
    </row>
    <row r="1586" spans="1:34" x14ac:dyDescent="0.3">
      <c r="A1586" s="89" t="str">
        <f>CONCATENATE(D1586,".",F1586,"-",G1586,".",H1586,"")</f>
        <v>2.1-6.2</v>
      </c>
      <c r="B1586" s="89" t="str">
        <f>IF(CONCATENATE(I1586,Key!F$2)=CONCATENATE(INDEX(Dashboard!J:J,MATCH(I1586,Dashboard!J:J,0),1),INDEX(Dashboard!J:K,MATCH(I1586,Dashboard!J:J,0),2)),"ON",IF(Dashboard!K$32="ALL","ON","-"))</f>
        <v>-</v>
      </c>
      <c r="C1586" s="88" t="s">
        <v>152</v>
      </c>
      <c r="D1586" s="89">
        <f>IF(C1586="ID",1,(IF(C1586="PR",2,(IF(C1586="DE",3,(IF(C1586="RS",4,(IF(C1586="RC",5,0)))))))))</f>
        <v>2</v>
      </c>
      <c r="E1586" s="89" t="s">
        <v>153</v>
      </c>
      <c r="F1586" s="89">
        <f>IF(E1586="AM",1,(IF(E1586="BE",2,(IF(E1586="GV",3,(IF(E1586="RA",4,(IF(E1586="RM",5,(IF(E1586="AC",1,(IF(E1586="AT",2,(IF(E1586="DS",3,(IF(E1586="IP",4,(IF(E1586="MA",5,(IF(E1586="PT",6,(IF(E1586="AE",1,(IF(E1586="CM",2,(IF(E1586="DP",3,(IF(E1586="AN",1,(IF(E1586="CO",2,(IF(E1586="IM",3,(IF(E1586="MI",4,(IF(E1586="RP",5,(IF(E1586="SC",6,0)))))))))))))))))))))))))))))))))))))))</f>
        <v>1</v>
      </c>
      <c r="G1586" s="52">
        <v>6</v>
      </c>
      <c r="H1586" s="90" t="s">
        <v>112</v>
      </c>
      <c r="I1586" s="94" t="s">
        <v>85</v>
      </c>
      <c r="J1586" s="87" t="s">
        <v>1305</v>
      </c>
      <c r="K1586" s="119" t="s">
        <v>1306</v>
      </c>
      <c r="L1586" s="117">
        <f>IF(O1586="","",N1586*O1586*M1586)</f>
        <v>0</v>
      </c>
      <c r="M1586" s="108">
        <v>1</v>
      </c>
      <c r="N1586" s="95">
        <v>1</v>
      </c>
      <c r="O1586" s="109">
        <f>IF(Key!D$1="ON",P1586,IF(SUM(Q1586:DL1586)&lt;1,"",SUM(Q1586:DL1586)/COUNTIF(Q1586:DL1586,"&gt;0")))</f>
        <v>0</v>
      </c>
      <c r="P1586" s="109">
        <f>SUMIFS(Q1586:DK1586,Q$1:DK$1,Dashboard!$K$31)</f>
        <v>0</v>
      </c>
      <c r="U1586" s="95">
        <v>33</v>
      </c>
      <c r="AA1586" s="95">
        <v>25</v>
      </c>
      <c r="AH1586" s="95">
        <v>75</v>
      </c>
    </row>
    <row r="1587" spans="1:34" ht="15.6" x14ac:dyDescent="0.3">
      <c r="A1587" s="89" t="str">
        <f>CONCATENATE(D1587,".",F1587,"-",G1587,".",H1587,"")</f>
        <v>2.1-6.2</v>
      </c>
      <c r="B1587" s="89" t="str">
        <f>IF(CONCATENATE(I1587,Key!F$2)=CONCATENATE(INDEX(Dashboard!J:J,MATCH(I1587,Dashboard!J:J,0),1),INDEX(Dashboard!J:K,MATCH(I1587,Dashboard!J:J,0),2)),"ON",IF(Dashboard!K$32="ALL","ON","-"))</f>
        <v>-</v>
      </c>
      <c r="C1587" s="88" t="s">
        <v>152</v>
      </c>
      <c r="D1587" s="89">
        <f>IF(C1587="ID",1,(IF(C1587="PR",2,(IF(C1587="DE",3,(IF(C1587="RS",4,(IF(C1587="RC",5,0)))))))))</f>
        <v>2</v>
      </c>
      <c r="E1587" s="89" t="s">
        <v>153</v>
      </c>
      <c r="F1587" s="89">
        <f>IF(E1587="AM",1,(IF(E1587="BE",2,(IF(E1587="GV",3,(IF(E1587="RA",4,(IF(E1587="RM",5,(IF(E1587="AC",1,(IF(E1587="AT",2,(IF(E1587="DS",3,(IF(E1587="IP",4,(IF(E1587="MA",5,(IF(E1587="PT",6,(IF(E1587="AE",1,(IF(E1587="CM",2,(IF(E1587="DP",3,(IF(E1587="AN",1,(IF(E1587="CO",2,(IF(E1587="IM",3,(IF(E1587="MI",4,(IF(E1587="RP",5,(IF(E1587="SC",6,0)))))))))))))))))))))))))))))))))))))))</f>
        <v>1</v>
      </c>
      <c r="G1587" s="52">
        <v>6</v>
      </c>
      <c r="H1587" s="90" t="s">
        <v>112</v>
      </c>
      <c r="I1587" s="94" t="s">
        <v>85</v>
      </c>
      <c r="J1587" s="87" t="s">
        <v>1304</v>
      </c>
      <c r="K1587" s="119" t="s">
        <v>4496</v>
      </c>
      <c r="L1587" s="117">
        <f>IF(O1587="","",N1587*O1587*M1587)</f>
        <v>0</v>
      </c>
      <c r="M1587" s="108">
        <v>1</v>
      </c>
      <c r="N1587" s="95">
        <v>1</v>
      </c>
      <c r="O1587" s="109">
        <f>IF(Key!D$1="ON",P1587,IF(SUM(Q1587:DL1587)&lt;1,"",SUM(Q1587:DL1587)/COUNTIF(Q1587:DL1587,"&gt;0")))</f>
        <v>0</v>
      </c>
      <c r="P1587" s="109">
        <f>SUMIFS(Q1587:DK1587,Q$1:DK$1,Dashboard!$K$31)</f>
        <v>0</v>
      </c>
      <c r="U1587" s="95">
        <v>33</v>
      </c>
      <c r="AA1587" s="95">
        <v>25</v>
      </c>
      <c r="AH1587" s="95">
        <v>75</v>
      </c>
    </row>
    <row r="1588" spans="1:34" ht="15.6" x14ac:dyDescent="0.3">
      <c r="A1588" s="89" t="str">
        <f>CONCATENATE(D1588,".",F1588,"-",G1588,".",H1588,"")</f>
        <v>2.1-6.3</v>
      </c>
      <c r="B1588" s="89" t="str">
        <f>IF(CONCATENATE(I1588,Key!F$2)=CONCATENATE(INDEX(Dashboard!J:J,MATCH(I1588,Dashboard!J:J,0),1),INDEX(Dashboard!J:K,MATCH(I1588,Dashboard!J:J,0),2)),"ON",IF(Dashboard!K$32="ALL","ON","-"))</f>
        <v>-</v>
      </c>
      <c r="C1588" s="88" t="s">
        <v>152</v>
      </c>
      <c r="D1588" s="89">
        <f>IF(C1588="ID",1,(IF(C1588="PR",2,(IF(C1588="DE",3,(IF(C1588="RS",4,(IF(C1588="RC",5,0)))))))))</f>
        <v>2</v>
      </c>
      <c r="E1588" s="89" t="s">
        <v>153</v>
      </c>
      <c r="F1588" s="89">
        <f>IF(E1588="AM",1,(IF(E1588="BE",2,(IF(E1588="GV",3,(IF(E1588="RA",4,(IF(E1588="RM",5,(IF(E1588="AC",1,(IF(E1588="AT",2,(IF(E1588="DS",3,(IF(E1588="IP",4,(IF(E1588="MA",5,(IF(E1588="PT",6,(IF(E1588="AE",1,(IF(E1588="CM",2,(IF(E1588="DP",3,(IF(E1588="AN",1,(IF(E1588="CO",2,(IF(E1588="IM",3,(IF(E1588="MI",4,(IF(E1588="RP",5,(IF(E1588="SC",6,0)))))))))))))))))))))))))))))))))))))))</f>
        <v>1</v>
      </c>
      <c r="G1588" s="52">
        <v>6</v>
      </c>
      <c r="H1588" s="90" t="s">
        <v>280</v>
      </c>
      <c r="I1588" s="94" t="s">
        <v>77</v>
      </c>
      <c r="J1588" s="87" t="s">
        <v>1308</v>
      </c>
      <c r="K1588" s="102" t="s">
        <v>2318</v>
      </c>
      <c r="L1588" s="117">
        <f>IF(O1588="","",N1588*O1588*M1588)</f>
        <v>0</v>
      </c>
      <c r="M1588" s="108">
        <v>1</v>
      </c>
      <c r="N1588" s="95">
        <v>1</v>
      </c>
      <c r="O1588" s="109">
        <f>IF(Key!D$1="ON",P1588,IF(SUM(Q1588:DL1588)&lt;1,"",SUM(Q1588:DL1588)/COUNTIF(Q1588:DL1588,"&gt;0")))</f>
        <v>0</v>
      </c>
      <c r="P1588" s="109">
        <f>SUMIFS(Q1588:DK1588,Q$1:DK$1,Dashboard!$K$31)</f>
        <v>0</v>
      </c>
      <c r="U1588" s="95">
        <v>33</v>
      </c>
      <c r="AA1588" s="95">
        <v>25</v>
      </c>
      <c r="AH1588" s="95">
        <v>75</v>
      </c>
    </row>
    <row r="1589" spans="1:34" ht="15.6" x14ac:dyDescent="0.3">
      <c r="A1589" s="89" t="str">
        <f>CONCATENATE(D1589,".",F1589,"-",G1589,".",H1589,"")</f>
        <v>2.1-6.3</v>
      </c>
      <c r="B1589" s="89" t="str">
        <f>IF(CONCATENATE(I1589,Key!F$2)=CONCATENATE(INDEX(Dashboard!J:J,MATCH(I1589,Dashboard!J:J,0),1),INDEX(Dashboard!J:K,MATCH(I1589,Dashboard!J:J,0),2)),"ON",IF(Dashboard!K$32="ALL","ON","-"))</f>
        <v>-</v>
      </c>
      <c r="C1589" s="88" t="s">
        <v>152</v>
      </c>
      <c r="D1589" s="89">
        <f>IF(C1589="ID",1,(IF(C1589="PR",2,(IF(C1589="DE",3,(IF(C1589="RS",4,(IF(C1589="RC",5,0)))))))))</f>
        <v>2</v>
      </c>
      <c r="E1589" s="89" t="s">
        <v>153</v>
      </c>
      <c r="F1589" s="89">
        <f>IF(E1589="AM",1,(IF(E1589="BE",2,(IF(E1589="GV",3,(IF(E1589="RA",4,(IF(E1589="RM",5,(IF(E1589="AC",1,(IF(E1589="AT",2,(IF(E1589="DS",3,(IF(E1589="IP",4,(IF(E1589="MA",5,(IF(E1589="PT",6,(IF(E1589="AE",1,(IF(E1589="CM",2,(IF(E1589="DP",3,(IF(E1589="AN",1,(IF(E1589="CO",2,(IF(E1589="IM",3,(IF(E1589="MI",4,(IF(E1589="RP",5,(IF(E1589="SC",6,0)))))))))))))))))))))))))))))))))))))))</f>
        <v>1</v>
      </c>
      <c r="G1589" s="52">
        <v>6</v>
      </c>
      <c r="H1589" s="90" t="s">
        <v>280</v>
      </c>
      <c r="I1589" s="94" t="s">
        <v>77</v>
      </c>
      <c r="J1589" s="87" t="s">
        <v>1309</v>
      </c>
      <c r="K1589" s="102" t="s">
        <v>2319</v>
      </c>
      <c r="L1589" s="117">
        <f>IF(O1589="","",N1589*O1589*M1589)</f>
        <v>0</v>
      </c>
      <c r="M1589" s="108">
        <v>1</v>
      </c>
      <c r="N1589" s="95">
        <v>1</v>
      </c>
      <c r="O1589" s="109">
        <f>IF(Key!D$1="ON",P1589,IF(SUM(Q1589:DL1589)&lt;1,"",SUM(Q1589:DL1589)/COUNTIF(Q1589:DL1589,"&gt;0")))</f>
        <v>0</v>
      </c>
      <c r="P1589" s="109">
        <f>SUMIFS(Q1589:DK1589,Q$1:DK$1,Dashboard!$K$31)</f>
        <v>0</v>
      </c>
      <c r="U1589" s="95">
        <v>33</v>
      </c>
      <c r="AA1589" s="95">
        <v>25</v>
      </c>
      <c r="AH1589" s="95">
        <v>75</v>
      </c>
    </row>
    <row r="1590" spans="1:34" ht="15.6" x14ac:dyDescent="0.3">
      <c r="A1590" s="89" t="str">
        <f>CONCATENATE(D1590,".",F1590,"-",G1590,".",H1590,"")</f>
        <v>2.1-6.3</v>
      </c>
      <c r="B1590" s="89" t="str">
        <f>IF(CONCATENATE(I1590,Key!F$2)=CONCATENATE(INDEX(Dashboard!J:J,MATCH(I1590,Dashboard!J:J,0),1),INDEX(Dashboard!J:K,MATCH(I1590,Dashboard!J:J,0),2)),"ON",IF(Dashboard!K$32="ALL","ON","-"))</f>
        <v>-</v>
      </c>
      <c r="C1590" s="88" t="s">
        <v>152</v>
      </c>
      <c r="D1590" s="89">
        <f>IF(C1590="ID",1,(IF(C1590="PR",2,(IF(C1590="DE",3,(IF(C1590="RS",4,(IF(C1590="RC",5,0)))))))))</f>
        <v>2</v>
      </c>
      <c r="E1590" s="89" t="s">
        <v>153</v>
      </c>
      <c r="F1590" s="89">
        <f>IF(E1590="AM",1,(IF(E1590="BE",2,(IF(E1590="GV",3,(IF(E1590="RA",4,(IF(E1590="RM",5,(IF(E1590="AC",1,(IF(E1590="AT",2,(IF(E1590="DS",3,(IF(E1590="IP",4,(IF(E1590="MA",5,(IF(E1590="PT",6,(IF(E1590="AE",1,(IF(E1590="CM",2,(IF(E1590="DP",3,(IF(E1590="AN",1,(IF(E1590="CO",2,(IF(E1590="IM",3,(IF(E1590="MI",4,(IF(E1590="RP",5,(IF(E1590="SC",6,0)))))))))))))))))))))))))))))))))))))))</f>
        <v>1</v>
      </c>
      <c r="G1590" s="52">
        <v>6</v>
      </c>
      <c r="H1590" s="90" t="s">
        <v>280</v>
      </c>
      <c r="I1590" s="94" t="s">
        <v>85</v>
      </c>
      <c r="J1590" s="87" t="s">
        <v>1309</v>
      </c>
      <c r="K1590" s="119" t="s">
        <v>4595</v>
      </c>
      <c r="L1590" s="117">
        <f>IF(O1590="","",N1590*O1590*M1590)</f>
        <v>0</v>
      </c>
      <c r="M1590" s="108">
        <v>1</v>
      </c>
      <c r="N1590" s="95">
        <v>1</v>
      </c>
      <c r="O1590" s="109">
        <f>IF(Key!D$1="ON",P1590,IF(SUM(Q1590:DL1590)&lt;1,"",SUM(Q1590:DL1590)/COUNTIF(Q1590:DL1590,"&gt;0")))</f>
        <v>0</v>
      </c>
      <c r="P1590" s="109">
        <f>SUMIFS(Q1590:DK1590,Q$1:DK$1,Dashboard!$K$31)</f>
        <v>0</v>
      </c>
      <c r="U1590" s="95">
        <v>33</v>
      </c>
      <c r="AA1590" s="95">
        <v>25</v>
      </c>
      <c r="AH1590" s="95">
        <v>75</v>
      </c>
    </row>
    <row r="1591" spans="1:34" x14ac:dyDescent="0.3">
      <c r="A1591" s="89" t="str">
        <f>CONCATENATE(D1591,".",F1591,"-",G1591,".",H1591,"")</f>
        <v>2.1-6.3</v>
      </c>
      <c r="B1591" s="89" t="str">
        <f>IF(CONCATENATE(I1591,Key!F$2)=CONCATENATE(INDEX(Dashboard!J:J,MATCH(I1591,Dashboard!J:J,0),1),INDEX(Dashboard!J:K,MATCH(I1591,Dashboard!J:J,0),2)),"ON",IF(Dashboard!K$32="ALL","ON","-"))</f>
        <v>-</v>
      </c>
      <c r="C1591" s="88" t="s">
        <v>152</v>
      </c>
      <c r="D1591" s="89">
        <f>IF(C1591="ID",1,(IF(C1591="PR",2,(IF(C1591="DE",3,(IF(C1591="RS",4,(IF(C1591="RC",5,0)))))))))</f>
        <v>2</v>
      </c>
      <c r="E1591" s="89" t="s">
        <v>153</v>
      </c>
      <c r="F1591" s="89">
        <f>IF(E1591="AM",1,(IF(E1591="BE",2,(IF(E1591="GV",3,(IF(E1591="RA",4,(IF(E1591="RM",5,(IF(E1591="AC",1,(IF(E1591="AT",2,(IF(E1591="DS",3,(IF(E1591="IP",4,(IF(E1591="MA",5,(IF(E1591="PT",6,(IF(E1591="AE",1,(IF(E1591="CM",2,(IF(E1591="DP",3,(IF(E1591="AN",1,(IF(E1591="CO",2,(IF(E1591="IM",3,(IF(E1591="MI",4,(IF(E1591="RP",5,(IF(E1591="SC",6,0)))))))))))))))))))))))))))))))))))))))</f>
        <v>1</v>
      </c>
      <c r="G1591" s="52">
        <v>6</v>
      </c>
      <c r="H1591" s="90" t="s">
        <v>280</v>
      </c>
      <c r="I1591" s="94" t="s">
        <v>85</v>
      </c>
      <c r="J1591" s="87" t="s">
        <v>1308</v>
      </c>
      <c r="K1591" s="119" t="s">
        <v>4594</v>
      </c>
      <c r="L1591" s="117">
        <f>IF(O1591="","",N1591*O1591*M1591)</f>
        <v>0</v>
      </c>
      <c r="M1591" s="108">
        <v>1</v>
      </c>
      <c r="N1591" s="95">
        <v>1</v>
      </c>
      <c r="O1591" s="109">
        <f>IF(Key!D$1="ON",P1591,IF(SUM(Q1591:DL1591)&lt;1,"",SUM(Q1591:DL1591)/COUNTIF(Q1591:DL1591,"&gt;0")))</f>
        <v>0</v>
      </c>
      <c r="P1591" s="109">
        <f>SUMIFS(Q1591:DK1591,Q$1:DK$1,Dashboard!$K$31)</f>
        <v>0</v>
      </c>
      <c r="U1591" s="95">
        <v>33</v>
      </c>
      <c r="AA1591" s="95">
        <v>25</v>
      </c>
      <c r="AH1591" s="95">
        <v>75</v>
      </c>
    </row>
    <row r="1592" spans="1:34" x14ac:dyDescent="0.3">
      <c r="A1592" s="89" t="str">
        <f>CONCATENATE(D1592,".",F1592,"-",G1592,".",H1592,"")</f>
        <v>2.1-7.0</v>
      </c>
      <c r="B1592" s="89" t="str">
        <f>IF(CONCATENATE(I1592,Key!F$2)=CONCATENATE(INDEX(Dashboard!J:J,MATCH(I1592,Dashboard!J:J,0),1),INDEX(Dashboard!J:K,MATCH(I1592,Dashboard!J:J,0),2)),"ON",IF(Dashboard!K$32="ALL","ON","-"))</f>
        <v>-</v>
      </c>
      <c r="C1592" s="88" t="s">
        <v>152</v>
      </c>
      <c r="D1592" s="89">
        <f>IF(C1592="ID",1,(IF(C1592="PR",2,(IF(C1592="DE",3,(IF(C1592="RS",4,(IF(C1592="RC",5,0)))))))))</f>
        <v>2</v>
      </c>
      <c r="E1592" s="89" t="s">
        <v>153</v>
      </c>
      <c r="F1592" s="89">
        <f>IF(E1592="AM",1,(IF(E1592="BE",2,(IF(E1592="GV",3,(IF(E1592="RA",4,(IF(E1592="RM",5,(IF(E1592="AC",1,(IF(E1592="AT",2,(IF(E1592="DS",3,(IF(E1592="IP",4,(IF(E1592="MA",5,(IF(E1592="PT",6,(IF(E1592="AE",1,(IF(E1592="CM",2,(IF(E1592="DP",3,(IF(E1592="AN",1,(IF(E1592="CO",2,(IF(E1592="IM",3,(IF(E1592="MI",4,(IF(E1592="RP",5,(IF(E1592="SC",6,0)))))))))))))))))))))))))))))))))))))))</f>
        <v>1</v>
      </c>
      <c r="G1592" s="52">
        <v>7</v>
      </c>
      <c r="H1592" s="90" t="s">
        <v>347</v>
      </c>
      <c r="I1592" s="94" t="s">
        <v>2835</v>
      </c>
      <c r="J1592" s="54" t="s">
        <v>5223</v>
      </c>
      <c r="K1592" s="150" t="s">
        <v>5224</v>
      </c>
      <c r="L1592" s="117">
        <f>IF(O1592="","",N1592*O1592*M1592)</f>
        <v>0</v>
      </c>
      <c r="M1592" s="108">
        <v>1</v>
      </c>
      <c r="N1592" s="95">
        <v>1</v>
      </c>
      <c r="O1592" s="109">
        <f>IF(Key!D$1="ON",P1592,IF(SUM(Q1592:DL1592)&lt;1,"",SUM(Q1592:DL1592)/COUNTIF(Q1592:DL1592,"&gt;0")))</f>
        <v>0</v>
      </c>
      <c r="P1592" s="109">
        <f>SUMIFS(Q1592:DK1592,Q$1:DK$1,Dashboard!$K$31)</f>
        <v>0</v>
      </c>
      <c r="U1592" s="95">
        <v>33</v>
      </c>
    </row>
    <row r="1593" spans="1:34" x14ac:dyDescent="0.3">
      <c r="A1593" s="89" t="str">
        <f>CONCATENATE(D1593,".",F1593,"-",G1593,".",H1593,"")</f>
        <v>2.1-7.1</v>
      </c>
      <c r="B1593" s="89" t="str">
        <f>IF(CONCATENATE(I1593,Key!F$2)=CONCATENATE(INDEX(Dashboard!J:J,MATCH(I1593,Dashboard!J:J,0),1),INDEX(Dashboard!J:K,MATCH(I1593,Dashboard!J:J,0),2)),"ON",IF(Dashboard!K$32="ALL","ON","-"))</f>
        <v>-</v>
      </c>
      <c r="C1593" s="88" t="s">
        <v>152</v>
      </c>
      <c r="D1593" s="89">
        <f>IF(C1593="ID",1,(IF(C1593="PR",2,(IF(C1593="DE",3,(IF(C1593="RS",4,(IF(C1593="RC",5,0)))))))))</f>
        <v>2</v>
      </c>
      <c r="E1593" s="89" t="s">
        <v>153</v>
      </c>
      <c r="F1593" s="89">
        <f>IF(E1593="AM",1,(IF(E1593="BE",2,(IF(E1593="GV",3,(IF(E1593="RA",4,(IF(E1593="RM",5,(IF(E1593="AC",1,(IF(E1593="AT",2,(IF(E1593="DS",3,(IF(E1593="IP",4,(IF(E1593="MA",5,(IF(E1593="PT",6,(IF(E1593="AE",1,(IF(E1593="CM",2,(IF(E1593="DP",3,(IF(E1593="AN",1,(IF(E1593="CO",2,(IF(E1593="IM",3,(IF(E1593="MI",4,(IF(E1593="RP",5,(IF(E1593="SC",6,0)))))))))))))))))))))))))))))))))))))))</f>
        <v>1</v>
      </c>
      <c r="G1593" s="52">
        <v>7</v>
      </c>
      <c r="H1593" s="90" t="s">
        <v>115</v>
      </c>
      <c r="I1593" s="94" t="s">
        <v>85</v>
      </c>
      <c r="J1593" s="135" t="s">
        <v>648</v>
      </c>
      <c r="K1593" s="143" t="s">
        <v>4553</v>
      </c>
      <c r="L1593" s="117">
        <f>IF(O1593="","",N1593*O1593*M1593)</f>
        <v>0</v>
      </c>
      <c r="M1593" s="108">
        <v>1</v>
      </c>
      <c r="N1593" s="95">
        <v>1</v>
      </c>
      <c r="O1593" s="109">
        <f>IF(Key!D$1="ON",P1593,IF(SUM(Q1593:DL1593)&lt;1,"",SUM(Q1593:DL1593)/COUNTIF(Q1593:DL1593,"&gt;0")))</f>
        <v>0</v>
      </c>
      <c r="P1593" s="109">
        <f>SUMIFS(Q1593:DK1593,Q$1:DK$1,Dashboard!$K$31)</f>
        <v>0</v>
      </c>
      <c r="U1593" s="95">
        <v>33</v>
      </c>
      <c r="AA1593" s="95">
        <v>25</v>
      </c>
      <c r="AH1593" s="95">
        <v>75</v>
      </c>
    </row>
    <row r="1594" spans="1:34" x14ac:dyDescent="0.3">
      <c r="A1594" s="89" t="str">
        <f>CONCATENATE(D1594,".",F1594,"-",G1594,".",H1594,"")</f>
        <v>2.1-7.1</v>
      </c>
      <c r="B1594" s="89" t="str">
        <f>IF(CONCATENATE(I1594,Key!F$2)=CONCATENATE(INDEX(Dashboard!J:J,MATCH(I1594,Dashboard!J:J,0),1),INDEX(Dashboard!J:K,MATCH(I1594,Dashboard!J:J,0),2)),"ON",IF(Dashboard!K$32="ALL","ON","-"))</f>
        <v>-</v>
      </c>
      <c r="C1594" s="88" t="s">
        <v>152</v>
      </c>
      <c r="D1594" s="89">
        <f>IF(C1594="ID",1,(IF(C1594="PR",2,(IF(C1594="DE",3,(IF(C1594="RS",4,(IF(C1594="RC",5,0)))))))))</f>
        <v>2</v>
      </c>
      <c r="E1594" s="89" t="s">
        <v>153</v>
      </c>
      <c r="F1594" s="89">
        <f>IF(E1594="AM",1,(IF(E1594="BE",2,(IF(E1594="GV",3,(IF(E1594="RA",4,(IF(E1594="RM",5,(IF(E1594="AC",1,(IF(E1594="AT",2,(IF(E1594="DS",3,(IF(E1594="IP",4,(IF(E1594="MA",5,(IF(E1594="PT",6,(IF(E1594="AE",1,(IF(E1594="CM",2,(IF(E1594="DP",3,(IF(E1594="AN",1,(IF(E1594="CO",2,(IF(E1594="IM",3,(IF(E1594="MI",4,(IF(E1594="RP",5,(IF(E1594="SC",6,0)))))))))))))))))))))))))))))))))))))))</f>
        <v>1</v>
      </c>
      <c r="G1594" s="52">
        <v>7</v>
      </c>
      <c r="H1594" s="90" t="s">
        <v>115</v>
      </c>
      <c r="I1594" s="94" t="s">
        <v>85</v>
      </c>
      <c r="J1594" s="135" t="s">
        <v>649</v>
      </c>
      <c r="K1594" s="143" t="s">
        <v>4554</v>
      </c>
      <c r="L1594" s="117">
        <f>IF(O1594="","",N1594*O1594*M1594)</f>
        <v>0</v>
      </c>
      <c r="M1594" s="108">
        <v>1</v>
      </c>
      <c r="N1594" s="95">
        <v>1</v>
      </c>
      <c r="O1594" s="109">
        <f>IF(Key!D$1="ON",P1594,IF(SUM(Q1594:DL1594)&lt;1,"",SUM(Q1594:DL1594)/COUNTIF(Q1594:DL1594,"&gt;0")))</f>
        <v>0</v>
      </c>
      <c r="P1594" s="109">
        <f>SUMIFS(Q1594:DK1594,Q$1:DK$1,Dashboard!$K$31)</f>
        <v>0</v>
      </c>
      <c r="U1594" s="95">
        <v>33</v>
      </c>
      <c r="AA1594" s="95">
        <v>25</v>
      </c>
      <c r="AH1594" s="95">
        <v>75</v>
      </c>
    </row>
    <row r="1595" spans="1:34" x14ac:dyDescent="0.3">
      <c r="A1595" s="89" t="str">
        <f>CONCATENATE(D1595,".",F1595,"-",G1595,".",H1595,"")</f>
        <v>2.1-7.1</v>
      </c>
      <c r="B1595" s="89" t="str">
        <f>IF(CONCATENATE(I1595,Key!F$2)=CONCATENATE(INDEX(Dashboard!J:J,MATCH(I1595,Dashboard!J:J,0),1),INDEX(Dashboard!J:K,MATCH(I1595,Dashboard!J:J,0),2)),"ON",IF(Dashboard!K$32="ALL","ON","-"))</f>
        <v>-</v>
      </c>
      <c r="C1595" s="88" t="s">
        <v>152</v>
      </c>
      <c r="D1595" s="89">
        <f>IF(C1595="ID",1,(IF(C1595="PR",2,(IF(C1595="DE",3,(IF(C1595="RS",4,(IF(C1595="RC",5,0)))))))))</f>
        <v>2</v>
      </c>
      <c r="E1595" s="89" t="s">
        <v>153</v>
      </c>
      <c r="F1595" s="89">
        <f>IF(E1595="AM",1,(IF(E1595="BE",2,(IF(E1595="GV",3,(IF(E1595="RA",4,(IF(E1595="RM",5,(IF(E1595="AC",1,(IF(E1595="AT",2,(IF(E1595="DS",3,(IF(E1595="IP",4,(IF(E1595="MA",5,(IF(E1595="PT",6,(IF(E1595="AE",1,(IF(E1595="CM",2,(IF(E1595="DP",3,(IF(E1595="AN",1,(IF(E1595="CO",2,(IF(E1595="IM",3,(IF(E1595="MI",4,(IF(E1595="RP",5,(IF(E1595="SC",6,0)))))))))))))))))))))))))))))))))))))))</f>
        <v>1</v>
      </c>
      <c r="G1595" s="52">
        <v>7</v>
      </c>
      <c r="H1595" s="90" t="s">
        <v>115</v>
      </c>
      <c r="I1595" s="94" t="s">
        <v>85</v>
      </c>
      <c r="J1595" s="135" t="s">
        <v>695</v>
      </c>
      <c r="K1595" s="143" t="s">
        <v>4774</v>
      </c>
      <c r="L1595" s="117">
        <f>IF(O1595="","",N1595*O1595*M1595)</f>
        <v>0</v>
      </c>
      <c r="M1595" s="108">
        <v>1</v>
      </c>
      <c r="N1595" s="95">
        <v>1</v>
      </c>
      <c r="O1595" s="109">
        <f>IF(Key!D$1="ON",P1595,IF(SUM(Q1595:DL1595)&lt;1,"",SUM(Q1595:DL1595)/COUNTIF(Q1595:DL1595,"&gt;0")))</f>
        <v>0</v>
      </c>
      <c r="P1595" s="109">
        <f>SUMIFS(Q1595:DK1595,Q$1:DK$1,Dashboard!$K$31)</f>
        <v>0</v>
      </c>
      <c r="U1595" s="95">
        <v>33</v>
      </c>
      <c r="AA1595" s="95">
        <v>25</v>
      </c>
      <c r="AH1595" s="95">
        <v>75</v>
      </c>
    </row>
    <row r="1596" spans="1:34" x14ac:dyDescent="0.3">
      <c r="A1596" s="89" t="str">
        <f>CONCATENATE(D1596,".",F1596,"-",G1596,".",H1596,"")</f>
        <v>2.2-0.0</v>
      </c>
      <c r="B1596" s="89" t="str">
        <f>IF(CONCATENATE(I1596,Key!F$2)=CONCATENATE(INDEX(Dashboard!J:J,MATCH(I1596,Dashboard!J:J,0),1),INDEX(Dashboard!J:K,MATCH(I1596,Dashboard!J:J,0),2)),"ON",IF(Dashboard!K$32="ALL","ON","-"))</f>
        <v>-</v>
      </c>
      <c r="C1596" s="88" t="s">
        <v>152</v>
      </c>
      <c r="D1596" s="89">
        <f>IF(C1596="ID",1,(IF(C1596="PR",2,(IF(C1596="DE",3,(IF(C1596="RS",4,(IF(C1596="RC",5,0)))))))))</f>
        <v>2</v>
      </c>
      <c r="E1596" s="89" t="s">
        <v>202</v>
      </c>
      <c r="F1596" s="89">
        <f>IF(E1596="AM",1,(IF(E1596="BE",2,(IF(E1596="GV",3,(IF(E1596="RA",4,(IF(E1596="RM",5,(IF(E1596="AC",1,(IF(E1596="AT",2,(IF(E1596="DS",3,(IF(E1596="IP",4,(IF(E1596="MA",5,(IF(E1596="PT",6,(IF(E1596="AE",1,(IF(E1596="CM",2,(IF(E1596="DP",3,(IF(E1596="AN",1,(IF(E1596="CO",2,(IF(E1596="IM",3,(IF(E1596="MI",4,(IF(E1596="RP",5,(IF(E1596="SC",6,0)))))))))))))))))))))))))))))))))))))))</f>
        <v>2</v>
      </c>
      <c r="G1596" s="52">
        <v>0</v>
      </c>
      <c r="H1596" s="90" t="s">
        <v>347</v>
      </c>
      <c r="I1596" s="94" t="s">
        <v>2835</v>
      </c>
      <c r="J1596" s="151" t="s">
        <v>2927</v>
      </c>
      <c r="K1596" s="150" t="s">
        <v>2928</v>
      </c>
      <c r="L1596" s="117">
        <f>IF(O1596="","",N1596*O1596*M1596)</f>
        <v>0</v>
      </c>
      <c r="M1596" s="108">
        <v>1</v>
      </c>
      <c r="N1596" s="95">
        <v>1</v>
      </c>
      <c r="O1596" s="109">
        <f>IF(Key!D$1="ON",P1596,IF(SUM(Q1596:DL1596)&lt;1,"",SUM(Q1596:DL1596)/COUNTIF(Q1596:DL1596,"&gt;0")))</f>
        <v>0</v>
      </c>
      <c r="P1596" s="109">
        <f>SUMIFS(Q1596:DK1596,Q$1:DK$1,Dashboard!$K$31)</f>
        <v>0</v>
      </c>
      <c r="Q1596" s="110">
        <v>83</v>
      </c>
      <c r="U1596" s="95">
        <v>33</v>
      </c>
    </row>
    <row r="1597" spans="1:34" x14ac:dyDescent="0.3">
      <c r="A1597" s="89" t="str">
        <f>CONCATENATE(D1597,".",F1597,"-",G1597,".",H1597,"")</f>
        <v>2.2-0.1</v>
      </c>
      <c r="B1597" s="89" t="str">
        <f>IF(CONCATENATE(I1597,Key!F$2)=CONCATENATE(INDEX(Dashboard!J:J,MATCH(I1597,Dashboard!J:J,0),1),INDEX(Dashboard!J:K,MATCH(I1597,Dashboard!J:J,0),2)),"ON",IF(Dashboard!K$32="ALL","ON","-"))</f>
        <v>-</v>
      </c>
      <c r="C1597" s="88" t="s">
        <v>152</v>
      </c>
      <c r="D1597" s="89">
        <f>IF(C1597="ID",1,(IF(C1597="PR",2,(IF(C1597="DE",3,(IF(C1597="RS",4,(IF(C1597="RC",5,0)))))))))</f>
        <v>2</v>
      </c>
      <c r="E1597" s="89" t="s">
        <v>202</v>
      </c>
      <c r="F1597" s="89">
        <f>IF(E1597="AM",1,(IF(E1597="BE",2,(IF(E1597="GV",3,(IF(E1597="RA",4,(IF(E1597="RM",5,(IF(E1597="AC",1,(IF(E1597="AT",2,(IF(E1597="DS",3,(IF(E1597="IP",4,(IF(E1597="MA",5,(IF(E1597="PT",6,(IF(E1597="AE",1,(IF(E1597="CM",2,(IF(E1597="DP",3,(IF(E1597="AN",1,(IF(E1597="CO",2,(IF(E1597="IM",3,(IF(E1597="MI",4,(IF(E1597="RP",5,(IF(E1597="SC",6,0)))))))))))))))))))))))))))))))))))))))</f>
        <v>2</v>
      </c>
      <c r="G1597" s="52">
        <v>0</v>
      </c>
      <c r="H1597" s="90" t="s">
        <v>115</v>
      </c>
      <c r="I1597" s="94" t="s">
        <v>2835</v>
      </c>
      <c r="J1597" s="151" t="s">
        <v>2927</v>
      </c>
      <c r="K1597" s="150" t="s">
        <v>2929</v>
      </c>
      <c r="L1597" s="117">
        <f>IF(O1597="","",N1597*O1597*M1597)</f>
        <v>0</v>
      </c>
      <c r="M1597" s="108">
        <v>0.9</v>
      </c>
      <c r="N1597" s="95">
        <v>1</v>
      </c>
      <c r="O1597" s="109">
        <f>IF(Key!D$1="ON",P1597,IF(SUM(Q1597:DL1597)&lt;1,"",SUM(Q1597:DL1597)/COUNTIF(Q1597:DL1597,"&gt;0")))</f>
        <v>0</v>
      </c>
      <c r="P1597" s="109">
        <f>SUMIFS(Q1597:DK1597,Q$1:DK$1,Dashboard!$K$31)</f>
        <v>0</v>
      </c>
      <c r="Q1597" s="110">
        <v>83</v>
      </c>
      <c r="U1597" s="95">
        <v>33</v>
      </c>
      <c r="AA1597" s="95">
        <v>50</v>
      </c>
    </row>
    <row r="1598" spans="1:34" x14ac:dyDescent="0.3">
      <c r="A1598" s="89" t="str">
        <f>CONCATENATE(D1598,".",F1598,"-",G1598,".",H1598,"")</f>
        <v>2.2-1.0</v>
      </c>
      <c r="B1598" s="89" t="str">
        <f>IF(CONCATENATE(I1598,Key!F$2)=CONCATENATE(INDEX(Dashboard!J:J,MATCH(I1598,Dashboard!J:J,0),1),INDEX(Dashboard!J:K,MATCH(I1598,Dashboard!J:J,0),2)),"ON",IF(Dashboard!K$32="ALL","ON","-"))</f>
        <v>-</v>
      </c>
      <c r="C1598" s="88" t="s">
        <v>152</v>
      </c>
      <c r="D1598" s="89">
        <f>IF(C1598="ID",1,(IF(C1598="PR",2,(IF(C1598="DE",3,(IF(C1598="RS",4,(IF(C1598="RC",5,0)))))))))</f>
        <v>2</v>
      </c>
      <c r="E1598" s="89" t="s">
        <v>202</v>
      </c>
      <c r="F1598" s="89">
        <f>IF(E1598="AM",1,(IF(E1598="BE",2,(IF(E1598="GV",3,(IF(E1598="RA",4,(IF(E1598="RM",5,(IF(E1598="AC",1,(IF(E1598="AT",2,(IF(E1598="DS",3,(IF(E1598="IP",4,(IF(E1598="MA",5,(IF(E1598="PT",6,(IF(E1598="AE",1,(IF(E1598="CM",2,(IF(E1598="DP",3,(IF(E1598="AN",1,(IF(E1598="CO",2,(IF(E1598="IM",3,(IF(E1598="MI",4,(IF(E1598="RP",5,(IF(E1598="SC",6,0)))))))))))))))))))))))))))))))))))))))</f>
        <v>2</v>
      </c>
      <c r="G1598" s="52">
        <v>1</v>
      </c>
      <c r="H1598" s="90" t="s">
        <v>347</v>
      </c>
      <c r="I1598" s="94" t="s">
        <v>2835</v>
      </c>
      <c r="J1598" s="53" t="s">
        <v>2930</v>
      </c>
      <c r="K1598" s="150" t="s">
        <v>2931</v>
      </c>
      <c r="L1598" s="117">
        <f>IF(O1598="","",N1598*O1598*M1598)</f>
        <v>0</v>
      </c>
      <c r="M1598" s="108">
        <v>0.9</v>
      </c>
      <c r="N1598" s="95">
        <v>1</v>
      </c>
      <c r="O1598" s="109">
        <f>IF(Key!D$1="ON",P1598,IF(SUM(Q1598:DL1598)&lt;1,"",SUM(Q1598:DL1598)/COUNTIF(Q1598:DL1598,"&gt;0")))</f>
        <v>0</v>
      </c>
      <c r="P1598" s="109">
        <f>SUMIFS(Q1598:DK1598,Q$1:DK$1,Dashboard!$K$31)</f>
        <v>0</v>
      </c>
      <c r="U1598" s="95">
        <v>33</v>
      </c>
    </row>
    <row r="1599" spans="1:34" x14ac:dyDescent="0.3">
      <c r="A1599" s="89" t="str">
        <f>CONCATENATE(D1599,".",F1599,"-",G1599,".",H1599,"")</f>
        <v>2.2-1.1</v>
      </c>
      <c r="B1599" s="89" t="str">
        <f>IF(CONCATENATE(I1599,Key!F$2)=CONCATENATE(INDEX(Dashboard!J:J,MATCH(I1599,Dashboard!J:J,0),1),INDEX(Dashboard!J:K,MATCH(I1599,Dashboard!J:J,0),2)),"ON",IF(Dashboard!K$32="ALL","ON","-"))</f>
        <v>ON</v>
      </c>
      <c r="C1599" s="130" t="s">
        <v>152</v>
      </c>
      <c r="D1599" s="89">
        <f>IF(C1599="ID",1,(IF(C1599="PR",2,(IF(C1599="DE",3,(IF(C1599="RS",4,(IF(C1599="RC",5,0)))))))))</f>
        <v>2</v>
      </c>
      <c r="E1599" s="95" t="s">
        <v>202</v>
      </c>
      <c r="F1599" s="89">
        <f>IF(E1599="AM",1,(IF(E1599="BE",2,(IF(E1599="GV",3,(IF(E1599="RA",4,(IF(E1599="RM",5,(IF(E1599="AC",1,(IF(E1599="AT",2,(IF(E1599="DS",3,(IF(E1599="IP",4,(IF(E1599="MA",5,(IF(E1599="PT",6,(IF(E1599="AE",1,(IF(E1599="CM",2,(IF(E1599="DP",3,(IF(E1599="AN",1,(IF(E1599="CO",2,(IF(E1599="IM",3,(IF(E1599="MI",4,(IF(E1599="RP",5,(IF(E1599="SC",6,0)))))))))))))))))))))))))))))))))))))))</f>
        <v>2</v>
      </c>
      <c r="G1599" s="52">
        <v>1</v>
      </c>
      <c r="H1599" s="90" t="s">
        <v>115</v>
      </c>
      <c r="I1599" s="94" t="s">
        <v>4107</v>
      </c>
      <c r="J1599" s="86" t="s">
        <v>3978</v>
      </c>
      <c r="K1599" s="101" t="s">
        <v>4436</v>
      </c>
      <c r="L1599" s="117">
        <f>IF(O1599="","",N1599*O1599*M1599)</f>
        <v>0</v>
      </c>
      <c r="M1599" s="108">
        <v>1</v>
      </c>
      <c r="N1599" s="95">
        <v>1</v>
      </c>
      <c r="O1599" s="109">
        <f>IF(Key!D$1="ON",P1599,IF(SUM(Q1599:DL1599)&lt;1,"",SUM(Q1599:DL1599)/COUNTIF(Q1599:DL1599,"&gt;0")))</f>
        <v>0</v>
      </c>
      <c r="P1599" s="109">
        <f>SUMIFS(Q1599:DK1599,Q$1:DK$1,Dashboard!$K$31)</f>
        <v>0</v>
      </c>
      <c r="U1599" s="95">
        <v>33</v>
      </c>
      <c r="AA1599" s="95">
        <v>25</v>
      </c>
      <c r="AH1599" s="95">
        <v>75</v>
      </c>
    </row>
    <row r="1600" spans="1:34" x14ac:dyDescent="0.3">
      <c r="A1600" s="89" t="str">
        <f>CONCATENATE(D1600,".",F1600,"-",G1600,".",H1600,"")</f>
        <v>2.2-1.1</v>
      </c>
      <c r="B1600" s="89" t="str">
        <f>IF(CONCATENATE(I1600,Key!F$2)=CONCATENATE(INDEX(Dashboard!J:J,MATCH(I1600,Dashboard!J:J,0),1),INDEX(Dashboard!J:K,MATCH(I1600,Dashboard!J:J,0),2)),"ON",IF(Dashboard!K$32="ALL","ON","-"))</f>
        <v>ON</v>
      </c>
      <c r="C1600" s="130" t="s">
        <v>152</v>
      </c>
      <c r="D1600" s="89">
        <f>IF(C1600="ID",1,(IF(C1600="PR",2,(IF(C1600="DE",3,(IF(C1600="RS",4,(IF(C1600="RC",5,0)))))))))</f>
        <v>2</v>
      </c>
      <c r="E1600" s="95" t="s">
        <v>202</v>
      </c>
      <c r="F1600" s="89">
        <f>IF(E1600="AM",1,(IF(E1600="BE",2,(IF(E1600="GV",3,(IF(E1600="RA",4,(IF(E1600="RM",5,(IF(E1600="AC",1,(IF(E1600="AT",2,(IF(E1600="DS",3,(IF(E1600="IP",4,(IF(E1600="MA",5,(IF(E1600="PT",6,(IF(E1600="AE",1,(IF(E1600="CM",2,(IF(E1600="DP",3,(IF(E1600="AN",1,(IF(E1600="CO",2,(IF(E1600="IM",3,(IF(E1600="MI",4,(IF(E1600="RP",5,(IF(E1600="SC",6,0)))))))))))))))))))))))))))))))))))))))</f>
        <v>2</v>
      </c>
      <c r="G1600" s="52">
        <v>1</v>
      </c>
      <c r="H1600" s="90" t="s">
        <v>115</v>
      </c>
      <c r="I1600" s="94" t="s">
        <v>4107</v>
      </c>
      <c r="J1600" s="86" t="s">
        <v>3979</v>
      </c>
      <c r="K1600" s="101" t="s">
        <v>4370</v>
      </c>
      <c r="L1600" s="117">
        <f>IF(O1600="","",N1600*O1600*M1600)</f>
        <v>0</v>
      </c>
      <c r="M1600" s="108">
        <v>1</v>
      </c>
      <c r="N1600" s="95">
        <v>1</v>
      </c>
      <c r="O1600" s="109">
        <f>IF(Key!D$1="ON",P1600,IF(SUM(Q1600:DL1600)&lt;1,"",SUM(Q1600:DL1600)/COUNTIF(Q1600:DL1600,"&gt;0")))</f>
        <v>0</v>
      </c>
      <c r="P1600" s="109">
        <f>SUMIFS(Q1600:DK1600,Q$1:DK$1,Dashboard!$K$31)</f>
        <v>0</v>
      </c>
      <c r="U1600" s="95">
        <v>33</v>
      </c>
      <c r="AA1600" s="95">
        <v>25</v>
      </c>
      <c r="AH1600" s="95">
        <v>75</v>
      </c>
    </row>
    <row r="1601" spans="1:34" x14ac:dyDescent="0.3">
      <c r="A1601" s="89" t="str">
        <f>CONCATENATE(D1601,".",F1601,"-",G1601,".",H1601,"")</f>
        <v>2.2-1.1</v>
      </c>
      <c r="B1601" s="89" t="str">
        <f>IF(CONCATENATE(I1601,Key!F$2)=CONCATENATE(INDEX(Dashboard!J:J,MATCH(I1601,Dashboard!J:J,0),1),INDEX(Dashboard!J:K,MATCH(I1601,Dashboard!J:J,0),2)),"ON",IF(Dashboard!K$32="ALL","ON","-"))</f>
        <v>ON</v>
      </c>
      <c r="C1601" s="130" t="s">
        <v>152</v>
      </c>
      <c r="D1601" s="89">
        <f>IF(C1601="ID",1,(IF(C1601="PR",2,(IF(C1601="DE",3,(IF(C1601="RS",4,(IF(C1601="RC",5,0)))))))))</f>
        <v>2</v>
      </c>
      <c r="E1601" s="95" t="s">
        <v>202</v>
      </c>
      <c r="F1601" s="89">
        <f>IF(E1601="AM",1,(IF(E1601="BE",2,(IF(E1601="GV",3,(IF(E1601="RA",4,(IF(E1601="RM",5,(IF(E1601="AC",1,(IF(E1601="AT",2,(IF(E1601="DS",3,(IF(E1601="IP",4,(IF(E1601="MA",5,(IF(E1601="PT",6,(IF(E1601="AE",1,(IF(E1601="CM",2,(IF(E1601="DP",3,(IF(E1601="AN",1,(IF(E1601="CO",2,(IF(E1601="IM",3,(IF(E1601="MI",4,(IF(E1601="RP",5,(IF(E1601="SC",6,0)))))))))))))))))))))))))))))))))))))))</f>
        <v>2</v>
      </c>
      <c r="G1601" s="52">
        <v>1</v>
      </c>
      <c r="H1601" s="90" t="s">
        <v>115</v>
      </c>
      <c r="I1601" s="94" t="s">
        <v>4107</v>
      </c>
      <c r="J1601" s="86" t="s">
        <v>3981</v>
      </c>
      <c r="K1601" s="101" t="s">
        <v>4437</v>
      </c>
      <c r="L1601" s="117">
        <f>IF(O1601="","",N1601*O1601*M1601)</f>
        <v>0</v>
      </c>
      <c r="M1601" s="108">
        <v>1</v>
      </c>
      <c r="N1601" s="95">
        <v>1</v>
      </c>
      <c r="O1601" s="109">
        <f>IF(Key!D$1="ON",P1601,IF(SUM(Q1601:DL1601)&lt;1,"",SUM(Q1601:DL1601)/COUNTIF(Q1601:DL1601,"&gt;0")))</f>
        <v>0</v>
      </c>
      <c r="P1601" s="109">
        <f>SUMIFS(Q1601:DK1601,Q$1:DK$1,Dashboard!$K$31)</f>
        <v>0</v>
      </c>
      <c r="U1601" s="95">
        <v>33</v>
      </c>
      <c r="AA1601" s="95">
        <v>25</v>
      </c>
      <c r="AH1601" s="95">
        <v>75</v>
      </c>
    </row>
    <row r="1602" spans="1:34" x14ac:dyDescent="0.3">
      <c r="A1602" s="89" t="str">
        <f>CONCATENATE(D1602,".",F1602,"-",G1602,".",H1602,"")</f>
        <v>2.2-1.1</v>
      </c>
      <c r="B1602" s="89" t="str">
        <f>IF(CONCATENATE(I1602,Key!F$2)=CONCATENATE(INDEX(Dashboard!J:J,MATCH(I1602,Dashboard!J:J,0),1),INDEX(Dashboard!J:K,MATCH(I1602,Dashboard!J:J,0),2)),"ON",IF(Dashboard!K$32="ALL","ON","-"))</f>
        <v>ON</v>
      </c>
      <c r="C1602" s="130" t="s">
        <v>152</v>
      </c>
      <c r="D1602" s="89">
        <f>IF(C1602="ID",1,(IF(C1602="PR",2,(IF(C1602="DE",3,(IF(C1602="RS",4,(IF(C1602="RC",5,0)))))))))</f>
        <v>2</v>
      </c>
      <c r="E1602" s="95" t="s">
        <v>202</v>
      </c>
      <c r="F1602" s="89">
        <f>IF(E1602="AM",1,(IF(E1602="BE",2,(IF(E1602="GV",3,(IF(E1602="RA",4,(IF(E1602="RM",5,(IF(E1602="AC",1,(IF(E1602="AT",2,(IF(E1602="DS",3,(IF(E1602="IP",4,(IF(E1602="MA",5,(IF(E1602="PT",6,(IF(E1602="AE",1,(IF(E1602="CM",2,(IF(E1602="DP",3,(IF(E1602="AN",1,(IF(E1602="CO",2,(IF(E1602="IM",3,(IF(E1602="MI",4,(IF(E1602="RP",5,(IF(E1602="SC",6,0)))))))))))))))))))))))))))))))))))))))</f>
        <v>2</v>
      </c>
      <c r="G1602" s="52">
        <v>1</v>
      </c>
      <c r="H1602" s="90" t="s">
        <v>115</v>
      </c>
      <c r="I1602" s="94" t="s">
        <v>4107</v>
      </c>
      <c r="J1602" s="86" t="s">
        <v>3982</v>
      </c>
      <c r="K1602" s="101" t="s">
        <v>4371</v>
      </c>
      <c r="L1602" s="117">
        <f>IF(O1602="","",N1602*O1602*M1602)</f>
        <v>0</v>
      </c>
      <c r="M1602" s="108">
        <v>1</v>
      </c>
      <c r="N1602" s="95">
        <v>1</v>
      </c>
      <c r="O1602" s="109">
        <f>IF(Key!D$1="ON",P1602,IF(SUM(Q1602:DL1602)&lt;1,"",SUM(Q1602:DL1602)/COUNTIF(Q1602:DL1602,"&gt;0")))</f>
        <v>0</v>
      </c>
      <c r="P1602" s="109">
        <f>SUMIFS(Q1602:DK1602,Q$1:DK$1,Dashboard!$K$31)</f>
        <v>0</v>
      </c>
      <c r="U1602" s="95">
        <v>33</v>
      </c>
      <c r="AA1602" s="95">
        <v>25</v>
      </c>
      <c r="AH1602" s="95">
        <v>75</v>
      </c>
    </row>
    <row r="1603" spans="1:34" x14ac:dyDescent="0.3">
      <c r="A1603" s="89" t="str">
        <f>CONCATENATE(D1603,".",F1603,"-",G1603,".",H1603,"")</f>
        <v>2.2-1.1</v>
      </c>
      <c r="B1603" s="89" t="str">
        <f>IF(CONCATENATE(I1603,Key!F$2)=CONCATENATE(INDEX(Dashboard!J:J,MATCH(I1603,Dashboard!J:J,0),1),INDEX(Dashboard!J:K,MATCH(I1603,Dashboard!J:J,0),2)),"ON",IF(Dashboard!K$32="ALL","ON","-"))</f>
        <v>-</v>
      </c>
      <c r="C1603" s="88" t="s">
        <v>152</v>
      </c>
      <c r="D1603" s="89">
        <f>IF(C1603="ID",1,(IF(C1603="PR",2,(IF(C1603="DE",3,(IF(C1603="RS",4,(IF(C1603="RC",5,0)))))))))</f>
        <v>2</v>
      </c>
      <c r="E1603" s="89" t="s">
        <v>202</v>
      </c>
      <c r="F1603" s="89">
        <f>IF(E1603="AM",1,(IF(E1603="BE",2,(IF(E1603="GV",3,(IF(E1603="RA",4,(IF(E1603="RM",5,(IF(E1603="AC",1,(IF(E1603="AT",2,(IF(E1603="DS",3,(IF(E1603="IP",4,(IF(E1603="MA",5,(IF(E1603="PT",6,(IF(E1603="AE",1,(IF(E1603="CM",2,(IF(E1603="DP",3,(IF(E1603="AN",1,(IF(E1603="CO",2,(IF(E1603="IM",3,(IF(E1603="MI",4,(IF(E1603="RP",5,(IF(E1603="SC",6,0)))))))))))))))))))))))))))))))))))))))</f>
        <v>2</v>
      </c>
      <c r="G1603" s="52">
        <v>1</v>
      </c>
      <c r="H1603" s="99">
        <v>1</v>
      </c>
      <c r="I1603" s="94" t="s">
        <v>37</v>
      </c>
      <c r="J1603" s="86">
        <v>17.100000000000001</v>
      </c>
      <c r="K1603" s="102" t="s">
        <v>3729</v>
      </c>
      <c r="L1603" s="117">
        <f>IF(O1603="","",N1603*O1603*M1603)</f>
        <v>0</v>
      </c>
      <c r="M1603" s="108">
        <v>0.9</v>
      </c>
      <c r="N1603" s="95">
        <v>1</v>
      </c>
      <c r="O1603" s="109">
        <f>IF(Key!D$1="ON",P1603,IF(SUM(Q1603:DL1603)&lt;1,"",SUM(Q1603:DL1603)/COUNTIF(Q1603:DL1603,"&gt;0")))</f>
        <v>0</v>
      </c>
      <c r="P1603" s="109">
        <f>SUMIFS(Q1603:DK1603,Q$1:DK$1,Dashboard!$K$31)</f>
        <v>0</v>
      </c>
      <c r="S1603" s="95">
        <v>1</v>
      </c>
      <c r="T1603" s="95">
        <v>80</v>
      </c>
      <c r="U1603" s="95">
        <v>33</v>
      </c>
      <c r="AA1603" s="95">
        <v>25</v>
      </c>
      <c r="AH1603" s="95">
        <v>75</v>
      </c>
    </row>
    <row r="1604" spans="1:34" x14ac:dyDescent="0.3">
      <c r="A1604" s="89" t="str">
        <f>CONCATENATE(D1604,".",F1604,"-",G1604,".",H1604,"")</f>
        <v>2.2-1.1</v>
      </c>
      <c r="B1604" s="89" t="str">
        <f>IF(CONCATENATE(I1604,Key!F$2)=CONCATENATE(INDEX(Dashboard!J:J,MATCH(I1604,Dashboard!J:J,0),1),INDEX(Dashboard!J:K,MATCH(I1604,Dashboard!J:J,0),2)),"ON",IF(Dashboard!K$32="ALL","ON","-"))</f>
        <v>-</v>
      </c>
      <c r="C1604" s="88" t="s">
        <v>152</v>
      </c>
      <c r="D1604" s="89">
        <f>IF(C1604="ID",1,(IF(C1604="PR",2,(IF(C1604="DE",3,(IF(C1604="RS",4,(IF(C1604="RC",5,0)))))))))</f>
        <v>2</v>
      </c>
      <c r="E1604" s="89" t="s">
        <v>202</v>
      </c>
      <c r="F1604" s="89">
        <f>IF(E1604="AM",1,(IF(E1604="BE",2,(IF(E1604="GV",3,(IF(E1604="RA",4,(IF(E1604="RM",5,(IF(E1604="AC",1,(IF(E1604="AT",2,(IF(E1604="DS",3,(IF(E1604="IP",4,(IF(E1604="MA",5,(IF(E1604="PT",6,(IF(E1604="AE",1,(IF(E1604="CM",2,(IF(E1604="DP",3,(IF(E1604="AN",1,(IF(E1604="CO",2,(IF(E1604="IM",3,(IF(E1604="MI",4,(IF(E1604="RP",5,(IF(E1604="SC",6,0)))))))))))))))))))))))))))))))))))))))</f>
        <v>2</v>
      </c>
      <c r="G1604" s="52">
        <v>1</v>
      </c>
      <c r="H1604" s="99">
        <v>1</v>
      </c>
      <c r="I1604" s="94" t="s">
        <v>37</v>
      </c>
      <c r="J1604" s="86">
        <v>17.3</v>
      </c>
      <c r="K1604" s="102" t="s">
        <v>3730</v>
      </c>
      <c r="L1604" s="117">
        <f>IF(O1604="","",N1604*O1604*M1604)</f>
        <v>0</v>
      </c>
      <c r="M1604" s="108">
        <v>0.9</v>
      </c>
      <c r="N1604" s="95">
        <v>1</v>
      </c>
      <c r="O1604" s="109">
        <f>IF(Key!D$1="ON",P1604,IF(SUM(Q1604:DL1604)&lt;1,"",SUM(Q1604:DL1604)/COUNTIF(Q1604:DL1604,"&gt;0")))</f>
        <v>0</v>
      </c>
      <c r="P1604" s="109">
        <f>SUMIFS(Q1604:DK1604,Q$1:DK$1,Dashboard!$K$31)</f>
        <v>0</v>
      </c>
      <c r="S1604" s="95">
        <v>10</v>
      </c>
      <c r="T1604" s="95">
        <v>80</v>
      </c>
      <c r="U1604" s="95">
        <v>33</v>
      </c>
      <c r="AA1604" s="95">
        <v>25</v>
      </c>
      <c r="AH1604" s="95">
        <v>75</v>
      </c>
    </row>
    <row r="1605" spans="1:34" x14ac:dyDescent="0.3">
      <c r="A1605" s="89" t="str">
        <f>CONCATENATE(D1605,".",F1605,"-",G1605,".",H1605,"")</f>
        <v>2.2-1.1</v>
      </c>
      <c r="B1605" s="89" t="str">
        <f>IF(CONCATENATE(I1605,Key!F$2)=CONCATENATE(INDEX(Dashboard!J:J,MATCH(I1605,Dashboard!J:J,0),1),INDEX(Dashboard!J:K,MATCH(I1605,Dashboard!J:J,0),2)),"ON",IF(Dashboard!K$32="ALL","ON","-"))</f>
        <v>-</v>
      </c>
      <c r="C1605" s="88" t="s">
        <v>152</v>
      </c>
      <c r="D1605" s="89">
        <f>IF(C1605="ID",1,(IF(C1605="PR",2,(IF(C1605="DE",3,(IF(C1605="RS",4,(IF(C1605="RC",5,0)))))))))</f>
        <v>2</v>
      </c>
      <c r="E1605" s="89" t="s">
        <v>202</v>
      </c>
      <c r="F1605" s="89">
        <f>IF(E1605="AM",1,(IF(E1605="BE",2,(IF(E1605="GV",3,(IF(E1605="RA",4,(IF(E1605="RM",5,(IF(E1605="AC",1,(IF(E1605="AT",2,(IF(E1605="DS",3,(IF(E1605="IP",4,(IF(E1605="MA",5,(IF(E1605="PT",6,(IF(E1605="AE",1,(IF(E1605="CM",2,(IF(E1605="DP",3,(IF(E1605="AN",1,(IF(E1605="CO",2,(IF(E1605="IM",3,(IF(E1605="MI",4,(IF(E1605="RP",5,(IF(E1605="SC",6,0)))))))))))))))))))))))))))))))))))))))</f>
        <v>2</v>
      </c>
      <c r="G1605" s="52">
        <v>1</v>
      </c>
      <c r="H1605" s="99">
        <v>1</v>
      </c>
      <c r="I1605" s="94" t="s">
        <v>37</v>
      </c>
      <c r="J1605" s="86">
        <v>17.399999999999999</v>
      </c>
      <c r="K1605" s="102" t="s">
        <v>3731</v>
      </c>
      <c r="L1605" s="117">
        <f>IF(O1605="","",N1605*O1605*M1605)</f>
        <v>0</v>
      </c>
      <c r="M1605" s="108">
        <v>0.9</v>
      </c>
      <c r="N1605" s="95">
        <v>1</v>
      </c>
      <c r="O1605" s="109">
        <f>IF(Key!D$1="ON",P1605,IF(SUM(Q1605:DL1605)&lt;1,"",SUM(Q1605:DL1605)/COUNTIF(Q1605:DL1605,"&gt;0")))</f>
        <v>0</v>
      </c>
      <c r="P1605" s="109">
        <f>SUMIFS(Q1605:DK1605,Q$1:DK$1,Dashboard!$K$31)</f>
        <v>0</v>
      </c>
      <c r="S1605" s="95">
        <v>1</v>
      </c>
      <c r="T1605" s="95">
        <v>80</v>
      </c>
      <c r="U1605" s="95">
        <v>33</v>
      </c>
      <c r="AA1605" s="95">
        <v>25</v>
      </c>
      <c r="AH1605" s="95">
        <v>75</v>
      </c>
    </row>
    <row r="1606" spans="1:34" ht="15.6" x14ac:dyDescent="0.3">
      <c r="A1606" s="89" t="str">
        <f>CONCATENATE(D1606,".",F1606,"-",G1606,".",H1606,"")</f>
        <v>2.2-1.1</v>
      </c>
      <c r="B1606" s="89" t="str">
        <f>IF(CONCATENATE(I1606,Key!F$2)=CONCATENATE(INDEX(Dashboard!J:J,MATCH(I1606,Dashboard!J:J,0),1),INDEX(Dashboard!J:K,MATCH(I1606,Dashboard!J:J,0),2)),"ON",IF(Dashboard!K$32="ALL","ON","-"))</f>
        <v>-</v>
      </c>
      <c r="C1606" s="88" t="s">
        <v>152</v>
      </c>
      <c r="D1606" s="89">
        <f>IF(C1606="ID",1,(IF(C1606="PR",2,(IF(C1606="DE",3,(IF(C1606="RS",4,(IF(C1606="RC",5,0)))))))))</f>
        <v>2</v>
      </c>
      <c r="E1606" s="89" t="s">
        <v>202</v>
      </c>
      <c r="F1606" s="89">
        <f>IF(E1606="AM",1,(IF(E1606="BE",2,(IF(E1606="GV",3,(IF(E1606="RA",4,(IF(E1606="RM",5,(IF(E1606="AC",1,(IF(E1606="AT",2,(IF(E1606="DS",3,(IF(E1606="IP",4,(IF(E1606="MA",5,(IF(E1606="PT",6,(IF(E1606="AE",1,(IF(E1606="CM",2,(IF(E1606="DP",3,(IF(E1606="AN",1,(IF(E1606="CO",2,(IF(E1606="IM",3,(IF(E1606="MI",4,(IF(E1606="RP",5,(IF(E1606="SC",6,0)))))))))))))))))))))))))))))))))))))))</f>
        <v>2</v>
      </c>
      <c r="G1606" s="52">
        <v>1</v>
      </c>
      <c r="H1606" s="99">
        <v>1</v>
      </c>
      <c r="I1606" s="94" t="s">
        <v>37</v>
      </c>
      <c r="J1606" s="86">
        <v>19.600000000000001</v>
      </c>
      <c r="K1606" s="102" t="s">
        <v>3732</v>
      </c>
      <c r="L1606" s="117">
        <f>IF(O1606="","",N1606*O1606*M1606)</f>
        <v>0</v>
      </c>
      <c r="M1606" s="108">
        <v>0.9</v>
      </c>
      <c r="N1606" s="95">
        <v>1</v>
      </c>
      <c r="O1606" s="109">
        <f>IF(Key!D$1="ON",P1606,IF(SUM(Q1606:DL1606)&lt;1,"",SUM(Q1606:DL1606)/COUNTIF(Q1606:DL1606,"&gt;0")))</f>
        <v>0</v>
      </c>
      <c r="P1606" s="109">
        <f>SUMIFS(Q1606:DK1606,Q$1:DK$1,Dashboard!$K$31)</f>
        <v>0</v>
      </c>
      <c r="S1606" s="95">
        <v>33</v>
      </c>
      <c r="T1606" s="95">
        <v>80</v>
      </c>
      <c r="U1606" s="95">
        <v>33</v>
      </c>
      <c r="AA1606" s="95">
        <v>25</v>
      </c>
      <c r="AH1606" s="95">
        <v>75</v>
      </c>
    </row>
    <row r="1607" spans="1:34" ht="15.6" x14ac:dyDescent="0.3">
      <c r="A1607" s="89" t="str">
        <f>CONCATENATE(D1607,".",F1607,"-",G1607,".",H1607,"")</f>
        <v>2.2-1.1</v>
      </c>
      <c r="B1607" s="89" t="str">
        <f>IF(CONCATENATE(I1607,Key!F$2)=CONCATENATE(INDEX(Dashboard!J:J,MATCH(I1607,Dashboard!J:J,0),1),INDEX(Dashboard!J:K,MATCH(I1607,Dashboard!J:J,0),2)),"ON",IF(Dashboard!K$32="ALL","ON","-"))</f>
        <v>-</v>
      </c>
      <c r="C1607" s="88" t="s">
        <v>152</v>
      </c>
      <c r="D1607" s="89">
        <f>IF(C1607="ID",1,(IF(C1607="PR",2,(IF(C1607="DE",3,(IF(C1607="RS",4,(IF(C1607="RC",5,0)))))))))</f>
        <v>2</v>
      </c>
      <c r="E1607" s="89" t="s">
        <v>202</v>
      </c>
      <c r="F1607" s="89">
        <f>IF(E1607="AM",1,(IF(E1607="BE",2,(IF(E1607="GV",3,(IF(E1607="RA",4,(IF(E1607="RM",5,(IF(E1607="AC",1,(IF(E1607="AT",2,(IF(E1607="DS",3,(IF(E1607="IP",4,(IF(E1607="MA",5,(IF(E1607="PT",6,(IF(E1607="AE",1,(IF(E1607="CM",2,(IF(E1607="DP",3,(IF(E1607="AN",1,(IF(E1607="CO",2,(IF(E1607="IM",3,(IF(E1607="MI",4,(IF(E1607="RP",5,(IF(E1607="SC",6,0)))))))))))))))))))))))))))))))))))))))</f>
        <v>2</v>
      </c>
      <c r="G1607" s="52">
        <v>1</v>
      </c>
      <c r="H1607" s="99">
        <v>1</v>
      </c>
      <c r="I1607" s="94" t="s">
        <v>41</v>
      </c>
      <c r="J1607" s="86">
        <v>17</v>
      </c>
      <c r="K1607" s="103" t="s">
        <v>3595</v>
      </c>
      <c r="L1607" s="117">
        <f>IF(O1607="","",N1607*O1607*M1607)</f>
        <v>0</v>
      </c>
      <c r="M1607" s="108">
        <v>1</v>
      </c>
      <c r="N1607" s="95">
        <v>1</v>
      </c>
      <c r="O1607" s="109">
        <f>IF(Key!D$1="ON",P1607,IF(SUM(Q1607:DL1607)&lt;1,"",SUM(Q1607:DL1607)/COUNTIF(Q1607:DL1607,"&gt;0")))</f>
        <v>0</v>
      </c>
      <c r="P1607" s="109">
        <f>SUMIFS(Q1607:DK1607,Q$1:DK$1,Dashboard!$K$31)</f>
        <v>0</v>
      </c>
      <c r="U1607" s="95">
        <v>33</v>
      </c>
    </row>
    <row r="1608" spans="1:34" x14ac:dyDescent="0.3">
      <c r="A1608" s="89" t="str">
        <f>CONCATENATE(D1608,".",F1608,"-",G1608,".",H1608,"")</f>
        <v>2.2-1.1</v>
      </c>
      <c r="B1608" s="89" t="str">
        <f>IF(CONCATENATE(I1608,Key!F$2)=CONCATENATE(INDEX(Dashboard!J:J,MATCH(I1608,Dashboard!J:J,0),1),INDEX(Dashboard!J:K,MATCH(I1608,Dashboard!J:J,0),2)),"ON",IF(Dashboard!K$32="ALL","ON","-"))</f>
        <v>-</v>
      </c>
      <c r="C1608" s="88" t="s">
        <v>152</v>
      </c>
      <c r="D1608" s="89">
        <f>IF(C1608="ID",1,(IF(C1608="PR",2,(IF(C1608="DE",3,(IF(C1608="RS",4,(IF(C1608="RC",5,0)))))))))</f>
        <v>2</v>
      </c>
      <c r="E1608" s="89" t="s">
        <v>202</v>
      </c>
      <c r="F1608" s="89">
        <f>IF(E1608="AM",1,(IF(E1608="BE",2,(IF(E1608="GV",3,(IF(E1608="RA",4,(IF(E1608="RM",5,(IF(E1608="AC",1,(IF(E1608="AT",2,(IF(E1608="DS",3,(IF(E1608="IP",4,(IF(E1608="MA",5,(IF(E1608="PT",6,(IF(E1608="AE",1,(IF(E1608="CM",2,(IF(E1608="DP",3,(IF(E1608="AN",1,(IF(E1608="CO",2,(IF(E1608="IM",3,(IF(E1608="MI",4,(IF(E1608="RP",5,(IF(E1608="SC",6,0)))))))))))))))))))))))))))))))))))))))</f>
        <v>2</v>
      </c>
      <c r="G1608" s="52">
        <v>1</v>
      </c>
      <c r="H1608" s="99">
        <v>1</v>
      </c>
      <c r="I1608" s="94" t="s">
        <v>41</v>
      </c>
      <c r="J1608" s="86" t="s">
        <v>3608</v>
      </c>
      <c r="K1608" s="103" t="s">
        <v>3609</v>
      </c>
      <c r="L1608" s="117">
        <f>IF(O1608="","",N1608*O1608*M1608)</f>
        <v>0</v>
      </c>
      <c r="M1608" s="108">
        <v>1</v>
      </c>
      <c r="N1608" s="95">
        <v>1</v>
      </c>
      <c r="O1608" s="109">
        <f>IF(Key!D$1="ON",P1608,IF(SUM(Q1608:DL1608)&lt;1,"",SUM(Q1608:DL1608)/COUNTIF(Q1608:DL1608,"&gt;0")))</f>
        <v>0</v>
      </c>
      <c r="P1608" s="109">
        <f>SUMIFS(Q1608:DK1608,Q$1:DK$1,Dashboard!$K$31)</f>
        <v>0</v>
      </c>
      <c r="U1608" s="95">
        <v>33</v>
      </c>
    </row>
    <row r="1609" spans="1:34" x14ac:dyDescent="0.3">
      <c r="A1609" s="89" t="str">
        <f>CONCATENATE(D1609,".",F1609,"-",G1609,".",H1609,"")</f>
        <v>2.2-1.1</v>
      </c>
      <c r="B1609" s="89" t="str">
        <f>IF(CONCATENATE(I1609,Key!F$2)=CONCATENATE(INDEX(Dashboard!J:J,MATCH(I1609,Dashboard!J:J,0),1),INDEX(Dashboard!J:K,MATCH(I1609,Dashboard!J:J,0),2)),"ON",IF(Dashboard!K$32="ALL","ON","-"))</f>
        <v>-</v>
      </c>
      <c r="C1609" s="88" t="s">
        <v>152</v>
      </c>
      <c r="D1609" s="89">
        <f>IF(C1609="ID",1,(IF(C1609="PR",2,(IF(C1609="DE",3,(IF(C1609="RS",4,(IF(C1609="RC",5,0)))))))))</f>
        <v>2</v>
      </c>
      <c r="E1609" s="89" t="s">
        <v>202</v>
      </c>
      <c r="F1609" s="89">
        <f>IF(E1609="AM",1,(IF(E1609="BE",2,(IF(E1609="GV",3,(IF(E1609="RA",4,(IF(E1609="RM",5,(IF(E1609="AC",1,(IF(E1609="AT",2,(IF(E1609="DS",3,(IF(E1609="IP",4,(IF(E1609="MA",5,(IF(E1609="PT",6,(IF(E1609="AE",1,(IF(E1609="CM",2,(IF(E1609="DP",3,(IF(E1609="AN",1,(IF(E1609="CO",2,(IF(E1609="IM",3,(IF(E1609="MI",4,(IF(E1609="RP",5,(IF(E1609="SC",6,0)))))))))))))))))))))))))))))))))))))))</f>
        <v>2</v>
      </c>
      <c r="G1609" s="52">
        <v>1</v>
      </c>
      <c r="H1609" s="99">
        <v>1</v>
      </c>
      <c r="I1609" s="94" t="s">
        <v>41</v>
      </c>
      <c r="J1609" s="86" t="s">
        <v>3612</v>
      </c>
      <c r="K1609" s="103" t="s">
        <v>3613</v>
      </c>
      <c r="L1609" s="117">
        <f>IF(O1609="","",N1609*O1609*M1609)</f>
        <v>0</v>
      </c>
      <c r="M1609" s="108">
        <v>1</v>
      </c>
      <c r="N1609" s="95">
        <v>1</v>
      </c>
      <c r="O1609" s="109">
        <f>IF(Key!D$1="ON",P1609,IF(SUM(Q1609:DL1609)&lt;1,"",SUM(Q1609:DL1609)/COUNTIF(Q1609:DL1609,"&gt;0")))</f>
        <v>0</v>
      </c>
      <c r="P1609" s="109">
        <f>SUMIFS(Q1609:DK1609,Q$1:DK$1,Dashboard!$K$31)</f>
        <v>0</v>
      </c>
      <c r="U1609" s="95">
        <v>33</v>
      </c>
    </row>
    <row r="1610" spans="1:34" x14ac:dyDescent="0.3">
      <c r="A1610" s="89" t="str">
        <f>CONCATENATE(D1610,".",F1610,"-",G1610,".",H1610,"")</f>
        <v>2.2-1.1</v>
      </c>
      <c r="B1610" s="89" t="str">
        <f>IF(CONCATENATE(I1610,Key!F$2)=CONCATENATE(INDEX(Dashboard!J:J,MATCH(I1610,Dashboard!J:J,0),1),INDEX(Dashboard!J:K,MATCH(I1610,Dashboard!J:J,0),2)),"ON",IF(Dashboard!K$32="ALL","ON","-"))</f>
        <v>-</v>
      </c>
      <c r="C1610" s="88" t="s">
        <v>152</v>
      </c>
      <c r="D1610" s="89">
        <f>IF(C1610="ID",1,(IF(C1610="PR",2,(IF(C1610="DE",3,(IF(C1610="RS",4,(IF(C1610="RC",5,0)))))))))</f>
        <v>2</v>
      </c>
      <c r="E1610" s="89" t="s">
        <v>202</v>
      </c>
      <c r="F1610" s="89">
        <f>IF(E1610="AM",1,(IF(E1610="BE",2,(IF(E1610="GV",3,(IF(E1610="RA",4,(IF(E1610="RM",5,(IF(E1610="AC",1,(IF(E1610="AT",2,(IF(E1610="DS",3,(IF(E1610="IP",4,(IF(E1610="MA",5,(IF(E1610="PT",6,(IF(E1610="AE",1,(IF(E1610="CM",2,(IF(E1610="DP",3,(IF(E1610="AN",1,(IF(E1610="CO",2,(IF(E1610="IM",3,(IF(E1610="MI",4,(IF(E1610="RP",5,(IF(E1610="SC",6,0)))))))))))))))))))))))))))))))))))))))</f>
        <v>2</v>
      </c>
      <c r="G1610" s="52">
        <v>1</v>
      </c>
      <c r="H1610" s="99">
        <v>1</v>
      </c>
      <c r="I1610" s="94" t="s">
        <v>41</v>
      </c>
      <c r="J1610" s="86" t="s">
        <v>3614</v>
      </c>
      <c r="K1610" s="103" t="s">
        <v>3615</v>
      </c>
      <c r="L1610" s="117">
        <f>IF(O1610="","",N1610*O1610*M1610)</f>
        <v>0</v>
      </c>
      <c r="M1610" s="108">
        <v>1</v>
      </c>
      <c r="N1610" s="95">
        <v>1</v>
      </c>
      <c r="O1610" s="109">
        <f>IF(Key!D$1="ON",P1610,IF(SUM(Q1610:DL1610)&lt;1,"",SUM(Q1610:DL1610)/COUNTIF(Q1610:DL1610,"&gt;0")))</f>
        <v>0</v>
      </c>
      <c r="P1610" s="109">
        <f>SUMIFS(Q1610:DK1610,Q$1:DK$1,Dashboard!$K$31)</f>
        <v>0</v>
      </c>
      <c r="U1610" s="95">
        <v>33</v>
      </c>
    </row>
    <row r="1611" spans="1:34" x14ac:dyDescent="0.3">
      <c r="A1611" s="89" t="str">
        <f>CONCATENATE(D1611,".",F1611,"-",G1611,".",H1611,"")</f>
        <v>2.2-1.1</v>
      </c>
      <c r="B1611" s="89" t="str">
        <f>IF(CONCATENATE(I1611,Key!F$2)=CONCATENATE(INDEX(Dashboard!J:J,MATCH(I1611,Dashboard!J:J,0),1),INDEX(Dashboard!J:K,MATCH(I1611,Dashboard!J:J,0),2)),"ON",IF(Dashboard!K$32="ALL","ON","-"))</f>
        <v>-</v>
      </c>
      <c r="C1611" s="88" t="s">
        <v>152</v>
      </c>
      <c r="D1611" s="89">
        <f>IF(C1611="ID",1,(IF(C1611="PR",2,(IF(C1611="DE",3,(IF(C1611="RS",4,(IF(C1611="RC",5,0)))))))))</f>
        <v>2</v>
      </c>
      <c r="E1611" s="89" t="s">
        <v>202</v>
      </c>
      <c r="F1611" s="89">
        <f>IF(E1611="AM",1,(IF(E1611="BE",2,(IF(E1611="GV",3,(IF(E1611="RA",4,(IF(E1611="RM",5,(IF(E1611="AC",1,(IF(E1611="AT",2,(IF(E1611="DS",3,(IF(E1611="IP",4,(IF(E1611="MA",5,(IF(E1611="PT",6,(IF(E1611="AE",1,(IF(E1611="CM",2,(IF(E1611="DP",3,(IF(E1611="AN",1,(IF(E1611="CO",2,(IF(E1611="IM",3,(IF(E1611="MI",4,(IF(E1611="RP",5,(IF(E1611="SC",6,0)))))))))))))))))))))))))))))))))))))))</f>
        <v>2</v>
      </c>
      <c r="G1611" s="52">
        <v>1</v>
      </c>
      <c r="H1611" s="99">
        <v>1</v>
      </c>
      <c r="I1611" s="94" t="s">
        <v>41</v>
      </c>
      <c r="J1611" s="86" t="s">
        <v>3654</v>
      </c>
      <c r="K1611" s="103" t="s">
        <v>3655</v>
      </c>
      <c r="L1611" s="117">
        <f>IF(O1611="","",N1611*O1611*M1611)</f>
        <v>0</v>
      </c>
      <c r="M1611" s="108">
        <v>1</v>
      </c>
      <c r="N1611" s="95">
        <v>1</v>
      </c>
      <c r="O1611" s="109">
        <f>IF(Key!D$1="ON",P1611,IF(SUM(Q1611:DL1611)&lt;1,"",SUM(Q1611:DL1611)/COUNTIF(Q1611:DL1611,"&gt;0")))</f>
        <v>0</v>
      </c>
      <c r="P1611" s="109">
        <f>SUMIFS(Q1611:DK1611,Q$1:DK$1,Dashboard!$K$31)</f>
        <v>0</v>
      </c>
      <c r="U1611" s="95">
        <v>33</v>
      </c>
    </row>
    <row r="1612" spans="1:34" x14ac:dyDescent="0.3">
      <c r="A1612" s="89" t="str">
        <f>CONCATENATE(D1612,".",F1612,"-",G1612,".",H1612,"")</f>
        <v>2.2-1.1</v>
      </c>
      <c r="B1612" s="89" t="str">
        <f>IF(CONCATENATE(I1612,Key!F$2)=CONCATENATE(INDEX(Dashboard!J:J,MATCH(I1612,Dashboard!J:J,0),1),INDEX(Dashboard!J:K,MATCH(I1612,Dashboard!J:J,0),2)),"ON",IF(Dashboard!K$32="ALL","ON","-"))</f>
        <v>-</v>
      </c>
      <c r="C1612" s="96" t="s">
        <v>152</v>
      </c>
      <c r="D1612" s="89">
        <f>IF(C1612="ID",1,(IF(C1612="PR",2,(IF(C1612="DE",3,(IF(C1612="RS",4,(IF(C1612="RC",5,0)))))))))</f>
        <v>2</v>
      </c>
      <c r="E1612" s="89" t="s">
        <v>202</v>
      </c>
      <c r="F1612" s="89">
        <f>IF(E1612="AM",1,(IF(E1612="BE",2,(IF(E1612="GV",3,(IF(E1612="RA",4,(IF(E1612="RM",5,(IF(E1612="AC",1,(IF(E1612="AT",2,(IF(E1612="DS",3,(IF(E1612="IP",4,(IF(E1612="MA",5,(IF(E1612="PT",6,(IF(E1612="AE",1,(IF(E1612="CM",2,(IF(E1612="DP",3,(IF(E1612="AN",1,(IF(E1612="CO",2,(IF(E1612="IM",3,(IF(E1612="MI",4,(IF(E1612="RP",5,(IF(E1612="SC",6,0)))))))))))))))))))))))))))))))))))))))</f>
        <v>2</v>
      </c>
      <c r="G1612" s="98">
        <v>1</v>
      </c>
      <c r="H1612" s="90" t="s">
        <v>115</v>
      </c>
      <c r="I1612" s="94" t="s">
        <v>52</v>
      </c>
      <c r="J1612" s="88" t="s">
        <v>3398</v>
      </c>
      <c r="K1612" s="102" t="s">
        <v>3399</v>
      </c>
      <c r="L1612" s="117">
        <f>IF(O1612="","",N1612*O1612*M1612)</f>
        <v>0</v>
      </c>
      <c r="M1612" s="108">
        <v>0.9</v>
      </c>
      <c r="N1612" s="95">
        <v>1</v>
      </c>
      <c r="O1612" s="109">
        <f>IF(Key!D$1="ON",P1612,IF(SUM(Q1612:DL1612)&lt;1,"",SUM(Q1612:DL1612)/COUNTIF(Q1612:DL1612,"&gt;0")))</f>
        <v>0</v>
      </c>
      <c r="P1612" s="109">
        <f>SUMIFS(Q1612:DK1612,Q$1:DK$1,Dashboard!$K$31)</f>
        <v>0</v>
      </c>
      <c r="S1612" s="95">
        <v>99</v>
      </c>
      <c r="T1612" s="95">
        <v>80</v>
      </c>
      <c r="U1612" s="95">
        <v>33</v>
      </c>
      <c r="AA1612" s="95">
        <v>25</v>
      </c>
      <c r="AH1612" s="95">
        <v>75</v>
      </c>
    </row>
    <row r="1613" spans="1:34" x14ac:dyDescent="0.3">
      <c r="A1613" s="89" t="str">
        <f>CONCATENATE(D1613,".",F1613,"-",G1613,".",H1613,"")</f>
        <v>2.2-1.1</v>
      </c>
      <c r="B1613" s="89" t="str">
        <f>IF(CONCATENATE(I1613,Key!F$2)=CONCATENATE(INDEX(Dashboard!J:J,MATCH(I1613,Dashboard!J:J,0),1),INDEX(Dashboard!J:K,MATCH(I1613,Dashboard!J:J,0),2)),"ON",IF(Dashboard!K$32="ALL","ON","-"))</f>
        <v>-</v>
      </c>
      <c r="C1613" s="96" t="s">
        <v>152</v>
      </c>
      <c r="D1613" s="89">
        <f>IF(C1613="ID",1,(IF(C1613="PR",2,(IF(C1613="DE",3,(IF(C1613="RS",4,(IF(C1613="RC",5,0)))))))))</f>
        <v>2</v>
      </c>
      <c r="E1613" s="89" t="s">
        <v>202</v>
      </c>
      <c r="F1613" s="89">
        <f>IF(E1613="AM",1,(IF(E1613="BE",2,(IF(E1613="GV",3,(IF(E1613="RA",4,(IF(E1613="RM",5,(IF(E1613="AC",1,(IF(E1613="AT",2,(IF(E1613="DS",3,(IF(E1613="IP",4,(IF(E1613="MA",5,(IF(E1613="PT",6,(IF(E1613="AE",1,(IF(E1613="CM",2,(IF(E1613="DP",3,(IF(E1613="AN",1,(IF(E1613="CO",2,(IF(E1613="IM",3,(IF(E1613="MI",4,(IF(E1613="RP",5,(IF(E1613="SC",6,0)))))))))))))))))))))))))))))))))))))))</f>
        <v>2</v>
      </c>
      <c r="G1613" s="98">
        <v>1</v>
      </c>
      <c r="H1613" s="90" t="s">
        <v>115</v>
      </c>
      <c r="I1613" s="94" t="s">
        <v>52</v>
      </c>
      <c r="J1613" s="88" t="s">
        <v>3400</v>
      </c>
      <c r="K1613" s="102" t="s">
        <v>3401</v>
      </c>
      <c r="L1613" s="117">
        <f>IF(O1613="","",N1613*O1613*M1613)</f>
        <v>0</v>
      </c>
      <c r="M1613" s="108">
        <v>1</v>
      </c>
      <c r="N1613" s="95">
        <v>1</v>
      </c>
      <c r="O1613" s="109">
        <f>IF(Key!D$1="ON",P1613,IF(SUM(Q1613:DL1613)&lt;1,"",SUM(Q1613:DL1613)/COUNTIF(Q1613:DL1613,"&gt;0")))</f>
        <v>0</v>
      </c>
      <c r="P1613" s="109">
        <f>SUMIFS(Q1613:DK1613,Q$1:DK$1,Dashboard!$K$31)</f>
        <v>0</v>
      </c>
      <c r="U1613" s="95">
        <v>33</v>
      </c>
      <c r="AA1613" s="95">
        <v>25</v>
      </c>
      <c r="AH1613" s="95">
        <v>75</v>
      </c>
    </row>
    <row r="1614" spans="1:34" x14ac:dyDescent="0.3">
      <c r="A1614" s="89" t="str">
        <f>CONCATENATE(D1614,".",F1614,"-",G1614,".",H1614,"")</f>
        <v>2.2-1.1</v>
      </c>
      <c r="B1614" s="89" t="str">
        <f>IF(CONCATENATE(I1614,Key!F$2)=CONCATENATE(INDEX(Dashboard!J:J,MATCH(I1614,Dashboard!J:J,0),1),INDEX(Dashboard!J:K,MATCH(I1614,Dashboard!J:J,0),2)),"ON",IF(Dashboard!K$32="ALL","ON","-"))</f>
        <v>-</v>
      </c>
      <c r="C1614" s="96" t="s">
        <v>152</v>
      </c>
      <c r="D1614" s="89">
        <f>IF(C1614="ID",1,(IF(C1614="PR",2,(IF(C1614="DE",3,(IF(C1614="RS",4,(IF(C1614="RC",5,0)))))))))</f>
        <v>2</v>
      </c>
      <c r="E1614" s="89" t="s">
        <v>202</v>
      </c>
      <c r="F1614" s="89">
        <f>IF(E1614="AM",1,(IF(E1614="BE",2,(IF(E1614="GV",3,(IF(E1614="RA",4,(IF(E1614="RM",5,(IF(E1614="AC",1,(IF(E1614="AT",2,(IF(E1614="DS",3,(IF(E1614="IP",4,(IF(E1614="MA",5,(IF(E1614="PT",6,(IF(E1614="AE",1,(IF(E1614="CM",2,(IF(E1614="DP",3,(IF(E1614="AN",1,(IF(E1614="CO",2,(IF(E1614="IM",3,(IF(E1614="MI",4,(IF(E1614="RP",5,(IF(E1614="SC",6,0)))))))))))))))))))))))))))))))))))))))</f>
        <v>2</v>
      </c>
      <c r="G1614" s="98">
        <v>1</v>
      </c>
      <c r="H1614" s="90" t="s">
        <v>115</v>
      </c>
      <c r="I1614" s="94" t="s">
        <v>52</v>
      </c>
      <c r="J1614" s="88" t="s">
        <v>3402</v>
      </c>
      <c r="K1614" s="102" t="s">
        <v>3403</v>
      </c>
      <c r="L1614" s="117">
        <f>IF(O1614="","",N1614*O1614*M1614)</f>
        <v>0</v>
      </c>
      <c r="M1614" s="108">
        <v>0.9</v>
      </c>
      <c r="N1614" s="95">
        <v>1</v>
      </c>
      <c r="O1614" s="109">
        <f>IF(Key!D$1="ON",P1614,IF(SUM(Q1614:DL1614)&lt;1,"",SUM(Q1614:DL1614)/COUNTIF(Q1614:DL1614,"&gt;0")))</f>
        <v>0</v>
      </c>
      <c r="P1614" s="109">
        <f>SUMIFS(Q1614:DK1614,Q$1:DK$1,Dashboard!$K$31)</f>
        <v>0</v>
      </c>
      <c r="S1614" s="95">
        <v>99</v>
      </c>
      <c r="T1614" s="95">
        <v>80</v>
      </c>
      <c r="U1614" s="95">
        <v>33</v>
      </c>
      <c r="AA1614" s="95">
        <v>25</v>
      </c>
      <c r="AH1614" s="95">
        <v>75</v>
      </c>
    </row>
    <row r="1615" spans="1:34" x14ac:dyDescent="0.3">
      <c r="A1615" s="89" t="str">
        <f>CONCATENATE(D1615,".",F1615,"-",G1615,".",H1615,"")</f>
        <v>2.2-1.1</v>
      </c>
      <c r="B1615" s="89" t="str">
        <f>IF(CONCATENATE(I1615,Key!F$2)=CONCATENATE(INDEX(Dashboard!J:J,MATCH(I1615,Dashboard!J:J,0),1),INDEX(Dashboard!J:K,MATCH(I1615,Dashboard!J:J,0),2)),"ON",IF(Dashboard!K$32="ALL","ON","-"))</f>
        <v>-</v>
      </c>
      <c r="C1615" s="88" t="s">
        <v>152</v>
      </c>
      <c r="D1615" s="89">
        <f>IF(C1615="ID",1,(IF(C1615="PR",2,(IF(C1615="DE",3,(IF(C1615="RS",4,(IF(C1615="RC",5,0)))))))))</f>
        <v>2</v>
      </c>
      <c r="E1615" s="89" t="s">
        <v>202</v>
      </c>
      <c r="F1615" s="89">
        <f>IF(E1615="AM",1,(IF(E1615="BE",2,(IF(E1615="GV",3,(IF(E1615="RA",4,(IF(E1615="RM",5,(IF(E1615="AC",1,(IF(E1615="AT",2,(IF(E1615="DS",3,(IF(E1615="IP",4,(IF(E1615="MA",5,(IF(E1615="PT",6,(IF(E1615="AE",1,(IF(E1615="CM",2,(IF(E1615="DP",3,(IF(E1615="AN",1,(IF(E1615="CO",2,(IF(E1615="IM",3,(IF(E1615="MI",4,(IF(E1615="RP",5,(IF(E1615="SC",6,0)))))))))))))))))))))))))))))))))))))))</f>
        <v>2</v>
      </c>
      <c r="G1615" s="52">
        <v>1</v>
      </c>
      <c r="H1615" s="89">
        <v>1</v>
      </c>
      <c r="I1615" s="94" t="s">
        <v>60</v>
      </c>
      <c r="J1615" s="88" t="s">
        <v>3196</v>
      </c>
      <c r="K1615" s="51" t="s">
        <v>5309</v>
      </c>
      <c r="L1615" s="117">
        <f>IF(O1615="","",N1615*O1615*M1615)</f>
        <v>0</v>
      </c>
      <c r="M1615" s="108">
        <v>0.9</v>
      </c>
      <c r="N1615" s="95">
        <v>1</v>
      </c>
      <c r="O1615" s="109">
        <f>IF(Key!D$1="ON",P1615,IF(SUM(Q1615:DL1615)&lt;1,"",SUM(Q1615:DL1615)/COUNTIF(Q1615:DL1615,"&gt;0")))</f>
        <v>0</v>
      </c>
      <c r="P1615" s="109">
        <f>SUMIFS(Q1615:DK1615,Q$1:DK$1,Dashboard!$K$31)</f>
        <v>0</v>
      </c>
      <c r="S1615" s="95">
        <v>25</v>
      </c>
      <c r="T1615" s="95">
        <v>80</v>
      </c>
      <c r="U1615" s="95">
        <v>33</v>
      </c>
      <c r="AA1615" s="95">
        <v>25</v>
      </c>
      <c r="AH1615" s="95">
        <v>75</v>
      </c>
    </row>
    <row r="1616" spans="1:34" ht="15.6" x14ac:dyDescent="0.3">
      <c r="A1616" s="89" t="str">
        <f>CONCATENATE(D1616,".",F1616,"-",G1616,".",H1616,"")</f>
        <v>2.2-1.1</v>
      </c>
      <c r="B1616" s="89" t="str">
        <f>IF(CONCATENATE(I1616,Key!F$2)=CONCATENATE(INDEX(Dashboard!J:J,MATCH(I1616,Dashboard!J:J,0),1),INDEX(Dashboard!J:K,MATCH(I1616,Dashboard!J:J,0),2)),"ON",IF(Dashboard!K$32="ALL","ON","-"))</f>
        <v>-</v>
      </c>
      <c r="C1616" s="88" t="s">
        <v>152</v>
      </c>
      <c r="D1616" s="89">
        <f>IF(C1616="ID",1,(IF(C1616="PR",2,(IF(C1616="DE",3,(IF(C1616="RS",4,(IF(C1616="RC",5,0)))))))))</f>
        <v>2</v>
      </c>
      <c r="E1616" s="89" t="s">
        <v>202</v>
      </c>
      <c r="F1616" s="89">
        <f>IF(E1616="AM",1,(IF(E1616="BE",2,(IF(E1616="GV",3,(IF(E1616="RA",4,(IF(E1616="RM",5,(IF(E1616="AC",1,(IF(E1616="AT",2,(IF(E1616="DS",3,(IF(E1616="IP",4,(IF(E1616="MA",5,(IF(E1616="PT",6,(IF(E1616="AE",1,(IF(E1616="CM",2,(IF(E1616="DP",3,(IF(E1616="AN",1,(IF(E1616="CO",2,(IF(E1616="IM",3,(IF(E1616="MI",4,(IF(E1616="RP",5,(IF(E1616="SC",6,0)))))))))))))))))))))))))))))))))))))))</f>
        <v>2</v>
      </c>
      <c r="G1616" s="52">
        <v>1</v>
      </c>
      <c r="H1616" s="89">
        <v>1</v>
      </c>
      <c r="I1616" s="94" t="s">
        <v>60</v>
      </c>
      <c r="J1616" s="88" t="s">
        <v>3158</v>
      </c>
      <c r="K1616" s="51" t="s">
        <v>5271</v>
      </c>
      <c r="L1616" s="117">
        <f>IF(O1616="","",N1616*O1616*M1616)</f>
        <v>0</v>
      </c>
      <c r="M1616" s="108">
        <v>1</v>
      </c>
      <c r="N1616" s="95">
        <v>1</v>
      </c>
      <c r="O1616" s="109">
        <f>IF(Key!D$1="ON",P1616,IF(SUM(Q1616:DL1616)&lt;1,"",SUM(Q1616:DL1616)/COUNTIF(Q1616:DL1616,"&gt;0")))</f>
        <v>0</v>
      </c>
      <c r="P1616" s="109">
        <f>SUMIFS(Q1616:DK1616,Q$1:DK$1,Dashboard!$K$31)</f>
        <v>0</v>
      </c>
      <c r="U1616" s="95">
        <v>33</v>
      </c>
      <c r="AA1616" s="95">
        <v>25</v>
      </c>
      <c r="AH1616" s="95">
        <v>75</v>
      </c>
    </row>
    <row r="1617" spans="1:34" x14ac:dyDescent="0.3">
      <c r="A1617" s="89" t="str">
        <f>CONCATENATE(D1617,".",F1617,"-",G1617,".",H1617,"")</f>
        <v>2.2-1.1</v>
      </c>
      <c r="B1617" s="89" t="str">
        <f>IF(CONCATENATE(I1617,Key!F$2)=CONCATENATE(INDEX(Dashboard!J:J,MATCH(I1617,Dashboard!J:J,0),1),INDEX(Dashboard!J:K,MATCH(I1617,Dashboard!J:J,0),2)),"ON",IF(Dashboard!K$32="ALL","ON","-"))</f>
        <v>-</v>
      </c>
      <c r="C1617" s="88" t="s">
        <v>152</v>
      </c>
      <c r="D1617" s="89">
        <f>IF(C1617="ID",1,(IF(C1617="PR",2,(IF(C1617="DE",3,(IF(C1617="RS",4,(IF(C1617="RC",5,0)))))))))</f>
        <v>2</v>
      </c>
      <c r="E1617" s="89" t="s">
        <v>202</v>
      </c>
      <c r="F1617" s="89">
        <f>IF(E1617="AM",1,(IF(E1617="BE",2,(IF(E1617="GV",3,(IF(E1617="RA",4,(IF(E1617="RM",5,(IF(E1617="AC",1,(IF(E1617="AT",2,(IF(E1617="DS",3,(IF(E1617="IP",4,(IF(E1617="MA",5,(IF(E1617="PT",6,(IF(E1617="AE",1,(IF(E1617="CM",2,(IF(E1617="DP",3,(IF(E1617="AN",1,(IF(E1617="CO",2,(IF(E1617="IM",3,(IF(E1617="MI",4,(IF(E1617="RP",5,(IF(E1617="SC",6,0)))))))))))))))))))))))))))))))))))))))</f>
        <v>2</v>
      </c>
      <c r="G1617" s="52">
        <v>1</v>
      </c>
      <c r="H1617" s="89">
        <v>1</v>
      </c>
      <c r="I1617" s="94" t="s">
        <v>60</v>
      </c>
      <c r="J1617" s="88" t="s">
        <v>3132</v>
      </c>
      <c r="K1617" s="51" t="s">
        <v>5245</v>
      </c>
      <c r="L1617" s="117">
        <f>IF(O1617="","",N1617*O1617*M1617)</f>
        <v>0</v>
      </c>
      <c r="M1617" s="108">
        <v>1</v>
      </c>
      <c r="N1617" s="95">
        <v>1</v>
      </c>
      <c r="O1617" s="109">
        <f>IF(Key!D$1="ON",P1617,IF(SUM(Q1617:DL1617)&lt;1,"",SUM(Q1617:DL1617)/COUNTIF(Q1617:DL1617,"&gt;0")))</f>
        <v>0</v>
      </c>
      <c r="P1617" s="109">
        <f>SUMIFS(Q1617:DK1617,Q$1:DK$1,Dashboard!$K$31)</f>
        <v>0</v>
      </c>
      <c r="U1617" s="95">
        <v>33</v>
      </c>
      <c r="AA1617" s="95">
        <v>25</v>
      </c>
      <c r="AH1617" s="95">
        <v>75</v>
      </c>
    </row>
    <row r="1618" spans="1:34" ht="15.6" x14ac:dyDescent="0.3">
      <c r="A1618" s="89" t="str">
        <f>CONCATENATE(D1618,".",F1618,"-",G1618,".",H1618,"")</f>
        <v>2.2-1.1</v>
      </c>
      <c r="B1618" s="89" t="str">
        <f>IF(CONCATENATE(I1618,Key!F$2)=CONCATENATE(INDEX(Dashboard!J:J,MATCH(I1618,Dashboard!J:J,0),1),INDEX(Dashboard!J:K,MATCH(I1618,Dashboard!J:J,0),2)),"ON",IF(Dashboard!K$32="ALL","ON","-"))</f>
        <v>-</v>
      </c>
      <c r="C1618" s="88" t="s">
        <v>152</v>
      </c>
      <c r="D1618" s="89">
        <f>IF(C1618="ID",1,(IF(C1618="PR",2,(IF(C1618="DE",3,(IF(C1618="RS",4,(IF(C1618="RC",5,0)))))))))</f>
        <v>2</v>
      </c>
      <c r="E1618" s="89" t="s">
        <v>202</v>
      </c>
      <c r="F1618" s="89">
        <f>IF(E1618="AM",1,(IF(E1618="BE",2,(IF(E1618="GV",3,(IF(E1618="RA",4,(IF(E1618="RM",5,(IF(E1618="AC",1,(IF(E1618="AT",2,(IF(E1618="DS",3,(IF(E1618="IP",4,(IF(E1618="MA",5,(IF(E1618="PT",6,(IF(E1618="AE",1,(IF(E1618="CM",2,(IF(E1618="DP",3,(IF(E1618="AN",1,(IF(E1618="CO",2,(IF(E1618="IM",3,(IF(E1618="MI",4,(IF(E1618="RP",5,(IF(E1618="SC",6,0)))))))))))))))))))))))))))))))))))))))</f>
        <v>2</v>
      </c>
      <c r="G1618" s="52">
        <v>1</v>
      </c>
      <c r="H1618" s="89">
        <v>1</v>
      </c>
      <c r="I1618" s="94" t="s">
        <v>60</v>
      </c>
      <c r="J1618" s="88" t="s">
        <v>3197</v>
      </c>
      <c r="K1618" s="51" t="s">
        <v>5310</v>
      </c>
      <c r="L1618" s="117">
        <f>IF(O1618="","",N1618*O1618*M1618)</f>
        <v>0</v>
      </c>
      <c r="M1618" s="108">
        <v>0.9</v>
      </c>
      <c r="N1618" s="95">
        <v>1</v>
      </c>
      <c r="O1618" s="109">
        <f>IF(Key!D$1="ON",P1618,IF(SUM(Q1618:DL1618)&lt;1,"",SUM(Q1618:DL1618)/COUNTIF(Q1618:DL1618,"&gt;0")))</f>
        <v>0</v>
      </c>
      <c r="P1618" s="109">
        <f>SUMIFS(Q1618:DK1618,Q$1:DK$1,Dashboard!$K$31)</f>
        <v>0</v>
      </c>
      <c r="S1618" s="95">
        <v>33</v>
      </c>
      <c r="T1618" s="95">
        <v>80</v>
      </c>
      <c r="U1618" s="95">
        <v>33</v>
      </c>
      <c r="AA1618" s="95">
        <v>25</v>
      </c>
      <c r="AH1618" s="95">
        <v>75</v>
      </c>
    </row>
    <row r="1619" spans="1:34" x14ac:dyDescent="0.3">
      <c r="A1619" s="89" t="str">
        <f>CONCATENATE(D1619,".",F1619,"-",G1619,".",H1619,"")</f>
        <v>2.2-1.1</v>
      </c>
      <c r="B1619" s="89" t="str">
        <f>IF(CONCATENATE(I1619,Key!F$2)=CONCATENATE(INDEX(Dashboard!J:J,MATCH(I1619,Dashboard!J:J,0),1),INDEX(Dashboard!J:K,MATCH(I1619,Dashboard!J:J,0),2)),"ON",IF(Dashboard!K$32="ALL","ON","-"))</f>
        <v>-</v>
      </c>
      <c r="C1619" s="88" t="s">
        <v>152</v>
      </c>
      <c r="D1619" s="89">
        <f>IF(C1619="ID",1,(IF(C1619="PR",2,(IF(C1619="DE",3,(IF(C1619="RS",4,(IF(C1619="RC",5,0)))))))))</f>
        <v>2</v>
      </c>
      <c r="E1619" s="89" t="s">
        <v>202</v>
      </c>
      <c r="F1619" s="89">
        <f>IF(E1619="AM",1,(IF(E1619="BE",2,(IF(E1619="GV",3,(IF(E1619="RA",4,(IF(E1619="RM",5,(IF(E1619="AC",1,(IF(E1619="AT",2,(IF(E1619="DS",3,(IF(E1619="IP",4,(IF(E1619="MA",5,(IF(E1619="PT",6,(IF(E1619="AE",1,(IF(E1619="CM",2,(IF(E1619="DP",3,(IF(E1619="AN",1,(IF(E1619="CO",2,(IF(E1619="IM",3,(IF(E1619="MI",4,(IF(E1619="RP",5,(IF(E1619="SC",6,0)))))))))))))))))))))))))))))))))))))))</f>
        <v>2</v>
      </c>
      <c r="G1619" s="52">
        <v>1</v>
      </c>
      <c r="H1619" s="90" t="s">
        <v>115</v>
      </c>
      <c r="I1619" s="94" t="s">
        <v>64</v>
      </c>
      <c r="J1619" s="87" t="s">
        <v>1310</v>
      </c>
      <c r="K1619" s="102" t="s">
        <v>2320</v>
      </c>
      <c r="L1619" s="117">
        <f>IF(O1619="","",N1619*O1619*M1619)</f>
        <v>0</v>
      </c>
      <c r="M1619" s="108">
        <v>1</v>
      </c>
      <c r="N1619" s="95">
        <v>1</v>
      </c>
      <c r="O1619" s="109">
        <f>IF(Key!D$1="ON",P1619,IF(SUM(Q1619:DL1619)&lt;1,"",SUM(Q1619:DL1619)/COUNTIF(Q1619:DL1619,"&gt;0")))</f>
        <v>0</v>
      </c>
      <c r="P1619" s="109">
        <f>SUMIFS(Q1619:DK1619,Q$1:DK$1,Dashboard!$K$31)</f>
        <v>0</v>
      </c>
      <c r="U1619" s="95">
        <v>33</v>
      </c>
      <c r="AA1619" s="95">
        <v>25</v>
      </c>
      <c r="AH1619" s="95">
        <v>75</v>
      </c>
    </row>
    <row r="1620" spans="1:34" x14ac:dyDescent="0.3">
      <c r="A1620" s="89" t="str">
        <f>CONCATENATE(D1620,".",F1620,"-",G1620,".",H1620,"")</f>
        <v>2.2-1.1</v>
      </c>
      <c r="B1620" s="89" t="str">
        <f>IF(CONCATENATE(I1620,Key!F$2)=CONCATENATE(INDEX(Dashboard!J:J,MATCH(I1620,Dashboard!J:J,0),1),INDEX(Dashboard!J:K,MATCH(I1620,Dashboard!J:J,0),2)),"ON",IF(Dashboard!K$32="ALL","ON","-"))</f>
        <v>-</v>
      </c>
      <c r="C1620" s="96" t="s">
        <v>152</v>
      </c>
      <c r="D1620" s="89">
        <f>IF(C1620="ID",1,(IF(C1620="PR",2,(IF(C1620="DE",3,(IF(C1620="RS",4,(IF(C1620="RC",5,0)))))))))</f>
        <v>2</v>
      </c>
      <c r="E1620" s="89" t="s">
        <v>202</v>
      </c>
      <c r="F1620" s="89">
        <f>IF(E1620="AM",1,(IF(E1620="BE",2,(IF(E1620="GV",3,(IF(E1620="RA",4,(IF(E1620="RM",5,(IF(E1620="AC",1,(IF(E1620="AT",2,(IF(E1620="DS",3,(IF(E1620="IP",4,(IF(E1620="MA",5,(IF(E1620="PT",6,(IF(E1620="AE",1,(IF(E1620="CM",2,(IF(E1620="DP",3,(IF(E1620="AN",1,(IF(E1620="CO",2,(IF(E1620="IM",3,(IF(E1620="MI",4,(IF(E1620="RP",5,(IF(E1620="SC",6,0)))))))))))))))))))))))))))))))))))))))</f>
        <v>2</v>
      </c>
      <c r="G1620" s="98">
        <v>1</v>
      </c>
      <c r="H1620" s="90" t="s">
        <v>115</v>
      </c>
      <c r="I1620" s="94" t="s">
        <v>64</v>
      </c>
      <c r="J1620" s="86" t="s">
        <v>1311</v>
      </c>
      <c r="K1620" s="103" t="s">
        <v>2321</v>
      </c>
      <c r="L1620" s="117">
        <f>IF(O1620="","",N1620*O1620*M1620)</f>
        <v>0</v>
      </c>
      <c r="M1620" s="108">
        <v>0.9</v>
      </c>
      <c r="N1620" s="95">
        <v>1</v>
      </c>
      <c r="O1620" s="109">
        <f>IF(Key!D$1="ON",P1620,IF(SUM(Q1620:DL1620)&lt;1,"",SUM(Q1620:DL1620)/COUNTIF(Q1620:DL1620,"&gt;0")))</f>
        <v>0</v>
      </c>
      <c r="P1620" s="109">
        <f>SUMIFS(Q1620:DK1620,Q$1:DK$1,Dashboard!$K$31)</f>
        <v>0</v>
      </c>
      <c r="S1620" s="95">
        <v>99</v>
      </c>
      <c r="T1620" s="95">
        <v>80</v>
      </c>
      <c r="U1620" s="95">
        <v>33</v>
      </c>
      <c r="AA1620" s="95">
        <v>25</v>
      </c>
      <c r="AH1620" s="95">
        <v>75</v>
      </c>
    </row>
    <row r="1621" spans="1:34" x14ac:dyDescent="0.3">
      <c r="A1621" s="89" t="str">
        <f>CONCATENATE(D1621,".",F1621,"-",G1621,".",H1621,"")</f>
        <v>2.2-1.1</v>
      </c>
      <c r="B1621" s="89" t="str">
        <f>IF(CONCATENATE(I1621,Key!F$2)=CONCATENATE(INDEX(Dashboard!J:J,MATCH(I1621,Dashboard!J:J,0),1),INDEX(Dashboard!J:K,MATCH(I1621,Dashboard!J:J,0),2)),"ON",IF(Dashboard!K$32="ALL","ON","-"))</f>
        <v>-</v>
      </c>
      <c r="C1621" s="88" t="s">
        <v>152</v>
      </c>
      <c r="D1621" s="89">
        <f>IF(C1621="ID",1,(IF(C1621="PR",2,(IF(C1621="DE",3,(IF(C1621="RS",4,(IF(C1621="RC",5,0)))))))))</f>
        <v>2</v>
      </c>
      <c r="E1621" s="89" t="s">
        <v>202</v>
      </c>
      <c r="F1621" s="89">
        <f>IF(E1621="AM",1,(IF(E1621="BE",2,(IF(E1621="GV",3,(IF(E1621="RA",4,(IF(E1621="RM",5,(IF(E1621="AC",1,(IF(E1621="AT",2,(IF(E1621="DS",3,(IF(E1621="IP",4,(IF(E1621="MA",5,(IF(E1621="PT",6,(IF(E1621="AE",1,(IF(E1621="CM",2,(IF(E1621="DP",3,(IF(E1621="AN",1,(IF(E1621="CO",2,(IF(E1621="IM",3,(IF(E1621="MI",4,(IF(E1621="RP",5,(IF(E1621="SC",6,0)))))))))))))))))))))))))))))))))))))))</f>
        <v>2</v>
      </c>
      <c r="G1621" s="52">
        <v>1</v>
      </c>
      <c r="H1621" s="90" t="s">
        <v>115</v>
      </c>
      <c r="I1621" s="94" t="s">
        <v>64</v>
      </c>
      <c r="J1621" s="87" t="s">
        <v>1312</v>
      </c>
      <c r="K1621" s="102" t="s">
        <v>2322</v>
      </c>
      <c r="L1621" s="117">
        <f>IF(O1621="","",N1621*O1621*M1621)</f>
        <v>0</v>
      </c>
      <c r="M1621" s="108">
        <v>0.9</v>
      </c>
      <c r="N1621" s="95">
        <v>1</v>
      </c>
      <c r="O1621" s="109">
        <f>IF(Key!D$1="ON",P1621,IF(SUM(Q1621:DL1621)&lt;1,"",SUM(Q1621:DL1621)/COUNTIF(Q1621:DL1621,"&gt;0")))</f>
        <v>0</v>
      </c>
      <c r="P1621" s="109">
        <f>SUMIFS(Q1621:DK1621,Q$1:DK$1,Dashboard!$K$31)</f>
        <v>0</v>
      </c>
      <c r="S1621" s="95">
        <v>99</v>
      </c>
      <c r="T1621" s="95">
        <v>80</v>
      </c>
      <c r="U1621" s="95">
        <v>33</v>
      </c>
      <c r="AA1621" s="95">
        <v>25</v>
      </c>
      <c r="AH1621" s="95">
        <v>75</v>
      </c>
    </row>
    <row r="1622" spans="1:34" ht="15.6" x14ac:dyDescent="0.3">
      <c r="A1622" s="89" t="str">
        <f>CONCATENATE(D1622,".",F1622,"-",G1622,".",H1622,"")</f>
        <v>2.2-1.1</v>
      </c>
      <c r="B1622" s="89" t="str">
        <f>IF(CONCATENATE(I1622,Key!F$2)=CONCATENATE(INDEX(Dashboard!J:J,MATCH(I1622,Dashboard!J:J,0),1),INDEX(Dashboard!J:K,MATCH(I1622,Dashboard!J:J,0),2)),"ON",IF(Dashboard!K$32="ALL","ON","-"))</f>
        <v>-</v>
      </c>
      <c r="C1622" s="88" t="s">
        <v>152</v>
      </c>
      <c r="D1622" s="89">
        <f>IF(C1622="ID",1,(IF(C1622="PR",2,(IF(C1622="DE",3,(IF(C1622="RS",4,(IF(C1622="RC",5,0)))))))))</f>
        <v>2</v>
      </c>
      <c r="E1622" s="89" t="s">
        <v>202</v>
      </c>
      <c r="F1622" s="89">
        <f>IF(E1622="AM",1,(IF(E1622="BE",2,(IF(E1622="GV",3,(IF(E1622="RA",4,(IF(E1622="RM",5,(IF(E1622="AC",1,(IF(E1622="AT",2,(IF(E1622="DS",3,(IF(E1622="IP",4,(IF(E1622="MA",5,(IF(E1622="PT",6,(IF(E1622="AE",1,(IF(E1622="CM",2,(IF(E1622="DP",3,(IF(E1622="AN",1,(IF(E1622="CO",2,(IF(E1622="IM",3,(IF(E1622="MI",4,(IF(E1622="RP",5,(IF(E1622="SC",6,0)))))))))))))))))))))))))))))))))))))))</f>
        <v>2</v>
      </c>
      <c r="G1622" s="52">
        <v>1</v>
      </c>
      <c r="H1622" s="90" t="s">
        <v>115</v>
      </c>
      <c r="I1622" s="94" t="s">
        <v>64</v>
      </c>
      <c r="J1622" s="87" t="s">
        <v>1313</v>
      </c>
      <c r="K1622" s="102" t="s">
        <v>2323</v>
      </c>
      <c r="L1622" s="117">
        <f>IF(O1622="","",N1622*O1622*M1622)</f>
        <v>0</v>
      </c>
      <c r="M1622" s="108">
        <v>0.9</v>
      </c>
      <c r="N1622" s="95">
        <v>1</v>
      </c>
      <c r="O1622" s="109">
        <f>IF(Key!D$1="ON",P1622,IF(SUM(Q1622:DL1622)&lt;1,"",SUM(Q1622:DL1622)/COUNTIF(Q1622:DL1622,"&gt;0")))</f>
        <v>0</v>
      </c>
      <c r="P1622" s="109">
        <f>SUMIFS(Q1622:DK1622,Q$1:DK$1,Dashboard!$K$31)</f>
        <v>0</v>
      </c>
      <c r="S1622" s="95">
        <v>99</v>
      </c>
      <c r="T1622" s="95">
        <v>80</v>
      </c>
      <c r="U1622" s="95">
        <v>33</v>
      </c>
      <c r="AA1622" s="95">
        <v>25</v>
      </c>
      <c r="AH1622" s="95">
        <v>75</v>
      </c>
    </row>
    <row r="1623" spans="1:34" x14ac:dyDescent="0.3">
      <c r="A1623" s="89" t="str">
        <f>CONCATENATE(D1623,".",F1623,"-",G1623,".",H1623,"")</f>
        <v>2.2-1.1</v>
      </c>
      <c r="B1623" s="89" t="str">
        <f>IF(CONCATENATE(I1623,Key!F$2)=CONCATENATE(INDEX(Dashboard!J:J,MATCH(I1623,Dashboard!J:J,0),1),INDEX(Dashboard!J:K,MATCH(I1623,Dashboard!J:J,0),2)),"ON",IF(Dashboard!K$32="ALL","ON","-"))</f>
        <v>-</v>
      </c>
      <c r="C1623" s="88" t="s">
        <v>152</v>
      </c>
      <c r="D1623" s="89">
        <f>IF(C1623="ID",1,(IF(C1623="PR",2,(IF(C1623="DE",3,(IF(C1623="RS",4,(IF(C1623="RC",5,0)))))))))</f>
        <v>2</v>
      </c>
      <c r="E1623" s="89" t="s">
        <v>202</v>
      </c>
      <c r="F1623" s="89">
        <f>IF(E1623="AM",1,(IF(E1623="BE",2,(IF(E1623="GV",3,(IF(E1623="RA",4,(IF(E1623="RM",5,(IF(E1623="AC",1,(IF(E1623="AT",2,(IF(E1623="DS",3,(IF(E1623="IP",4,(IF(E1623="MA",5,(IF(E1623="PT",6,(IF(E1623="AE",1,(IF(E1623="CM",2,(IF(E1623="DP",3,(IF(E1623="AN",1,(IF(E1623="CO",2,(IF(E1623="IM",3,(IF(E1623="MI",4,(IF(E1623="RP",5,(IF(E1623="SC",6,0)))))))))))))))))))))))))))))))))))))))</f>
        <v>2</v>
      </c>
      <c r="G1623" s="98">
        <v>1</v>
      </c>
      <c r="H1623" s="99">
        <v>1</v>
      </c>
      <c r="I1623" s="94" t="s">
        <v>73</v>
      </c>
      <c r="J1623" s="86" t="s">
        <v>213</v>
      </c>
      <c r="K1623" s="107" t="s">
        <v>4270</v>
      </c>
      <c r="L1623" s="117">
        <f>IF(O1623="","",N1623*O1623*M1623)</f>
        <v>0</v>
      </c>
      <c r="M1623" s="108">
        <v>1</v>
      </c>
      <c r="N1623" s="95">
        <v>1</v>
      </c>
      <c r="O1623" s="109">
        <f>IF(Key!D$1="ON",P1623,IF(SUM(Q1623:DL1623)&lt;1,"",SUM(Q1623:DL1623)/COUNTIF(Q1623:DL1623,"&gt;0")))</f>
        <v>0</v>
      </c>
      <c r="P1623" s="109">
        <f>SUMIFS(Q1623:DK1623,Q$1:DK$1,Dashboard!$K$31)</f>
        <v>0</v>
      </c>
      <c r="U1623" s="95">
        <v>33</v>
      </c>
      <c r="AA1623" s="95">
        <v>25</v>
      </c>
      <c r="AH1623" s="95">
        <v>75</v>
      </c>
    </row>
    <row r="1624" spans="1:34" x14ac:dyDescent="0.3">
      <c r="A1624" s="89" t="str">
        <f>CONCATENATE(D1624,".",F1624,"-",G1624,".",H1624,"")</f>
        <v>2.2-1.1</v>
      </c>
      <c r="B1624" s="89" t="str">
        <f>IF(CONCATENATE(I1624,Key!F$2)=CONCATENATE(INDEX(Dashboard!J:J,MATCH(I1624,Dashboard!J:J,0),1),INDEX(Dashboard!J:K,MATCH(I1624,Dashboard!J:J,0),2)),"ON",IF(Dashboard!K$32="ALL","ON","-"))</f>
        <v>-</v>
      </c>
      <c r="C1624" s="88" t="s">
        <v>152</v>
      </c>
      <c r="D1624" s="89">
        <f>IF(C1624="ID",1,(IF(C1624="PR",2,(IF(C1624="DE",3,(IF(C1624="RS",4,(IF(C1624="RC",5,0)))))))))</f>
        <v>2</v>
      </c>
      <c r="E1624" s="89" t="s">
        <v>202</v>
      </c>
      <c r="F1624" s="89">
        <f>IF(E1624="AM",1,(IF(E1624="BE",2,(IF(E1624="GV",3,(IF(E1624="RA",4,(IF(E1624="RM",5,(IF(E1624="AC",1,(IF(E1624="AT",2,(IF(E1624="DS",3,(IF(E1624="IP",4,(IF(E1624="MA",5,(IF(E1624="PT",6,(IF(E1624="AE",1,(IF(E1624="CM",2,(IF(E1624="DP",3,(IF(E1624="AN",1,(IF(E1624="CO",2,(IF(E1624="IM",3,(IF(E1624="MI",4,(IF(E1624="RP",5,(IF(E1624="SC",6,0)))))))))))))))))))))))))))))))))))))))</f>
        <v>2</v>
      </c>
      <c r="G1624" s="98">
        <v>1</v>
      </c>
      <c r="H1624" s="99">
        <v>1</v>
      </c>
      <c r="I1624" s="94" t="s">
        <v>73</v>
      </c>
      <c r="J1624" s="86" t="s">
        <v>218</v>
      </c>
      <c r="K1624" s="107" t="s">
        <v>4271</v>
      </c>
      <c r="L1624" s="117">
        <f>IF(O1624="","",N1624*O1624*M1624)</f>
        <v>0</v>
      </c>
      <c r="M1624" s="108">
        <v>1</v>
      </c>
      <c r="N1624" s="95">
        <v>1</v>
      </c>
      <c r="O1624" s="109">
        <f>IF(Key!D$1="ON",P1624,IF(SUM(Q1624:DL1624)&lt;1,"",SUM(Q1624:DL1624)/COUNTIF(Q1624:DL1624,"&gt;0")))</f>
        <v>0</v>
      </c>
      <c r="P1624" s="109">
        <f>SUMIFS(Q1624:DK1624,Q$1:DK$1,Dashboard!$K$31)</f>
        <v>0</v>
      </c>
      <c r="U1624" s="95">
        <v>33</v>
      </c>
      <c r="AA1624" s="95">
        <v>25</v>
      </c>
      <c r="AH1624" s="95">
        <v>75</v>
      </c>
    </row>
    <row r="1625" spans="1:34" ht="15.6" x14ac:dyDescent="0.3">
      <c r="A1625" s="89" t="str">
        <f>CONCATENATE(D1625,".",F1625,"-",G1625,".",H1625,"")</f>
        <v>2.2-1.1</v>
      </c>
      <c r="B1625" s="89" t="str">
        <f>IF(CONCATENATE(I1625,Key!F$2)=CONCATENATE(INDEX(Dashboard!J:J,MATCH(I1625,Dashboard!J:J,0),1),INDEX(Dashboard!J:K,MATCH(I1625,Dashboard!J:J,0),2)),"ON",IF(Dashboard!K$32="ALL","ON","-"))</f>
        <v>-</v>
      </c>
      <c r="C1625" s="88" t="s">
        <v>152</v>
      </c>
      <c r="D1625" s="89">
        <f>IF(C1625="ID",1,(IF(C1625="PR",2,(IF(C1625="DE",3,(IF(C1625="RS",4,(IF(C1625="RC",5,0)))))))))</f>
        <v>2</v>
      </c>
      <c r="E1625" s="89" t="s">
        <v>202</v>
      </c>
      <c r="F1625" s="89">
        <f>IF(E1625="AM",1,(IF(E1625="BE",2,(IF(E1625="GV",3,(IF(E1625="RA",4,(IF(E1625="RM",5,(IF(E1625="AC",1,(IF(E1625="AT",2,(IF(E1625="DS",3,(IF(E1625="IP",4,(IF(E1625="MA",5,(IF(E1625="PT",6,(IF(E1625="AE",1,(IF(E1625="CM",2,(IF(E1625="DP",3,(IF(E1625="AN",1,(IF(E1625="CO",2,(IF(E1625="IM",3,(IF(E1625="MI",4,(IF(E1625="RP",5,(IF(E1625="SC",6,0)))))))))))))))))))))))))))))))))))))))</f>
        <v>2</v>
      </c>
      <c r="G1625" s="98">
        <v>1</v>
      </c>
      <c r="H1625" s="99">
        <v>1</v>
      </c>
      <c r="I1625" s="94" t="s">
        <v>73</v>
      </c>
      <c r="J1625" s="86" t="s">
        <v>219</v>
      </c>
      <c r="K1625" s="107" t="s">
        <v>4272</v>
      </c>
      <c r="L1625" s="117">
        <f>IF(O1625="","",N1625*O1625*M1625)</f>
        <v>0</v>
      </c>
      <c r="M1625" s="108">
        <v>1</v>
      </c>
      <c r="N1625" s="95">
        <v>1</v>
      </c>
      <c r="O1625" s="109">
        <f>IF(Key!D$1="ON",P1625,IF(SUM(Q1625:DL1625)&lt;1,"",SUM(Q1625:DL1625)/COUNTIF(Q1625:DL1625,"&gt;0")))</f>
        <v>0</v>
      </c>
      <c r="P1625" s="109">
        <f>SUMIFS(Q1625:DK1625,Q$1:DK$1,Dashboard!$K$31)</f>
        <v>0</v>
      </c>
      <c r="U1625" s="95">
        <v>33</v>
      </c>
      <c r="AA1625" s="95">
        <v>25</v>
      </c>
      <c r="AH1625" s="95">
        <v>75</v>
      </c>
    </row>
    <row r="1626" spans="1:34" ht="15.6" x14ac:dyDescent="0.3">
      <c r="A1626" s="89" t="str">
        <f>CONCATENATE(D1626,".",F1626,"-",G1626,".",H1626,"")</f>
        <v>2.2-1.1</v>
      </c>
      <c r="B1626" s="89" t="str">
        <f>IF(CONCATENATE(I1626,Key!F$2)=CONCATENATE(INDEX(Dashboard!J:J,MATCH(I1626,Dashboard!J:J,0),1),INDEX(Dashboard!J:K,MATCH(I1626,Dashboard!J:J,0),2)),"ON",IF(Dashboard!K$32="ALL","ON","-"))</f>
        <v>-</v>
      </c>
      <c r="C1626" s="88" t="s">
        <v>152</v>
      </c>
      <c r="D1626" s="89">
        <f>IF(C1626="ID",1,(IF(C1626="PR",2,(IF(C1626="DE",3,(IF(C1626="RS",4,(IF(C1626="RC",5,0)))))))))</f>
        <v>2</v>
      </c>
      <c r="E1626" s="89" t="s">
        <v>202</v>
      </c>
      <c r="F1626" s="89">
        <f>IF(E1626="AM",1,(IF(E1626="BE",2,(IF(E1626="GV",3,(IF(E1626="RA",4,(IF(E1626="RM",5,(IF(E1626="AC",1,(IF(E1626="AT",2,(IF(E1626="DS",3,(IF(E1626="IP",4,(IF(E1626="MA",5,(IF(E1626="PT",6,(IF(E1626="AE",1,(IF(E1626="CM",2,(IF(E1626="DP",3,(IF(E1626="AN",1,(IF(E1626="CO",2,(IF(E1626="IM",3,(IF(E1626="MI",4,(IF(E1626="RP",5,(IF(E1626="SC",6,0)))))))))))))))))))))))))))))))))))))))</f>
        <v>2</v>
      </c>
      <c r="G1626" s="52">
        <v>1</v>
      </c>
      <c r="H1626" s="90" t="s">
        <v>115</v>
      </c>
      <c r="I1626" s="94" t="s">
        <v>77</v>
      </c>
      <c r="J1626" s="87" t="s">
        <v>1310</v>
      </c>
      <c r="K1626" s="102" t="s">
        <v>2320</v>
      </c>
      <c r="L1626" s="117">
        <f>IF(O1626="","",N1626*O1626*M1626)</f>
        <v>0</v>
      </c>
      <c r="M1626" s="108">
        <v>1</v>
      </c>
      <c r="N1626" s="95">
        <v>1</v>
      </c>
      <c r="O1626" s="109">
        <f>IF(Key!D$1="ON",P1626,IF(SUM(Q1626:DL1626)&lt;1,"",SUM(Q1626:DL1626)/COUNTIF(Q1626:DL1626,"&gt;0")))</f>
        <v>0</v>
      </c>
      <c r="P1626" s="109">
        <f>SUMIFS(Q1626:DK1626,Q$1:DK$1,Dashboard!$K$31)</f>
        <v>0</v>
      </c>
      <c r="U1626" s="95">
        <v>33</v>
      </c>
      <c r="AA1626" s="95">
        <v>25</v>
      </c>
      <c r="AH1626" s="95">
        <v>75</v>
      </c>
    </row>
    <row r="1627" spans="1:34" x14ac:dyDescent="0.3">
      <c r="A1627" s="89" t="str">
        <f>CONCATENATE(D1627,".",F1627,"-",G1627,".",H1627,"")</f>
        <v>2.2-1.1</v>
      </c>
      <c r="B1627" s="89" t="str">
        <f>IF(CONCATENATE(I1627,Key!F$2)=CONCATENATE(INDEX(Dashboard!J:J,MATCH(I1627,Dashboard!J:J,0),1),INDEX(Dashboard!J:K,MATCH(I1627,Dashboard!J:J,0),2)),"ON",IF(Dashboard!K$32="ALL","ON","-"))</f>
        <v>-</v>
      </c>
      <c r="C1627" s="96" t="s">
        <v>152</v>
      </c>
      <c r="D1627" s="89">
        <f>IF(C1627="ID",1,(IF(C1627="PR",2,(IF(C1627="DE",3,(IF(C1627="RS",4,(IF(C1627="RC",5,0)))))))))</f>
        <v>2</v>
      </c>
      <c r="E1627" s="89" t="s">
        <v>202</v>
      </c>
      <c r="F1627" s="89">
        <f>IF(E1627="AM",1,(IF(E1627="BE",2,(IF(E1627="GV",3,(IF(E1627="RA",4,(IF(E1627="RM",5,(IF(E1627="AC",1,(IF(E1627="AT",2,(IF(E1627="DS",3,(IF(E1627="IP",4,(IF(E1627="MA",5,(IF(E1627="PT",6,(IF(E1627="AE",1,(IF(E1627="CM",2,(IF(E1627="DP",3,(IF(E1627="AN",1,(IF(E1627="CO",2,(IF(E1627="IM",3,(IF(E1627="MI",4,(IF(E1627="RP",5,(IF(E1627="SC",6,0)))))))))))))))))))))))))))))))))))))))</f>
        <v>2</v>
      </c>
      <c r="G1627" s="98">
        <v>1</v>
      </c>
      <c r="H1627" s="90" t="s">
        <v>115</v>
      </c>
      <c r="I1627" s="94" t="s">
        <v>77</v>
      </c>
      <c r="J1627" s="87" t="s">
        <v>1311</v>
      </c>
      <c r="K1627" s="102" t="s">
        <v>2321</v>
      </c>
      <c r="L1627" s="117">
        <f>IF(O1627="","",N1627*O1627*M1627)</f>
        <v>0</v>
      </c>
      <c r="M1627" s="108">
        <v>0.9</v>
      </c>
      <c r="N1627" s="95">
        <v>1</v>
      </c>
      <c r="O1627" s="109">
        <f>IF(Key!D$1="ON",P1627,IF(SUM(Q1627:DL1627)&lt;1,"",SUM(Q1627:DL1627)/COUNTIF(Q1627:DL1627,"&gt;0")))</f>
        <v>0</v>
      </c>
      <c r="P1627" s="109">
        <f>SUMIFS(Q1627:DK1627,Q$1:DK$1,Dashboard!$K$31)</f>
        <v>0</v>
      </c>
      <c r="S1627" s="95">
        <v>99</v>
      </c>
      <c r="T1627" s="95">
        <v>80</v>
      </c>
      <c r="U1627" s="95">
        <v>33</v>
      </c>
      <c r="AA1627" s="95">
        <v>25</v>
      </c>
      <c r="AH1627" s="95">
        <v>75</v>
      </c>
    </row>
    <row r="1628" spans="1:34" x14ac:dyDescent="0.3">
      <c r="A1628" s="89" t="str">
        <f>CONCATENATE(D1628,".",F1628,"-",G1628,".",H1628,"")</f>
        <v>2.2-1.1</v>
      </c>
      <c r="B1628" s="89" t="str">
        <f>IF(CONCATENATE(I1628,Key!F$2)=CONCATENATE(INDEX(Dashboard!J:J,MATCH(I1628,Dashboard!J:J,0),1),INDEX(Dashboard!J:K,MATCH(I1628,Dashboard!J:J,0),2)),"ON",IF(Dashboard!K$32="ALL","ON","-"))</f>
        <v>-</v>
      </c>
      <c r="C1628" s="88" t="s">
        <v>152</v>
      </c>
      <c r="D1628" s="89">
        <f>IF(C1628="ID",1,(IF(C1628="PR",2,(IF(C1628="DE",3,(IF(C1628="RS",4,(IF(C1628="RC",5,0)))))))))</f>
        <v>2</v>
      </c>
      <c r="E1628" s="89" t="s">
        <v>202</v>
      </c>
      <c r="F1628" s="89">
        <f>IF(E1628="AM",1,(IF(E1628="BE",2,(IF(E1628="GV",3,(IF(E1628="RA",4,(IF(E1628="RM",5,(IF(E1628="AC",1,(IF(E1628="AT",2,(IF(E1628="DS",3,(IF(E1628="IP",4,(IF(E1628="MA",5,(IF(E1628="PT",6,(IF(E1628="AE",1,(IF(E1628="CM",2,(IF(E1628="DP",3,(IF(E1628="AN",1,(IF(E1628="CO",2,(IF(E1628="IM",3,(IF(E1628="MI",4,(IF(E1628="RP",5,(IF(E1628="SC",6,0)))))))))))))))))))))))))))))))))))))))</f>
        <v>2</v>
      </c>
      <c r="G1628" s="52">
        <v>1</v>
      </c>
      <c r="H1628" s="90" t="s">
        <v>115</v>
      </c>
      <c r="I1628" s="94" t="s">
        <v>77</v>
      </c>
      <c r="J1628" s="87" t="s">
        <v>1312</v>
      </c>
      <c r="K1628" s="102" t="s">
        <v>2322</v>
      </c>
      <c r="L1628" s="117">
        <f>IF(O1628="","",N1628*O1628*M1628)</f>
        <v>0</v>
      </c>
      <c r="M1628" s="108">
        <v>0.9</v>
      </c>
      <c r="N1628" s="95">
        <v>1</v>
      </c>
      <c r="O1628" s="109">
        <f>IF(Key!D$1="ON",P1628,IF(SUM(Q1628:DL1628)&lt;1,"",SUM(Q1628:DL1628)/COUNTIF(Q1628:DL1628,"&gt;0")))</f>
        <v>0</v>
      </c>
      <c r="P1628" s="109">
        <f>SUMIFS(Q1628:DK1628,Q$1:DK$1,Dashboard!$K$31)</f>
        <v>0</v>
      </c>
      <c r="S1628" s="95">
        <v>99</v>
      </c>
      <c r="T1628" s="95">
        <v>80</v>
      </c>
      <c r="U1628" s="95">
        <v>33</v>
      </c>
      <c r="AA1628" s="95">
        <v>25</v>
      </c>
      <c r="AH1628" s="95">
        <v>75</v>
      </c>
    </row>
    <row r="1629" spans="1:34" x14ac:dyDescent="0.3">
      <c r="A1629" s="89" t="str">
        <f>CONCATENATE(D1629,".",F1629,"-",G1629,".",H1629,"")</f>
        <v>2.2-1.1</v>
      </c>
      <c r="B1629" s="89" t="str">
        <f>IF(CONCATENATE(I1629,Key!F$2)=CONCATENATE(INDEX(Dashboard!J:J,MATCH(I1629,Dashboard!J:J,0),1),INDEX(Dashboard!J:K,MATCH(I1629,Dashboard!J:J,0),2)),"ON",IF(Dashboard!K$32="ALL","ON","-"))</f>
        <v>-</v>
      </c>
      <c r="C1629" s="88" t="s">
        <v>152</v>
      </c>
      <c r="D1629" s="89">
        <f>IF(C1629="ID",1,(IF(C1629="PR",2,(IF(C1629="DE",3,(IF(C1629="RS",4,(IF(C1629="RC",5,0)))))))))</f>
        <v>2</v>
      </c>
      <c r="E1629" s="89" t="s">
        <v>202</v>
      </c>
      <c r="F1629" s="89">
        <f>IF(E1629="AM",1,(IF(E1629="BE",2,(IF(E1629="GV",3,(IF(E1629="RA",4,(IF(E1629="RM",5,(IF(E1629="AC",1,(IF(E1629="AT",2,(IF(E1629="DS",3,(IF(E1629="IP",4,(IF(E1629="MA",5,(IF(E1629="PT",6,(IF(E1629="AE",1,(IF(E1629="CM",2,(IF(E1629="DP",3,(IF(E1629="AN",1,(IF(E1629="CO",2,(IF(E1629="IM",3,(IF(E1629="MI",4,(IF(E1629="RP",5,(IF(E1629="SC",6,0)))))))))))))))))))))))))))))))))))))))</f>
        <v>2</v>
      </c>
      <c r="G1629" s="52">
        <v>1</v>
      </c>
      <c r="H1629" s="90" t="s">
        <v>115</v>
      </c>
      <c r="I1629" s="94" t="s">
        <v>77</v>
      </c>
      <c r="J1629" s="87" t="s">
        <v>1313</v>
      </c>
      <c r="K1629" s="102" t="s">
        <v>2323</v>
      </c>
      <c r="L1629" s="117">
        <f>IF(O1629="","",N1629*O1629*M1629)</f>
        <v>0</v>
      </c>
      <c r="M1629" s="108">
        <v>0.9</v>
      </c>
      <c r="N1629" s="95">
        <v>1</v>
      </c>
      <c r="O1629" s="109">
        <f>IF(Key!D$1="ON",P1629,IF(SUM(Q1629:DL1629)&lt;1,"",SUM(Q1629:DL1629)/COUNTIF(Q1629:DL1629,"&gt;0")))</f>
        <v>0</v>
      </c>
      <c r="P1629" s="109">
        <f>SUMIFS(Q1629:DK1629,Q$1:DK$1,Dashboard!$K$31)</f>
        <v>0</v>
      </c>
      <c r="S1629" s="95">
        <v>99</v>
      </c>
      <c r="T1629" s="95">
        <v>80</v>
      </c>
      <c r="U1629" s="95">
        <v>33</v>
      </c>
      <c r="AA1629" s="95">
        <v>25</v>
      </c>
      <c r="AH1629" s="95">
        <v>75</v>
      </c>
    </row>
    <row r="1630" spans="1:34" x14ac:dyDescent="0.3">
      <c r="A1630" s="89" t="str">
        <f>CONCATENATE(D1630,".",F1630,"-",G1630,".",H1630,"")</f>
        <v>2.2-1.1</v>
      </c>
      <c r="B1630" s="89" t="str">
        <f>IF(CONCATENATE(I1630,Key!F$2)=CONCATENATE(INDEX(Dashboard!J:J,MATCH(I1630,Dashboard!J:J,0),1),INDEX(Dashboard!J:K,MATCH(I1630,Dashboard!J:J,0),2)),"ON",IF(Dashboard!K$32="ALL","ON","-"))</f>
        <v>-</v>
      </c>
      <c r="C1630" s="88" t="s">
        <v>152</v>
      </c>
      <c r="D1630" s="89">
        <f>IF(C1630="ID",1,(IF(C1630="PR",2,(IF(C1630="DE",3,(IF(C1630="RS",4,(IF(C1630="RC",5,0)))))))))</f>
        <v>2</v>
      </c>
      <c r="E1630" s="89" t="s">
        <v>202</v>
      </c>
      <c r="F1630" s="89">
        <f>IF(E1630="AM",1,(IF(E1630="BE",2,(IF(E1630="GV",3,(IF(E1630="RA",4,(IF(E1630="RM",5,(IF(E1630="AC",1,(IF(E1630="AT",2,(IF(E1630="DS",3,(IF(E1630="IP",4,(IF(E1630="MA",5,(IF(E1630="PT",6,(IF(E1630="AE",1,(IF(E1630="CM",2,(IF(E1630="DP",3,(IF(E1630="AN",1,(IF(E1630="CO",2,(IF(E1630="IM",3,(IF(E1630="MI",4,(IF(E1630="RP",5,(IF(E1630="SC",6,0)))))))))))))))))))))))))))))))))))))))</f>
        <v>2</v>
      </c>
      <c r="G1630" s="52">
        <v>1</v>
      </c>
      <c r="H1630" s="90" t="s">
        <v>115</v>
      </c>
      <c r="I1630" s="94" t="s">
        <v>77</v>
      </c>
      <c r="J1630" s="87" t="s">
        <v>1316</v>
      </c>
      <c r="K1630" s="102" t="s">
        <v>2324</v>
      </c>
      <c r="L1630" s="117">
        <f>IF(O1630="","",N1630*O1630*M1630)</f>
        <v>0</v>
      </c>
      <c r="M1630" s="108">
        <v>0.9</v>
      </c>
      <c r="N1630" s="95">
        <v>1</v>
      </c>
      <c r="O1630" s="109">
        <f>IF(Key!D$1="ON",P1630,IF(SUM(Q1630:DL1630)&lt;1,"",SUM(Q1630:DL1630)/COUNTIF(Q1630:DL1630,"&gt;0")))</f>
        <v>0</v>
      </c>
      <c r="P1630" s="109">
        <f>SUMIFS(Q1630:DK1630,Q$1:DK$1,Dashboard!$K$31)</f>
        <v>0</v>
      </c>
      <c r="S1630" s="95">
        <v>99</v>
      </c>
      <c r="T1630" s="95">
        <v>80</v>
      </c>
      <c r="U1630" s="95">
        <v>33</v>
      </c>
      <c r="AA1630" s="95">
        <v>25</v>
      </c>
      <c r="AH1630" s="95">
        <v>75</v>
      </c>
    </row>
    <row r="1631" spans="1:34" x14ac:dyDescent="0.3">
      <c r="A1631" s="89" t="str">
        <f>CONCATENATE(D1631,".",F1631,"-",G1631,".",H1631,"")</f>
        <v>2.2-1.1</v>
      </c>
      <c r="B1631" s="89" t="str">
        <f>IF(CONCATENATE(I1631,Key!F$2)=CONCATENATE(INDEX(Dashboard!J:J,MATCH(I1631,Dashboard!J:J,0),1),INDEX(Dashboard!J:K,MATCH(I1631,Dashboard!J:J,0),2)),"ON",IF(Dashboard!K$32="ALL","ON","-"))</f>
        <v>-</v>
      </c>
      <c r="C1631" s="88" t="s">
        <v>152</v>
      </c>
      <c r="D1631" s="89">
        <f>IF(C1631="ID",1,(IF(C1631="PR",2,(IF(C1631="DE",3,(IF(C1631="RS",4,(IF(C1631="RC",5,0)))))))))</f>
        <v>2</v>
      </c>
      <c r="E1631" s="89" t="s">
        <v>202</v>
      </c>
      <c r="F1631" s="89">
        <f>IF(E1631="AM",1,(IF(E1631="BE",2,(IF(E1631="GV",3,(IF(E1631="RA",4,(IF(E1631="RM",5,(IF(E1631="AC",1,(IF(E1631="AT",2,(IF(E1631="DS",3,(IF(E1631="IP",4,(IF(E1631="MA",5,(IF(E1631="PT",6,(IF(E1631="AE",1,(IF(E1631="CM",2,(IF(E1631="DP",3,(IF(E1631="AN",1,(IF(E1631="CO",2,(IF(E1631="IM",3,(IF(E1631="MI",4,(IF(E1631="RP",5,(IF(E1631="SC",6,0)))))))))))))))))))))))))))))))))))))))</f>
        <v>2</v>
      </c>
      <c r="G1631" s="52">
        <v>1</v>
      </c>
      <c r="H1631" s="90" t="s">
        <v>115</v>
      </c>
      <c r="I1631" s="94" t="s">
        <v>77</v>
      </c>
      <c r="J1631" s="87" t="s">
        <v>1317</v>
      </c>
      <c r="K1631" s="102" t="s">
        <v>2325</v>
      </c>
      <c r="L1631" s="117">
        <f>IF(O1631="","",N1631*O1631*M1631)</f>
        <v>0</v>
      </c>
      <c r="M1631" s="108">
        <v>0.9</v>
      </c>
      <c r="N1631" s="95">
        <v>1</v>
      </c>
      <c r="O1631" s="109">
        <f>IF(Key!D$1="ON",P1631,IF(SUM(Q1631:DL1631)&lt;1,"",SUM(Q1631:DL1631)/COUNTIF(Q1631:DL1631,"&gt;0")))</f>
        <v>0</v>
      </c>
      <c r="P1631" s="109">
        <f>SUMIFS(Q1631:DK1631,Q$1:DK$1,Dashboard!$K$31)</f>
        <v>0</v>
      </c>
      <c r="S1631" s="95">
        <v>99</v>
      </c>
      <c r="T1631" s="95">
        <v>80</v>
      </c>
      <c r="U1631" s="95">
        <v>33</v>
      </c>
      <c r="AA1631" s="95">
        <v>25</v>
      </c>
      <c r="AH1631" s="95">
        <v>75</v>
      </c>
    </row>
    <row r="1632" spans="1:34" x14ac:dyDescent="0.3">
      <c r="A1632" s="89" t="str">
        <f>CONCATENATE(D1632,".",F1632,"-",G1632,".",H1632,"")</f>
        <v>2.2-1.1</v>
      </c>
      <c r="B1632" s="89" t="str">
        <f>IF(CONCATENATE(I1632,Key!F$2)=CONCATENATE(INDEX(Dashboard!J:J,MATCH(I1632,Dashboard!J:J,0),1),INDEX(Dashboard!J:K,MATCH(I1632,Dashboard!J:J,0),2)),"ON",IF(Dashboard!K$32="ALL","ON","-"))</f>
        <v>-</v>
      </c>
      <c r="C1632" s="88" t="s">
        <v>152</v>
      </c>
      <c r="D1632" s="89">
        <f>IF(C1632="ID",1,(IF(C1632="PR",2,(IF(C1632="DE",3,(IF(C1632="RS",4,(IF(C1632="RC",5,0)))))))))</f>
        <v>2</v>
      </c>
      <c r="E1632" s="89" t="s">
        <v>202</v>
      </c>
      <c r="F1632" s="89">
        <f>IF(E1632="AM",1,(IF(E1632="BE",2,(IF(E1632="GV",3,(IF(E1632="RA",4,(IF(E1632="RM",5,(IF(E1632="AC",1,(IF(E1632="AT",2,(IF(E1632="DS",3,(IF(E1632="IP",4,(IF(E1632="MA",5,(IF(E1632="PT",6,(IF(E1632="AE",1,(IF(E1632="CM",2,(IF(E1632="DP",3,(IF(E1632="AN",1,(IF(E1632="CO",2,(IF(E1632="IM",3,(IF(E1632="MI",4,(IF(E1632="RP",5,(IF(E1632="SC",6,0)))))))))))))))))))))))))))))))))))))))</f>
        <v>2</v>
      </c>
      <c r="G1632" s="52">
        <v>1</v>
      </c>
      <c r="H1632" s="90" t="s">
        <v>115</v>
      </c>
      <c r="I1632" s="94" t="s">
        <v>77</v>
      </c>
      <c r="J1632" s="87" t="s">
        <v>1317</v>
      </c>
      <c r="K1632" s="102" t="s">
        <v>2325</v>
      </c>
      <c r="L1632" s="117">
        <f>IF(O1632="","",N1632*O1632*M1632)</f>
        <v>0</v>
      </c>
      <c r="M1632" s="108">
        <v>0.9</v>
      </c>
      <c r="N1632" s="95">
        <v>1</v>
      </c>
      <c r="O1632" s="109">
        <f>IF(Key!D$1="ON",P1632,IF(SUM(Q1632:DL1632)&lt;1,"",SUM(Q1632:DL1632)/COUNTIF(Q1632:DL1632,"&gt;0")))</f>
        <v>0</v>
      </c>
      <c r="P1632" s="109">
        <f>SUMIFS(Q1632:DK1632,Q$1:DK$1,Dashboard!$K$31)</f>
        <v>0</v>
      </c>
      <c r="S1632" s="95">
        <v>99</v>
      </c>
      <c r="T1632" s="95">
        <v>80</v>
      </c>
      <c r="U1632" s="95">
        <v>33</v>
      </c>
      <c r="AA1632" s="95">
        <v>25</v>
      </c>
      <c r="AH1632" s="95">
        <v>75</v>
      </c>
    </row>
    <row r="1633" spans="1:34" x14ac:dyDescent="0.3">
      <c r="A1633" s="89" t="str">
        <f>CONCATENATE(D1633,".",F1633,"-",G1633,".",H1633,"")</f>
        <v>2.2-1.1</v>
      </c>
      <c r="B1633" s="89" t="str">
        <f>IF(CONCATENATE(I1633,Key!F$2)=CONCATENATE(INDEX(Dashboard!J:J,MATCH(I1633,Dashboard!J:J,0),1),INDEX(Dashboard!J:K,MATCH(I1633,Dashboard!J:J,0),2)),"ON",IF(Dashboard!K$32="ALL","ON","-"))</f>
        <v>-</v>
      </c>
      <c r="C1633" s="96" t="s">
        <v>152</v>
      </c>
      <c r="D1633" s="89">
        <f>IF(C1633="ID",1,(IF(C1633="PR",2,(IF(C1633="DE",3,(IF(C1633="RS",4,(IF(C1633="RC",5,0)))))))))</f>
        <v>2</v>
      </c>
      <c r="E1633" s="89" t="s">
        <v>202</v>
      </c>
      <c r="F1633" s="89">
        <f>IF(E1633="AM",1,(IF(E1633="BE",2,(IF(E1633="GV",3,(IF(E1633="RA",4,(IF(E1633="RM",5,(IF(E1633="AC",1,(IF(E1633="AT",2,(IF(E1633="DS",3,(IF(E1633="IP",4,(IF(E1633="MA",5,(IF(E1633="PT",6,(IF(E1633="AE",1,(IF(E1633="CM",2,(IF(E1633="DP",3,(IF(E1633="AN",1,(IF(E1633="CO",2,(IF(E1633="IM",3,(IF(E1633="MI",4,(IF(E1633="RP",5,(IF(E1633="SC",6,0)))))))))))))))))))))))))))))))))))))))</f>
        <v>2</v>
      </c>
      <c r="G1633" s="98">
        <v>1</v>
      </c>
      <c r="H1633" s="90" t="s">
        <v>115</v>
      </c>
      <c r="I1633" s="94" t="s">
        <v>77</v>
      </c>
      <c r="J1633" s="87" t="s">
        <v>1319</v>
      </c>
      <c r="K1633" s="102" t="s">
        <v>2326</v>
      </c>
      <c r="L1633" s="117">
        <f>IF(O1633="","",N1633*O1633*M1633)</f>
        <v>0</v>
      </c>
      <c r="M1633" s="108">
        <v>1</v>
      </c>
      <c r="N1633" s="95">
        <v>1</v>
      </c>
      <c r="O1633" s="109">
        <f>IF(Key!D$1="ON",P1633,IF(SUM(Q1633:DL1633)&lt;1,"",SUM(Q1633:DL1633)/COUNTIF(Q1633:DL1633,"&gt;0")))</f>
        <v>0</v>
      </c>
      <c r="P1633" s="109">
        <f>SUMIFS(Q1633:DK1633,Q$1:DK$1,Dashboard!$K$31)</f>
        <v>0</v>
      </c>
      <c r="U1633" s="95">
        <v>33</v>
      </c>
      <c r="AA1633" s="95">
        <v>25</v>
      </c>
      <c r="AH1633" s="95">
        <v>75</v>
      </c>
    </row>
    <row r="1634" spans="1:34" x14ac:dyDescent="0.3">
      <c r="A1634" s="89" t="str">
        <f>CONCATENATE(D1634,".",F1634,"-",G1634,".",H1634,"")</f>
        <v>2.2-1.1</v>
      </c>
      <c r="B1634" s="89" t="str">
        <f>IF(CONCATENATE(I1634,Key!F$2)=CONCATENATE(INDEX(Dashboard!J:J,MATCH(I1634,Dashboard!J:J,0),1),INDEX(Dashboard!J:K,MATCH(I1634,Dashboard!J:J,0),2)),"ON",IF(Dashboard!K$32="ALL","ON","-"))</f>
        <v>-</v>
      </c>
      <c r="C1634" s="88" t="s">
        <v>152</v>
      </c>
      <c r="D1634" s="89">
        <f>IF(C1634="ID",1,(IF(C1634="PR",2,(IF(C1634="DE",3,(IF(C1634="RS",4,(IF(C1634="RC",5,0)))))))))</f>
        <v>2</v>
      </c>
      <c r="E1634" s="89" t="s">
        <v>202</v>
      </c>
      <c r="F1634" s="89">
        <f>IF(E1634="AM",1,(IF(E1634="BE",2,(IF(E1634="GV",3,(IF(E1634="RA",4,(IF(E1634="RM",5,(IF(E1634="AC",1,(IF(E1634="AT",2,(IF(E1634="DS",3,(IF(E1634="IP",4,(IF(E1634="MA",5,(IF(E1634="PT",6,(IF(E1634="AE",1,(IF(E1634="CM",2,(IF(E1634="DP",3,(IF(E1634="AN",1,(IF(E1634="CO",2,(IF(E1634="IM",3,(IF(E1634="MI",4,(IF(E1634="RP",5,(IF(E1634="SC",6,0)))))))))))))))))))))))))))))))))))))))</f>
        <v>2</v>
      </c>
      <c r="G1634" s="98">
        <v>1</v>
      </c>
      <c r="H1634" s="90" t="s">
        <v>115</v>
      </c>
      <c r="I1634" s="94" t="s">
        <v>77</v>
      </c>
      <c r="J1634" s="87" t="s">
        <v>1321</v>
      </c>
      <c r="K1634" s="102" t="s">
        <v>2327</v>
      </c>
      <c r="L1634" s="117">
        <f>IF(O1634="","",N1634*O1634*M1634)</f>
        <v>0</v>
      </c>
      <c r="M1634" s="108">
        <v>0.9</v>
      </c>
      <c r="N1634" s="95">
        <v>1</v>
      </c>
      <c r="O1634" s="109">
        <f>IF(Key!D$1="ON",P1634,IF(SUM(Q1634:DL1634)&lt;1,"",SUM(Q1634:DL1634)/COUNTIF(Q1634:DL1634,"&gt;0")))</f>
        <v>0</v>
      </c>
      <c r="P1634" s="109">
        <f>SUMIFS(Q1634:DK1634,Q$1:DK$1,Dashboard!$K$31)</f>
        <v>0</v>
      </c>
      <c r="S1634" s="95">
        <v>99</v>
      </c>
      <c r="T1634" s="95">
        <v>80</v>
      </c>
      <c r="U1634" s="95">
        <v>33</v>
      </c>
      <c r="AA1634" s="95">
        <v>25</v>
      </c>
      <c r="AH1634" s="95">
        <v>75</v>
      </c>
    </row>
    <row r="1635" spans="1:34" x14ac:dyDescent="0.3">
      <c r="A1635" s="89" t="str">
        <f>CONCATENATE(D1635,".",F1635,"-",G1635,".",H1635,"")</f>
        <v>2.2-1.1</v>
      </c>
      <c r="B1635" s="89" t="str">
        <f>IF(CONCATENATE(I1635,Key!F$2)=CONCATENATE(INDEX(Dashboard!J:J,MATCH(I1635,Dashboard!J:J,0),1),INDEX(Dashboard!J:K,MATCH(I1635,Dashboard!J:J,0),2)),"ON",IF(Dashboard!K$32="ALL","ON","-"))</f>
        <v>-</v>
      </c>
      <c r="C1635" s="88" t="s">
        <v>152</v>
      </c>
      <c r="D1635" s="89">
        <f>IF(C1635="ID",1,(IF(C1635="PR",2,(IF(C1635="DE",3,(IF(C1635="RS",4,(IF(C1635="RC",5,0)))))))))</f>
        <v>2</v>
      </c>
      <c r="E1635" s="89" t="s">
        <v>202</v>
      </c>
      <c r="F1635" s="89">
        <f>IF(E1635="AM",1,(IF(E1635="BE",2,(IF(E1635="GV",3,(IF(E1635="RA",4,(IF(E1635="RM",5,(IF(E1635="AC",1,(IF(E1635="AT",2,(IF(E1635="DS",3,(IF(E1635="IP",4,(IF(E1635="MA",5,(IF(E1635="PT",6,(IF(E1635="AE",1,(IF(E1635="CM",2,(IF(E1635="DP",3,(IF(E1635="AN",1,(IF(E1635="CO",2,(IF(E1635="IM",3,(IF(E1635="MI",4,(IF(E1635="RP",5,(IF(E1635="SC",6,0)))))))))))))))))))))))))))))))))))))))</f>
        <v>2</v>
      </c>
      <c r="G1635" s="98">
        <v>1</v>
      </c>
      <c r="H1635" s="90" t="s">
        <v>115</v>
      </c>
      <c r="I1635" s="94" t="s">
        <v>81</v>
      </c>
      <c r="J1635" s="129" t="s">
        <v>1960</v>
      </c>
      <c r="K1635" s="103" t="s">
        <v>1961</v>
      </c>
      <c r="L1635" s="117">
        <f>IF(O1635="","",N1635*O1635*M1635)</f>
        <v>0</v>
      </c>
      <c r="M1635" s="108">
        <v>0.7</v>
      </c>
      <c r="N1635" s="95">
        <v>1</v>
      </c>
      <c r="O1635" s="109">
        <f>IF(Key!D$1="ON",P1635,IF(SUM(Q1635:DL1635)&lt;1,"",SUM(Q1635:DL1635)/COUNTIF(Q1635:DL1635,"&gt;0")))</f>
        <v>0</v>
      </c>
      <c r="P1635" s="109">
        <f>SUMIFS(Q1635:DK1635,Q$1:DK$1,Dashboard!$K$31)</f>
        <v>0</v>
      </c>
      <c r="S1635" s="95">
        <v>99</v>
      </c>
      <c r="T1635" s="95">
        <v>80</v>
      </c>
      <c r="U1635" s="95">
        <v>33</v>
      </c>
      <c r="AA1635" s="95">
        <v>25</v>
      </c>
      <c r="AH1635" s="95">
        <v>75</v>
      </c>
    </row>
    <row r="1636" spans="1:34" ht="15.6" x14ac:dyDescent="0.3">
      <c r="A1636" s="89" t="str">
        <f>CONCATENATE(D1636,".",F1636,"-",G1636,".",H1636,"")</f>
        <v>2.2-1.1</v>
      </c>
      <c r="B1636" s="89" t="str">
        <f>IF(CONCATENATE(I1636,Key!F$2)=CONCATENATE(INDEX(Dashboard!J:J,MATCH(I1636,Dashboard!J:J,0),1),INDEX(Dashboard!J:K,MATCH(I1636,Dashboard!J:J,0),2)),"ON",IF(Dashboard!K$32="ALL","ON","-"))</f>
        <v>-</v>
      </c>
      <c r="C1636" s="88" t="s">
        <v>152</v>
      </c>
      <c r="D1636" s="89">
        <f>IF(C1636="ID",1,(IF(C1636="PR",2,(IF(C1636="DE",3,(IF(C1636="RS",4,(IF(C1636="RC",5,0)))))))))</f>
        <v>2</v>
      </c>
      <c r="E1636" s="89" t="s">
        <v>202</v>
      </c>
      <c r="F1636" s="89">
        <f>IF(E1636="AM",1,(IF(E1636="BE",2,(IF(E1636="GV",3,(IF(E1636="RA",4,(IF(E1636="RM",5,(IF(E1636="AC",1,(IF(E1636="AT",2,(IF(E1636="DS",3,(IF(E1636="IP",4,(IF(E1636="MA",5,(IF(E1636="PT",6,(IF(E1636="AE",1,(IF(E1636="CM",2,(IF(E1636="DP",3,(IF(E1636="AN",1,(IF(E1636="CO",2,(IF(E1636="IM",3,(IF(E1636="MI",4,(IF(E1636="RP",5,(IF(E1636="SC",6,0)))))))))))))))))))))))))))))))))))))))</f>
        <v>2</v>
      </c>
      <c r="G1636" s="52">
        <v>1</v>
      </c>
      <c r="H1636" s="90" t="s">
        <v>115</v>
      </c>
      <c r="I1636" s="94" t="s">
        <v>85</v>
      </c>
      <c r="J1636" s="86" t="s">
        <v>1314</v>
      </c>
      <c r="K1636" s="119" t="s">
        <v>4600</v>
      </c>
      <c r="L1636" s="117">
        <f>IF(O1636="","",N1636*O1636*M1636)</f>
        <v>0</v>
      </c>
      <c r="M1636" s="108">
        <v>0.9</v>
      </c>
      <c r="N1636" s="95">
        <v>1</v>
      </c>
      <c r="O1636" s="109">
        <f>IF(Key!D$1="ON",P1636,IF(SUM(Q1636:DL1636)&lt;1,"",SUM(Q1636:DL1636)/COUNTIF(Q1636:DL1636,"&gt;0")))</f>
        <v>0</v>
      </c>
      <c r="P1636" s="109">
        <f>SUMIFS(Q1636:DK1636,Q$1:DK$1,Dashboard!$K$31)</f>
        <v>0</v>
      </c>
      <c r="S1636" s="95">
        <v>25</v>
      </c>
      <c r="T1636" s="95">
        <v>80</v>
      </c>
      <c r="U1636" s="95">
        <v>33</v>
      </c>
      <c r="AA1636" s="95">
        <v>25</v>
      </c>
      <c r="AH1636" s="95">
        <v>75</v>
      </c>
    </row>
    <row r="1637" spans="1:34" x14ac:dyDescent="0.3">
      <c r="A1637" s="89" t="str">
        <f>CONCATENATE(D1637,".",F1637,"-",G1637,".",H1637,"")</f>
        <v>2.2-1.1</v>
      </c>
      <c r="B1637" s="89" t="str">
        <f>IF(CONCATENATE(I1637,Key!F$2)=CONCATENATE(INDEX(Dashboard!J:J,MATCH(I1637,Dashboard!J:J,0),1),INDEX(Dashboard!J:K,MATCH(I1637,Dashboard!J:J,0),2)),"ON",IF(Dashboard!K$32="ALL","ON","-"))</f>
        <v>-</v>
      </c>
      <c r="C1637" s="88" t="s">
        <v>152</v>
      </c>
      <c r="D1637" s="89">
        <f>IF(C1637="ID",1,(IF(C1637="PR",2,(IF(C1637="DE",3,(IF(C1637="RS",4,(IF(C1637="RC",5,0)))))))))</f>
        <v>2</v>
      </c>
      <c r="E1637" s="89" t="s">
        <v>202</v>
      </c>
      <c r="F1637" s="89">
        <f>IF(E1637="AM",1,(IF(E1637="BE",2,(IF(E1637="GV",3,(IF(E1637="RA",4,(IF(E1637="RM",5,(IF(E1637="AC",1,(IF(E1637="AT",2,(IF(E1637="DS",3,(IF(E1637="IP",4,(IF(E1637="MA",5,(IF(E1637="PT",6,(IF(E1637="AE",1,(IF(E1637="CM",2,(IF(E1637="DP",3,(IF(E1637="AN",1,(IF(E1637="CO",2,(IF(E1637="IM",3,(IF(E1637="MI",4,(IF(E1637="RP",5,(IF(E1637="SC",6,0)))))))))))))))))))))))))))))))))))))))</f>
        <v>2</v>
      </c>
      <c r="G1637" s="52">
        <v>1</v>
      </c>
      <c r="H1637" s="90" t="s">
        <v>115</v>
      </c>
      <c r="I1637" s="94" t="s">
        <v>85</v>
      </c>
      <c r="J1637" s="87" t="s">
        <v>1915</v>
      </c>
      <c r="K1637" s="119" t="s">
        <v>4786</v>
      </c>
      <c r="L1637" s="117">
        <f>IF(O1637="","",N1637*O1637*M1637)</f>
        <v>0</v>
      </c>
      <c r="M1637" s="108">
        <v>0.9</v>
      </c>
      <c r="N1637" s="95">
        <v>1</v>
      </c>
      <c r="O1637" s="109">
        <f>IF(Key!D$1="ON",P1637,IF(SUM(Q1637:DL1637)&lt;1,"",SUM(Q1637:DL1637)/COUNTIF(Q1637:DL1637,"&gt;0")))</f>
        <v>0</v>
      </c>
      <c r="P1637" s="109">
        <f>SUMIFS(Q1637:DK1637,Q$1:DK$1,Dashboard!$K$31)</f>
        <v>0</v>
      </c>
      <c r="S1637" s="95">
        <v>75</v>
      </c>
      <c r="T1637" s="95">
        <v>80</v>
      </c>
      <c r="U1637" s="95">
        <v>33</v>
      </c>
      <c r="AA1637" s="95">
        <v>25</v>
      </c>
      <c r="AH1637" s="95">
        <v>75</v>
      </c>
    </row>
    <row r="1638" spans="1:34" x14ac:dyDescent="0.3">
      <c r="A1638" s="89" t="str">
        <f>CONCATENATE(D1638,".",F1638,"-",G1638,".",H1638,"")</f>
        <v>2.2-1.1</v>
      </c>
      <c r="B1638" s="89" t="str">
        <f>IF(CONCATENATE(I1638,Key!F$2)=CONCATENATE(INDEX(Dashboard!J:J,MATCH(I1638,Dashboard!J:J,0),1),INDEX(Dashboard!J:K,MATCH(I1638,Dashboard!J:J,0),2)),"ON",IF(Dashboard!K$32="ALL","ON","-"))</f>
        <v>-</v>
      </c>
      <c r="C1638" s="88" t="s">
        <v>152</v>
      </c>
      <c r="D1638" s="89">
        <f>IF(C1638="ID",1,(IF(C1638="PR",2,(IF(C1638="DE",3,(IF(C1638="RS",4,(IF(C1638="RC",5,0)))))))))</f>
        <v>2</v>
      </c>
      <c r="E1638" s="89" t="s">
        <v>202</v>
      </c>
      <c r="F1638" s="89">
        <f>IF(E1638="AM",1,(IF(E1638="BE",2,(IF(E1638="GV",3,(IF(E1638="RA",4,(IF(E1638="RM",5,(IF(E1638="AC",1,(IF(E1638="AT",2,(IF(E1638="DS",3,(IF(E1638="IP",4,(IF(E1638="MA",5,(IF(E1638="PT",6,(IF(E1638="AE",1,(IF(E1638="CM",2,(IF(E1638="DP",3,(IF(E1638="AN",1,(IF(E1638="CO",2,(IF(E1638="IM",3,(IF(E1638="MI",4,(IF(E1638="RP",5,(IF(E1638="SC",6,0)))))))))))))))))))))))))))))))))))))))</f>
        <v>2</v>
      </c>
      <c r="G1638" s="52">
        <v>1</v>
      </c>
      <c r="H1638" s="90" t="s">
        <v>115</v>
      </c>
      <c r="I1638" s="94" t="s">
        <v>85</v>
      </c>
      <c r="J1638" s="86" t="s">
        <v>1315</v>
      </c>
      <c r="K1638" s="119" t="s">
        <v>4601</v>
      </c>
      <c r="L1638" s="117">
        <f>IF(O1638="","",N1638*O1638*M1638)</f>
        <v>0</v>
      </c>
      <c r="M1638" s="108">
        <v>0.9</v>
      </c>
      <c r="N1638" s="95">
        <v>1</v>
      </c>
      <c r="O1638" s="109">
        <f>IF(Key!D$1="ON",P1638,IF(SUM(Q1638:DL1638)&lt;1,"",SUM(Q1638:DL1638)/COUNTIF(Q1638:DL1638,"&gt;0")))</f>
        <v>0</v>
      </c>
      <c r="P1638" s="109">
        <f>SUMIFS(Q1638:DK1638,Q$1:DK$1,Dashboard!$K$31)</f>
        <v>0</v>
      </c>
      <c r="S1638" s="95">
        <v>25</v>
      </c>
      <c r="T1638" s="95">
        <v>80</v>
      </c>
      <c r="U1638" s="95">
        <v>33</v>
      </c>
      <c r="AA1638" s="95">
        <v>25</v>
      </c>
      <c r="AH1638" s="95">
        <v>75</v>
      </c>
    </row>
    <row r="1639" spans="1:34" x14ac:dyDescent="0.3">
      <c r="A1639" s="89" t="str">
        <f>CONCATENATE(D1639,".",F1639,"-",G1639,".",H1639,"")</f>
        <v>2.2-1.1</v>
      </c>
      <c r="B1639" s="89" t="str">
        <f>IF(CONCATENATE(I1639,Key!F$2)=CONCATENATE(INDEX(Dashboard!J:J,MATCH(I1639,Dashboard!J:J,0),1),INDEX(Dashboard!J:K,MATCH(I1639,Dashboard!J:J,0),2)),"ON",IF(Dashboard!K$32="ALL","ON","-"))</f>
        <v>-</v>
      </c>
      <c r="C1639" s="88" t="s">
        <v>152</v>
      </c>
      <c r="D1639" s="89">
        <f>IF(C1639="ID",1,(IF(C1639="PR",2,(IF(C1639="DE",3,(IF(C1639="RS",4,(IF(C1639="RC",5,0)))))))))</f>
        <v>2</v>
      </c>
      <c r="E1639" s="89" t="s">
        <v>202</v>
      </c>
      <c r="F1639" s="89">
        <f>IF(E1639="AM",1,(IF(E1639="BE",2,(IF(E1639="GV",3,(IF(E1639="RA",4,(IF(E1639="RM",5,(IF(E1639="AC",1,(IF(E1639="AT",2,(IF(E1639="DS",3,(IF(E1639="IP",4,(IF(E1639="MA",5,(IF(E1639="PT",6,(IF(E1639="AE",1,(IF(E1639="CM",2,(IF(E1639="DP",3,(IF(E1639="AN",1,(IF(E1639="CO",2,(IF(E1639="IM",3,(IF(E1639="MI",4,(IF(E1639="RP",5,(IF(E1639="SC",6,0)))))))))))))))))))))))))))))))))))))))</f>
        <v>2</v>
      </c>
      <c r="G1639" s="98">
        <v>1</v>
      </c>
      <c r="H1639" s="90" t="s">
        <v>115</v>
      </c>
      <c r="I1639" s="94" t="s">
        <v>85</v>
      </c>
      <c r="J1639" s="87" t="s">
        <v>1321</v>
      </c>
      <c r="K1639" s="119" t="s">
        <v>4987</v>
      </c>
      <c r="L1639" s="117">
        <f>IF(O1639="","",N1639*O1639*M1639)</f>
        <v>0</v>
      </c>
      <c r="M1639" s="108">
        <v>0.9</v>
      </c>
      <c r="N1639" s="95">
        <v>1</v>
      </c>
      <c r="O1639" s="109">
        <f>IF(Key!D$1="ON",P1639,IF(SUM(Q1639:DL1639)&lt;1,"",SUM(Q1639:DL1639)/COUNTIF(Q1639:DL1639,"&gt;0")))</f>
        <v>0</v>
      </c>
      <c r="P1639" s="109">
        <f>SUMIFS(Q1639:DK1639,Q$1:DK$1,Dashboard!$K$31)</f>
        <v>0</v>
      </c>
      <c r="S1639" s="95">
        <v>33</v>
      </c>
      <c r="T1639" s="95">
        <v>80</v>
      </c>
      <c r="U1639" s="95">
        <v>33</v>
      </c>
      <c r="AA1639" s="95">
        <v>25</v>
      </c>
      <c r="AH1639" s="95">
        <v>75</v>
      </c>
    </row>
    <row r="1640" spans="1:34" x14ac:dyDescent="0.3">
      <c r="A1640" s="89" t="str">
        <f>CONCATENATE(D1640,".",F1640,"-",G1640,".",H1640,"")</f>
        <v>2.2-1.1</v>
      </c>
      <c r="B1640" s="89" t="str">
        <f>IF(CONCATENATE(I1640,Key!F$2)=CONCATENATE(INDEX(Dashboard!J:J,MATCH(I1640,Dashboard!J:J,0),1),INDEX(Dashboard!J:K,MATCH(I1640,Dashboard!J:J,0),2)),"ON",IF(Dashboard!K$32="ALL","ON","-"))</f>
        <v>-</v>
      </c>
      <c r="C1640" s="88" t="s">
        <v>152</v>
      </c>
      <c r="D1640" s="89">
        <f>IF(C1640="ID",1,(IF(C1640="PR",2,(IF(C1640="DE",3,(IF(C1640="RS",4,(IF(C1640="RC",5,0)))))))))</f>
        <v>2</v>
      </c>
      <c r="E1640" s="89" t="s">
        <v>202</v>
      </c>
      <c r="F1640" s="89">
        <f>IF(E1640="AM",1,(IF(E1640="BE",2,(IF(E1640="GV",3,(IF(E1640="RA",4,(IF(E1640="RM",5,(IF(E1640="AC",1,(IF(E1640="AT",2,(IF(E1640="DS",3,(IF(E1640="IP",4,(IF(E1640="MA",5,(IF(E1640="PT",6,(IF(E1640="AE",1,(IF(E1640="CM",2,(IF(E1640="DP",3,(IF(E1640="AN",1,(IF(E1640="CO",2,(IF(E1640="IM",3,(IF(E1640="MI",4,(IF(E1640="RP",5,(IF(E1640="SC",6,0)))))))))))))))))))))))))))))))))))))))</f>
        <v>2</v>
      </c>
      <c r="G1640" s="52">
        <v>1</v>
      </c>
      <c r="H1640" s="90" t="s">
        <v>115</v>
      </c>
      <c r="I1640" s="94" t="s">
        <v>85</v>
      </c>
      <c r="J1640" s="87" t="s">
        <v>1912</v>
      </c>
      <c r="K1640" s="119" t="s">
        <v>1913</v>
      </c>
      <c r="L1640" s="117">
        <f>IF(O1640="","",N1640*O1640*M1640)</f>
        <v>0</v>
      </c>
      <c r="M1640" s="108">
        <v>0.9</v>
      </c>
      <c r="N1640" s="95">
        <v>1</v>
      </c>
      <c r="O1640" s="109">
        <f>IF(Key!D$1="ON",P1640,IF(SUM(Q1640:DL1640)&lt;1,"",SUM(Q1640:DL1640)/COUNTIF(Q1640:DL1640,"&gt;0")))</f>
        <v>0</v>
      </c>
      <c r="P1640" s="109">
        <f>SUMIFS(Q1640:DK1640,Q$1:DK$1,Dashboard!$K$31)</f>
        <v>0</v>
      </c>
      <c r="S1640" s="95">
        <v>60</v>
      </c>
      <c r="T1640" s="95">
        <v>80</v>
      </c>
      <c r="U1640" s="95">
        <v>33</v>
      </c>
      <c r="AA1640" s="95">
        <v>25</v>
      </c>
      <c r="AH1640" s="95">
        <v>75</v>
      </c>
    </row>
    <row r="1641" spans="1:34" x14ac:dyDescent="0.3">
      <c r="A1641" s="89" t="str">
        <f>CONCATENATE(D1641,".",F1641,"-",G1641,".",H1641,"")</f>
        <v>2.2-1.1</v>
      </c>
      <c r="B1641" s="89" t="str">
        <f>IF(CONCATENATE(I1641,Key!F$2)=CONCATENATE(INDEX(Dashboard!J:J,MATCH(I1641,Dashboard!J:J,0),1),INDEX(Dashboard!J:K,MATCH(I1641,Dashboard!J:J,0),2)),"ON",IF(Dashboard!K$32="ALL","ON","-"))</f>
        <v>-</v>
      </c>
      <c r="C1641" s="88" t="s">
        <v>152</v>
      </c>
      <c r="D1641" s="89">
        <f>IF(C1641="ID",1,(IF(C1641="PR",2,(IF(C1641="DE",3,(IF(C1641="RS",4,(IF(C1641="RC",5,0)))))))))</f>
        <v>2</v>
      </c>
      <c r="E1641" s="89" t="s">
        <v>202</v>
      </c>
      <c r="F1641" s="89">
        <f>IF(E1641="AM",1,(IF(E1641="BE",2,(IF(E1641="GV",3,(IF(E1641="RA",4,(IF(E1641="RM",5,(IF(E1641="AC",1,(IF(E1641="AT",2,(IF(E1641="DS",3,(IF(E1641="IP",4,(IF(E1641="MA",5,(IF(E1641="PT",6,(IF(E1641="AE",1,(IF(E1641="CM",2,(IF(E1641="DP",3,(IF(E1641="AN",1,(IF(E1641="CO",2,(IF(E1641="IM",3,(IF(E1641="MI",4,(IF(E1641="RP",5,(IF(E1641="SC",6,0)))))))))))))))))))))))))))))))))))))))</f>
        <v>2</v>
      </c>
      <c r="G1641" s="52">
        <v>1</v>
      </c>
      <c r="H1641" s="90" t="s">
        <v>115</v>
      </c>
      <c r="I1641" s="94" t="s">
        <v>85</v>
      </c>
      <c r="J1641" s="87" t="s">
        <v>1313</v>
      </c>
      <c r="K1641" s="119" t="s">
        <v>4597</v>
      </c>
      <c r="L1641" s="117">
        <f>IF(O1641="","",N1641*O1641*M1641)</f>
        <v>0</v>
      </c>
      <c r="M1641" s="108">
        <v>0.9</v>
      </c>
      <c r="N1641" s="95">
        <v>1</v>
      </c>
      <c r="O1641" s="109">
        <f>IF(Key!D$1="ON",P1641,IF(SUM(Q1641:DL1641)&lt;1,"",SUM(Q1641:DL1641)/COUNTIF(Q1641:DL1641,"&gt;0")))</f>
        <v>0</v>
      </c>
      <c r="P1641" s="109">
        <f>SUMIFS(Q1641:DK1641,Q$1:DK$1,Dashboard!$K$31)</f>
        <v>0</v>
      </c>
      <c r="S1641" s="95">
        <v>25</v>
      </c>
      <c r="T1641" s="95">
        <v>80</v>
      </c>
      <c r="U1641" s="95">
        <v>33</v>
      </c>
      <c r="AA1641" s="95">
        <v>25</v>
      </c>
      <c r="AH1641" s="95">
        <v>75</v>
      </c>
    </row>
    <row r="1642" spans="1:34" x14ac:dyDescent="0.3">
      <c r="A1642" s="89" t="str">
        <f>CONCATENATE(D1642,".",F1642,"-",G1642,".",H1642,"")</f>
        <v>2.2-1.1</v>
      </c>
      <c r="B1642" s="89" t="str">
        <f>IF(CONCATENATE(I1642,Key!F$2)=CONCATENATE(INDEX(Dashboard!J:J,MATCH(I1642,Dashboard!J:J,0),1),INDEX(Dashboard!J:K,MATCH(I1642,Dashboard!J:J,0),2)),"ON",IF(Dashboard!K$32="ALL","ON","-"))</f>
        <v>-</v>
      </c>
      <c r="C1642" s="96" t="s">
        <v>152</v>
      </c>
      <c r="D1642" s="89">
        <f>IF(C1642="ID",1,(IF(C1642="PR",2,(IF(C1642="DE",3,(IF(C1642="RS",4,(IF(C1642="RC",5,0)))))))))</f>
        <v>2</v>
      </c>
      <c r="E1642" s="89" t="s">
        <v>202</v>
      </c>
      <c r="F1642" s="89">
        <f>IF(E1642="AM",1,(IF(E1642="BE",2,(IF(E1642="GV",3,(IF(E1642="RA",4,(IF(E1642="RM",5,(IF(E1642="AC",1,(IF(E1642="AT",2,(IF(E1642="DS",3,(IF(E1642="IP",4,(IF(E1642="MA",5,(IF(E1642="PT",6,(IF(E1642="AE",1,(IF(E1642="CM",2,(IF(E1642="DP",3,(IF(E1642="AN",1,(IF(E1642="CO",2,(IF(E1642="IM",3,(IF(E1642="MI",4,(IF(E1642="RP",5,(IF(E1642="SC",6,0)))))))))))))))))))))))))))))))))))))))</f>
        <v>2</v>
      </c>
      <c r="G1642" s="98">
        <v>1</v>
      </c>
      <c r="H1642" s="90" t="s">
        <v>115</v>
      </c>
      <c r="I1642" s="94" t="s">
        <v>85</v>
      </c>
      <c r="J1642" s="87" t="s">
        <v>1311</v>
      </c>
      <c r="K1642" s="119" t="s">
        <v>3906</v>
      </c>
      <c r="L1642" s="117">
        <f>IF(O1642="","",N1642*O1642*M1642)</f>
        <v>0</v>
      </c>
      <c r="M1642" s="108">
        <v>0.9</v>
      </c>
      <c r="N1642" s="95">
        <v>1</v>
      </c>
      <c r="O1642" s="109">
        <f>IF(Key!D$1="ON",P1642,IF(SUM(Q1642:DL1642)&lt;1,"",SUM(Q1642:DL1642)/COUNTIF(Q1642:DL1642,"&gt;0")))</f>
        <v>0</v>
      </c>
      <c r="P1642" s="109">
        <f>SUMIFS(Q1642:DK1642,Q$1:DK$1,Dashboard!$K$31)</f>
        <v>0</v>
      </c>
      <c r="S1642" s="95">
        <v>25</v>
      </c>
      <c r="T1642" s="95">
        <v>80</v>
      </c>
      <c r="U1642" s="95">
        <v>33</v>
      </c>
      <c r="AA1642" s="95">
        <v>25</v>
      </c>
      <c r="AH1642" s="95">
        <v>75</v>
      </c>
    </row>
    <row r="1643" spans="1:34" x14ac:dyDescent="0.3">
      <c r="A1643" s="89" t="str">
        <f>CONCATENATE(D1643,".",F1643,"-",G1643,".",H1643,"")</f>
        <v>2.2-1.1</v>
      </c>
      <c r="B1643" s="89" t="str">
        <f>IF(CONCATENATE(I1643,Key!F$2)=CONCATENATE(INDEX(Dashboard!J:J,MATCH(I1643,Dashboard!J:J,0),1),INDEX(Dashboard!J:K,MATCH(I1643,Dashboard!J:J,0),2)),"ON",IF(Dashboard!K$32="ALL","ON","-"))</f>
        <v>-</v>
      </c>
      <c r="C1643" s="88" t="s">
        <v>152</v>
      </c>
      <c r="D1643" s="89">
        <f>IF(C1643="ID",1,(IF(C1643="PR",2,(IF(C1643="DE",3,(IF(C1643="RS",4,(IF(C1643="RC",5,0)))))))))</f>
        <v>2</v>
      </c>
      <c r="E1643" s="89" t="s">
        <v>202</v>
      </c>
      <c r="F1643" s="89">
        <f>IF(E1643="AM",1,(IF(E1643="BE",2,(IF(E1643="GV",3,(IF(E1643="RA",4,(IF(E1643="RM",5,(IF(E1643="AC",1,(IF(E1643="AT",2,(IF(E1643="DS",3,(IF(E1643="IP",4,(IF(E1643="MA",5,(IF(E1643="PT",6,(IF(E1643="AE",1,(IF(E1643="CM",2,(IF(E1643="DP",3,(IF(E1643="AN",1,(IF(E1643="CO",2,(IF(E1643="IM",3,(IF(E1643="MI",4,(IF(E1643="RP",5,(IF(E1643="SC",6,0)))))))))))))))))))))))))))))))))))))))</f>
        <v>2</v>
      </c>
      <c r="G1643" s="52">
        <v>1</v>
      </c>
      <c r="H1643" s="90" t="s">
        <v>115</v>
      </c>
      <c r="I1643" s="94" t="s">
        <v>85</v>
      </c>
      <c r="J1643" s="87" t="s">
        <v>1312</v>
      </c>
      <c r="K1643" s="119" t="s">
        <v>4596</v>
      </c>
      <c r="L1643" s="117">
        <f>IF(O1643="","",N1643*O1643*M1643)</f>
        <v>0</v>
      </c>
      <c r="M1643" s="108">
        <v>0.9</v>
      </c>
      <c r="N1643" s="95">
        <v>1</v>
      </c>
      <c r="O1643" s="109">
        <f>IF(Key!D$1="ON",P1643,IF(SUM(Q1643:DL1643)&lt;1,"",SUM(Q1643:DL1643)/COUNTIF(Q1643:DL1643,"&gt;0")))</f>
        <v>0</v>
      </c>
      <c r="P1643" s="109">
        <f>SUMIFS(Q1643:DK1643,Q$1:DK$1,Dashboard!$K$31)</f>
        <v>0</v>
      </c>
      <c r="S1643" s="95">
        <v>25</v>
      </c>
      <c r="T1643" s="95">
        <v>80</v>
      </c>
      <c r="U1643" s="95">
        <v>33</v>
      </c>
      <c r="AA1643" s="95">
        <v>25</v>
      </c>
      <c r="AH1643" s="95">
        <v>75</v>
      </c>
    </row>
    <row r="1644" spans="1:34" ht="15.6" x14ac:dyDescent="0.3">
      <c r="A1644" s="89" t="str">
        <f>CONCATENATE(D1644,".",F1644,"-",G1644,".",H1644,"")</f>
        <v>2.2-1.1</v>
      </c>
      <c r="B1644" s="89" t="str">
        <f>IF(CONCATENATE(I1644,Key!F$2)=CONCATENATE(INDEX(Dashboard!J:J,MATCH(I1644,Dashboard!J:J,0),1),INDEX(Dashboard!J:K,MATCH(I1644,Dashboard!J:J,0),2)),"ON",IF(Dashboard!K$32="ALL","ON","-"))</f>
        <v>-</v>
      </c>
      <c r="C1644" s="88" t="s">
        <v>152</v>
      </c>
      <c r="D1644" s="89">
        <f>IF(C1644="ID",1,(IF(C1644="PR",2,(IF(C1644="DE",3,(IF(C1644="RS",4,(IF(C1644="RC",5,0)))))))))</f>
        <v>2</v>
      </c>
      <c r="E1644" s="89" t="s">
        <v>202</v>
      </c>
      <c r="F1644" s="89">
        <f>IF(E1644="AM",1,(IF(E1644="BE",2,(IF(E1644="GV",3,(IF(E1644="RA",4,(IF(E1644="RM",5,(IF(E1644="AC",1,(IF(E1644="AT",2,(IF(E1644="DS",3,(IF(E1644="IP",4,(IF(E1644="MA",5,(IF(E1644="PT",6,(IF(E1644="AE",1,(IF(E1644="CM",2,(IF(E1644="DP",3,(IF(E1644="AN",1,(IF(E1644="CO",2,(IF(E1644="IM",3,(IF(E1644="MI",4,(IF(E1644="RP",5,(IF(E1644="SC",6,0)))))))))))))))))))))))))))))))))))))))</f>
        <v>2</v>
      </c>
      <c r="G1644" s="52">
        <v>1</v>
      </c>
      <c r="H1644" s="90" t="s">
        <v>115</v>
      </c>
      <c r="I1644" s="94" t="s">
        <v>85</v>
      </c>
      <c r="J1644" s="87" t="s">
        <v>1310</v>
      </c>
      <c r="K1644" s="119" t="s">
        <v>4578</v>
      </c>
      <c r="L1644" s="117">
        <f>IF(O1644="","",N1644*O1644*M1644)</f>
        <v>0</v>
      </c>
      <c r="M1644" s="108">
        <v>1</v>
      </c>
      <c r="N1644" s="95">
        <v>1</v>
      </c>
      <c r="O1644" s="109">
        <f>IF(Key!D$1="ON",P1644,IF(SUM(Q1644:DL1644)&lt;1,"",SUM(Q1644:DL1644)/COUNTIF(Q1644:DL1644,"&gt;0")))</f>
        <v>0</v>
      </c>
      <c r="P1644" s="109">
        <f>SUMIFS(Q1644:DK1644,Q$1:DK$1,Dashboard!$K$31)</f>
        <v>0</v>
      </c>
      <c r="U1644" s="95">
        <v>33</v>
      </c>
      <c r="AA1644" s="95">
        <v>25</v>
      </c>
      <c r="AH1644" s="95">
        <v>75</v>
      </c>
    </row>
    <row r="1645" spans="1:34" ht="15.6" x14ac:dyDescent="0.3">
      <c r="A1645" s="89" t="str">
        <f>CONCATENATE(D1645,".",F1645,"-",G1645,".",H1645,"")</f>
        <v>2.2-1.1</v>
      </c>
      <c r="B1645" s="89" t="str">
        <f>IF(CONCATENATE(I1645,Key!F$2)=CONCATENATE(INDEX(Dashboard!J:J,MATCH(I1645,Dashboard!J:J,0),1),INDEX(Dashboard!J:K,MATCH(I1645,Dashboard!J:J,0),2)),"ON",IF(Dashboard!K$32="ALL","ON","-"))</f>
        <v>-</v>
      </c>
      <c r="C1645" s="88" t="s">
        <v>152</v>
      </c>
      <c r="D1645" s="89">
        <f>IF(C1645="ID",1,(IF(C1645="PR",2,(IF(C1645="DE",3,(IF(C1645="RS",4,(IF(C1645="RC",5,0)))))))))</f>
        <v>2</v>
      </c>
      <c r="E1645" s="89" t="s">
        <v>202</v>
      </c>
      <c r="F1645" s="89">
        <f>IF(E1645="AM",1,(IF(E1645="BE",2,(IF(E1645="GV",3,(IF(E1645="RA",4,(IF(E1645="RM",5,(IF(E1645="AC",1,(IF(E1645="AT",2,(IF(E1645="DS",3,(IF(E1645="IP",4,(IF(E1645="MA",5,(IF(E1645="PT",6,(IF(E1645="AE",1,(IF(E1645="CM",2,(IF(E1645="DP",3,(IF(E1645="AN",1,(IF(E1645="CO",2,(IF(E1645="IM",3,(IF(E1645="MI",4,(IF(E1645="RP",5,(IF(E1645="SC",6,0)))))))))))))))))))))))))))))))))))))))</f>
        <v>2</v>
      </c>
      <c r="G1645" s="52">
        <v>1</v>
      </c>
      <c r="H1645" s="90" t="s">
        <v>115</v>
      </c>
      <c r="I1645" s="94" t="s">
        <v>85</v>
      </c>
      <c r="J1645" s="87" t="s">
        <v>1322</v>
      </c>
      <c r="K1645" s="119" t="s">
        <v>1323</v>
      </c>
      <c r="L1645" s="117">
        <f>IF(O1645="","",N1645*O1645*M1645)</f>
        <v>0</v>
      </c>
      <c r="M1645" s="108">
        <v>0.9</v>
      </c>
      <c r="N1645" s="95">
        <v>1</v>
      </c>
      <c r="O1645" s="109">
        <f>IF(Key!D$1="ON",P1645,IF(SUM(Q1645:DL1645)&lt;1,"",SUM(Q1645:DL1645)/COUNTIF(Q1645:DL1645,"&gt;0")))</f>
        <v>0</v>
      </c>
      <c r="P1645" s="109">
        <f>SUMIFS(Q1645:DK1645,Q$1:DK$1,Dashboard!$K$31)</f>
        <v>0</v>
      </c>
      <c r="S1645" s="95">
        <v>33</v>
      </c>
      <c r="T1645" s="95">
        <v>80</v>
      </c>
      <c r="U1645" s="95">
        <v>33</v>
      </c>
      <c r="AA1645" s="95">
        <v>25</v>
      </c>
      <c r="AH1645" s="95">
        <v>75</v>
      </c>
    </row>
    <row r="1646" spans="1:34" x14ac:dyDescent="0.3">
      <c r="A1646" s="89" t="str">
        <f>CONCATENATE(D1646,".",F1646,"-",G1646,".",H1646,"")</f>
        <v>2.2-1.1</v>
      </c>
      <c r="B1646" s="89" t="str">
        <f>IF(CONCATENATE(I1646,Key!F$2)=CONCATENATE(INDEX(Dashboard!J:J,MATCH(I1646,Dashboard!J:J,0),1),INDEX(Dashboard!J:K,MATCH(I1646,Dashboard!J:J,0),2)),"ON",IF(Dashboard!K$32="ALL","ON","-"))</f>
        <v>-</v>
      </c>
      <c r="C1646" s="96" t="s">
        <v>152</v>
      </c>
      <c r="D1646" s="89">
        <f>IF(C1646="ID",1,(IF(C1646="PR",2,(IF(C1646="DE",3,(IF(C1646="RS",4,(IF(C1646="RC",5,0)))))))))</f>
        <v>2</v>
      </c>
      <c r="E1646" s="89" t="s">
        <v>202</v>
      </c>
      <c r="F1646" s="89">
        <f>IF(E1646="AM",1,(IF(E1646="BE",2,(IF(E1646="GV",3,(IF(E1646="RA",4,(IF(E1646="RM",5,(IF(E1646="AC",1,(IF(E1646="AT",2,(IF(E1646="DS",3,(IF(E1646="IP",4,(IF(E1646="MA",5,(IF(E1646="PT",6,(IF(E1646="AE",1,(IF(E1646="CM",2,(IF(E1646="DP",3,(IF(E1646="AN",1,(IF(E1646="CO",2,(IF(E1646="IM",3,(IF(E1646="MI",4,(IF(E1646="RP",5,(IF(E1646="SC",6,0)))))))))))))))))))))))))))))))))))))))</f>
        <v>2</v>
      </c>
      <c r="G1646" s="98">
        <v>1</v>
      </c>
      <c r="H1646" s="90" t="s">
        <v>115</v>
      </c>
      <c r="I1646" s="94" t="s">
        <v>85</v>
      </c>
      <c r="J1646" s="87" t="s">
        <v>1319</v>
      </c>
      <c r="K1646" s="119" t="s">
        <v>1320</v>
      </c>
      <c r="L1646" s="117">
        <f>IF(O1646="","",N1646*O1646*M1646)</f>
        <v>0</v>
      </c>
      <c r="M1646" s="108">
        <v>1</v>
      </c>
      <c r="N1646" s="95">
        <v>1</v>
      </c>
      <c r="O1646" s="109">
        <f>IF(Key!D$1="ON",P1646,IF(SUM(Q1646:DL1646)&lt;1,"",SUM(Q1646:DL1646)/COUNTIF(Q1646:DL1646,"&gt;0")))</f>
        <v>0</v>
      </c>
      <c r="P1646" s="109">
        <f>SUMIFS(Q1646:DK1646,Q$1:DK$1,Dashboard!$K$31)</f>
        <v>0</v>
      </c>
      <c r="U1646" s="95">
        <v>33</v>
      </c>
      <c r="AA1646" s="95">
        <v>25</v>
      </c>
      <c r="AH1646" s="95">
        <v>75</v>
      </c>
    </row>
    <row r="1647" spans="1:34" x14ac:dyDescent="0.3">
      <c r="A1647" s="89" t="str">
        <f>CONCATENATE(D1647,".",F1647,"-",G1647,".",H1647,"")</f>
        <v>2.2-1.1</v>
      </c>
      <c r="B1647" s="89" t="str">
        <f>IF(CONCATENATE(I1647,Key!F$2)=CONCATENATE(INDEX(Dashboard!J:J,MATCH(I1647,Dashboard!J:J,0),1),INDEX(Dashboard!J:K,MATCH(I1647,Dashboard!J:J,0),2)),"ON",IF(Dashboard!K$32="ALL","ON","-"))</f>
        <v>-</v>
      </c>
      <c r="C1647" s="88" t="s">
        <v>152</v>
      </c>
      <c r="D1647" s="89">
        <f>IF(C1647="ID",1,(IF(C1647="PR",2,(IF(C1647="DE",3,(IF(C1647="RS",4,(IF(C1647="RC",5,0)))))))))</f>
        <v>2</v>
      </c>
      <c r="E1647" s="89" t="s">
        <v>202</v>
      </c>
      <c r="F1647" s="89">
        <f>IF(E1647="AM",1,(IF(E1647="BE",2,(IF(E1647="GV",3,(IF(E1647="RA",4,(IF(E1647="RM",5,(IF(E1647="AC",1,(IF(E1647="AT",2,(IF(E1647="DS",3,(IF(E1647="IP",4,(IF(E1647="MA",5,(IF(E1647="PT",6,(IF(E1647="AE",1,(IF(E1647="CM",2,(IF(E1647="DP",3,(IF(E1647="AN",1,(IF(E1647="CO",2,(IF(E1647="IM",3,(IF(E1647="MI",4,(IF(E1647="RP",5,(IF(E1647="SC",6,0)))))))))))))))))))))))))))))))))))))))</f>
        <v>2</v>
      </c>
      <c r="G1647" s="52">
        <v>1</v>
      </c>
      <c r="H1647" s="90" t="s">
        <v>115</v>
      </c>
      <c r="I1647" s="94" t="s">
        <v>85</v>
      </c>
      <c r="J1647" s="87" t="s">
        <v>1914</v>
      </c>
      <c r="K1647" s="119" t="s">
        <v>4716</v>
      </c>
      <c r="L1647" s="117">
        <f>IF(O1647="","",N1647*O1647*M1647)</f>
        <v>0</v>
      </c>
      <c r="M1647" s="108">
        <v>0.9</v>
      </c>
      <c r="N1647" s="95">
        <v>1</v>
      </c>
      <c r="O1647" s="109">
        <f>IF(Key!D$1="ON",P1647,IF(SUM(Q1647:DL1647)&lt;1,"",SUM(Q1647:DL1647)/COUNTIF(Q1647:DL1647,"&gt;0")))</f>
        <v>0</v>
      </c>
      <c r="P1647" s="109">
        <f>SUMIFS(Q1647:DK1647,Q$1:DK$1,Dashboard!$K$31)</f>
        <v>0</v>
      </c>
      <c r="S1647" s="95">
        <v>60</v>
      </c>
      <c r="T1647" s="95">
        <v>80</v>
      </c>
      <c r="U1647" s="95">
        <v>33</v>
      </c>
      <c r="AA1647" s="95">
        <v>25</v>
      </c>
      <c r="AH1647" s="95">
        <v>75</v>
      </c>
    </row>
    <row r="1648" spans="1:34" ht="15.6" x14ac:dyDescent="0.3">
      <c r="A1648" s="89" t="str">
        <f>CONCATENATE(D1648,".",F1648,"-",G1648,".",H1648,"")</f>
        <v>2.2-1.1</v>
      </c>
      <c r="B1648" s="89" t="str">
        <f>IF(CONCATENATE(I1648,Key!F$2)=CONCATENATE(INDEX(Dashboard!J:J,MATCH(I1648,Dashboard!J:J,0),1),INDEX(Dashboard!J:K,MATCH(I1648,Dashboard!J:J,0),2)),"ON",IF(Dashboard!K$32="ALL","ON","-"))</f>
        <v>-</v>
      </c>
      <c r="C1648" s="88" t="s">
        <v>152</v>
      </c>
      <c r="D1648" s="89">
        <f>IF(C1648="ID",1,(IF(C1648="PR",2,(IF(C1648="DE",3,(IF(C1648="RS",4,(IF(C1648="RC",5,0)))))))))</f>
        <v>2</v>
      </c>
      <c r="E1648" s="89" t="s">
        <v>202</v>
      </c>
      <c r="F1648" s="89">
        <f>IF(E1648="AM",1,(IF(E1648="BE",2,(IF(E1648="GV",3,(IF(E1648="RA",4,(IF(E1648="RM",5,(IF(E1648="AC",1,(IF(E1648="AT",2,(IF(E1648="DS",3,(IF(E1648="IP",4,(IF(E1648="MA",5,(IF(E1648="PT",6,(IF(E1648="AE",1,(IF(E1648="CM",2,(IF(E1648="DP",3,(IF(E1648="AN",1,(IF(E1648="CO",2,(IF(E1648="IM",3,(IF(E1648="MI",4,(IF(E1648="RP",5,(IF(E1648="SC",6,0)))))))))))))))))))))))))))))))))))))))</f>
        <v>2</v>
      </c>
      <c r="G1648" s="52">
        <v>1</v>
      </c>
      <c r="H1648" s="90" t="s">
        <v>115</v>
      </c>
      <c r="I1648" s="94" t="s">
        <v>85</v>
      </c>
      <c r="J1648" s="86" t="s">
        <v>651</v>
      </c>
      <c r="K1648" s="119" t="s">
        <v>4599</v>
      </c>
      <c r="L1648" s="117">
        <f>IF(O1648="","",N1648*O1648*M1648)</f>
        <v>0</v>
      </c>
      <c r="M1648" s="108">
        <v>0.9</v>
      </c>
      <c r="N1648" s="95">
        <v>1</v>
      </c>
      <c r="O1648" s="109">
        <f>IF(Key!D$1="ON",P1648,IF(SUM(Q1648:DL1648)&lt;1,"",SUM(Q1648:DL1648)/COUNTIF(Q1648:DL1648,"&gt;0")))</f>
        <v>0</v>
      </c>
      <c r="P1648" s="109">
        <f>SUMIFS(Q1648:DK1648,Q$1:DK$1,Dashboard!$K$31)</f>
        <v>0</v>
      </c>
      <c r="S1648" s="95">
        <v>25</v>
      </c>
      <c r="T1648" s="95">
        <v>80</v>
      </c>
      <c r="U1648" s="95">
        <v>33</v>
      </c>
      <c r="AA1648" s="95">
        <v>25</v>
      </c>
      <c r="AH1648" s="95">
        <v>75</v>
      </c>
    </row>
    <row r="1649" spans="1:34" x14ac:dyDescent="0.3">
      <c r="A1649" s="89" t="str">
        <f>CONCATENATE(D1649,".",F1649,"-",G1649,".",H1649,"")</f>
        <v>2.2-1.1</v>
      </c>
      <c r="B1649" s="89" t="str">
        <f>IF(CONCATENATE(I1649,Key!F$2)=CONCATENATE(INDEX(Dashboard!J:J,MATCH(I1649,Dashboard!J:J,0),1),INDEX(Dashboard!J:K,MATCH(I1649,Dashboard!J:J,0),2)),"ON",IF(Dashboard!K$32="ALL","ON","-"))</f>
        <v>-</v>
      </c>
      <c r="C1649" s="88" t="s">
        <v>152</v>
      </c>
      <c r="D1649" s="89">
        <f>IF(C1649="ID",1,(IF(C1649="PR",2,(IF(C1649="DE",3,(IF(C1649="RS",4,(IF(C1649="RC",5,0)))))))))</f>
        <v>2</v>
      </c>
      <c r="E1649" s="89" t="s">
        <v>202</v>
      </c>
      <c r="F1649" s="89">
        <f>IF(E1649="AM",1,(IF(E1649="BE",2,(IF(E1649="GV",3,(IF(E1649="RA",4,(IF(E1649="RM",5,(IF(E1649="AC",1,(IF(E1649="AT",2,(IF(E1649="DS",3,(IF(E1649="IP",4,(IF(E1649="MA",5,(IF(E1649="PT",6,(IF(E1649="AE",1,(IF(E1649="CM",2,(IF(E1649="DP",3,(IF(E1649="AN",1,(IF(E1649="CO",2,(IF(E1649="IM",3,(IF(E1649="MI",4,(IF(E1649="RP",5,(IF(E1649="SC",6,0)))))))))))))))))))))))))))))))))))))))</f>
        <v>2</v>
      </c>
      <c r="G1649" s="52">
        <v>1</v>
      </c>
      <c r="H1649" s="90" t="s">
        <v>115</v>
      </c>
      <c r="I1649" s="94" t="s">
        <v>85</v>
      </c>
      <c r="J1649" s="87" t="s">
        <v>1317</v>
      </c>
      <c r="K1649" s="119" t="s">
        <v>1318</v>
      </c>
      <c r="L1649" s="117">
        <f>IF(O1649="","",N1649*O1649*M1649)</f>
        <v>0</v>
      </c>
      <c r="M1649" s="108">
        <v>0.9</v>
      </c>
      <c r="N1649" s="95">
        <v>1</v>
      </c>
      <c r="O1649" s="109">
        <f>IF(Key!D$1="ON",P1649,IF(SUM(Q1649:DL1649)&lt;1,"",SUM(Q1649:DL1649)/COUNTIF(Q1649:DL1649,"&gt;0")))</f>
        <v>0</v>
      </c>
      <c r="P1649" s="109">
        <f>SUMIFS(Q1649:DK1649,Q$1:DK$1,Dashboard!$K$31)</f>
        <v>0</v>
      </c>
      <c r="S1649" s="95">
        <v>33</v>
      </c>
      <c r="T1649" s="95">
        <v>80</v>
      </c>
      <c r="U1649" s="95">
        <v>33</v>
      </c>
      <c r="AA1649" s="95">
        <v>25</v>
      </c>
      <c r="AH1649" s="95">
        <v>75</v>
      </c>
    </row>
    <row r="1650" spans="1:34" x14ac:dyDescent="0.3">
      <c r="A1650" s="89" t="str">
        <f>CONCATENATE(D1650,".",F1650,"-",G1650,".",H1650,"")</f>
        <v>2.2-1.1</v>
      </c>
      <c r="B1650" s="89" t="str">
        <f>IF(CONCATENATE(I1650,Key!F$2)=CONCATENATE(INDEX(Dashboard!J:J,MATCH(I1650,Dashboard!J:J,0),1),INDEX(Dashboard!J:K,MATCH(I1650,Dashboard!J:J,0),2)),"ON",IF(Dashboard!K$32="ALL","ON","-"))</f>
        <v>-</v>
      </c>
      <c r="C1650" s="88" t="s">
        <v>152</v>
      </c>
      <c r="D1650" s="89">
        <f>IF(C1650="ID",1,(IF(C1650="PR",2,(IF(C1650="DE",3,(IF(C1650="RS",4,(IF(C1650="RC",5,0)))))))))</f>
        <v>2</v>
      </c>
      <c r="E1650" s="89" t="s">
        <v>202</v>
      </c>
      <c r="F1650" s="89">
        <f>IF(E1650="AM",1,(IF(E1650="BE",2,(IF(E1650="GV",3,(IF(E1650="RA",4,(IF(E1650="RM",5,(IF(E1650="AC",1,(IF(E1650="AT",2,(IF(E1650="DS",3,(IF(E1650="IP",4,(IF(E1650="MA",5,(IF(E1650="PT",6,(IF(E1650="AE",1,(IF(E1650="CM",2,(IF(E1650="DP",3,(IF(E1650="AN",1,(IF(E1650="CO",2,(IF(E1650="IM",3,(IF(E1650="MI",4,(IF(E1650="RP",5,(IF(E1650="SC",6,0)))))))))))))))))))))))))))))))))))))))</f>
        <v>2</v>
      </c>
      <c r="G1650" s="52">
        <v>1</v>
      </c>
      <c r="H1650" s="90" t="s">
        <v>115</v>
      </c>
      <c r="I1650" s="94" t="s">
        <v>89</v>
      </c>
      <c r="J1650" s="88">
        <v>500.14</v>
      </c>
      <c r="K1650" s="102" t="s">
        <v>491</v>
      </c>
      <c r="L1650" s="117">
        <f>IF(O1650="","",N1650*O1650*M1650)</f>
        <v>0</v>
      </c>
      <c r="M1650" s="108">
        <v>1</v>
      </c>
      <c r="N1650" s="95">
        <v>1</v>
      </c>
      <c r="O1650" s="109">
        <f>IF(Key!D$1="ON",P1650,IF(SUM(Q1650:DL1650)&lt;1,"",SUM(Q1650:DL1650)/COUNTIF(Q1650:DL1650,"&gt;0")))</f>
        <v>0</v>
      </c>
      <c r="P1650" s="109">
        <f>SUMIFS(Q1650:DK1650,Q$1:DK$1,Dashboard!$K$31)</f>
        <v>0</v>
      </c>
      <c r="U1650" s="95">
        <v>33</v>
      </c>
      <c r="AA1650" s="95">
        <v>25</v>
      </c>
      <c r="AH1650" s="95">
        <v>75</v>
      </c>
    </row>
    <row r="1651" spans="1:34" x14ac:dyDescent="0.3">
      <c r="A1651" s="89" t="str">
        <f>CONCATENATE(D1651,".",F1651,"-",G1651,".",H1651,"")</f>
        <v>2.2-1.1</v>
      </c>
      <c r="B1651" s="89" t="str">
        <f>IF(CONCATENATE(I1651,Key!F$2)=CONCATENATE(INDEX(Dashboard!J:J,MATCH(I1651,Dashboard!J:J,0),1),INDEX(Dashboard!J:K,MATCH(I1651,Dashboard!J:J,0),2)),"ON",IF(Dashboard!K$32="ALL","ON","-"))</f>
        <v>-</v>
      </c>
      <c r="C1651" s="88" t="s">
        <v>152</v>
      </c>
      <c r="D1651" s="89">
        <f>IF(C1651="ID",1,(IF(C1651="PR",2,(IF(C1651="DE",3,(IF(C1651="RS",4,(IF(C1651="RC",5,0)))))))))</f>
        <v>2</v>
      </c>
      <c r="E1651" s="89" t="s">
        <v>202</v>
      </c>
      <c r="F1651" s="89">
        <f>IF(E1651="AM",1,(IF(E1651="BE",2,(IF(E1651="GV",3,(IF(E1651="RA",4,(IF(E1651="RM",5,(IF(E1651="AC",1,(IF(E1651="AT",2,(IF(E1651="DS",3,(IF(E1651="IP",4,(IF(E1651="MA",5,(IF(E1651="PT",6,(IF(E1651="AE",1,(IF(E1651="CM",2,(IF(E1651="DP",3,(IF(E1651="AN",1,(IF(E1651="CO",2,(IF(E1651="IM",3,(IF(E1651="MI",4,(IF(E1651="RP",5,(IF(E1651="SC",6,0)))))))))))))))))))))))))))))))))))))))</f>
        <v>2</v>
      </c>
      <c r="G1651" s="52">
        <v>1</v>
      </c>
      <c r="H1651" s="90" t="s">
        <v>115</v>
      </c>
      <c r="I1651" s="94" t="s">
        <v>89</v>
      </c>
      <c r="J1651" s="88" t="s">
        <v>492</v>
      </c>
      <c r="K1651" s="102" t="s">
        <v>493</v>
      </c>
      <c r="L1651" s="117">
        <f>IF(O1651="","",N1651*O1651*M1651)</f>
        <v>0</v>
      </c>
      <c r="M1651" s="108">
        <v>1</v>
      </c>
      <c r="N1651" s="95">
        <v>1</v>
      </c>
      <c r="O1651" s="109">
        <f>IF(Key!D$1="ON",P1651,IF(SUM(Q1651:DL1651)&lt;1,"",SUM(Q1651:DL1651)/COUNTIF(Q1651:DL1651,"&gt;0")))</f>
        <v>0</v>
      </c>
      <c r="P1651" s="109">
        <f>SUMIFS(Q1651:DK1651,Q$1:DK$1,Dashboard!$K$31)</f>
        <v>0</v>
      </c>
      <c r="U1651" s="95">
        <v>33</v>
      </c>
      <c r="AA1651" s="95">
        <v>25</v>
      </c>
      <c r="AH1651" s="95">
        <v>75</v>
      </c>
    </row>
    <row r="1652" spans="1:34" x14ac:dyDescent="0.3">
      <c r="A1652" s="89" t="str">
        <f>CONCATENATE(D1652,".",F1652,"-",G1652,".",H1652,"")</f>
        <v>2.2-1.1</v>
      </c>
      <c r="B1652" s="89" t="str">
        <f>IF(CONCATENATE(I1652,Key!F$2)=CONCATENATE(INDEX(Dashboard!J:J,MATCH(I1652,Dashboard!J:J,0),1),INDEX(Dashboard!J:K,MATCH(I1652,Dashboard!J:J,0),2)),"ON",IF(Dashboard!K$32="ALL","ON","-"))</f>
        <v>-</v>
      </c>
      <c r="C1652" s="88" t="s">
        <v>152</v>
      </c>
      <c r="D1652" s="89">
        <f>IF(C1652="ID",1,(IF(C1652="PR",2,(IF(C1652="DE",3,(IF(C1652="RS",4,(IF(C1652="RC",5,0)))))))))</f>
        <v>2</v>
      </c>
      <c r="E1652" s="89" t="s">
        <v>202</v>
      </c>
      <c r="F1652" s="89">
        <f>IF(E1652="AM",1,(IF(E1652="BE",2,(IF(E1652="GV",3,(IF(E1652="RA",4,(IF(E1652="RM",5,(IF(E1652="AC",1,(IF(E1652="AT",2,(IF(E1652="DS",3,(IF(E1652="IP",4,(IF(E1652="MA",5,(IF(E1652="PT",6,(IF(E1652="AE",1,(IF(E1652="CM",2,(IF(E1652="DP",3,(IF(E1652="AN",1,(IF(E1652="CO",2,(IF(E1652="IM",3,(IF(E1652="MI",4,(IF(E1652="RP",5,(IF(E1652="SC",6,0)))))))))))))))))))))))))))))))))))))))</f>
        <v>2</v>
      </c>
      <c r="G1652" s="52">
        <v>1</v>
      </c>
      <c r="H1652" s="90" t="s">
        <v>115</v>
      </c>
      <c r="I1652" s="94" t="s">
        <v>89</v>
      </c>
      <c r="J1652" s="88" t="s">
        <v>494</v>
      </c>
      <c r="K1652" s="102" t="s">
        <v>495</v>
      </c>
      <c r="L1652" s="117">
        <f>IF(O1652="","",N1652*O1652*M1652)</f>
        <v>0</v>
      </c>
      <c r="M1652" s="108">
        <v>0.9</v>
      </c>
      <c r="N1652" s="95">
        <v>1</v>
      </c>
      <c r="O1652" s="109">
        <f>IF(Key!D$1="ON",P1652,IF(SUM(Q1652:DL1652)&lt;1,"",SUM(Q1652:DL1652)/COUNTIF(Q1652:DL1652,"&gt;0")))</f>
        <v>0</v>
      </c>
      <c r="P1652" s="109">
        <f>SUMIFS(Q1652:DK1652,Q$1:DK$1,Dashboard!$K$31)</f>
        <v>0</v>
      </c>
      <c r="S1652" s="95">
        <v>99</v>
      </c>
      <c r="T1652" s="95">
        <v>80</v>
      </c>
      <c r="U1652" s="95">
        <v>33</v>
      </c>
      <c r="AA1652" s="95">
        <v>25</v>
      </c>
      <c r="AH1652" s="95">
        <v>75</v>
      </c>
    </row>
    <row r="1653" spans="1:34" x14ac:dyDescent="0.3">
      <c r="A1653" s="89" t="str">
        <f>CONCATENATE(D1653,".",F1653,"-",G1653,".",H1653,"")</f>
        <v>2.2-1.1</v>
      </c>
      <c r="B1653" s="89" t="str">
        <f>IF(CONCATENATE(I1653,Key!F$2)=CONCATENATE(INDEX(Dashboard!J:J,MATCH(I1653,Dashboard!J:J,0),1),INDEX(Dashboard!J:K,MATCH(I1653,Dashboard!J:J,0),2)),"ON",IF(Dashboard!K$32="ALL","ON","-"))</f>
        <v>-</v>
      </c>
      <c r="C1653" s="88" t="s">
        <v>152</v>
      </c>
      <c r="D1653" s="89">
        <f>IF(C1653="ID",1,(IF(C1653="PR",2,(IF(C1653="DE",3,(IF(C1653="RS",4,(IF(C1653="RC",5,0)))))))))</f>
        <v>2</v>
      </c>
      <c r="E1653" s="89" t="s">
        <v>202</v>
      </c>
      <c r="F1653" s="89">
        <f>IF(E1653="AM",1,(IF(E1653="BE",2,(IF(E1653="GV",3,(IF(E1653="RA",4,(IF(E1653="RM",5,(IF(E1653="AC",1,(IF(E1653="AT",2,(IF(E1653="DS",3,(IF(E1653="IP",4,(IF(E1653="MA",5,(IF(E1653="PT",6,(IF(E1653="AE",1,(IF(E1653="CM",2,(IF(E1653="DP",3,(IF(E1653="AN",1,(IF(E1653="CO",2,(IF(E1653="IM",3,(IF(E1653="MI",4,(IF(E1653="RP",5,(IF(E1653="SC",6,0)))))))))))))))))))))))))))))))))))))))</f>
        <v>2</v>
      </c>
      <c r="G1653" s="52">
        <v>1</v>
      </c>
      <c r="H1653" s="90" t="s">
        <v>115</v>
      </c>
      <c r="I1653" s="94" t="s">
        <v>92</v>
      </c>
      <c r="J1653" s="88">
        <v>12.6</v>
      </c>
      <c r="K1653" s="102" t="s">
        <v>5226</v>
      </c>
      <c r="L1653" s="117">
        <f>IF(O1653="","",N1653*O1653*M1653)</f>
        <v>0</v>
      </c>
      <c r="M1653" s="108">
        <v>1</v>
      </c>
      <c r="N1653" s="95">
        <v>1</v>
      </c>
      <c r="O1653" s="109">
        <f>IF(Key!D$1="ON",P1653,IF(SUM(Q1653:DL1653)&lt;1,"",SUM(Q1653:DL1653)/COUNTIF(Q1653:DL1653,"&gt;0")))</f>
        <v>0</v>
      </c>
      <c r="P1653" s="109">
        <f>SUMIFS(Q1653:DK1653,Q$1:DK$1,Dashboard!$K$31)</f>
        <v>0</v>
      </c>
      <c r="U1653" s="95">
        <v>33</v>
      </c>
      <c r="AA1653" s="95">
        <v>25</v>
      </c>
      <c r="AH1653" s="95">
        <v>75</v>
      </c>
    </row>
    <row r="1654" spans="1:34" x14ac:dyDescent="0.3">
      <c r="A1654" s="89" t="str">
        <f>CONCATENATE(D1654,".",F1654,"-",G1654,".",H1654,"")</f>
        <v>2.2-1.1</v>
      </c>
      <c r="B1654" s="89" t="str">
        <f>IF(CONCATENATE(I1654,Key!F$2)=CONCATENATE(INDEX(Dashboard!J:J,MATCH(I1654,Dashboard!J:J,0),1),INDEX(Dashboard!J:K,MATCH(I1654,Dashboard!J:J,0),2)),"ON",IF(Dashboard!K$32="ALL","ON","-"))</f>
        <v>-</v>
      </c>
      <c r="C1654" s="96" t="s">
        <v>152</v>
      </c>
      <c r="D1654" s="89">
        <f>IF(C1654="ID",1,(IF(C1654="PR",2,(IF(C1654="DE",3,(IF(C1654="RS",4,(IF(C1654="RC",5,0)))))))))</f>
        <v>2</v>
      </c>
      <c r="E1654" s="89" t="s">
        <v>202</v>
      </c>
      <c r="F1654" s="89">
        <f>IF(E1654="AM",1,(IF(E1654="BE",2,(IF(E1654="GV",3,(IF(E1654="RA",4,(IF(E1654="RM",5,(IF(E1654="AC",1,(IF(E1654="AT",2,(IF(E1654="DS",3,(IF(E1654="IP",4,(IF(E1654="MA",5,(IF(E1654="PT",6,(IF(E1654="AE",1,(IF(E1654="CM",2,(IF(E1654="DP",3,(IF(E1654="AN",1,(IF(E1654="CO",2,(IF(E1654="IM",3,(IF(E1654="MI",4,(IF(E1654="RP",5,(IF(E1654="SC",6,0)))))))))))))))))))))))))))))))))))))))</f>
        <v>2</v>
      </c>
      <c r="G1654" s="98">
        <v>1</v>
      </c>
      <c r="H1654" s="90" t="s">
        <v>115</v>
      </c>
      <c r="I1654" s="94" t="s">
        <v>92</v>
      </c>
      <c r="J1654" s="88" t="s">
        <v>203</v>
      </c>
      <c r="K1654" s="102" t="s">
        <v>5226</v>
      </c>
      <c r="L1654" s="117">
        <f>IF(O1654="","",N1654*O1654*M1654)</f>
        <v>0</v>
      </c>
      <c r="M1654" s="108">
        <v>1</v>
      </c>
      <c r="N1654" s="95">
        <v>1</v>
      </c>
      <c r="O1654" s="109">
        <f>IF(Key!D$1="ON",P1654,IF(SUM(Q1654:DL1654)&lt;1,"",SUM(Q1654:DL1654)/COUNTIF(Q1654:DL1654,"&gt;0")))</f>
        <v>0</v>
      </c>
      <c r="P1654" s="109">
        <f>SUMIFS(Q1654:DK1654,Q$1:DK$1,Dashboard!$K$31)</f>
        <v>0</v>
      </c>
      <c r="U1654" s="95">
        <v>33</v>
      </c>
      <c r="AA1654" s="95">
        <v>25</v>
      </c>
      <c r="AH1654" s="95">
        <v>75</v>
      </c>
    </row>
    <row r="1655" spans="1:34" ht="15.6" x14ac:dyDescent="0.3">
      <c r="A1655" s="89" t="str">
        <f>CONCATENATE(D1655,".",F1655,"-",G1655,".",H1655,"")</f>
        <v>2.2-1.1</v>
      </c>
      <c r="B1655" s="89" t="str">
        <f>IF(CONCATENATE(I1655,Key!F$2)=CONCATENATE(INDEX(Dashboard!J:J,MATCH(I1655,Dashboard!J:J,0),1),INDEX(Dashboard!J:K,MATCH(I1655,Dashboard!J:J,0),2)),"ON",IF(Dashboard!K$32="ALL","ON","-"))</f>
        <v>-</v>
      </c>
      <c r="C1655" s="88" t="s">
        <v>152</v>
      </c>
      <c r="D1655" s="89">
        <f>IF(C1655="ID",1,(IF(C1655="PR",2,(IF(C1655="DE",3,(IF(C1655="RS",4,(IF(C1655="RC",5,0)))))))))</f>
        <v>2</v>
      </c>
      <c r="E1655" s="89" t="s">
        <v>202</v>
      </c>
      <c r="F1655" s="89">
        <f>IF(E1655="AM",1,(IF(E1655="BE",2,(IF(E1655="GV",3,(IF(E1655="RA",4,(IF(E1655="RM",5,(IF(E1655="AC",1,(IF(E1655="AT",2,(IF(E1655="DS",3,(IF(E1655="IP",4,(IF(E1655="MA",5,(IF(E1655="PT",6,(IF(E1655="AE",1,(IF(E1655="CM",2,(IF(E1655="DP",3,(IF(E1655="AN",1,(IF(E1655="CO",2,(IF(E1655="IM",3,(IF(E1655="MI",4,(IF(E1655="RP",5,(IF(E1655="SC",6,0)))))))))))))))))))))))))))))))))))))))</f>
        <v>2</v>
      </c>
      <c r="G1655" s="52">
        <v>1</v>
      </c>
      <c r="H1655" s="90" t="s">
        <v>115</v>
      </c>
      <c r="I1655" s="94" t="s">
        <v>92</v>
      </c>
      <c r="J1655" s="88" t="s">
        <v>204</v>
      </c>
      <c r="K1655" s="102" t="s">
        <v>5226</v>
      </c>
      <c r="L1655" s="117">
        <f>IF(O1655="","",N1655*O1655*M1655)</f>
        <v>0</v>
      </c>
      <c r="M1655" s="108">
        <v>1</v>
      </c>
      <c r="N1655" s="95">
        <v>1</v>
      </c>
      <c r="O1655" s="109">
        <f>IF(Key!D$1="ON",P1655,IF(SUM(Q1655:DL1655)&lt;1,"",SUM(Q1655:DL1655)/COUNTIF(Q1655:DL1655,"&gt;0")))</f>
        <v>0</v>
      </c>
      <c r="P1655" s="109">
        <f>SUMIFS(Q1655:DK1655,Q$1:DK$1,Dashboard!$K$31)</f>
        <v>0</v>
      </c>
      <c r="U1655" s="95">
        <v>33</v>
      </c>
      <c r="AA1655" s="95">
        <v>25</v>
      </c>
      <c r="AH1655" s="95">
        <v>75</v>
      </c>
    </row>
    <row r="1656" spans="1:34" ht="15.6" x14ac:dyDescent="0.3">
      <c r="A1656" s="89" t="str">
        <f>CONCATENATE(D1656,".",F1656,"-",G1656,".",H1656,"")</f>
        <v>2.2-1.2</v>
      </c>
      <c r="B1656" s="89" t="str">
        <f>IF(CONCATENATE(I1656,Key!F$2)=CONCATENATE(INDEX(Dashboard!J:J,MATCH(I1656,Dashboard!J:J,0),1),INDEX(Dashboard!J:K,MATCH(I1656,Dashboard!J:J,0),2)),"ON",IF(Dashboard!K$32="ALL","ON","-"))</f>
        <v>-</v>
      </c>
      <c r="C1656" s="88" t="s">
        <v>152</v>
      </c>
      <c r="D1656" s="89">
        <f>IF(C1656="ID",1,(IF(C1656="PR",2,(IF(C1656="DE",3,(IF(C1656="RS",4,(IF(C1656="RC",5,0)))))))))</f>
        <v>2</v>
      </c>
      <c r="E1656" s="89" t="s">
        <v>202</v>
      </c>
      <c r="F1656" s="89">
        <f>IF(E1656="AM",1,(IF(E1656="BE",2,(IF(E1656="GV",3,(IF(E1656="RA",4,(IF(E1656="RM",5,(IF(E1656="AC",1,(IF(E1656="AT",2,(IF(E1656="DS",3,(IF(E1656="IP",4,(IF(E1656="MA",5,(IF(E1656="PT",6,(IF(E1656="AE",1,(IF(E1656="CM",2,(IF(E1656="DP",3,(IF(E1656="AN",1,(IF(E1656="CO",2,(IF(E1656="IM",3,(IF(E1656="MI",4,(IF(E1656="RP",5,(IF(E1656="SC",6,0)))))))))))))))))))))))))))))))))))))))</f>
        <v>2</v>
      </c>
      <c r="G1656" s="52">
        <v>1</v>
      </c>
      <c r="H1656" s="90" t="s">
        <v>112</v>
      </c>
      <c r="I1656" s="94" t="s">
        <v>60</v>
      </c>
      <c r="J1656" s="87" t="s">
        <v>3198</v>
      </c>
      <c r="K1656" s="51" t="s">
        <v>5311</v>
      </c>
      <c r="L1656" s="117">
        <f>IF(O1656="","",N1656*O1656*M1656)</f>
        <v>0</v>
      </c>
      <c r="M1656" s="108">
        <v>1</v>
      </c>
      <c r="N1656" s="95">
        <v>1</v>
      </c>
      <c r="O1656" s="109">
        <f>IF(Key!D$1="ON",P1656,IF(SUM(Q1656:DL1656)&lt;1,"",SUM(Q1656:DL1656)/COUNTIF(Q1656:DL1656,"&gt;0")))</f>
        <v>0</v>
      </c>
      <c r="P1656" s="109">
        <f>SUMIFS(Q1656:DK1656,Q$1:DK$1,Dashboard!$K$31)</f>
        <v>0</v>
      </c>
      <c r="U1656" s="95">
        <v>33</v>
      </c>
      <c r="AA1656" s="95">
        <v>25</v>
      </c>
      <c r="AH1656" s="95">
        <v>75</v>
      </c>
    </row>
    <row r="1657" spans="1:34" x14ac:dyDescent="0.3">
      <c r="A1657" s="89" t="str">
        <f>CONCATENATE(D1657,".",F1657,"-",G1657,".",H1657,"")</f>
        <v>2.2-1.2</v>
      </c>
      <c r="B1657" s="89" t="str">
        <f>IF(CONCATENATE(I1657,Key!F$2)=CONCATENATE(INDEX(Dashboard!J:J,MATCH(I1657,Dashboard!J:J,0),1),INDEX(Dashboard!J:K,MATCH(I1657,Dashboard!J:J,0),2)),"ON",IF(Dashboard!K$32="ALL","ON","-"))</f>
        <v>-</v>
      </c>
      <c r="C1657" s="88" t="s">
        <v>152</v>
      </c>
      <c r="D1657" s="89">
        <f>IF(C1657="ID",1,(IF(C1657="PR",2,(IF(C1657="DE",3,(IF(C1657="RS",4,(IF(C1657="RC",5,0)))))))))</f>
        <v>2</v>
      </c>
      <c r="E1657" s="89" t="s">
        <v>202</v>
      </c>
      <c r="F1657" s="89">
        <f>IF(E1657="AM",1,(IF(E1657="BE",2,(IF(E1657="GV",3,(IF(E1657="RA",4,(IF(E1657="RM",5,(IF(E1657="AC",1,(IF(E1657="AT",2,(IF(E1657="DS",3,(IF(E1657="IP",4,(IF(E1657="MA",5,(IF(E1657="PT",6,(IF(E1657="AE",1,(IF(E1657="CM",2,(IF(E1657="DP",3,(IF(E1657="AN",1,(IF(E1657="CO",2,(IF(E1657="IM",3,(IF(E1657="MI",4,(IF(E1657="RP",5,(IF(E1657="SC",6,0)))))))))))))))))))))))))))))))))))))))</f>
        <v>2</v>
      </c>
      <c r="G1657" s="52">
        <v>1</v>
      </c>
      <c r="H1657" s="90" t="s">
        <v>112</v>
      </c>
      <c r="I1657" s="94" t="s">
        <v>85</v>
      </c>
      <c r="J1657" s="86" t="s">
        <v>650</v>
      </c>
      <c r="K1657" s="119" t="s">
        <v>4598</v>
      </c>
      <c r="L1657" s="117">
        <f>IF(O1657="","",N1657*O1657*M1657)</f>
        <v>0</v>
      </c>
      <c r="M1657" s="108">
        <v>0.9</v>
      </c>
      <c r="N1657" s="95">
        <v>1</v>
      </c>
      <c r="O1657" s="109">
        <f>IF(Key!D$1="ON",P1657,IF(SUM(Q1657:DL1657)&lt;1,"",SUM(Q1657:DL1657)/COUNTIF(Q1657:DL1657,"&gt;0")))</f>
        <v>0</v>
      </c>
      <c r="P1657" s="109">
        <f>SUMIFS(Q1657:DK1657,Q$1:DK$1,Dashboard!$K$31)</f>
        <v>0</v>
      </c>
      <c r="S1657" s="95">
        <v>25</v>
      </c>
      <c r="T1657" s="95">
        <v>80</v>
      </c>
      <c r="U1657" s="95">
        <v>33</v>
      </c>
      <c r="AA1657" s="95">
        <v>25</v>
      </c>
      <c r="AH1657" s="95">
        <v>75</v>
      </c>
    </row>
    <row r="1658" spans="1:34" ht="15.6" x14ac:dyDescent="0.3">
      <c r="A1658" s="89" t="str">
        <f>CONCATENATE(D1658,".",F1658,"-",G1658,".",H1658,"")</f>
        <v>2.2-1.2</v>
      </c>
      <c r="B1658" s="89" t="str">
        <f>IF(CONCATENATE(I1658,Key!F$2)=CONCATENATE(INDEX(Dashboard!J:J,MATCH(I1658,Dashboard!J:J,0),1),INDEX(Dashboard!J:K,MATCH(I1658,Dashboard!J:J,0),2)),"ON",IF(Dashboard!K$32="ALL","ON","-"))</f>
        <v>-</v>
      </c>
      <c r="C1658" s="88" t="s">
        <v>152</v>
      </c>
      <c r="D1658" s="89">
        <f>IF(C1658="ID",1,(IF(C1658="PR",2,(IF(C1658="DE",3,(IF(C1658="RS",4,(IF(C1658="RC",5,0)))))))))</f>
        <v>2</v>
      </c>
      <c r="E1658" s="89" t="s">
        <v>202</v>
      </c>
      <c r="F1658" s="89">
        <f>IF(E1658="AM",1,(IF(E1658="BE",2,(IF(E1658="GV",3,(IF(E1658="RA",4,(IF(E1658="RM",5,(IF(E1658="AC",1,(IF(E1658="AT",2,(IF(E1658="DS",3,(IF(E1658="IP",4,(IF(E1658="MA",5,(IF(E1658="PT",6,(IF(E1658="AE",1,(IF(E1658="CM",2,(IF(E1658="DP",3,(IF(E1658="AN",1,(IF(E1658="CO",2,(IF(E1658="IM",3,(IF(E1658="MI",4,(IF(E1658="RP",5,(IF(E1658="SC",6,0)))))))))))))))))))))))))))))))))))))))</f>
        <v>2</v>
      </c>
      <c r="G1658" s="52">
        <v>1</v>
      </c>
      <c r="H1658" s="90" t="s">
        <v>112</v>
      </c>
      <c r="I1658" s="94" t="s">
        <v>89</v>
      </c>
      <c r="J1658" s="88">
        <v>500.01</v>
      </c>
      <c r="K1658" s="102" t="s">
        <v>496</v>
      </c>
      <c r="L1658" s="117">
        <f>IF(O1658="","",N1658*O1658*M1658)</f>
        <v>0</v>
      </c>
      <c r="M1658" s="108">
        <v>1</v>
      </c>
      <c r="N1658" s="95">
        <v>1</v>
      </c>
      <c r="O1658" s="109">
        <f>IF(Key!D$1="ON",P1658,IF(SUM(Q1658:DL1658)&lt;1,"",SUM(Q1658:DL1658)/COUNTIF(Q1658:DL1658,"&gt;0")))</f>
        <v>0</v>
      </c>
      <c r="P1658" s="109">
        <f>SUMIFS(Q1658:DK1658,Q$1:DK$1,Dashboard!$K$31)</f>
        <v>0</v>
      </c>
      <c r="U1658" s="95">
        <v>33</v>
      </c>
      <c r="AA1658" s="95">
        <v>25</v>
      </c>
      <c r="AH1658" s="95">
        <v>75</v>
      </c>
    </row>
    <row r="1659" spans="1:34" x14ac:dyDescent="0.3">
      <c r="A1659" s="89" t="str">
        <f>CONCATENATE(D1659,".",F1659,"-",G1659,".",H1659,"")</f>
        <v>2.2-1.2</v>
      </c>
      <c r="B1659" s="89" t="str">
        <f>IF(CONCATENATE(I1659,Key!F$2)=CONCATENATE(INDEX(Dashboard!J:J,MATCH(I1659,Dashboard!J:J,0),1),INDEX(Dashboard!J:K,MATCH(I1659,Dashboard!J:J,0),2)),"ON",IF(Dashboard!K$32="ALL","ON","-"))</f>
        <v>-</v>
      </c>
      <c r="C1659" s="88" t="s">
        <v>152</v>
      </c>
      <c r="D1659" s="89">
        <f>IF(C1659="ID",1,(IF(C1659="PR",2,(IF(C1659="DE",3,(IF(C1659="RS",4,(IF(C1659="RC",5,0)))))))))</f>
        <v>2</v>
      </c>
      <c r="E1659" s="89" t="s">
        <v>202</v>
      </c>
      <c r="F1659" s="89">
        <f>IF(E1659="AM",1,(IF(E1659="BE",2,(IF(E1659="GV",3,(IF(E1659="RA",4,(IF(E1659="RM",5,(IF(E1659="AC",1,(IF(E1659="AT",2,(IF(E1659="DS",3,(IF(E1659="IP",4,(IF(E1659="MA",5,(IF(E1659="PT",6,(IF(E1659="AE",1,(IF(E1659="CM",2,(IF(E1659="DP",3,(IF(E1659="AN",1,(IF(E1659="CO",2,(IF(E1659="IM",3,(IF(E1659="MI",4,(IF(E1659="RP",5,(IF(E1659="SC",6,0)))))))))))))))))))))))))))))))))))))))</f>
        <v>2</v>
      </c>
      <c r="G1659" s="52">
        <v>1</v>
      </c>
      <c r="H1659" s="90" t="s">
        <v>112</v>
      </c>
      <c r="I1659" s="94" t="s">
        <v>89</v>
      </c>
      <c r="J1659" s="88" t="s">
        <v>497</v>
      </c>
      <c r="K1659" s="102" t="s">
        <v>498</v>
      </c>
      <c r="L1659" s="117">
        <f>IF(O1659="","",N1659*O1659*M1659)</f>
        <v>0</v>
      </c>
      <c r="M1659" s="108">
        <v>1</v>
      </c>
      <c r="N1659" s="95">
        <v>1</v>
      </c>
      <c r="O1659" s="109">
        <f>IF(Key!D$1="ON",P1659,IF(SUM(Q1659:DL1659)&lt;1,"",SUM(Q1659:DL1659)/COUNTIF(Q1659:DL1659,"&gt;0")))</f>
        <v>0</v>
      </c>
      <c r="P1659" s="109">
        <f>SUMIFS(Q1659:DK1659,Q$1:DK$1,Dashboard!$K$31)</f>
        <v>0</v>
      </c>
      <c r="U1659" s="95">
        <v>33</v>
      </c>
      <c r="AA1659" s="95">
        <v>25</v>
      </c>
      <c r="AH1659" s="95">
        <v>75</v>
      </c>
    </row>
    <row r="1660" spans="1:34" x14ac:dyDescent="0.3">
      <c r="A1660" s="89" t="str">
        <f>CONCATENATE(D1660,".",F1660,"-",G1660,".",H1660,"")</f>
        <v>2.2-1.2</v>
      </c>
      <c r="B1660" s="89" t="str">
        <f>IF(CONCATENATE(I1660,Key!F$2)=CONCATENATE(INDEX(Dashboard!J:J,MATCH(I1660,Dashboard!J:J,0),1),INDEX(Dashboard!J:K,MATCH(I1660,Dashboard!J:J,0),2)),"ON",IF(Dashboard!K$32="ALL","ON","-"))</f>
        <v>-</v>
      </c>
      <c r="C1660" s="88" t="s">
        <v>152</v>
      </c>
      <c r="D1660" s="89">
        <f>IF(C1660="ID",1,(IF(C1660="PR",2,(IF(C1660="DE",3,(IF(C1660="RS",4,(IF(C1660="RC",5,0)))))))))</f>
        <v>2</v>
      </c>
      <c r="E1660" s="89" t="s">
        <v>202</v>
      </c>
      <c r="F1660" s="89">
        <f>IF(E1660="AM",1,(IF(E1660="BE",2,(IF(E1660="GV",3,(IF(E1660="RA",4,(IF(E1660="RM",5,(IF(E1660="AC",1,(IF(E1660="AT",2,(IF(E1660="DS",3,(IF(E1660="IP",4,(IF(E1660="MA",5,(IF(E1660="PT",6,(IF(E1660="AE",1,(IF(E1660="CM",2,(IF(E1660="DP",3,(IF(E1660="AN",1,(IF(E1660="CO",2,(IF(E1660="IM",3,(IF(E1660="MI",4,(IF(E1660="RP",5,(IF(E1660="SC",6,0)))))))))))))))))))))))))))))))))))))))</f>
        <v>2</v>
      </c>
      <c r="G1660" s="52">
        <v>1</v>
      </c>
      <c r="H1660" s="90" t="s">
        <v>112</v>
      </c>
      <c r="I1660" s="94" t="s">
        <v>89</v>
      </c>
      <c r="J1660" s="88" t="s">
        <v>499</v>
      </c>
      <c r="K1660" s="102" t="s">
        <v>500</v>
      </c>
      <c r="L1660" s="117">
        <f>IF(O1660="","",N1660*O1660*M1660)</f>
        <v>0</v>
      </c>
      <c r="M1660" s="108">
        <v>1</v>
      </c>
      <c r="N1660" s="95">
        <v>1</v>
      </c>
      <c r="O1660" s="109">
        <f>IF(Key!D$1="ON",P1660,IF(SUM(Q1660:DL1660)&lt;1,"",SUM(Q1660:DL1660)/COUNTIF(Q1660:DL1660,"&gt;0")))</f>
        <v>0</v>
      </c>
      <c r="P1660" s="109">
        <f>SUMIFS(Q1660:DK1660,Q$1:DK$1,Dashboard!$K$31)</f>
        <v>0</v>
      </c>
      <c r="U1660" s="95">
        <v>33</v>
      </c>
      <c r="AA1660" s="95">
        <v>25</v>
      </c>
      <c r="AH1660" s="95">
        <v>75</v>
      </c>
    </row>
    <row r="1661" spans="1:34" x14ac:dyDescent="0.3">
      <c r="A1661" s="89" t="str">
        <f>CONCATENATE(D1661,".",F1661,"-",G1661,".",H1661,"")</f>
        <v>2.2-1.2</v>
      </c>
      <c r="B1661" s="89" t="str">
        <f>IF(CONCATENATE(I1661,Key!F$2)=CONCATENATE(INDEX(Dashboard!J:J,MATCH(I1661,Dashboard!J:J,0),1),INDEX(Dashboard!J:K,MATCH(I1661,Dashboard!J:J,0),2)),"ON",IF(Dashboard!K$32="ALL","ON","-"))</f>
        <v>-</v>
      </c>
      <c r="C1661" s="88" t="s">
        <v>152</v>
      </c>
      <c r="D1661" s="89">
        <f>IF(C1661="ID",1,(IF(C1661="PR",2,(IF(C1661="DE",3,(IF(C1661="RS",4,(IF(C1661="RC",5,0)))))))))</f>
        <v>2</v>
      </c>
      <c r="E1661" s="89" t="s">
        <v>202</v>
      </c>
      <c r="F1661" s="89">
        <f>IF(E1661="AM",1,(IF(E1661="BE",2,(IF(E1661="GV",3,(IF(E1661="RA",4,(IF(E1661="RM",5,(IF(E1661="AC",1,(IF(E1661="AT",2,(IF(E1661="DS",3,(IF(E1661="IP",4,(IF(E1661="MA",5,(IF(E1661="PT",6,(IF(E1661="AE",1,(IF(E1661="CM",2,(IF(E1661="DP",3,(IF(E1661="AN",1,(IF(E1661="CO",2,(IF(E1661="IM",3,(IF(E1661="MI",4,(IF(E1661="RP",5,(IF(E1661="SC",6,0)))))))))))))))))))))))))))))))))))))))</f>
        <v>2</v>
      </c>
      <c r="G1661" s="52">
        <v>1</v>
      </c>
      <c r="H1661" s="90" t="s">
        <v>112</v>
      </c>
      <c r="I1661" s="94" t="s">
        <v>89</v>
      </c>
      <c r="J1661" s="88" t="s">
        <v>501</v>
      </c>
      <c r="K1661" s="102" t="s">
        <v>502</v>
      </c>
      <c r="L1661" s="117">
        <f>IF(O1661="","",N1661*O1661*M1661)</f>
        <v>0</v>
      </c>
      <c r="M1661" s="108">
        <v>1</v>
      </c>
      <c r="N1661" s="95">
        <v>1</v>
      </c>
      <c r="O1661" s="109">
        <f>IF(Key!D$1="ON",P1661,IF(SUM(Q1661:DL1661)&lt;1,"",SUM(Q1661:DL1661)/COUNTIF(Q1661:DL1661,"&gt;0")))</f>
        <v>0</v>
      </c>
      <c r="P1661" s="109">
        <f>SUMIFS(Q1661:DK1661,Q$1:DK$1,Dashboard!$K$31)</f>
        <v>0</v>
      </c>
      <c r="U1661" s="95">
        <v>33</v>
      </c>
      <c r="AA1661" s="95">
        <v>25</v>
      </c>
      <c r="AH1661" s="95">
        <v>75</v>
      </c>
    </row>
    <row r="1662" spans="1:34" x14ac:dyDescent="0.3">
      <c r="A1662" s="89" t="str">
        <f>CONCATENATE(D1662,".",F1662,"-",G1662,".",H1662,"")</f>
        <v>2.2-1.2</v>
      </c>
      <c r="B1662" s="89" t="str">
        <f>IF(CONCATENATE(I1662,Key!F$2)=CONCATENATE(INDEX(Dashboard!J:J,MATCH(I1662,Dashboard!J:J,0),1),INDEX(Dashboard!J:K,MATCH(I1662,Dashboard!J:J,0),2)),"ON",IF(Dashboard!K$32="ALL","ON","-"))</f>
        <v>-</v>
      </c>
      <c r="C1662" s="88" t="s">
        <v>152</v>
      </c>
      <c r="D1662" s="89">
        <f>IF(C1662="ID",1,(IF(C1662="PR",2,(IF(C1662="DE",3,(IF(C1662="RS",4,(IF(C1662="RC",5,0)))))))))</f>
        <v>2</v>
      </c>
      <c r="E1662" s="89" t="s">
        <v>202</v>
      </c>
      <c r="F1662" s="89">
        <f>IF(E1662="AM",1,(IF(E1662="BE",2,(IF(E1662="GV",3,(IF(E1662="RA",4,(IF(E1662="RM",5,(IF(E1662="AC",1,(IF(E1662="AT",2,(IF(E1662="DS",3,(IF(E1662="IP",4,(IF(E1662="MA",5,(IF(E1662="PT",6,(IF(E1662="AE",1,(IF(E1662="CM",2,(IF(E1662="DP",3,(IF(E1662="AN",1,(IF(E1662="CO",2,(IF(E1662="IM",3,(IF(E1662="MI",4,(IF(E1662="RP",5,(IF(E1662="SC",6,0)))))))))))))))))))))))))))))))))))))))</f>
        <v>2</v>
      </c>
      <c r="G1662" s="52">
        <v>1</v>
      </c>
      <c r="H1662" s="90" t="s">
        <v>112</v>
      </c>
      <c r="I1662" s="94" t="s">
        <v>89</v>
      </c>
      <c r="J1662" s="88" t="s">
        <v>503</v>
      </c>
      <c r="K1662" s="102" t="s">
        <v>504</v>
      </c>
      <c r="L1662" s="117">
        <f>IF(O1662="","",N1662*O1662*M1662)</f>
        <v>0</v>
      </c>
      <c r="M1662" s="108">
        <v>1</v>
      </c>
      <c r="N1662" s="95">
        <v>1</v>
      </c>
      <c r="O1662" s="109">
        <f>IF(Key!D$1="ON",P1662,IF(SUM(Q1662:DL1662)&lt;1,"",SUM(Q1662:DL1662)/COUNTIF(Q1662:DL1662,"&gt;0")))</f>
        <v>0</v>
      </c>
      <c r="P1662" s="109">
        <f>SUMIFS(Q1662:DK1662,Q$1:DK$1,Dashboard!$K$31)</f>
        <v>0</v>
      </c>
      <c r="U1662" s="95">
        <v>33</v>
      </c>
      <c r="AA1662" s="95">
        <v>25</v>
      </c>
      <c r="AH1662" s="95">
        <v>75</v>
      </c>
    </row>
    <row r="1663" spans="1:34" x14ac:dyDescent="0.3">
      <c r="A1663" s="89" t="str">
        <f>CONCATENATE(D1663,".",F1663,"-",G1663,".",H1663,"")</f>
        <v>2.2-1.2</v>
      </c>
      <c r="B1663" s="89" t="str">
        <f>IF(CONCATENATE(I1663,Key!F$2)=CONCATENATE(INDEX(Dashboard!J:J,MATCH(I1663,Dashboard!J:J,0),1),INDEX(Dashboard!J:K,MATCH(I1663,Dashboard!J:J,0),2)),"ON",IF(Dashboard!K$32="ALL","ON","-"))</f>
        <v>-</v>
      </c>
      <c r="C1663" s="88" t="s">
        <v>152</v>
      </c>
      <c r="D1663" s="89">
        <f>IF(C1663="ID",1,(IF(C1663="PR",2,(IF(C1663="DE",3,(IF(C1663="RS",4,(IF(C1663="RC",5,0)))))))))</f>
        <v>2</v>
      </c>
      <c r="E1663" s="89" t="s">
        <v>202</v>
      </c>
      <c r="F1663" s="89">
        <f>IF(E1663="AM",1,(IF(E1663="BE",2,(IF(E1663="GV",3,(IF(E1663="RA",4,(IF(E1663="RM",5,(IF(E1663="AC",1,(IF(E1663="AT",2,(IF(E1663="DS",3,(IF(E1663="IP",4,(IF(E1663="MA",5,(IF(E1663="PT",6,(IF(E1663="AE",1,(IF(E1663="CM",2,(IF(E1663="DP",3,(IF(E1663="AN",1,(IF(E1663="CO",2,(IF(E1663="IM",3,(IF(E1663="MI",4,(IF(E1663="RP",5,(IF(E1663="SC",6,0)))))))))))))))))))))))))))))))))))))))</f>
        <v>2</v>
      </c>
      <c r="G1663" s="52">
        <v>1</v>
      </c>
      <c r="H1663" s="90" t="s">
        <v>112</v>
      </c>
      <c r="I1663" s="94" t="s">
        <v>89</v>
      </c>
      <c r="J1663" s="88" t="s">
        <v>505</v>
      </c>
      <c r="K1663" s="102" t="s">
        <v>506</v>
      </c>
      <c r="L1663" s="117">
        <f>IF(O1663="","",N1663*O1663*M1663)</f>
        <v>0</v>
      </c>
      <c r="M1663" s="108">
        <v>1</v>
      </c>
      <c r="N1663" s="95">
        <v>1</v>
      </c>
      <c r="O1663" s="109">
        <f>IF(Key!D$1="ON",P1663,IF(SUM(Q1663:DL1663)&lt;1,"",SUM(Q1663:DL1663)/COUNTIF(Q1663:DL1663,"&gt;0")))</f>
        <v>0</v>
      </c>
      <c r="P1663" s="109">
        <f>SUMIFS(Q1663:DK1663,Q$1:DK$1,Dashboard!$K$31)</f>
        <v>0</v>
      </c>
      <c r="U1663" s="95">
        <v>33</v>
      </c>
      <c r="AA1663" s="95">
        <v>25</v>
      </c>
      <c r="AH1663" s="95">
        <v>75</v>
      </c>
    </row>
    <row r="1664" spans="1:34" x14ac:dyDescent="0.3">
      <c r="A1664" s="89" t="str">
        <f>CONCATENATE(D1664,".",F1664,"-",G1664,".",H1664,"")</f>
        <v>2.2-1.2</v>
      </c>
      <c r="B1664" s="89" t="str">
        <f>IF(CONCATENATE(I1664,Key!F$2)=CONCATENATE(INDEX(Dashboard!J:J,MATCH(I1664,Dashboard!J:J,0),1),INDEX(Dashboard!J:K,MATCH(I1664,Dashboard!J:J,0),2)),"ON",IF(Dashboard!K$32="ALL","ON","-"))</f>
        <v>-</v>
      </c>
      <c r="C1664" s="88" t="s">
        <v>152</v>
      </c>
      <c r="D1664" s="89">
        <f>IF(C1664="ID",1,(IF(C1664="PR",2,(IF(C1664="DE",3,(IF(C1664="RS",4,(IF(C1664="RC",5,0)))))))))</f>
        <v>2</v>
      </c>
      <c r="E1664" s="89" t="s">
        <v>202</v>
      </c>
      <c r="F1664" s="89">
        <f>IF(E1664="AM",1,(IF(E1664="BE",2,(IF(E1664="GV",3,(IF(E1664="RA",4,(IF(E1664="RM",5,(IF(E1664="AC",1,(IF(E1664="AT",2,(IF(E1664="DS",3,(IF(E1664="IP",4,(IF(E1664="MA",5,(IF(E1664="PT",6,(IF(E1664="AE",1,(IF(E1664="CM",2,(IF(E1664="DP",3,(IF(E1664="AN",1,(IF(E1664="CO",2,(IF(E1664="IM",3,(IF(E1664="MI",4,(IF(E1664="RP",5,(IF(E1664="SC",6,0)))))))))))))))))))))))))))))))))))))))</f>
        <v>2</v>
      </c>
      <c r="G1664" s="52">
        <v>1</v>
      </c>
      <c r="H1664" s="90" t="s">
        <v>112</v>
      </c>
      <c r="I1664" s="94" t="s">
        <v>89</v>
      </c>
      <c r="J1664" s="88" t="s">
        <v>507</v>
      </c>
      <c r="K1664" s="102" t="s">
        <v>508</v>
      </c>
      <c r="L1664" s="117">
        <f>IF(O1664="","",N1664*O1664*M1664)</f>
        <v>0</v>
      </c>
      <c r="M1664" s="108">
        <v>1</v>
      </c>
      <c r="N1664" s="95">
        <v>1</v>
      </c>
      <c r="O1664" s="109">
        <f>IF(Key!D$1="ON",P1664,IF(SUM(Q1664:DL1664)&lt;1,"",SUM(Q1664:DL1664)/COUNTIF(Q1664:DL1664,"&gt;0")))</f>
        <v>0</v>
      </c>
      <c r="P1664" s="109">
        <f>SUMIFS(Q1664:DK1664,Q$1:DK$1,Dashboard!$K$31)</f>
        <v>0</v>
      </c>
      <c r="U1664" s="95">
        <v>33</v>
      </c>
      <c r="AA1664" s="95">
        <v>25</v>
      </c>
      <c r="AH1664" s="95">
        <v>75</v>
      </c>
    </row>
    <row r="1665" spans="1:34" ht="15.6" x14ac:dyDescent="0.3">
      <c r="A1665" s="89" t="str">
        <f>CONCATENATE(D1665,".",F1665,"-",G1665,".",H1665,"")</f>
        <v>2.2-1.2</v>
      </c>
      <c r="B1665" s="89" t="str">
        <f>IF(CONCATENATE(I1665,Key!F$2)=CONCATENATE(INDEX(Dashboard!J:J,MATCH(I1665,Dashboard!J:J,0),1),INDEX(Dashboard!J:K,MATCH(I1665,Dashboard!J:J,0),2)),"ON",IF(Dashboard!K$32="ALL","ON","-"))</f>
        <v>-</v>
      </c>
      <c r="C1665" s="88" t="s">
        <v>152</v>
      </c>
      <c r="D1665" s="89">
        <f>IF(C1665="ID",1,(IF(C1665="PR",2,(IF(C1665="DE",3,(IF(C1665="RS",4,(IF(C1665="RC",5,0)))))))))</f>
        <v>2</v>
      </c>
      <c r="E1665" s="89" t="s">
        <v>202</v>
      </c>
      <c r="F1665" s="89">
        <f>IF(E1665="AM",1,(IF(E1665="BE",2,(IF(E1665="GV",3,(IF(E1665="RA",4,(IF(E1665="RM",5,(IF(E1665="AC",1,(IF(E1665="AT",2,(IF(E1665="DS",3,(IF(E1665="IP",4,(IF(E1665="MA",5,(IF(E1665="PT",6,(IF(E1665="AE",1,(IF(E1665="CM",2,(IF(E1665="DP",3,(IF(E1665="AN",1,(IF(E1665="CO",2,(IF(E1665="IM",3,(IF(E1665="MI",4,(IF(E1665="RP",5,(IF(E1665="SC",6,0)))))))))))))))))))))))))))))))))))))))</f>
        <v>2</v>
      </c>
      <c r="G1665" s="52">
        <v>1</v>
      </c>
      <c r="H1665" s="90" t="s">
        <v>112</v>
      </c>
      <c r="I1665" s="94" t="s">
        <v>89</v>
      </c>
      <c r="J1665" s="88" t="s">
        <v>509</v>
      </c>
      <c r="K1665" s="102" t="s">
        <v>510</v>
      </c>
      <c r="L1665" s="117">
        <f>IF(O1665="","",N1665*O1665*M1665)</f>
        <v>0</v>
      </c>
      <c r="M1665" s="108">
        <v>1</v>
      </c>
      <c r="N1665" s="95">
        <v>1</v>
      </c>
      <c r="O1665" s="109">
        <f>IF(Key!D$1="ON",P1665,IF(SUM(Q1665:DL1665)&lt;1,"",SUM(Q1665:DL1665)/COUNTIF(Q1665:DL1665,"&gt;0")))</f>
        <v>0</v>
      </c>
      <c r="P1665" s="109">
        <f>SUMIFS(Q1665:DK1665,Q$1:DK$1,Dashboard!$K$31)</f>
        <v>0</v>
      </c>
      <c r="U1665" s="95">
        <v>33</v>
      </c>
      <c r="AA1665" s="95">
        <v>25</v>
      </c>
      <c r="AH1665" s="95">
        <v>75</v>
      </c>
    </row>
    <row r="1666" spans="1:34" ht="15.6" x14ac:dyDescent="0.3">
      <c r="A1666" s="89" t="str">
        <f>CONCATENATE(D1666,".",F1666,"-",G1666,".",H1666,"")</f>
        <v>2.2-1.2</v>
      </c>
      <c r="B1666" s="89" t="str">
        <f>IF(CONCATENATE(I1666,Key!F$2)=CONCATENATE(INDEX(Dashboard!J:J,MATCH(I1666,Dashboard!J:J,0),1),INDEX(Dashboard!J:K,MATCH(I1666,Dashboard!J:J,0),2)),"ON",IF(Dashboard!K$32="ALL","ON","-"))</f>
        <v>-</v>
      </c>
      <c r="C1666" s="88" t="s">
        <v>152</v>
      </c>
      <c r="D1666" s="89">
        <f>IF(C1666="ID",1,(IF(C1666="PR",2,(IF(C1666="DE",3,(IF(C1666="RS",4,(IF(C1666="RC",5,0)))))))))</f>
        <v>2</v>
      </c>
      <c r="E1666" s="89" t="s">
        <v>202</v>
      </c>
      <c r="F1666" s="89">
        <f>IF(E1666="AM",1,(IF(E1666="BE",2,(IF(E1666="GV",3,(IF(E1666="RA",4,(IF(E1666="RM",5,(IF(E1666="AC",1,(IF(E1666="AT",2,(IF(E1666="DS",3,(IF(E1666="IP",4,(IF(E1666="MA",5,(IF(E1666="PT",6,(IF(E1666="AE",1,(IF(E1666="CM",2,(IF(E1666="DP",3,(IF(E1666="AN",1,(IF(E1666="CO",2,(IF(E1666="IM",3,(IF(E1666="MI",4,(IF(E1666="RP",5,(IF(E1666="SC",6,0)))))))))))))))))))))))))))))))))))))))</f>
        <v>2</v>
      </c>
      <c r="G1666" s="52">
        <v>1</v>
      </c>
      <c r="H1666" s="90" t="s">
        <v>112</v>
      </c>
      <c r="I1666" s="94" t="s">
        <v>89</v>
      </c>
      <c r="J1666" s="88" t="s">
        <v>511</v>
      </c>
      <c r="K1666" s="102" t="s">
        <v>512</v>
      </c>
      <c r="L1666" s="117">
        <f>IF(O1666="","",N1666*O1666*M1666)</f>
        <v>0</v>
      </c>
      <c r="M1666" s="108">
        <v>1</v>
      </c>
      <c r="N1666" s="95">
        <v>1</v>
      </c>
      <c r="O1666" s="109">
        <f>IF(Key!D$1="ON",P1666,IF(SUM(Q1666:DL1666)&lt;1,"",SUM(Q1666:DL1666)/COUNTIF(Q1666:DL1666,"&gt;0")))</f>
        <v>0</v>
      </c>
      <c r="P1666" s="109">
        <f>SUMIFS(Q1666:DK1666,Q$1:DK$1,Dashboard!$K$31)</f>
        <v>0</v>
      </c>
      <c r="U1666" s="95">
        <v>33</v>
      </c>
      <c r="AA1666" s="95">
        <v>25</v>
      </c>
      <c r="AH1666" s="95">
        <v>75</v>
      </c>
    </row>
    <row r="1667" spans="1:34" x14ac:dyDescent="0.3">
      <c r="A1667" s="89" t="str">
        <f>CONCATENATE(D1667,".",F1667,"-",G1667,".",H1667,"")</f>
        <v>2.2-1.2</v>
      </c>
      <c r="B1667" s="89" t="str">
        <f>IF(CONCATENATE(I1667,Key!F$2)=CONCATENATE(INDEX(Dashboard!J:J,MATCH(I1667,Dashboard!J:J,0),1),INDEX(Dashboard!J:K,MATCH(I1667,Dashboard!J:J,0),2)),"ON",IF(Dashboard!K$32="ALL","ON","-"))</f>
        <v>-</v>
      </c>
      <c r="C1667" s="88" t="s">
        <v>152</v>
      </c>
      <c r="D1667" s="89">
        <f>IF(C1667="ID",1,(IF(C1667="PR",2,(IF(C1667="DE",3,(IF(C1667="RS",4,(IF(C1667="RC",5,0)))))))))</f>
        <v>2</v>
      </c>
      <c r="E1667" s="89" t="s">
        <v>202</v>
      </c>
      <c r="F1667" s="89">
        <f>IF(E1667="AM",1,(IF(E1667="BE",2,(IF(E1667="GV",3,(IF(E1667="RA",4,(IF(E1667="RM",5,(IF(E1667="AC",1,(IF(E1667="AT",2,(IF(E1667="DS",3,(IF(E1667="IP",4,(IF(E1667="MA",5,(IF(E1667="PT",6,(IF(E1667="AE",1,(IF(E1667="CM",2,(IF(E1667="DP",3,(IF(E1667="AN",1,(IF(E1667="CO",2,(IF(E1667="IM",3,(IF(E1667="MI",4,(IF(E1667="RP",5,(IF(E1667="SC",6,0)))))))))))))))))))))))))))))))))))))))</f>
        <v>2</v>
      </c>
      <c r="G1667" s="52">
        <v>1</v>
      </c>
      <c r="H1667" s="90" t="s">
        <v>112</v>
      </c>
      <c r="I1667" s="94" t="s">
        <v>89</v>
      </c>
      <c r="J1667" s="88" t="s">
        <v>513</v>
      </c>
      <c r="K1667" s="102" t="s">
        <v>514</v>
      </c>
      <c r="L1667" s="117">
        <f>IF(O1667="","",N1667*O1667*M1667)</f>
        <v>0</v>
      </c>
      <c r="M1667" s="108">
        <v>1</v>
      </c>
      <c r="N1667" s="95">
        <v>1</v>
      </c>
      <c r="O1667" s="109">
        <f>IF(Key!D$1="ON",P1667,IF(SUM(Q1667:DL1667)&lt;1,"",SUM(Q1667:DL1667)/COUNTIF(Q1667:DL1667,"&gt;0")))</f>
        <v>0</v>
      </c>
      <c r="P1667" s="109">
        <f>SUMIFS(Q1667:DK1667,Q$1:DK$1,Dashboard!$K$31)</f>
        <v>0</v>
      </c>
      <c r="U1667" s="95">
        <v>33</v>
      </c>
      <c r="AA1667" s="95">
        <v>25</v>
      </c>
      <c r="AH1667" s="95">
        <v>75</v>
      </c>
    </row>
    <row r="1668" spans="1:34" x14ac:dyDescent="0.3">
      <c r="A1668" s="89" t="str">
        <f>CONCATENATE(D1668,".",F1668,"-",G1668,".",H1668,"")</f>
        <v>2.2-1.2</v>
      </c>
      <c r="B1668" s="89" t="str">
        <f>IF(CONCATENATE(I1668,Key!F$2)=CONCATENATE(INDEX(Dashboard!J:J,MATCH(I1668,Dashboard!J:J,0),1),INDEX(Dashboard!J:K,MATCH(I1668,Dashboard!J:J,0),2)),"ON",IF(Dashboard!K$32="ALL","ON","-"))</f>
        <v>-</v>
      </c>
      <c r="C1668" s="88" t="s">
        <v>152</v>
      </c>
      <c r="D1668" s="89">
        <f>IF(C1668="ID",1,(IF(C1668="PR",2,(IF(C1668="DE",3,(IF(C1668="RS",4,(IF(C1668="RC",5,0)))))))))</f>
        <v>2</v>
      </c>
      <c r="E1668" s="89" t="s">
        <v>202</v>
      </c>
      <c r="F1668" s="89">
        <f>IF(E1668="AM",1,(IF(E1668="BE",2,(IF(E1668="GV",3,(IF(E1668="RA",4,(IF(E1668="RM",5,(IF(E1668="AC",1,(IF(E1668="AT",2,(IF(E1668="DS",3,(IF(E1668="IP",4,(IF(E1668="MA",5,(IF(E1668="PT",6,(IF(E1668="AE",1,(IF(E1668="CM",2,(IF(E1668="DP",3,(IF(E1668="AN",1,(IF(E1668="CO",2,(IF(E1668="IM",3,(IF(E1668="MI",4,(IF(E1668="RP",5,(IF(E1668="SC",6,0)))))))))))))))))))))))))))))))))))))))</f>
        <v>2</v>
      </c>
      <c r="G1668" s="52">
        <v>1</v>
      </c>
      <c r="H1668" s="90" t="s">
        <v>112</v>
      </c>
      <c r="I1668" s="94" t="s">
        <v>89</v>
      </c>
      <c r="J1668" s="88" t="s">
        <v>515</v>
      </c>
      <c r="K1668" s="102" t="s">
        <v>516</v>
      </c>
      <c r="L1668" s="117">
        <f>IF(O1668="","",N1668*O1668*M1668)</f>
        <v>0</v>
      </c>
      <c r="M1668" s="108">
        <v>1</v>
      </c>
      <c r="N1668" s="95">
        <v>1</v>
      </c>
      <c r="O1668" s="109">
        <f>IF(Key!D$1="ON",P1668,IF(SUM(Q1668:DL1668)&lt;1,"",SUM(Q1668:DL1668)/COUNTIF(Q1668:DL1668,"&gt;0")))</f>
        <v>0</v>
      </c>
      <c r="P1668" s="109">
        <f>SUMIFS(Q1668:DK1668,Q$1:DK$1,Dashboard!$K$31)</f>
        <v>0</v>
      </c>
      <c r="U1668" s="95">
        <v>33</v>
      </c>
      <c r="AA1668" s="95">
        <v>25</v>
      </c>
      <c r="AH1668" s="95">
        <v>75</v>
      </c>
    </row>
    <row r="1669" spans="1:34" x14ac:dyDescent="0.3">
      <c r="A1669" s="89" t="str">
        <f>CONCATENATE(D1669,".",F1669,"-",G1669,".",H1669,"")</f>
        <v>2.2-1.2</v>
      </c>
      <c r="B1669" s="89" t="str">
        <f>IF(CONCATENATE(I1669,Key!F$2)=CONCATENATE(INDEX(Dashboard!J:J,MATCH(I1669,Dashboard!J:J,0),1),INDEX(Dashboard!J:K,MATCH(I1669,Dashboard!J:J,0),2)),"ON",IF(Dashboard!K$32="ALL","ON","-"))</f>
        <v>-</v>
      </c>
      <c r="C1669" s="88" t="s">
        <v>152</v>
      </c>
      <c r="D1669" s="89">
        <f>IF(C1669="ID",1,(IF(C1669="PR",2,(IF(C1669="DE",3,(IF(C1669="RS",4,(IF(C1669="RC",5,0)))))))))</f>
        <v>2</v>
      </c>
      <c r="E1669" s="89" t="s">
        <v>202</v>
      </c>
      <c r="F1669" s="89">
        <f>IF(E1669="AM",1,(IF(E1669="BE",2,(IF(E1669="GV",3,(IF(E1669="RA",4,(IF(E1669="RM",5,(IF(E1669="AC",1,(IF(E1669="AT",2,(IF(E1669="DS",3,(IF(E1669="IP",4,(IF(E1669="MA",5,(IF(E1669="PT",6,(IF(E1669="AE",1,(IF(E1669="CM",2,(IF(E1669="DP",3,(IF(E1669="AN",1,(IF(E1669="CO",2,(IF(E1669="IM",3,(IF(E1669="MI",4,(IF(E1669="RP",5,(IF(E1669="SC",6,0)))))))))))))))))))))))))))))))))))))))</f>
        <v>2</v>
      </c>
      <c r="G1669" s="52">
        <v>1</v>
      </c>
      <c r="H1669" s="90" t="s">
        <v>112</v>
      </c>
      <c r="I1669" s="94" t="s">
        <v>89</v>
      </c>
      <c r="J1669" s="88" t="s">
        <v>517</v>
      </c>
      <c r="K1669" s="102" t="s">
        <v>518</v>
      </c>
      <c r="L1669" s="117">
        <f>IF(O1669="","",N1669*O1669*M1669)</f>
        <v>0</v>
      </c>
      <c r="M1669" s="108">
        <v>1</v>
      </c>
      <c r="N1669" s="95">
        <v>1</v>
      </c>
      <c r="O1669" s="109">
        <f>IF(Key!D$1="ON",P1669,IF(SUM(Q1669:DL1669)&lt;1,"",SUM(Q1669:DL1669)/COUNTIF(Q1669:DL1669,"&gt;0")))</f>
        <v>0</v>
      </c>
      <c r="P1669" s="109">
        <f>SUMIFS(Q1669:DK1669,Q$1:DK$1,Dashboard!$K$31)</f>
        <v>0</v>
      </c>
      <c r="U1669" s="95">
        <v>33</v>
      </c>
      <c r="AA1669" s="95">
        <v>25</v>
      </c>
      <c r="AH1669" s="95">
        <v>75</v>
      </c>
    </row>
    <row r="1670" spans="1:34" x14ac:dyDescent="0.3">
      <c r="A1670" s="89" t="str">
        <f>CONCATENATE(D1670,".",F1670,"-",G1670,".",H1670,"")</f>
        <v>2.2-1.2</v>
      </c>
      <c r="B1670" s="89" t="str">
        <f>IF(CONCATENATE(I1670,Key!F$2)=CONCATENATE(INDEX(Dashboard!J:J,MATCH(I1670,Dashboard!J:J,0),1),INDEX(Dashboard!J:K,MATCH(I1670,Dashboard!J:J,0),2)),"ON",IF(Dashboard!K$32="ALL","ON","-"))</f>
        <v>-</v>
      </c>
      <c r="C1670" s="88" t="s">
        <v>152</v>
      </c>
      <c r="D1670" s="89">
        <f>IF(C1670="ID",1,(IF(C1670="PR",2,(IF(C1670="DE",3,(IF(C1670="RS",4,(IF(C1670="RC",5,0)))))))))</f>
        <v>2</v>
      </c>
      <c r="E1670" s="89" t="s">
        <v>202</v>
      </c>
      <c r="F1670" s="89">
        <f>IF(E1670="AM",1,(IF(E1670="BE",2,(IF(E1670="GV",3,(IF(E1670="RA",4,(IF(E1670="RM",5,(IF(E1670="AC",1,(IF(E1670="AT",2,(IF(E1670="DS",3,(IF(E1670="IP",4,(IF(E1670="MA",5,(IF(E1670="PT",6,(IF(E1670="AE",1,(IF(E1670="CM",2,(IF(E1670="DP",3,(IF(E1670="AN",1,(IF(E1670="CO",2,(IF(E1670="IM",3,(IF(E1670="MI",4,(IF(E1670="RP",5,(IF(E1670="SC",6,0)))))))))))))))))))))))))))))))))))))))</f>
        <v>2</v>
      </c>
      <c r="G1670" s="52">
        <v>1</v>
      </c>
      <c r="H1670" s="90" t="s">
        <v>112</v>
      </c>
      <c r="I1670" s="94" t="s">
        <v>89</v>
      </c>
      <c r="J1670" s="88" t="s">
        <v>519</v>
      </c>
      <c r="K1670" s="102" t="s">
        <v>520</v>
      </c>
      <c r="L1670" s="117">
        <f>IF(O1670="","",N1670*O1670*M1670)</f>
        <v>0</v>
      </c>
      <c r="M1670" s="108">
        <v>1</v>
      </c>
      <c r="N1670" s="95">
        <v>1</v>
      </c>
      <c r="O1670" s="109">
        <f>IF(Key!D$1="ON",P1670,IF(SUM(Q1670:DL1670)&lt;1,"",SUM(Q1670:DL1670)/COUNTIF(Q1670:DL1670,"&gt;0")))</f>
        <v>0</v>
      </c>
      <c r="P1670" s="109">
        <f>SUMIFS(Q1670:DK1670,Q$1:DK$1,Dashboard!$K$31)</f>
        <v>0</v>
      </c>
      <c r="U1670" s="95">
        <v>33</v>
      </c>
      <c r="AA1670" s="95">
        <v>25</v>
      </c>
      <c r="AH1670" s="95">
        <v>75</v>
      </c>
    </row>
    <row r="1671" spans="1:34" x14ac:dyDescent="0.3">
      <c r="A1671" s="89" t="str">
        <f>CONCATENATE(D1671,".",F1671,"-",G1671,".",H1671,"")</f>
        <v>2.2-1.2</v>
      </c>
      <c r="B1671" s="89" t="str">
        <f>IF(CONCATENATE(I1671,Key!F$2)=CONCATENATE(INDEX(Dashboard!J:J,MATCH(I1671,Dashboard!J:J,0),1),INDEX(Dashboard!J:K,MATCH(I1671,Dashboard!J:J,0),2)),"ON",IF(Dashboard!K$32="ALL","ON","-"))</f>
        <v>-</v>
      </c>
      <c r="C1671" s="88" t="s">
        <v>152</v>
      </c>
      <c r="D1671" s="89">
        <f>IF(C1671="ID",1,(IF(C1671="PR",2,(IF(C1671="DE",3,(IF(C1671="RS",4,(IF(C1671="RC",5,0)))))))))</f>
        <v>2</v>
      </c>
      <c r="E1671" s="89" t="s">
        <v>202</v>
      </c>
      <c r="F1671" s="89">
        <f>IF(E1671="AM",1,(IF(E1671="BE",2,(IF(E1671="GV",3,(IF(E1671="RA",4,(IF(E1671="RM",5,(IF(E1671="AC",1,(IF(E1671="AT",2,(IF(E1671="DS",3,(IF(E1671="IP",4,(IF(E1671="MA",5,(IF(E1671="PT",6,(IF(E1671="AE",1,(IF(E1671="CM",2,(IF(E1671="DP",3,(IF(E1671="AN",1,(IF(E1671="CO",2,(IF(E1671="IM",3,(IF(E1671="MI",4,(IF(E1671="RP",5,(IF(E1671="SC",6,0)))))))))))))))))))))))))))))))))))))))</f>
        <v>2</v>
      </c>
      <c r="G1671" s="52">
        <v>1</v>
      </c>
      <c r="H1671" s="90" t="s">
        <v>112</v>
      </c>
      <c r="I1671" s="94" t="s">
        <v>89</v>
      </c>
      <c r="J1671" s="88" t="s">
        <v>521</v>
      </c>
      <c r="K1671" s="102" t="s">
        <v>522</v>
      </c>
      <c r="L1671" s="117">
        <f>IF(O1671="","",N1671*O1671*M1671)</f>
        <v>0</v>
      </c>
      <c r="M1671" s="108">
        <v>1</v>
      </c>
      <c r="N1671" s="95">
        <v>1</v>
      </c>
      <c r="O1671" s="109">
        <f>IF(Key!D$1="ON",P1671,IF(SUM(Q1671:DL1671)&lt;1,"",SUM(Q1671:DL1671)/COUNTIF(Q1671:DL1671,"&gt;0")))</f>
        <v>0</v>
      </c>
      <c r="P1671" s="109">
        <f>SUMIFS(Q1671:DK1671,Q$1:DK$1,Dashboard!$K$31)</f>
        <v>0</v>
      </c>
      <c r="U1671" s="95">
        <v>33</v>
      </c>
      <c r="AA1671" s="95">
        <v>25</v>
      </c>
      <c r="AH1671" s="95">
        <v>75</v>
      </c>
    </row>
    <row r="1672" spans="1:34" x14ac:dyDescent="0.3">
      <c r="A1672" s="89" t="str">
        <f>CONCATENATE(D1672,".",F1672,"-",G1672,".",H1672,"")</f>
        <v>2.2-1.2</v>
      </c>
      <c r="B1672" s="89" t="str">
        <f>IF(CONCATENATE(I1672,Key!F$2)=CONCATENATE(INDEX(Dashboard!J:J,MATCH(I1672,Dashboard!J:J,0),1),INDEX(Dashboard!J:K,MATCH(I1672,Dashboard!J:J,0),2)),"ON",IF(Dashboard!K$32="ALL","ON","-"))</f>
        <v>-</v>
      </c>
      <c r="C1672" s="88" t="s">
        <v>152</v>
      </c>
      <c r="D1672" s="89">
        <f>IF(C1672="ID",1,(IF(C1672="PR",2,(IF(C1672="DE",3,(IF(C1672="RS",4,(IF(C1672="RC",5,0)))))))))</f>
        <v>2</v>
      </c>
      <c r="E1672" s="89" t="s">
        <v>202</v>
      </c>
      <c r="F1672" s="89">
        <f>IF(E1672="AM",1,(IF(E1672="BE",2,(IF(E1672="GV",3,(IF(E1672="RA",4,(IF(E1672="RM",5,(IF(E1672="AC",1,(IF(E1672="AT",2,(IF(E1672="DS",3,(IF(E1672="IP",4,(IF(E1672="MA",5,(IF(E1672="PT",6,(IF(E1672="AE",1,(IF(E1672="CM",2,(IF(E1672="DP",3,(IF(E1672="AN",1,(IF(E1672="CO",2,(IF(E1672="IM",3,(IF(E1672="MI",4,(IF(E1672="RP",5,(IF(E1672="SC",6,0)))))))))))))))))))))))))))))))))))))))</f>
        <v>2</v>
      </c>
      <c r="G1672" s="52">
        <v>1</v>
      </c>
      <c r="H1672" s="90" t="s">
        <v>112</v>
      </c>
      <c r="I1672" s="94" t="s">
        <v>89</v>
      </c>
      <c r="J1672" s="88" t="s">
        <v>523</v>
      </c>
      <c r="K1672" s="102" t="s">
        <v>524</v>
      </c>
      <c r="L1672" s="117">
        <f>IF(O1672="","",N1672*O1672*M1672)</f>
        <v>0</v>
      </c>
      <c r="M1672" s="108">
        <v>1</v>
      </c>
      <c r="N1672" s="95">
        <v>1</v>
      </c>
      <c r="O1672" s="109">
        <f>IF(Key!D$1="ON",P1672,IF(SUM(Q1672:DL1672)&lt;1,"",SUM(Q1672:DL1672)/COUNTIF(Q1672:DL1672,"&gt;0")))</f>
        <v>0</v>
      </c>
      <c r="P1672" s="109">
        <f>SUMIFS(Q1672:DK1672,Q$1:DK$1,Dashboard!$K$31)</f>
        <v>0</v>
      </c>
      <c r="U1672" s="95">
        <v>33</v>
      </c>
      <c r="AA1672" s="95">
        <v>25</v>
      </c>
      <c r="AH1672" s="95">
        <v>75</v>
      </c>
    </row>
    <row r="1673" spans="1:34" x14ac:dyDescent="0.3">
      <c r="A1673" s="89" t="str">
        <f>CONCATENATE(D1673,".",F1673,"-",G1673,".",H1673,"")</f>
        <v>2.2-1.2</v>
      </c>
      <c r="B1673" s="89" t="str">
        <f>IF(CONCATENATE(I1673,Key!F$2)=CONCATENATE(INDEX(Dashboard!J:J,MATCH(I1673,Dashboard!J:J,0),1),INDEX(Dashboard!J:K,MATCH(I1673,Dashboard!J:J,0),2)),"ON",IF(Dashboard!K$32="ALL","ON","-"))</f>
        <v>-</v>
      </c>
      <c r="C1673" s="88" t="s">
        <v>152</v>
      </c>
      <c r="D1673" s="89">
        <f>IF(C1673="ID",1,(IF(C1673="PR",2,(IF(C1673="DE",3,(IF(C1673="RS",4,(IF(C1673="RC",5,0)))))))))</f>
        <v>2</v>
      </c>
      <c r="E1673" s="89" t="s">
        <v>202</v>
      </c>
      <c r="F1673" s="89">
        <f>IF(E1673="AM",1,(IF(E1673="BE",2,(IF(E1673="GV",3,(IF(E1673="RA",4,(IF(E1673="RM",5,(IF(E1673="AC",1,(IF(E1673="AT",2,(IF(E1673="DS",3,(IF(E1673="IP",4,(IF(E1673="MA",5,(IF(E1673="PT",6,(IF(E1673="AE",1,(IF(E1673="CM",2,(IF(E1673="DP",3,(IF(E1673="AN",1,(IF(E1673="CO",2,(IF(E1673="IM",3,(IF(E1673="MI",4,(IF(E1673="RP",5,(IF(E1673="SC",6,0)))))))))))))))))))))))))))))))))))))))</f>
        <v>2</v>
      </c>
      <c r="G1673" s="52">
        <v>1</v>
      </c>
      <c r="H1673" s="90" t="s">
        <v>112</v>
      </c>
      <c r="I1673" s="94" t="s">
        <v>89</v>
      </c>
      <c r="J1673" s="88" t="s">
        <v>525</v>
      </c>
      <c r="K1673" s="102" t="s">
        <v>526</v>
      </c>
      <c r="L1673" s="117">
        <f>IF(O1673="","",N1673*O1673*M1673)</f>
        <v>0</v>
      </c>
      <c r="M1673" s="108">
        <v>1</v>
      </c>
      <c r="N1673" s="95">
        <v>1</v>
      </c>
      <c r="O1673" s="109">
        <f>IF(Key!D$1="ON",P1673,IF(SUM(Q1673:DL1673)&lt;1,"",SUM(Q1673:DL1673)/COUNTIF(Q1673:DL1673,"&gt;0")))</f>
        <v>0</v>
      </c>
      <c r="P1673" s="109">
        <f>SUMIFS(Q1673:DK1673,Q$1:DK$1,Dashboard!$K$31)</f>
        <v>0</v>
      </c>
      <c r="U1673" s="95">
        <v>33</v>
      </c>
      <c r="AA1673" s="95">
        <v>25</v>
      </c>
      <c r="AH1673" s="95">
        <v>75</v>
      </c>
    </row>
    <row r="1674" spans="1:34" x14ac:dyDescent="0.3">
      <c r="A1674" s="89" t="str">
        <f>CONCATENATE(D1674,".",F1674,"-",G1674,".",H1674,"")</f>
        <v>2.2-1.2</v>
      </c>
      <c r="B1674" s="89" t="str">
        <f>IF(CONCATENATE(I1674,Key!F$2)=CONCATENATE(INDEX(Dashboard!J:J,MATCH(I1674,Dashboard!J:J,0),1),INDEX(Dashboard!J:K,MATCH(I1674,Dashboard!J:J,0),2)),"ON",IF(Dashboard!K$32="ALL","ON","-"))</f>
        <v>-</v>
      </c>
      <c r="C1674" s="88" t="s">
        <v>152</v>
      </c>
      <c r="D1674" s="89">
        <f>IF(C1674="ID",1,(IF(C1674="PR",2,(IF(C1674="DE",3,(IF(C1674="RS",4,(IF(C1674="RC",5,0)))))))))</f>
        <v>2</v>
      </c>
      <c r="E1674" s="89" t="s">
        <v>202</v>
      </c>
      <c r="F1674" s="89">
        <f>IF(E1674="AM",1,(IF(E1674="BE",2,(IF(E1674="GV",3,(IF(E1674="RA",4,(IF(E1674="RM",5,(IF(E1674="AC",1,(IF(E1674="AT",2,(IF(E1674="DS",3,(IF(E1674="IP",4,(IF(E1674="MA",5,(IF(E1674="PT",6,(IF(E1674="AE",1,(IF(E1674="CM",2,(IF(E1674="DP",3,(IF(E1674="AN",1,(IF(E1674="CO",2,(IF(E1674="IM",3,(IF(E1674="MI",4,(IF(E1674="RP",5,(IF(E1674="SC",6,0)))))))))))))))))))))))))))))))))))))))</f>
        <v>2</v>
      </c>
      <c r="G1674" s="52">
        <v>1</v>
      </c>
      <c r="H1674" s="90" t="s">
        <v>112</v>
      </c>
      <c r="I1674" s="94" t="s">
        <v>89</v>
      </c>
      <c r="J1674" s="88" t="s">
        <v>527</v>
      </c>
      <c r="K1674" s="102" t="s">
        <v>528</v>
      </c>
      <c r="L1674" s="117">
        <f>IF(O1674="","",N1674*O1674*M1674)</f>
        <v>0</v>
      </c>
      <c r="M1674" s="108">
        <v>1</v>
      </c>
      <c r="N1674" s="95">
        <v>1</v>
      </c>
      <c r="O1674" s="109">
        <f>IF(Key!D$1="ON",P1674,IF(SUM(Q1674:DL1674)&lt;1,"",SUM(Q1674:DL1674)/COUNTIF(Q1674:DL1674,"&gt;0")))</f>
        <v>0</v>
      </c>
      <c r="P1674" s="109">
        <f>SUMIFS(Q1674:DK1674,Q$1:DK$1,Dashboard!$K$31)</f>
        <v>0</v>
      </c>
      <c r="U1674" s="95">
        <v>33</v>
      </c>
      <c r="AA1674" s="95">
        <v>25</v>
      </c>
      <c r="AH1674" s="95">
        <v>75</v>
      </c>
    </row>
    <row r="1675" spans="1:34" x14ac:dyDescent="0.3">
      <c r="A1675" s="89" t="str">
        <f>CONCATENATE(D1675,".",F1675,"-",G1675,".",H1675,"")</f>
        <v>2.2-1.2</v>
      </c>
      <c r="B1675" s="89" t="str">
        <f>IF(CONCATENATE(I1675,Key!F$2)=CONCATENATE(INDEX(Dashboard!J:J,MATCH(I1675,Dashboard!J:J,0),1),INDEX(Dashboard!J:K,MATCH(I1675,Dashboard!J:J,0),2)),"ON",IF(Dashboard!K$32="ALL","ON","-"))</f>
        <v>-</v>
      </c>
      <c r="C1675" s="88" t="s">
        <v>152</v>
      </c>
      <c r="D1675" s="89">
        <f>IF(C1675="ID",1,(IF(C1675="PR",2,(IF(C1675="DE",3,(IF(C1675="RS",4,(IF(C1675="RC",5,0)))))))))</f>
        <v>2</v>
      </c>
      <c r="E1675" s="89" t="s">
        <v>202</v>
      </c>
      <c r="F1675" s="89">
        <f>IF(E1675="AM",1,(IF(E1675="BE",2,(IF(E1675="GV",3,(IF(E1675="RA",4,(IF(E1675="RM",5,(IF(E1675="AC",1,(IF(E1675="AT",2,(IF(E1675="DS",3,(IF(E1675="IP",4,(IF(E1675="MA",5,(IF(E1675="PT",6,(IF(E1675="AE",1,(IF(E1675="CM",2,(IF(E1675="DP",3,(IF(E1675="AN",1,(IF(E1675="CO",2,(IF(E1675="IM",3,(IF(E1675="MI",4,(IF(E1675="RP",5,(IF(E1675="SC",6,0)))))))))))))))))))))))))))))))))))))))</f>
        <v>2</v>
      </c>
      <c r="G1675" s="52">
        <v>1</v>
      </c>
      <c r="H1675" s="90" t="s">
        <v>112</v>
      </c>
      <c r="I1675" s="94" t="s">
        <v>89</v>
      </c>
      <c r="J1675" s="88" t="s">
        <v>529</v>
      </c>
      <c r="K1675" s="102" t="s">
        <v>530</v>
      </c>
      <c r="L1675" s="117">
        <f>IF(O1675="","",N1675*O1675*M1675)</f>
        <v>0</v>
      </c>
      <c r="M1675" s="108">
        <v>1</v>
      </c>
      <c r="N1675" s="95">
        <v>1</v>
      </c>
      <c r="O1675" s="109">
        <f>IF(Key!D$1="ON",P1675,IF(SUM(Q1675:DL1675)&lt;1,"",SUM(Q1675:DL1675)/COUNTIF(Q1675:DL1675,"&gt;0")))</f>
        <v>0</v>
      </c>
      <c r="P1675" s="109">
        <f>SUMIFS(Q1675:DK1675,Q$1:DK$1,Dashboard!$K$31)</f>
        <v>0</v>
      </c>
      <c r="U1675" s="95">
        <v>33</v>
      </c>
      <c r="AA1675" s="95">
        <v>25</v>
      </c>
      <c r="AH1675" s="95">
        <v>75</v>
      </c>
    </row>
    <row r="1676" spans="1:34" x14ac:dyDescent="0.3">
      <c r="A1676" s="89" t="str">
        <f>CONCATENATE(D1676,".",F1676,"-",G1676,".",H1676,"")</f>
        <v>2.2-1.2</v>
      </c>
      <c r="B1676" s="89" t="str">
        <f>IF(CONCATENATE(I1676,Key!F$2)=CONCATENATE(INDEX(Dashboard!J:J,MATCH(I1676,Dashboard!J:J,0),1),INDEX(Dashboard!J:K,MATCH(I1676,Dashboard!J:J,0),2)),"ON",IF(Dashboard!K$32="ALL","ON","-"))</f>
        <v>-</v>
      </c>
      <c r="C1676" s="88" t="s">
        <v>152</v>
      </c>
      <c r="D1676" s="89">
        <f>IF(C1676="ID",1,(IF(C1676="PR",2,(IF(C1676="DE",3,(IF(C1676="RS",4,(IF(C1676="RC",5,0)))))))))</f>
        <v>2</v>
      </c>
      <c r="E1676" s="89" t="s">
        <v>202</v>
      </c>
      <c r="F1676" s="89">
        <f>IF(E1676="AM",1,(IF(E1676="BE",2,(IF(E1676="GV",3,(IF(E1676="RA",4,(IF(E1676="RM",5,(IF(E1676="AC",1,(IF(E1676="AT",2,(IF(E1676="DS",3,(IF(E1676="IP",4,(IF(E1676="MA",5,(IF(E1676="PT",6,(IF(E1676="AE",1,(IF(E1676="CM",2,(IF(E1676="DP",3,(IF(E1676="AN",1,(IF(E1676="CO",2,(IF(E1676="IM",3,(IF(E1676="MI",4,(IF(E1676="RP",5,(IF(E1676="SC",6,0)))))))))))))))))))))))))))))))))))))))</f>
        <v>2</v>
      </c>
      <c r="G1676" s="52">
        <v>1</v>
      </c>
      <c r="H1676" s="90" t="s">
        <v>112</v>
      </c>
      <c r="I1676" s="94" t="s">
        <v>89</v>
      </c>
      <c r="J1676" s="88" t="s">
        <v>531</v>
      </c>
      <c r="K1676" s="102" t="s">
        <v>532</v>
      </c>
      <c r="L1676" s="117">
        <f>IF(O1676="","",N1676*O1676*M1676)</f>
        <v>0</v>
      </c>
      <c r="M1676" s="108">
        <v>1</v>
      </c>
      <c r="N1676" s="95">
        <v>1</v>
      </c>
      <c r="O1676" s="109">
        <f>IF(Key!D$1="ON",P1676,IF(SUM(Q1676:DL1676)&lt;1,"",SUM(Q1676:DL1676)/COUNTIF(Q1676:DL1676,"&gt;0")))</f>
        <v>0</v>
      </c>
      <c r="P1676" s="109">
        <f>SUMIFS(Q1676:DK1676,Q$1:DK$1,Dashboard!$K$31)</f>
        <v>0</v>
      </c>
      <c r="U1676" s="95">
        <v>33</v>
      </c>
      <c r="AA1676" s="95">
        <v>25</v>
      </c>
      <c r="AH1676" s="95">
        <v>75</v>
      </c>
    </row>
    <row r="1677" spans="1:34" x14ac:dyDescent="0.3">
      <c r="A1677" s="89" t="str">
        <f>CONCATENATE(D1677,".",F1677,"-",G1677,".",H1677,"")</f>
        <v>2.2-1.2</v>
      </c>
      <c r="B1677" s="89" t="str">
        <f>IF(CONCATENATE(I1677,Key!F$2)=CONCATENATE(INDEX(Dashboard!J:J,MATCH(I1677,Dashboard!J:J,0),1),INDEX(Dashboard!J:K,MATCH(I1677,Dashboard!J:J,0),2)),"ON",IF(Dashboard!K$32="ALL","ON","-"))</f>
        <v>-</v>
      </c>
      <c r="C1677" s="88" t="s">
        <v>152</v>
      </c>
      <c r="D1677" s="89">
        <f>IF(C1677="ID",1,(IF(C1677="PR",2,(IF(C1677="DE",3,(IF(C1677="RS",4,(IF(C1677="RC",5,0)))))))))</f>
        <v>2</v>
      </c>
      <c r="E1677" s="89" t="s">
        <v>202</v>
      </c>
      <c r="F1677" s="89">
        <f>IF(E1677="AM",1,(IF(E1677="BE",2,(IF(E1677="GV",3,(IF(E1677="RA",4,(IF(E1677="RM",5,(IF(E1677="AC",1,(IF(E1677="AT",2,(IF(E1677="DS",3,(IF(E1677="IP",4,(IF(E1677="MA",5,(IF(E1677="PT",6,(IF(E1677="AE",1,(IF(E1677="CM",2,(IF(E1677="DP",3,(IF(E1677="AN",1,(IF(E1677="CO",2,(IF(E1677="IM",3,(IF(E1677="MI",4,(IF(E1677="RP",5,(IF(E1677="SC",6,0)))))))))))))))))))))))))))))))))))))))</f>
        <v>2</v>
      </c>
      <c r="G1677" s="52">
        <v>1</v>
      </c>
      <c r="H1677" s="90" t="s">
        <v>112</v>
      </c>
      <c r="I1677" s="94" t="s">
        <v>89</v>
      </c>
      <c r="J1677" s="88" t="s">
        <v>533</v>
      </c>
      <c r="K1677" s="102" t="s">
        <v>534</v>
      </c>
      <c r="L1677" s="117">
        <f>IF(O1677="","",N1677*O1677*M1677)</f>
        <v>0</v>
      </c>
      <c r="M1677" s="108">
        <v>1</v>
      </c>
      <c r="N1677" s="95">
        <v>1</v>
      </c>
      <c r="O1677" s="109">
        <f>IF(Key!D$1="ON",P1677,IF(SUM(Q1677:DL1677)&lt;1,"",SUM(Q1677:DL1677)/COUNTIF(Q1677:DL1677,"&gt;0")))</f>
        <v>0</v>
      </c>
      <c r="P1677" s="109">
        <f>SUMIFS(Q1677:DK1677,Q$1:DK$1,Dashboard!$K$31)</f>
        <v>0</v>
      </c>
      <c r="U1677" s="95">
        <v>33</v>
      </c>
      <c r="AA1677" s="95">
        <v>25</v>
      </c>
      <c r="AH1677" s="95">
        <v>75</v>
      </c>
    </row>
    <row r="1678" spans="1:34" x14ac:dyDescent="0.3">
      <c r="A1678" s="89" t="str">
        <f>CONCATENATE(D1678,".",F1678,"-",G1678,".",H1678,"")</f>
        <v>2.2-1.2</v>
      </c>
      <c r="B1678" s="89" t="str">
        <f>IF(CONCATENATE(I1678,Key!F$2)=CONCATENATE(INDEX(Dashboard!J:J,MATCH(I1678,Dashboard!J:J,0),1),INDEX(Dashboard!J:K,MATCH(I1678,Dashboard!J:J,0),2)),"ON",IF(Dashboard!K$32="ALL","ON","-"))</f>
        <v>-</v>
      </c>
      <c r="C1678" s="88" t="s">
        <v>152</v>
      </c>
      <c r="D1678" s="89">
        <f>IF(C1678="ID",1,(IF(C1678="PR",2,(IF(C1678="DE",3,(IF(C1678="RS",4,(IF(C1678="RC",5,0)))))))))</f>
        <v>2</v>
      </c>
      <c r="E1678" s="89" t="s">
        <v>202</v>
      </c>
      <c r="F1678" s="89">
        <f>IF(E1678="AM",1,(IF(E1678="BE",2,(IF(E1678="GV",3,(IF(E1678="RA",4,(IF(E1678="RM",5,(IF(E1678="AC",1,(IF(E1678="AT",2,(IF(E1678="DS",3,(IF(E1678="IP",4,(IF(E1678="MA",5,(IF(E1678="PT",6,(IF(E1678="AE",1,(IF(E1678="CM",2,(IF(E1678="DP",3,(IF(E1678="AN",1,(IF(E1678="CO",2,(IF(E1678="IM",3,(IF(E1678="MI",4,(IF(E1678="RP",5,(IF(E1678="SC",6,0)))))))))))))))))))))))))))))))))))))))</f>
        <v>2</v>
      </c>
      <c r="G1678" s="52">
        <v>1</v>
      </c>
      <c r="H1678" s="90" t="s">
        <v>112</v>
      </c>
      <c r="I1678" s="94" t="s">
        <v>89</v>
      </c>
      <c r="J1678" s="88" t="s">
        <v>535</v>
      </c>
      <c r="K1678" s="102" t="s">
        <v>536</v>
      </c>
      <c r="L1678" s="117">
        <f>IF(O1678="","",N1678*O1678*M1678)</f>
        <v>0</v>
      </c>
      <c r="M1678" s="108">
        <v>1</v>
      </c>
      <c r="N1678" s="95">
        <v>1</v>
      </c>
      <c r="O1678" s="109">
        <f>IF(Key!D$1="ON",P1678,IF(SUM(Q1678:DL1678)&lt;1,"",SUM(Q1678:DL1678)/COUNTIF(Q1678:DL1678,"&gt;0")))</f>
        <v>0</v>
      </c>
      <c r="P1678" s="109">
        <f>SUMIFS(Q1678:DK1678,Q$1:DK$1,Dashboard!$K$31)</f>
        <v>0</v>
      </c>
      <c r="U1678" s="95">
        <v>33</v>
      </c>
      <c r="AA1678" s="95">
        <v>25</v>
      </c>
      <c r="AH1678" s="95">
        <v>75</v>
      </c>
    </row>
    <row r="1679" spans="1:34" x14ac:dyDescent="0.3">
      <c r="A1679" s="89" t="str">
        <f>CONCATENATE(D1679,".",F1679,"-",G1679,".",H1679,"")</f>
        <v>2.2-1.2</v>
      </c>
      <c r="B1679" s="89" t="str">
        <f>IF(CONCATENATE(I1679,Key!F$2)=CONCATENATE(INDEX(Dashboard!J:J,MATCH(I1679,Dashboard!J:J,0),1),INDEX(Dashboard!J:K,MATCH(I1679,Dashboard!J:J,0),2)),"ON",IF(Dashboard!K$32="ALL","ON","-"))</f>
        <v>-</v>
      </c>
      <c r="C1679" s="88" t="s">
        <v>152</v>
      </c>
      <c r="D1679" s="89">
        <f>IF(C1679="ID",1,(IF(C1679="PR",2,(IF(C1679="DE",3,(IF(C1679="RS",4,(IF(C1679="RC",5,0)))))))))</f>
        <v>2</v>
      </c>
      <c r="E1679" s="89" t="s">
        <v>202</v>
      </c>
      <c r="F1679" s="89">
        <f>IF(E1679="AM",1,(IF(E1679="BE",2,(IF(E1679="GV",3,(IF(E1679="RA",4,(IF(E1679="RM",5,(IF(E1679="AC",1,(IF(E1679="AT",2,(IF(E1679="DS",3,(IF(E1679="IP",4,(IF(E1679="MA",5,(IF(E1679="PT",6,(IF(E1679="AE",1,(IF(E1679="CM",2,(IF(E1679="DP",3,(IF(E1679="AN",1,(IF(E1679="CO",2,(IF(E1679="IM",3,(IF(E1679="MI",4,(IF(E1679="RP",5,(IF(E1679="SC",6,0)))))))))))))))))))))))))))))))))))))))</f>
        <v>2</v>
      </c>
      <c r="G1679" s="52">
        <v>1</v>
      </c>
      <c r="H1679" s="90" t="s">
        <v>112</v>
      </c>
      <c r="I1679" s="94" t="s">
        <v>89</v>
      </c>
      <c r="J1679" s="88" t="s">
        <v>537</v>
      </c>
      <c r="K1679" s="102" t="s">
        <v>538</v>
      </c>
      <c r="L1679" s="117">
        <f>IF(O1679="","",N1679*O1679*M1679)</f>
        <v>0</v>
      </c>
      <c r="M1679" s="108">
        <v>1</v>
      </c>
      <c r="N1679" s="95">
        <v>1</v>
      </c>
      <c r="O1679" s="109">
        <f>IF(Key!D$1="ON",P1679,IF(SUM(Q1679:DL1679)&lt;1,"",SUM(Q1679:DL1679)/COUNTIF(Q1679:DL1679,"&gt;0")))</f>
        <v>0</v>
      </c>
      <c r="P1679" s="109">
        <f>SUMIFS(Q1679:DK1679,Q$1:DK$1,Dashboard!$K$31)</f>
        <v>0</v>
      </c>
      <c r="U1679" s="95">
        <v>33</v>
      </c>
      <c r="AA1679" s="95">
        <v>25</v>
      </c>
      <c r="AH1679" s="95">
        <v>75</v>
      </c>
    </row>
    <row r="1680" spans="1:34" x14ac:dyDescent="0.3">
      <c r="A1680" s="89" t="str">
        <f>CONCATENATE(D1680,".",F1680,"-",G1680,".",H1680,"")</f>
        <v>2.2-1.2</v>
      </c>
      <c r="B1680" s="89" t="str">
        <f>IF(CONCATENATE(I1680,Key!F$2)=CONCATENATE(INDEX(Dashboard!J:J,MATCH(I1680,Dashboard!J:J,0),1),INDEX(Dashboard!J:K,MATCH(I1680,Dashboard!J:J,0),2)),"ON",IF(Dashboard!K$32="ALL","ON","-"))</f>
        <v>-</v>
      </c>
      <c r="C1680" s="88" t="s">
        <v>152</v>
      </c>
      <c r="D1680" s="89">
        <f>IF(C1680="ID",1,(IF(C1680="PR",2,(IF(C1680="DE",3,(IF(C1680="RS",4,(IF(C1680="RC",5,0)))))))))</f>
        <v>2</v>
      </c>
      <c r="E1680" s="89" t="s">
        <v>202</v>
      </c>
      <c r="F1680" s="89">
        <f>IF(E1680="AM",1,(IF(E1680="BE",2,(IF(E1680="GV",3,(IF(E1680="RA",4,(IF(E1680="RM",5,(IF(E1680="AC",1,(IF(E1680="AT",2,(IF(E1680="DS",3,(IF(E1680="IP",4,(IF(E1680="MA",5,(IF(E1680="PT",6,(IF(E1680="AE",1,(IF(E1680="CM",2,(IF(E1680="DP",3,(IF(E1680="AN",1,(IF(E1680="CO",2,(IF(E1680="IM",3,(IF(E1680="MI",4,(IF(E1680="RP",5,(IF(E1680="SC",6,0)))))))))))))))))))))))))))))))))))))))</f>
        <v>2</v>
      </c>
      <c r="G1680" s="52">
        <v>1</v>
      </c>
      <c r="H1680" s="90" t="s">
        <v>112</v>
      </c>
      <c r="I1680" s="94" t="s">
        <v>89</v>
      </c>
      <c r="J1680" s="88" t="s">
        <v>539</v>
      </c>
      <c r="K1680" s="102" t="s">
        <v>540</v>
      </c>
      <c r="L1680" s="117">
        <f>IF(O1680="","",N1680*O1680*M1680)</f>
        <v>0</v>
      </c>
      <c r="M1680" s="108">
        <v>1</v>
      </c>
      <c r="N1680" s="95">
        <v>1</v>
      </c>
      <c r="O1680" s="109">
        <f>IF(Key!D$1="ON",P1680,IF(SUM(Q1680:DL1680)&lt;1,"",SUM(Q1680:DL1680)/COUNTIF(Q1680:DL1680,"&gt;0")))</f>
        <v>0</v>
      </c>
      <c r="P1680" s="109">
        <f>SUMIFS(Q1680:DK1680,Q$1:DK$1,Dashboard!$K$31)</f>
        <v>0</v>
      </c>
      <c r="U1680" s="95">
        <v>33</v>
      </c>
      <c r="AA1680" s="95">
        <v>25</v>
      </c>
      <c r="AH1680" s="95">
        <v>75</v>
      </c>
    </row>
    <row r="1681" spans="1:34" x14ac:dyDescent="0.3">
      <c r="A1681" s="89" t="str">
        <f>CONCATENATE(D1681,".",F1681,"-",G1681,".",H1681,"")</f>
        <v>2.2-1.2</v>
      </c>
      <c r="B1681" s="89" t="str">
        <f>IF(CONCATENATE(I1681,Key!F$2)=CONCATENATE(INDEX(Dashboard!J:J,MATCH(I1681,Dashboard!J:J,0),1),INDEX(Dashboard!J:K,MATCH(I1681,Dashboard!J:J,0),2)),"ON",IF(Dashboard!K$32="ALL","ON","-"))</f>
        <v>-</v>
      </c>
      <c r="C1681" s="88" t="s">
        <v>152</v>
      </c>
      <c r="D1681" s="89">
        <f>IF(C1681="ID",1,(IF(C1681="PR",2,(IF(C1681="DE",3,(IF(C1681="RS",4,(IF(C1681="RC",5,0)))))))))</f>
        <v>2</v>
      </c>
      <c r="E1681" s="89" t="s">
        <v>202</v>
      </c>
      <c r="F1681" s="89">
        <f>IF(E1681="AM",1,(IF(E1681="BE",2,(IF(E1681="GV",3,(IF(E1681="RA",4,(IF(E1681="RM",5,(IF(E1681="AC",1,(IF(E1681="AT",2,(IF(E1681="DS",3,(IF(E1681="IP",4,(IF(E1681="MA",5,(IF(E1681="PT",6,(IF(E1681="AE",1,(IF(E1681="CM",2,(IF(E1681="DP",3,(IF(E1681="AN",1,(IF(E1681="CO",2,(IF(E1681="IM",3,(IF(E1681="MI",4,(IF(E1681="RP",5,(IF(E1681="SC",6,0)))))))))))))))))))))))))))))))))))))))</f>
        <v>2</v>
      </c>
      <c r="G1681" s="52">
        <v>1</v>
      </c>
      <c r="H1681" s="90" t="s">
        <v>112</v>
      </c>
      <c r="I1681" s="94" t="s">
        <v>89</v>
      </c>
      <c r="J1681" s="88" t="s">
        <v>541</v>
      </c>
      <c r="K1681" s="102" t="s">
        <v>542</v>
      </c>
      <c r="L1681" s="117">
        <f>IF(O1681="","",N1681*O1681*M1681)</f>
        <v>0</v>
      </c>
      <c r="M1681" s="108">
        <v>1</v>
      </c>
      <c r="N1681" s="95">
        <v>1</v>
      </c>
      <c r="O1681" s="109">
        <f>IF(Key!D$1="ON",P1681,IF(SUM(Q1681:DL1681)&lt;1,"",SUM(Q1681:DL1681)/COUNTIF(Q1681:DL1681,"&gt;0")))</f>
        <v>0</v>
      </c>
      <c r="P1681" s="109">
        <f>SUMIFS(Q1681:DK1681,Q$1:DK$1,Dashboard!$K$31)</f>
        <v>0</v>
      </c>
      <c r="U1681" s="95">
        <v>33</v>
      </c>
      <c r="AA1681" s="95">
        <v>25</v>
      </c>
      <c r="AH1681" s="95">
        <v>75</v>
      </c>
    </row>
    <row r="1682" spans="1:34" x14ac:dyDescent="0.3">
      <c r="A1682" s="89" t="str">
        <f>CONCATENATE(D1682,".",F1682,"-",G1682,".",H1682,"")</f>
        <v>2.2-1.3</v>
      </c>
      <c r="B1682" s="89" t="str">
        <f>IF(CONCATENATE(I1682,Key!F$2)=CONCATENATE(INDEX(Dashboard!J:J,MATCH(I1682,Dashboard!J:J,0),1),INDEX(Dashboard!J:K,MATCH(I1682,Dashboard!J:J,0),2)),"ON",IF(Dashboard!K$32="ALL","ON","-"))</f>
        <v>-</v>
      </c>
      <c r="C1682" s="88" t="s">
        <v>152</v>
      </c>
      <c r="D1682" s="89">
        <f>IF(C1682="ID",1,(IF(C1682="PR",2,(IF(C1682="DE",3,(IF(C1682="RS",4,(IF(C1682="RC",5,0)))))))))</f>
        <v>2</v>
      </c>
      <c r="E1682" s="89" t="s">
        <v>202</v>
      </c>
      <c r="F1682" s="89">
        <f>IF(E1682="AM",1,(IF(E1682="BE",2,(IF(E1682="GV",3,(IF(E1682="RA",4,(IF(E1682="RM",5,(IF(E1682="AC",1,(IF(E1682="AT",2,(IF(E1682="DS",3,(IF(E1682="IP",4,(IF(E1682="MA",5,(IF(E1682="PT",6,(IF(E1682="AE",1,(IF(E1682="CM",2,(IF(E1682="DP",3,(IF(E1682="AN",1,(IF(E1682="CO",2,(IF(E1682="IM",3,(IF(E1682="MI",4,(IF(E1682="RP",5,(IF(E1682="SC",6,0)))))))))))))))))))))))))))))))))))))))</f>
        <v>2</v>
      </c>
      <c r="G1682" s="52">
        <v>1</v>
      </c>
      <c r="H1682" s="90" t="s">
        <v>280</v>
      </c>
      <c r="I1682" s="94" t="s">
        <v>85</v>
      </c>
      <c r="J1682" s="86" t="s">
        <v>3904</v>
      </c>
      <c r="K1682" s="119" t="s">
        <v>3905</v>
      </c>
      <c r="L1682" s="117">
        <f>IF(O1682="","",N1682*O1682*M1682)</f>
        <v>0</v>
      </c>
      <c r="M1682" s="108">
        <v>0.9</v>
      </c>
      <c r="N1682" s="95">
        <v>1</v>
      </c>
      <c r="O1682" s="109">
        <f>IF(Key!D$1="ON",P1682,IF(SUM(Q1682:DL1682)&lt;1,"",SUM(Q1682:DL1682)/COUNTIF(Q1682:DL1682,"&gt;0")))</f>
        <v>0</v>
      </c>
      <c r="P1682" s="109">
        <f>SUMIFS(Q1682:DK1682,Q$1:DK$1,Dashboard!$K$31)</f>
        <v>0</v>
      </c>
      <c r="S1682" s="95">
        <v>25</v>
      </c>
      <c r="T1682" s="95">
        <v>80</v>
      </c>
      <c r="U1682" s="95">
        <v>33</v>
      </c>
      <c r="AA1682" s="95">
        <v>25</v>
      </c>
      <c r="AH1682" s="95">
        <v>75</v>
      </c>
    </row>
    <row r="1683" spans="1:34" x14ac:dyDescent="0.3">
      <c r="A1683" s="89" t="str">
        <f>CONCATENATE(D1683,".",F1683,"-",G1683,".",H1683,"")</f>
        <v>2.2-1.5</v>
      </c>
      <c r="B1683" s="89" t="str">
        <f>IF(CONCATENATE(I1683,Key!F$2)=CONCATENATE(INDEX(Dashboard!J:J,MATCH(I1683,Dashboard!J:J,0),1),INDEX(Dashboard!J:K,MATCH(I1683,Dashboard!J:J,0),2)),"ON",IF(Dashboard!K$32="ALL","ON","-"))</f>
        <v>-</v>
      </c>
      <c r="C1683" s="88" t="s">
        <v>152</v>
      </c>
      <c r="D1683" s="89">
        <f>IF(C1683="ID",1,(IF(C1683="PR",2,(IF(C1683="DE",3,(IF(C1683="RS",4,(IF(C1683="RC",5,0)))))))))</f>
        <v>2</v>
      </c>
      <c r="E1683" s="89" t="s">
        <v>202</v>
      </c>
      <c r="F1683" s="89">
        <f>IF(E1683="AM",1,(IF(E1683="BE",2,(IF(E1683="GV",3,(IF(E1683="RA",4,(IF(E1683="RM",5,(IF(E1683="AC",1,(IF(E1683="AT",2,(IF(E1683="DS",3,(IF(E1683="IP",4,(IF(E1683="MA",5,(IF(E1683="PT",6,(IF(E1683="AE",1,(IF(E1683="CM",2,(IF(E1683="DP",3,(IF(E1683="AN",1,(IF(E1683="CO",2,(IF(E1683="IM",3,(IF(E1683="MI",4,(IF(E1683="RP",5,(IF(E1683="SC",6,0)))))))))))))))))))))))))))))))))))))))</f>
        <v>2</v>
      </c>
      <c r="G1683" s="52">
        <v>1</v>
      </c>
      <c r="H1683" s="90" t="s">
        <v>123</v>
      </c>
      <c r="I1683" s="94" t="s">
        <v>77</v>
      </c>
      <c r="J1683" s="87" t="s">
        <v>1322</v>
      </c>
      <c r="K1683" s="102" t="s">
        <v>2328</v>
      </c>
      <c r="L1683" s="117">
        <f>IF(O1683="","",N1683*O1683*M1683)</f>
        <v>0</v>
      </c>
      <c r="M1683" s="108">
        <v>0.9</v>
      </c>
      <c r="N1683" s="95">
        <v>1</v>
      </c>
      <c r="O1683" s="109">
        <f>IF(Key!D$1="ON",P1683,IF(SUM(Q1683:DL1683)&lt;1,"",SUM(Q1683:DL1683)/COUNTIF(Q1683:DL1683,"&gt;0")))</f>
        <v>0</v>
      </c>
      <c r="P1683" s="109">
        <f>SUMIFS(Q1683:DK1683,Q$1:DK$1,Dashboard!$K$31)</f>
        <v>0</v>
      </c>
      <c r="S1683" s="95">
        <v>99</v>
      </c>
      <c r="T1683" s="95">
        <v>80</v>
      </c>
      <c r="U1683" s="95">
        <v>33</v>
      </c>
      <c r="AA1683" s="95">
        <v>25</v>
      </c>
      <c r="AH1683" s="95">
        <v>75</v>
      </c>
    </row>
    <row r="1684" spans="1:34" x14ac:dyDescent="0.3">
      <c r="A1684" s="89" t="str">
        <f>CONCATENATE(D1684,".",F1684,"-",G1684,".",H1684,"")</f>
        <v>2.2-2.0</v>
      </c>
      <c r="B1684" s="89" t="str">
        <f>IF(CONCATENATE(I1684,Key!F$2)=CONCATENATE(INDEX(Dashboard!J:J,MATCH(I1684,Dashboard!J:J,0),1),INDEX(Dashboard!J:K,MATCH(I1684,Dashboard!J:J,0),2)),"ON",IF(Dashboard!K$32="ALL","ON","-"))</f>
        <v>-</v>
      </c>
      <c r="C1684" s="88" t="s">
        <v>152</v>
      </c>
      <c r="D1684" s="89">
        <f>IF(C1684="ID",1,(IF(C1684="PR",2,(IF(C1684="DE",3,(IF(C1684="RS",4,(IF(C1684="RC",5,0)))))))))</f>
        <v>2</v>
      </c>
      <c r="E1684" s="89" t="s">
        <v>202</v>
      </c>
      <c r="F1684" s="89">
        <f>IF(E1684="AM",1,(IF(E1684="BE",2,(IF(E1684="GV",3,(IF(E1684="RA",4,(IF(E1684="RM",5,(IF(E1684="AC",1,(IF(E1684="AT",2,(IF(E1684="DS",3,(IF(E1684="IP",4,(IF(E1684="MA",5,(IF(E1684="PT",6,(IF(E1684="AE",1,(IF(E1684="CM",2,(IF(E1684="DP",3,(IF(E1684="AN",1,(IF(E1684="CO",2,(IF(E1684="IM",3,(IF(E1684="MI",4,(IF(E1684="RP",5,(IF(E1684="SC",6,0)))))))))))))))))))))))))))))))))))))))</f>
        <v>2</v>
      </c>
      <c r="G1684" s="52">
        <v>2</v>
      </c>
      <c r="H1684" s="90" t="s">
        <v>347</v>
      </c>
      <c r="I1684" s="94" t="s">
        <v>2835</v>
      </c>
      <c r="J1684" s="53" t="s">
        <v>2932</v>
      </c>
      <c r="K1684" s="150" t="s">
        <v>2933</v>
      </c>
      <c r="L1684" s="117">
        <f>IF(O1684="","",N1684*O1684*M1684)</f>
        <v>0</v>
      </c>
      <c r="M1684" s="108">
        <v>0.95</v>
      </c>
      <c r="N1684" s="95">
        <v>1</v>
      </c>
      <c r="O1684" s="109">
        <f>IF(Key!D$1="ON",P1684,IF(SUM(Q1684:DL1684)&lt;1,"",SUM(Q1684:DL1684)/COUNTIF(Q1684:DL1684,"&gt;0")))</f>
        <v>0</v>
      </c>
      <c r="P1684" s="109">
        <f>SUMIFS(Q1684:DK1684,Q$1:DK$1,Dashboard!$K$31)</f>
        <v>0</v>
      </c>
      <c r="U1684" s="95">
        <v>33</v>
      </c>
    </row>
    <row r="1685" spans="1:34" x14ac:dyDescent="0.3">
      <c r="A1685" s="89" t="str">
        <f>CONCATENATE(D1685,".",F1685,"-",G1685,".",H1685,"")</f>
        <v>2.2-2.1</v>
      </c>
      <c r="B1685" s="89" t="str">
        <f>IF(CONCATENATE(I1685,Key!F$2)=CONCATENATE(INDEX(Dashboard!J:J,MATCH(I1685,Dashboard!J:J,0),1),INDEX(Dashboard!J:K,MATCH(I1685,Dashboard!J:J,0),2)),"ON",IF(Dashboard!K$32="ALL","ON","-"))</f>
        <v>ON</v>
      </c>
      <c r="C1685" s="88" t="s">
        <v>152</v>
      </c>
      <c r="D1685" s="89">
        <f>IF(C1685="ID",1,(IF(C1685="PR",2,(IF(C1685="DE",3,(IF(C1685="RS",4,(IF(C1685="RC",5,0)))))))))</f>
        <v>2</v>
      </c>
      <c r="E1685" s="89" t="s">
        <v>202</v>
      </c>
      <c r="F1685" s="89">
        <f>IF(E1685="AM",1,(IF(E1685="BE",2,(IF(E1685="GV",3,(IF(E1685="RA",4,(IF(E1685="RM",5,(IF(E1685="AC",1,(IF(E1685="AT",2,(IF(E1685="DS",3,(IF(E1685="IP",4,(IF(E1685="MA",5,(IF(E1685="PT",6,(IF(E1685="AE",1,(IF(E1685="CM",2,(IF(E1685="DP",3,(IF(E1685="AN",1,(IF(E1685="CO",2,(IF(E1685="IM",3,(IF(E1685="MI",4,(IF(E1685="RP",5,(IF(E1685="SC",6,0)))))))))))))))))))))))))))))))))))))))</f>
        <v>2</v>
      </c>
      <c r="G1685" s="52">
        <v>2</v>
      </c>
      <c r="H1685" s="90" t="s">
        <v>115</v>
      </c>
      <c r="I1685" s="94" t="s">
        <v>4107</v>
      </c>
      <c r="J1685" s="86" t="s">
        <v>3940</v>
      </c>
      <c r="K1685" s="101" t="s">
        <v>4124</v>
      </c>
      <c r="L1685" s="117">
        <f>IF(O1685="","",N1685*O1685*M1685)</f>
        <v>0</v>
      </c>
      <c r="M1685" s="108">
        <v>1</v>
      </c>
      <c r="N1685" s="95">
        <v>1</v>
      </c>
      <c r="O1685" s="109">
        <f>IF(Key!D$1="ON",P1685,IF(SUM(Q1685:DL1685)&lt;1,"",SUM(Q1685:DL1685)/COUNTIF(Q1685:DL1685,"&gt;0")))</f>
        <v>0</v>
      </c>
      <c r="P1685" s="109">
        <f>SUMIFS(Q1685:DK1685,Q$1:DK$1,Dashboard!$K$31)</f>
        <v>0</v>
      </c>
      <c r="U1685" s="95">
        <v>33</v>
      </c>
      <c r="AA1685" s="95">
        <v>25</v>
      </c>
      <c r="AH1685" s="95">
        <v>75</v>
      </c>
    </row>
    <row r="1686" spans="1:34" x14ac:dyDescent="0.3">
      <c r="A1686" s="89" t="str">
        <f>CONCATENATE(D1686,".",F1686,"-",G1686,".",H1686,"")</f>
        <v>2.2-2.1</v>
      </c>
      <c r="B1686" s="89" t="str">
        <f>IF(CONCATENATE(I1686,Key!F$2)=CONCATENATE(INDEX(Dashboard!J:J,MATCH(I1686,Dashboard!J:J,0),1),INDEX(Dashboard!J:K,MATCH(I1686,Dashboard!J:J,0),2)),"ON",IF(Dashboard!K$32="ALL","ON","-"))</f>
        <v>ON</v>
      </c>
      <c r="C1686" s="130" t="s">
        <v>152</v>
      </c>
      <c r="D1686" s="89">
        <f>IF(C1686="ID",1,(IF(C1686="PR",2,(IF(C1686="DE",3,(IF(C1686="RS",4,(IF(C1686="RC",5,0)))))))))</f>
        <v>2</v>
      </c>
      <c r="E1686" s="95" t="s">
        <v>202</v>
      </c>
      <c r="F1686" s="89">
        <f>IF(E1686="AM",1,(IF(E1686="BE",2,(IF(E1686="GV",3,(IF(E1686="RA",4,(IF(E1686="RM",5,(IF(E1686="AC",1,(IF(E1686="AT",2,(IF(E1686="DS",3,(IF(E1686="IP",4,(IF(E1686="MA",5,(IF(E1686="PT",6,(IF(E1686="AE",1,(IF(E1686="CM",2,(IF(E1686="DP",3,(IF(E1686="AN",1,(IF(E1686="CO",2,(IF(E1686="IM",3,(IF(E1686="MI",4,(IF(E1686="RP",5,(IF(E1686="SC",6,0)))))))))))))))))))))))))))))))))))))))</f>
        <v>2</v>
      </c>
      <c r="G1686" s="52">
        <v>2</v>
      </c>
      <c r="H1686" s="90" t="s">
        <v>115</v>
      </c>
      <c r="I1686" s="94" t="s">
        <v>4107</v>
      </c>
      <c r="J1686" s="86" t="s">
        <v>3978</v>
      </c>
      <c r="K1686" s="101" t="s">
        <v>4436</v>
      </c>
      <c r="L1686" s="117">
        <f>IF(O1686="","",N1686*O1686*M1686)</f>
        <v>0</v>
      </c>
      <c r="M1686" s="108">
        <v>1</v>
      </c>
      <c r="N1686" s="95">
        <v>1</v>
      </c>
      <c r="O1686" s="109">
        <f>IF(Key!D$1="ON",P1686,IF(SUM(Q1686:DL1686)&lt;1,"",SUM(Q1686:DL1686)/COUNTIF(Q1686:DL1686,"&gt;0")))</f>
        <v>0</v>
      </c>
      <c r="P1686" s="109">
        <f>SUMIFS(Q1686:DK1686,Q$1:DK$1,Dashboard!$K$31)</f>
        <v>0</v>
      </c>
      <c r="U1686" s="95">
        <v>33</v>
      </c>
      <c r="AA1686" s="95">
        <v>25</v>
      </c>
      <c r="AH1686" s="95">
        <v>75</v>
      </c>
    </row>
    <row r="1687" spans="1:34" x14ac:dyDescent="0.3">
      <c r="A1687" s="89" t="str">
        <f>CONCATENATE(D1687,".",F1687,"-",G1687,".",H1687,"")</f>
        <v>2.2-2.1</v>
      </c>
      <c r="B1687" s="89" t="str">
        <f>IF(CONCATENATE(I1687,Key!F$2)=CONCATENATE(INDEX(Dashboard!J:J,MATCH(I1687,Dashboard!J:J,0),1),INDEX(Dashboard!J:K,MATCH(I1687,Dashboard!J:J,0),2)),"ON",IF(Dashboard!K$32="ALL","ON","-"))</f>
        <v>ON</v>
      </c>
      <c r="C1687" s="130" t="s">
        <v>152</v>
      </c>
      <c r="D1687" s="89">
        <f>IF(C1687="ID",1,(IF(C1687="PR",2,(IF(C1687="DE",3,(IF(C1687="RS",4,(IF(C1687="RC",5,0)))))))))</f>
        <v>2</v>
      </c>
      <c r="E1687" s="95" t="s">
        <v>202</v>
      </c>
      <c r="F1687" s="89">
        <f>IF(E1687="AM",1,(IF(E1687="BE",2,(IF(E1687="GV",3,(IF(E1687="RA",4,(IF(E1687="RM",5,(IF(E1687="AC",1,(IF(E1687="AT",2,(IF(E1687="DS",3,(IF(E1687="IP",4,(IF(E1687="MA",5,(IF(E1687="PT",6,(IF(E1687="AE",1,(IF(E1687="CM",2,(IF(E1687="DP",3,(IF(E1687="AN",1,(IF(E1687="CO",2,(IF(E1687="IM",3,(IF(E1687="MI",4,(IF(E1687="RP",5,(IF(E1687="SC",6,0)))))))))))))))))))))))))))))))))))))))</f>
        <v>2</v>
      </c>
      <c r="G1687" s="52">
        <v>2</v>
      </c>
      <c r="H1687" s="90" t="s">
        <v>115</v>
      </c>
      <c r="I1687" s="94" t="s">
        <v>4107</v>
      </c>
      <c r="J1687" s="86" t="s">
        <v>3979</v>
      </c>
      <c r="K1687" s="101" t="s">
        <v>4370</v>
      </c>
      <c r="L1687" s="117">
        <f>IF(O1687="","",N1687*O1687*M1687)</f>
        <v>0</v>
      </c>
      <c r="M1687" s="108">
        <v>1</v>
      </c>
      <c r="N1687" s="95">
        <v>1</v>
      </c>
      <c r="O1687" s="109">
        <f>IF(Key!D$1="ON",P1687,IF(SUM(Q1687:DL1687)&lt;1,"",SUM(Q1687:DL1687)/COUNTIF(Q1687:DL1687,"&gt;0")))</f>
        <v>0</v>
      </c>
      <c r="P1687" s="109">
        <f>SUMIFS(Q1687:DK1687,Q$1:DK$1,Dashboard!$K$31)</f>
        <v>0</v>
      </c>
      <c r="U1687" s="95">
        <v>33</v>
      </c>
      <c r="AA1687" s="95">
        <v>25</v>
      </c>
      <c r="AH1687" s="95">
        <v>75</v>
      </c>
    </row>
    <row r="1688" spans="1:34" x14ac:dyDescent="0.3">
      <c r="A1688" s="89" t="str">
        <f>CONCATENATE(D1688,".",F1688,"-",G1688,".",H1688,"")</f>
        <v>2.2-2.1</v>
      </c>
      <c r="B1688" s="89" t="str">
        <f>IF(CONCATENATE(I1688,Key!F$2)=CONCATENATE(INDEX(Dashboard!J:J,MATCH(I1688,Dashboard!J:J,0),1),INDEX(Dashboard!J:K,MATCH(I1688,Dashboard!J:J,0),2)),"ON",IF(Dashboard!K$32="ALL","ON","-"))</f>
        <v>ON</v>
      </c>
      <c r="C1688" s="130" t="s">
        <v>152</v>
      </c>
      <c r="D1688" s="89">
        <f>IF(C1688="ID",1,(IF(C1688="PR",2,(IF(C1688="DE",3,(IF(C1688="RS",4,(IF(C1688="RC",5,0)))))))))</f>
        <v>2</v>
      </c>
      <c r="E1688" s="95" t="s">
        <v>202</v>
      </c>
      <c r="F1688" s="89">
        <f>IF(E1688="AM",1,(IF(E1688="BE",2,(IF(E1688="GV",3,(IF(E1688="RA",4,(IF(E1688="RM",5,(IF(E1688="AC",1,(IF(E1688="AT",2,(IF(E1688="DS",3,(IF(E1688="IP",4,(IF(E1688="MA",5,(IF(E1688="PT",6,(IF(E1688="AE",1,(IF(E1688="CM",2,(IF(E1688="DP",3,(IF(E1688="AN",1,(IF(E1688="CO",2,(IF(E1688="IM",3,(IF(E1688="MI",4,(IF(E1688="RP",5,(IF(E1688="SC",6,0)))))))))))))))))))))))))))))))))))))))</f>
        <v>2</v>
      </c>
      <c r="G1688" s="52">
        <v>2</v>
      </c>
      <c r="H1688" s="90" t="s">
        <v>115</v>
      </c>
      <c r="I1688" s="94" t="s">
        <v>4107</v>
      </c>
      <c r="J1688" s="86" t="s">
        <v>3981</v>
      </c>
      <c r="K1688" s="101" t="s">
        <v>4437</v>
      </c>
      <c r="L1688" s="117">
        <f>IF(O1688="","",N1688*O1688*M1688)</f>
        <v>0</v>
      </c>
      <c r="M1688" s="108">
        <v>1</v>
      </c>
      <c r="N1688" s="95">
        <v>1</v>
      </c>
      <c r="O1688" s="109">
        <f>IF(Key!D$1="ON",P1688,IF(SUM(Q1688:DL1688)&lt;1,"",SUM(Q1688:DL1688)/COUNTIF(Q1688:DL1688,"&gt;0")))</f>
        <v>0</v>
      </c>
      <c r="P1688" s="109">
        <f>SUMIFS(Q1688:DK1688,Q$1:DK$1,Dashboard!$K$31)</f>
        <v>0</v>
      </c>
      <c r="U1688" s="95">
        <v>33</v>
      </c>
      <c r="AA1688" s="95">
        <v>25</v>
      </c>
      <c r="AH1688" s="95">
        <v>75</v>
      </c>
    </row>
    <row r="1689" spans="1:34" x14ac:dyDescent="0.3">
      <c r="A1689" s="89" t="str">
        <f>CONCATENATE(D1689,".",F1689,"-",G1689,".",H1689,"")</f>
        <v>2.2-2.1</v>
      </c>
      <c r="B1689" s="89" t="str">
        <f>IF(CONCATENATE(I1689,Key!F$2)=CONCATENATE(INDEX(Dashboard!J:J,MATCH(I1689,Dashboard!J:J,0),1),INDEX(Dashboard!J:K,MATCH(I1689,Dashboard!J:J,0),2)),"ON",IF(Dashboard!K$32="ALL","ON","-"))</f>
        <v>ON</v>
      </c>
      <c r="C1689" s="130" t="s">
        <v>152</v>
      </c>
      <c r="D1689" s="89">
        <f>IF(C1689="ID",1,(IF(C1689="PR",2,(IF(C1689="DE",3,(IF(C1689="RS",4,(IF(C1689="RC",5,0)))))))))</f>
        <v>2</v>
      </c>
      <c r="E1689" s="95" t="s">
        <v>202</v>
      </c>
      <c r="F1689" s="89">
        <f>IF(E1689="AM",1,(IF(E1689="BE",2,(IF(E1689="GV",3,(IF(E1689="RA",4,(IF(E1689="RM",5,(IF(E1689="AC",1,(IF(E1689="AT",2,(IF(E1689="DS",3,(IF(E1689="IP",4,(IF(E1689="MA",5,(IF(E1689="PT",6,(IF(E1689="AE",1,(IF(E1689="CM",2,(IF(E1689="DP",3,(IF(E1689="AN",1,(IF(E1689="CO",2,(IF(E1689="IM",3,(IF(E1689="MI",4,(IF(E1689="RP",5,(IF(E1689="SC",6,0)))))))))))))))))))))))))))))))))))))))</f>
        <v>2</v>
      </c>
      <c r="G1689" s="52">
        <v>2</v>
      </c>
      <c r="H1689" s="90" t="s">
        <v>115</v>
      </c>
      <c r="I1689" s="94" t="s">
        <v>4107</v>
      </c>
      <c r="J1689" s="86" t="s">
        <v>3982</v>
      </c>
      <c r="K1689" s="101" t="s">
        <v>4371</v>
      </c>
      <c r="L1689" s="117">
        <f>IF(O1689="","",N1689*O1689*M1689)</f>
        <v>0</v>
      </c>
      <c r="M1689" s="108">
        <v>1</v>
      </c>
      <c r="N1689" s="95">
        <v>1</v>
      </c>
      <c r="O1689" s="109">
        <f>IF(Key!D$1="ON",P1689,IF(SUM(Q1689:DL1689)&lt;1,"",SUM(Q1689:DL1689)/COUNTIF(Q1689:DL1689,"&gt;0")))</f>
        <v>0</v>
      </c>
      <c r="P1689" s="109">
        <f>SUMIFS(Q1689:DK1689,Q$1:DK$1,Dashboard!$K$31)</f>
        <v>0</v>
      </c>
      <c r="U1689" s="95">
        <v>33</v>
      </c>
      <c r="AA1689" s="95">
        <v>25</v>
      </c>
      <c r="AH1689" s="95">
        <v>75</v>
      </c>
    </row>
    <row r="1690" spans="1:34" x14ac:dyDescent="0.3">
      <c r="A1690" s="89" t="str">
        <f>CONCATENATE(D1690,".",F1690,"-",G1690,".",H1690,"")</f>
        <v>2.2-2.1</v>
      </c>
      <c r="B1690" s="89" t="str">
        <f>IF(CONCATENATE(I1690,Key!F$2)=CONCATENATE(INDEX(Dashboard!J:J,MATCH(I1690,Dashboard!J:J,0),1),INDEX(Dashboard!J:K,MATCH(I1690,Dashboard!J:J,0),2)),"ON",IF(Dashboard!K$32="ALL","ON","-"))</f>
        <v>-</v>
      </c>
      <c r="C1690" s="88" t="s">
        <v>152</v>
      </c>
      <c r="D1690" s="89">
        <f>IF(C1690="ID",1,(IF(C1690="PR",2,(IF(C1690="DE",3,(IF(C1690="RS",4,(IF(C1690="RC",5,0)))))))))</f>
        <v>2</v>
      </c>
      <c r="E1690" s="89" t="s">
        <v>202</v>
      </c>
      <c r="F1690" s="89">
        <f>IF(E1690="AM",1,(IF(E1690="BE",2,(IF(E1690="GV",3,(IF(E1690="RA",4,(IF(E1690="RM",5,(IF(E1690="AC",1,(IF(E1690="AT",2,(IF(E1690="DS",3,(IF(E1690="IP",4,(IF(E1690="MA",5,(IF(E1690="PT",6,(IF(E1690="AE",1,(IF(E1690="CM",2,(IF(E1690="DP",3,(IF(E1690="AN",1,(IF(E1690="CO",2,(IF(E1690="IM",3,(IF(E1690="MI",4,(IF(E1690="RP",5,(IF(E1690="SC",6,0)))))))))))))))))))))))))))))))))))))))</f>
        <v>2</v>
      </c>
      <c r="G1690" s="52">
        <v>2</v>
      </c>
      <c r="H1690" s="99">
        <v>1</v>
      </c>
      <c r="I1690" s="94" t="s">
        <v>37</v>
      </c>
      <c r="J1690" s="86">
        <v>17</v>
      </c>
      <c r="K1690" s="102" t="s">
        <v>3733</v>
      </c>
      <c r="L1690" s="117">
        <f>IF(O1690="","",N1690*O1690*M1690)</f>
        <v>0</v>
      </c>
      <c r="M1690" s="108">
        <v>0.9</v>
      </c>
      <c r="N1690" s="95">
        <v>1</v>
      </c>
      <c r="O1690" s="109">
        <f>IF(Key!D$1="ON",P1690,IF(SUM(Q1690:DL1690)&lt;1,"",SUM(Q1690:DL1690)/COUNTIF(Q1690:DL1690,"&gt;0")))</f>
        <v>0</v>
      </c>
      <c r="P1690" s="109">
        <f>SUMIFS(Q1690:DK1690,Q$1:DK$1,Dashboard!$K$31)</f>
        <v>0</v>
      </c>
      <c r="S1690" s="95">
        <v>66</v>
      </c>
      <c r="T1690" s="95">
        <v>80</v>
      </c>
      <c r="U1690" s="95">
        <v>33</v>
      </c>
      <c r="AA1690" s="95">
        <v>25</v>
      </c>
      <c r="AH1690" s="95">
        <v>75</v>
      </c>
    </row>
    <row r="1691" spans="1:34" x14ac:dyDescent="0.3">
      <c r="A1691" s="89" t="str">
        <f>CONCATENATE(D1691,".",F1691,"-",G1691,".",H1691,"")</f>
        <v>2.2-2.1</v>
      </c>
      <c r="B1691" s="89" t="str">
        <f>IF(CONCATENATE(I1691,Key!F$2)=CONCATENATE(INDEX(Dashboard!J:J,MATCH(I1691,Dashboard!J:J,0),1),INDEX(Dashboard!J:K,MATCH(I1691,Dashboard!J:J,0),2)),"ON",IF(Dashboard!K$32="ALL","ON","-"))</f>
        <v>-</v>
      </c>
      <c r="C1691" s="88" t="s">
        <v>152</v>
      </c>
      <c r="D1691" s="89">
        <f>IF(C1691="ID",1,(IF(C1691="PR",2,(IF(C1691="DE",3,(IF(C1691="RS",4,(IF(C1691="RC",5,0)))))))))</f>
        <v>2</v>
      </c>
      <c r="E1691" s="89" t="s">
        <v>202</v>
      </c>
      <c r="F1691" s="89">
        <f>IF(E1691="AM",1,(IF(E1691="BE",2,(IF(E1691="GV",3,(IF(E1691="RA",4,(IF(E1691="RM",5,(IF(E1691="AC",1,(IF(E1691="AT",2,(IF(E1691="DS",3,(IF(E1691="IP",4,(IF(E1691="MA",5,(IF(E1691="PT",6,(IF(E1691="AE",1,(IF(E1691="CM",2,(IF(E1691="DP",3,(IF(E1691="AN",1,(IF(E1691="CO",2,(IF(E1691="IM",3,(IF(E1691="MI",4,(IF(E1691="RP",5,(IF(E1691="SC",6,0)))))))))))))))))))))))))))))))))))))))</f>
        <v>2</v>
      </c>
      <c r="G1691" s="52">
        <v>2</v>
      </c>
      <c r="H1691" s="99">
        <v>1</v>
      </c>
      <c r="I1691" s="94" t="s">
        <v>37</v>
      </c>
      <c r="J1691" s="86">
        <v>17.2</v>
      </c>
      <c r="K1691" s="102" t="s">
        <v>3734</v>
      </c>
      <c r="L1691" s="117">
        <f>IF(O1691="","",N1691*O1691*M1691)</f>
        <v>0</v>
      </c>
      <c r="M1691" s="108">
        <v>0.9</v>
      </c>
      <c r="N1691" s="95">
        <v>1</v>
      </c>
      <c r="O1691" s="109">
        <f>IF(Key!D$1="ON",P1691,IF(SUM(Q1691:DL1691)&lt;1,"",SUM(Q1691:DL1691)/COUNTIF(Q1691:DL1691,"&gt;0")))</f>
        <v>0</v>
      </c>
      <c r="P1691" s="109">
        <f>SUMIFS(Q1691:DK1691,Q$1:DK$1,Dashboard!$K$31)</f>
        <v>0</v>
      </c>
      <c r="S1691" s="95">
        <v>25</v>
      </c>
      <c r="T1691" s="95">
        <v>80</v>
      </c>
      <c r="U1691" s="95">
        <v>33</v>
      </c>
      <c r="AA1691" s="95">
        <v>25</v>
      </c>
      <c r="AH1691" s="95">
        <v>75</v>
      </c>
    </row>
    <row r="1692" spans="1:34" x14ac:dyDescent="0.3">
      <c r="A1692" s="89" t="str">
        <f>CONCATENATE(D1692,".",F1692,"-",G1692,".",H1692,"")</f>
        <v>2.2-2.1</v>
      </c>
      <c r="B1692" s="89" t="str">
        <f>IF(CONCATENATE(I1692,Key!F$2)=CONCATENATE(INDEX(Dashboard!J:J,MATCH(I1692,Dashboard!J:J,0),1),INDEX(Dashboard!J:K,MATCH(I1692,Dashboard!J:J,0),2)),"ON",IF(Dashboard!K$32="ALL","ON","-"))</f>
        <v>-</v>
      </c>
      <c r="C1692" s="88" t="s">
        <v>152</v>
      </c>
      <c r="D1692" s="89">
        <f>IF(C1692="ID",1,(IF(C1692="PR",2,(IF(C1692="DE",3,(IF(C1692="RS",4,(IF(C1692="RC",5,0)))))))))</f>
        <v>2</v>
      </c>
      <c r="E1692" s="89" t="s">
        <v>202</v>
      </c>
      <c r="F1692" s="89">
        <f>IF(E1692="AM",1,(IF(E1692="BE",2,(IF(E1692="GV",3,(IF(E1692="RA",4,(IF(E1692="RM",5,(IF(E1692="AC",1,(IF(E1692="AT",2,(IF(E1692="DS",3,(IF(E1692="IP",4,(IF(E1692="MA",5,(IF(E1692="PT",6,(IF(E1692="AE",1,(IF(E1692="CM",2,(IF(E1692="DP",3,(IF(E1692="AN",1,(IF(E1692="CO",2,(IF(E1692="IM",3,(IF(E1692="MI",4,(IF(E1692="RP",5,(IF(E1692="SC",6,0)))))))))))))))))))))))))))))))))))))))</f>
        <v>2</v>
      </c>
      <c r="G1692" s="52">
        <v>2</v>
      </c>
      <c r="H1692" s="99">
        <v>1</v>
      </c>
      <c r="I1692" s="94" t="s">
        <v>37</v>
      </c>
      <c r="J1692" s="86">
        <v>17.5</v>
      </c>
      <c r="K1692" s="102" t="s">
        <v>3735</v>
      </c>
      <c r="L1692" s="117">
        <f>IF(O1692="","",N1692*O1692*M1692)</f>
        <v>0</v>
      </c>
      <c r="M1692" s="108">
        <v>1</v>
      </c>
      <c r="N1692" s="95">
        <v>1</v>
      </c>
      <c r="O1692" s="109">
        <f>IF(Key!D$1="ON",P1692,IF(SUM(Q1692:DL1692)&lt;1,"",SUM(Q1692:DL1692)/COUNTIF(Q1692:DL1692,"&gt;0")))</f>
        <v>0</v>
      </c>
      <c r="P1692" s="109">
        <f>SUMIFS(Q1692:DK1692,Q$1:DK$1,Dashboard!$K$31)</f>
        <v>0</v>
      </c>
      <c r="U1692" s="95">
        <v>33</v>
      </c>
      <c r="AA1692" s="95">
        <v>25</v>
      </c>
      <c r="AH1692" s="95">
        <v>75</v>
      </c>
    </row>
    <row r="1693" spans="1:34" x14ac:dyDescent="0.3">
      <c r="A1693" s="89" t="str">
        <f>CONCATENATE(D1693,".",F1693,"-",G1693,".",H1693,"")</f>
        <v>2.2-2.1</v>
      </c>
      <c r="B1693" s="89" t="str">
        <f>IF(CONCATENATE(I1693,Key!F$2)=CONCATENATE(INDEX(Dashboard!J:J,MATCH(I1693,Dashboard!J:J,0),1),INDEX(Dashboard!J:K,MATCH(I1693,Dashboard!J:J,0),2)),"ON",IF(Dashboard!K$32="ALL","ON","-"))</f>
        <v>-</v>
      </c>
      <c r="C1693" s="88" t="s">
        <v>152</v>
      </c>
      <c r="D1693" s="89">
        <f>IF(C1693="ID",1,(IF(C1693="PR",2,(IF(C1693="DE",3,(IF(C1693="RS",4,(IF(C1693="RC",5,0)))))))))</f>
        <v>2</v>
      </c>
      <c r="E1693" s="89" t="s">
        <v>202</v>
      </c>
      <c r="F1693" s="89">
        <f>IF(E1693="AM",1,(IF(E1693="BE",2,(IF(E1693="GV",3,(IF(E1693="RA",4,(IF(E1693="RM",5,(IF(E1693="AC",1,(IF(E1693="AT",2,(IF(E1693="DS",3,(IF(E1693="IP",4,(IF(E1693="MA",5,(IF(E1693="PT",6,(IF(E1693="AE",1,(IF(E1693="CM",2,(IF(E1693="DP",3,(IF(E1693="AN",1,(IF(E1693="CO",2,(IF(E1693="IM",3,(IF(E1693="MI",4,(IF(E1693="RP",5,(IF(E1693="SC",6,0)))))))))))))))))))))))))))))))))))))))</f>
        <v>2</v>
      </c>
      <c r="G1693" s="52">
        <v>2</v>
      </c>
      <c r="H1693" s="99">
        <v>1</v>
      </c>
      <c r="I1693" s="94" t="s">
        <v>37</v>
      </c>
      <c r="J1693" s="86">
        <v>18.8</v>
      </c>
      <c r="K1693" s="102" t="s">
        <v>3736</v>
      </c>
      <c r="L1693" s="117">
        <f>IF(O1693="","",N1693*O1693*M1693)</f>
        <v>0</v>
      </c>
      <c r="M1693" s="108">
        <v>0.9</v>
      </c>
      <c r="N1693" s="95">
        <v>1</v>
      </c>
      <c r="O1693" s="109">
        <f>IF(Key!D$1="ON",P1693,IF(SUM(Q1693:DL1693)&lt;1,"",SUM(Q1693:DL1693)/COUNTIF(Q1693:DL1693,"&gt;0")))</f>
        <v>0</v>
      </c>
      <c r="P1693" s="109">
        <f>SUMIFS(Q1693:DK1693,Q$1:DK$1,Dashboard!$K$31)</f>
        <v>0</v>
      </c>
      <c r="S1693" s="95">
        <v>1</v>
      </c>
      <c r="T1693" s="95">
        <v>80</v>
      </c>
      <c r="U1693" s="95">
        <v>33</v>
      </c>
      <c r="AA1693" s="95">
        <v>25</v>
      </c>
      <c r="AH1693" s="95">
        <v>75</v>
      </c>
    </row>
    <row r="1694" spans="1:34" x14ac:dyDescent="0.3">
      <c r="A1694" s="89" t="str">
        <f>CONCATENATE(D1694,".",F1694,"-",G1694,".",H1694,"")</f>
        <v>2.2-2.1</v>
      </c>
      <c r="B1694" s="89" t="str">
        <f>IF(CONCATENATE(I1694,Key!F$2)=CONCATENATE(INDEX(Dashboard!J:J,MATCH(I1694,Dashboard!J:J,0),1),INDEX(Dashboard!J:K,MATCH(I1694,Dashboard!J:J,0),2)),"ON",IF(Dashboard!K$32="ALL","ON","-"))</f>
        <v>-</v>
      </c>
      <c r="C1694" s="88" t="s">
        <v>152</v>
      </c>
      <c r="D1694" s="89">
        <f>IF(C1694="ID",1,(IF(C1694="PR",2,(IF(C1694="DE",3,(IF(C1694="RS",4,(IF(C1694="RC",5,0)))))))))</f>
        <v>2</v>
      </c>
      <c r="E1694" s="89" t="s">
        <v>202</v>
      </c>
      <c r="F1694" s="89">
        <f>IF(E1694="AM",1,(IF(E1694="BE",2,(IF(E1694="GV",3,(IF(E1694="RA",4,(IF(E1694="RM",5,(IF(E1694="AC",1,(IF(E1694="AT",2,(IF(E1694="DS",3,(IF(E1694="IP",4,(IF(E1694="MA",5,(IF(E1694="PT",6,(IF(E1694="AE",1,(IF(E1694="CM",2,(IF(E1694="DP",3,(IF(E1694="AN",1,(IF(E1694="CO",2,(IF(E1694="IM",3,(IF(E1694="MI",4,(IF(E1694="RP",5,(IF(E1694="SC",6,0)))))))))))))))))))))))))))))))))))))))</f>
        <v>2</v>
      </c>
      <c r="G1694" s="52">
        <v>2</v>
      </c>
      <c r="H1694" s="99">
        <v>1</v>
      </c>
      <c r="I1694" s="94" t="s">
        <v>41</v>
      </c>
      <c r="J1694" s="86" t="s">
        <v>3610</v>
      </c>
      <c r="K1694" s="103" t="s">
        <v>3611</v>
      </c>
      <c r="L1694" s="117">
        <f>IF(O1694="","",N1694*O1694*M1694)</f>
        <v>0</v>
      </c>
      <c r="M1694" s="108">
        <v>1</v>
      </c>
      <c r="N1694" s="95">
        <v>1</v>
      </c>
      <c r="O1694" s="109">
        <f>IF(Key!D$1="ON",P1694,IF(SUM(Q1694:DL1694)&lt;1,"",SUM(Q1694:DL1694)/COUNTIF(Q1694:DL1694,"&gt;0")))</f>
        <v>0</v>
      </c>
      <c r="P1694" s="109">
        <f>SUMIFS(Q1694:DK1694,Q$1:DK$1,Dashboard!$K$31)</f>
        <v>0</v>
      </c>
      <c r="U1694" s="95">
        <v>33</v>
      </c>
    </row>
    <row r="1695" spans="1:34" x14ac:dyDescent="0.3">
      <c r="A1695" s="89" t="str">
        <f>CONCATENATE(D1695,".",F1695,"-",G1695,".",H1695,"")</f>
        <v>2.2-2.1</v>
      </c>
      <c r="B1695" s="89" t="str">
        <f>IF(CONCATENATE(I1695,Key!F$2)=CONCATENATE(INDEX(Dashboard!J:J,MATCH(I1695,Dashboard!J:J,0),1),INDEX(Dashboard!J:K,MATCH(I1695,Dashboard!J:J,0),2)),"ON",IF(Dashboard!K$32="ALL","ON","-"))</f>
        <v>-</v>
      </c>
      <c r="C1695" s="88" t="s">
        <v>152</v>
      </c>
      <c r="D1695" s="89">
        <f>IF(C1695="ID",1,(IF(C1695="PR",2,(IF(C1695="DE",3,(IF(C1695="RS",4,(IF(C1695="RC",5,0)))))))))</f>
        <v>2</v>
      </c>
      <c r="E1695" s="89" t="s">
        <v>202</v>
      </c>
      <c r="F1695" s="89">
        <f>IF(E1695="AM",1,(IF(E1695="BE",2,(IF(E1695="GV",3,(IF(E1695="RA",4,(IF(E1695="RM",5,(IF(E1695="AC",1,(IF(E1695="AT",2,(IF(E1695="DS",3,(IF(E1695="IP",4,(IF(E1695="MA",5,(IF(E1695="PT",6,(IF(E1695="AE",1,(IF(E1695="CM",2,(IF(E1695="DP",3,(IF(E1695="AN",1,(IF(E1695="CO",2,(IF(E1695="IM",3,(IF(E1695="MI",4,(IF(E1695="RP",5,(IF(E1695="SC",6,0)))))))))))))))))))))))))))))))))))))))</f>
        <v>2</v>
      </c>
      <c r="G1695" s="52">
        <v>2</v>
      </c>
      <c r="H1695" s="99">
        <v>1</v>
      </c>
      <c r="I1695" s="94" t="s">
        <v>41</v>
      </c>
      <c r="J1695" s="86" t="s">
        <v>3616</v>
      </c>
      <c r="K1695" s="103" t="s">
        <v>3617</v>
      </c>
      <c r="L1695" s="117">
        <f>IF(O1695="","",N1695*O1695*M1695)</f>
        <v>0</v>
      </c>
      <c r="M1695" s="108">
        <v>1</v>
      </c>
      <c r="N1695" s="95">
        <v>1</v>
      </c>
      <c r="O1695" s="109">
        <f>IF(Key!D$1="ON",P1695,IF(SUM(Q1695:DL1695)&lt;1,"",SUM(Q1695:DL1695)/COUNTIF(Q1695:DL1695,"&gt;0")))</f>
        <v>0</v>
      </c>
      <c r="P1695" s="109">
        <f>SUMIFS(Q1695:DK1695,Q$1:DK$1,Dashboard!$K$31)</f>
        <v>0</v>
      </c>
      <c r="U1695" s="95">
        <v>33</v>
      </c>
    </row>
    <row r="1696" spans="1:34" x14ac:dyDescent="0.3">
      <c r="A1696" s="89" t="str">
        <f>CONCATENATE(D1696,".",F1696,"-",G1696,".",H1696,"")</f>
        <v>2.2-2.1</v>
      </c>
      <c r="B1696" s="89" t="str">
        <f>IF(CONCATENATE(I1696,Key!F$2)=CONCATENATE(INDEX(Dashboard!J:J,MATCH(I1696,Dashboard!J:J,0),1),INDEX(Dashboard!J:K,MATCH(I1696,Dashboard!J:J,0),2)),"ON",IF(Dashboard!K$32="ALL","ON","-"))</f>
        <v>-</v>
      </c>
      <c r="C1696" s="88" t="s">
        <v>152</v>
      </c>
      <c r="D1696" s="89">
        <f>IF(C1696="ID",1,(IF(C1696="PR",2,(IF(C1696="DE",3,(IF(C1696="RS",4,(IF(C1696="RC",5,0)))))))))</f>
        <v>2</v>
      </c>
      <c r="E1696" s="89" t="s">
        <v>202</v>
      </c>
      <c r="F1696" s="89">
        <f>IF(E1696="AM",1,(IF(E1696="BE",2,(IF(E1696="GV",3,(IF(E1696="RA",4,(IF(E1696="RM",5,(IF(E1696="AC",1,(IF(E1696="AT",2,(IF(E1696="DS",3,(IF(E1696="IP",4,(IF(E1696="MA",5,(IF(E1696="PT",6,(IF(E1696="AE",1,(IF(E1696="CM",2,(IF(E1696="DP",3,(IF(E1696="AN",1,(IF(E1696="CO",2,(IF(E1696="IM",3,(IF(E1696="MI",4,(IF(E1696="RP",5,(IF(E1696="SC",6,0)))))))))))))))))))))))))))))))))))))))</f>
        <v>2</v>
      </c>
      <c r="G1696" s="52">
        <v>2</v>
      </c>
      <c r="H1696" s="99">
        <v>1</v>
      </c>
      <c r="I1696" s="94" t="s">
        <v>41</v>
      </c>
      <c r="J1696" s="86" t="s">
        <v>3618</v>
      </c>
      <c r="K1696" s="103" t="s">
        <v>3619</v>
      </c>
      <c r="L1696" s="117">
        <f>IF(O1696="","",N1696*O1696*M1696)</f>
        <v>0</v>
      </c>
      <c r="M1696" s="108">
        <v>1</v>
      </c>
      <c r="N1696" s="95">
        <v>1</v>
      </c>
      <c r="O1696" s="109">
        <f>IF(Key!D$1="ON",P1696,IF(SUM(Q1696:DL1696)&lt;1,"",SUM(Q1696:DL1696)/COUNTIF(Q1696:DL1696,"&gt;0")))</f>
        <v>0</v>
      </c>
      <c r="P1696" s="109">
        <f>SUMIFS(Q1696:DK1696,Q$1:DK$1,Dashboard!$K$31)</f>
        <v>0</v>
      </c>
      <c r="U1696" s="95">
        <v>33</v>
      </c>
    </row>
    <row r="1697" spans="1:34" x14ac:dyDescent="0.3">
      <c r="A1697" s="89" t="str">
        <f>CONCATENATE(D1697,".",F1697,"-",G1697,".",H1697,"")</f>
        <v>2.2-2.1</v>
      </c>
      <c r="B1697" s="89" t="str">
        <f>IF(CONCATENATE(I1697,Key!F$2)=CONCATENATE(INDEX(Dashboard!J:J,MATCH(I1697,Dashboard!J:J,0),1),INDEX(Dashboard!J:K,MATCH(I1697,Dashboard!J:J,0),2)),"ON",IF(Dashboard!K$32="ALL","ON","-"))</f>
        <v>-</v>
      </c>
      <c r="C1697" s="88" t="s">
        <v>152</v>
      </c>
      <c r="D1697" s="89">
        <f>IF(C1697="ID",1,(IF(C1697="PR",2,(IF(C1697="DE",3,(IF(C1697="RS",4,(IF(C1697="RC",5,0)))))))))</f>
        <v>2</v>
      </c>
      <c r="E1697" s="89" t="s">
        <v>202</v>
      </c>
      <c r="F1697" s="89">
        <f>IF(E1697="AM",1,(IF(E1697="BE",2,(IF(E1697="GV",3,(IF(E1697="RA",4,(IF(E1697="RM",5,(IF(E1697="AC",1,(IF(E1697="AT",2,(IF(E1697="DS",3,(IF(E1697="IP",4,(IF(E1697="MA",5,(IF(E1697="PT",6,(IF(E1697="AE",1,(IF(E1697="CM",2,(IF(E1697="DP",3,(IF(E1697="AN",1,(IF(E1697="CO",2,(IF(E1697="IM",3,(IF(E1697="MI",4,(IF(E1697="RP",5,(IF(E1697="SC",6,0)))))))))))))))))))))))))))))))))))))))</f>
        <v>2</v>
      </c>
      <c r="G1697" s="52">
        <v>2</v>
      </c>
      <c r="H1697" s="99">
        <v>1</v>
      </c>
      <c r="I1697" s="94" t="s">
        <v>41</v>
      </c>
      <c r="J1697" s="86" t="s">
        <v>3620</v>
      </c>
      <c r="K1697" s="103" t="s">
        <v>3621</v>
      </c>
      <c r="L1697" s="117">
        <f>IF(O1697="","",N1697*O1697*M1697)</f>
        <v>0</v>
      </c>
      <c r="M1697" s="108">
        <v>1</v>
      </c>
      <c r="N1697" s="95">
        <v>1</v>
      </c>
      <c r="O1697" s="109">
        <f>IF(Key!D$1="ON",P1697,IF(SUM(Q1697:DL1697)&lt;1,"",SUM(Q1697:DL1697)/COUNTIF(Q1697:DL1697,"&gt;0")))</f>
        <v>0</v>
      </c>
      <c r="P1697" s="109">
        <f>SUMIFS(Q1697:DK1697,Q$1:DK$1,Dashboard!$K$31)</f>
        <v>0</v>
      </c>
      <c r="U1697" s="95">
        <v>33</v>
      </c>
    </row>
    <row r="1698" spans="1:34" x14ac:dyDescent="0.3">
      <c r="A1698" s="89" t="str">
        <f>CONCATENATE(D1698,".",F1698,"-",G1698,".",H1698,"")</f>
        <v>2.2-2.1</v>
      </c>
      <c r="B1698" s="89" t="str">
        <f>IF(CONCATENATE(I1698,Key!F$2)=CONCATENATE(INDEX(Dashboard!J:J,MATCH(I1698,Dashboard!J:J,0),1),INDEX(Dashboard!J:K,MATCH(I1698,Dashboard!J:J,0),2)),"ON",IF(Dashboard!K$32="ALL","ON","-"))</f>
        <v>-</v>
      </c>
      <c r="C1698" s="88" t="s">
        <v>152</v>
      </c>
      <c r="D1698" s="89">
        <f>IF(C1698="ID",1,(IF(C1698="PR",2,(IF(C1698="DE",3,(IF(C1698="RS",4,(IF(C1698="RC",5,0)))))))))</f>
        <v>2</v>
      </c>
      <c r="E1698" s="89" t="s">
        <v>202</v>
      </c>
      <c r="F1698" s="89">
        <f>IF(E1698="AM",1,(IF(E1698="BE",2,(IF(E1698="GV",3,(IF(E1698="RA",4,(IF(E1698="RM",5,(IF(E1698="AC",1,(IF(E1698="AT",2,(IF(E1698="DS",3,(IF(E1698="IP",4,(IF(E1698="MA",5,(IF(E1698="PT",6,(IF(E1698="AE",1,(IF(E1698="CM",2,(IF(E1698="DP",3,(IF(E1698="AN",1,(IF(E1698="CO",2,(IF(E1698="IM",3,(IF(E1698="MI",4,(IF(E1698="RP",5,(IF(E1698="SC",6,0)))))))))))))))))))))))))))))))))))))))</f>
        <v>2</v>
      </c>
      <c r="G1698" s="52">
        <v>2</v>
      </c>
      <c r="H1698" s="99">
        <v>1</v>
      </c>
      <c r="I1698" s="94" t="s">
        <v>41</v>
      </c>
      <c r="J1698" s="86" t="s">
        <v>3622</v>
      </c>
      <c r="K1698" s="103" t="s">
        <v>3623</v>
      </c>
      <c r="L1698" s="117">
        <f>IF(O1698="","",N1698*O1698*M1698)</f>
        <v>0</v>
      </c>
      <c r="M1698" s="108">
        <v>1</v>
      </c>
      <c r="N1698" s="95">
        <v>1</v>
      </c>
      <c r="O1698" s="109">
        <f>IF(Key!D$1="ON",P1698,IF(SUM(Q1698:DL1698)&lt;1,"",SUM(Q1698:DL1698)/COUNTIF(Q1698:DL1698,"&gt;0")))</f>
        <v>0</v>
      </c>
      <c r="P1698" s="109">
        <f>SUMIFS(Q1698:DK1698,Q$1:DK$1,Dashboard!$K$31)</f>
        <v>0</v>
      </c>
      <c r="U1698" s="95">
        <v>33</v>
      </c>
    </row>
    <row r="1699" spans="1:34" x14ac:dyDescent="0.3">
      <c r="A1699" s="89" t="str">
        <f>CONCATENATE(D1699,".",F1699,"-",G1699,".",H1699,"")</f>
        <v>2.2-2.1</v>
      </c>
      <c r="B1699" s="89" t="str">
        <f>IF(CONCATENATE(I1699,Key!F$2)=CONCATENATE(INDEX(Dashboard!J:J,MATCH(I1699,Dashboard!J:J,0),1),INDEX(Dashboard!J:K,MATCH(I1699,Dashboard!J:J,0),2)),"ON",IF(Dashboard!K$32="ALL","ON","-"))</f>
        <v>-</v>
      </c>
      <c r="C1699" s="88" t="s">
        <v>152</v>
      </c>
      <c r="D1699" s="89">
        <f>IF(C1699="ID",1,(IF(C1699="PR",2,(IF(C1699="DE",3,(IF(C1699="RS",4,(IF(C1699="RC",5,0)))))))))</f>
        <v>2</v>
      </c>
      <c r="E1699" s="89" t="s">
        <v>202</v>
      </c>
      <c r="F1699" s="89">
        <f>IF(E1699="AM",1,(IF(E1699="BE",2,(IF(E1699="GV",3,(IF(E1699="RA",4,(IF(E1699="RM",5,(IF(E1699="AC",1,(IF(E1699="AT",2,(IF(E1699="DS",3,(IF(E1699="IP",4,(IF(E1699="MA",5,(IF(E1699="PT",6,(IF(E1699="AE",1,(IF(E1699="CM",2,(IF(E1699="DP",3,(IF(E1699="AN",1,(IF(E1699="CO",2,(IF(E1699="IM",3,(IF(E1699="MI",4,(IF(E1699="RP",5,(IF(E1699="SC",6,0)))))))))))))))))))))))))))))))))))))))</f>
        <v>2</v>
      </c>
      <c r="G1699" s="52">
        <v>2</v>
      </c>
      <c r="H1699" s="99">
        <v>1</v>
      </c>
      <c r="I1699" s="94" t="s">
        <v>41</v>
      </c>
      <c r="J1699" s="86" t="s">
        <v>3624</v>
      </c>
      <c r="K1699" s="103" t="s">
        <v>3625</v>
      </c>
      <c r="L1699" s="117">
        <f>IF(O1699="","",N1699*O1699*M1699)</f>
        <v>0</v>
      </c>
      <c r="M1699" s="108">
        <v>1</v>
      </c>
      <c r="N1699" s="95">
        <v>1</v>
      </c>
      <c r="O1699" s="109">
        <f>IF(Key!D$1="ON",P1699,IF(SUM(Q1699:DL1699)&lt;1,"",SUM(Q1699:DL1699)/COUNTIF(Q1699:DL1699,"&gt;0")))</f>
        <v>0</v>
      </c>
      <c r="P1699" s="109">
        <f>SUMIFS(Q1699:DK1699,Q$1:DK$1,Dashboard!$K$31)</f>
        <v>0</v>
      </c>
      <c r="U1699" s="95">
        <v>33</v>
      </c>
    </row>
    <row r="1700" spans="1:34" x14ac:dyDescent="0.3">
      <c r="A1700" s="89" t="str">
        <f>CONCATENATE(D1700,".",F1700,"-",G1700,".",H1700,"")</f>
        <v>2.2-2.1</v>
      </c>
      <c r="B1700" s="89" t="str">
        <f>IF(CONCATENATE(I1700,Key!F$2)=CONCATENATE(INDEX(Dashboard!J:J,MATCH(I1700,Dashboard!J:J,0),1),INDEX(Dashboard!J:K,MATCH(I1700,Dashboard!J:J,0),2)),"ON",IF(Dashboard!K$32="ALL","ON","-"))</f>
        <v>-</v>
      </c>
      <c r="C1700" s="96" t="s">
        <v>152</v>
      </c>
      <c r="D1700" s="89">
        <f>IF(C1700="ID",1,(IF(C1700="PR",2,(IF(C1700="DE",3,(IF(C1700="RS",4,(IF(C1700="RC",5,0)))))))))</f>
        <v>2</v>
      </c>
      <c r="E1700" s="89" t="s">
        <v>202</v>
      </c>
      <c r="F1700" s="89">
        <f>IF(E1700="AM",1,(IF(E1700="BE",2,(IF(E1700="GV",3,(IF(E1700="RA",4,(IF(E1700="RM",5,(IF(E1700="AC",1,(IF(E1700="AT",2,(IF(E1700="DS",3,(IF(E1700="IP",4,(IF(E1700="MA",5,(IF(E1700="PT",6,(IF(E1700="AE",1,(IF(E1700="CM",2,(IF(E1700="DP",3,(IF(E1700="AN",1,(IF(E1700="CO",2,(IF(E1700="IM",3,(IF(E1700="MI",4,(IF(E1700="RP",5,(IF(E1700="SC",6,0)))))))))))))))))))))))))))))))))))))))</f>
        <v>2</v>
      </c>
      <c r="G1700" s="98">
        <v>2</v>
      </c>
      <c r="H1700" s="90" t="s">
        <v>115</v>
      </c>
      <c r="I1700" s="94" t="s">
        <v>52</v>
      </c>
      <c r="J1700" s="88" t="s">
        <v>3284</v>
      </c>
      <c r="K1700" s="102" t="s">
        <v>3285</v>
      </c>
      <c r="L1700" s="117">
        <f>IF(O1700="","",N1700*O1700*M1700)</f>
        <v>0</v>
      </c>
      <c r="M1700" s="108">
        <v>1</v>
      </c>
      <c r="N1700" s="95">
        <v>1</v>
      </c>
      <c r="O1700" s="109">
        <f>IF(Key!D$1="ON",P1700,IF(SUM(Q1700:DL1700)&lt;1,"",SUM(Q1700:DL1700)/COUNTIF(Q1700:DL1700,"&gt;0")))</f>
        <v>0</v>
      </c>
      <c r="P1700" s="109">
        <f>SUMIFS(Q1700:DK1700,Q$1:DK$1,Dashboard!$K$31)</f>
        <v>0</v>
      </c>
      <c r="U1700" s="95">
        <v>33</v>
      </c>
      <c r="AA1700" s="95">
        <v>25</v>
      </c>
      <c r="AH1700" s="95">
        <v>75</v>
      </c>
    </row>
    <row r="1701" spans="1:34" x14ac:dyDescent="0.3">
      <c r="A1701" s="89" t="str">
        <f>CONCATENATE(D1701,".",F1701,"-",G1701,".",H1701,"")</f>
        <v>2.2-2.1</v>
      </c>
      <c r="B1701" s="89" t="str">
        <f>IF(CONCATENATE(I1701,Key!F$2)=CONCATENATE(INDEX(Dashboard!J:J,MATCH(I1701,Dashboard!J:J,0),1),INDEX(Dashboard!J:K,MATCH(I1701,Dashboard!J:J,0),2)),"ON",IF(Dashboard!K$32="ALL","ON","-"))</f>
        <v>-</v>
      </c>
      <c r="C1701" s="96" t="s">
        <v>152</v>
      </c>
      <c r="D1701" s="89">
        <f>IF(C1701="ID",1,(IF(C1701="PR",2,(IF(C1701="DE",3,(IF(C1701="RS",4,(IF(C1701="RC",5,0)))))))))</f>
        <v>2</v>
      </c>
      <c r="E1701" s="89" t="s">
        <v>202</v>
      </c>
      <c r="F1701" s="89">
        <f>IF(E1701="AM",1,(IF(E1701="BE",2,(IF(E1701="GV",3,(IF(E1701="RA",4,(IF(E1701="RM",5,(IF(E1701="AC",1,(IF(E1701="AT",2,(IF(E1701="DS",3,(IF(E1701="IP",4,(IF(E1701="MA",5,(IF(E1701="PT",6,(IF(E1701="AE",1,(IF(E1701="CM",2,(IF(E1701="DP",3,(IF(E1701="AN",1,(IF(E1701="CO",2,(IF(E1701="IM",3,(IF(E1701="MI",4,(IF(E1701="RP",5,(IF(E1701="SC",6,0)))))))))))))))))))))))))))))))))))))))</f>
        <v>2</v>
      </c>
      <c r="G1701" s="98">
        <v>2</v>
      </c>
      <c r="H1701" s="90" t="s">
        <v>115</v>
      </c>
      <c r="I1701" s="94" t="s">
        <v>52</v>
      </c>
      <c r="J1701" s="88" t="s">
        <v>3385</v>
      </c>
      <c r="K1701" s="102" t="s">
        <v>3386</v>
      </c>
      <c r="L1701" s="117">
        <f>IF(O1701="","",N1701*O1701*M1701)</f>
        <v>0</v>
      </c>
      <c r="M1701" s="108">
        <v>1</v>
      </c>
      <c r="N1701" s="95">
        <v>1</v>
      </c>
      <c r="O1701" s="109">
        <f>IF(Key!D$1="ON",P1701,IF(SUM(Q1701:DL1701)&lt;1,"",SUM(Q1701:DL1701)/COUNTIF(Q1701:DL1701,"&gt;0")))</f>
        <v>0</v>
      </c>
      <c r="P1701" s="109">
        <f>SUMIFS(Q1701:DK1701,Q$1:DK$1,Dashboard!$K$31)</f>
        <v>0</v>
      </c>
      <c r="U1701" s="95">
        <v>33</v>
      </c>
      <c r="AA1701" s="95">
        <v>25</v>
      </c>
      <c r="AH1701" s="95">
        <v>75</v>
      </c>
    </row>
    <row r="1702" spans="1:34" x14ac:dyDescent="0.3">
      <c r="A1702" s="89" t="str">
        <f>CONCATENATE(D1702,".",F1702,"-",G1702,".",H1702,"")</f>
        <v>2.2-2.1</v>
      </c>
      <c r="B1702" s="89" t="str">
        <f>IF(CONCATENATE(I1702,Key!F$2)=CONCATENATE(INDEX(Dashboard!J:J,MATCH(I1702,Dashboard!J:J,0),1),INDEX(Dashboard!J:K,MATCH(I1702,Dashboard!J:J,0),2)),"ON",IF(Dashboard!K$32="ALL","ON","-"))</f>
        <v>-</v>
      </c>
      <c r="C1702" s="96" t="s">
        <v>152</v>
      </c>
      <c r="D1702" s="89">
        <f>IF(C1702="ID",1,(IF(C1702="PR",2,(IF(C1702="DE",3,(IF(C1702="RS",4,(IF(C1702="RC",5,0)))))))))</f>
        <v>2</v>
      </c>
      <c r="E1702" s="89" t="s">
        <v>202</v>
      </c>
      <c r="F1702" s="89">
        <f>IF(E1702="AM",1,(IF(E1702="BE",2,(IF(E1702="GV",3,(IF(E1702="RA",4,(IF(E1702="RM",5,(IF(E1702="AC",1,(IF(E1702="AT",2,(IF(E1702="DS",3,(IF(E1702="IP",4,(IF(E1702="MA",5,(IF(E1702="PT",6,(IF(E1702="AE",1,(IF(E1702="CM",2,(IF(E1702="DP",3,(IF(E1702="AN",1,(IF(E1702="CO",2,(IF(E1702="IM",3,(IF(E1702="MI",4,(IF(E1702="RP",5,(IF(E1702="SC",6,0)))))))))))))))))))))))))))))))))))))))</f>
        <v>2</v>
      </c>
      <c r="G1702" s="98">
        <v>2</v>
      </c>
      <c r="H1702" s="90" t="s">
        <v>115</v>
      </c>
      <c r="I1702" s="94" t="s">
        <v>52</v>
      </c>
      <c r="J1702" s="88" t="s">
        <v>3365</v>
      </c>
      <c r="K1702" s="102" t="s">
        <v>3366</v>
      </c>
      <c r="L1702" s="117">
        <f>IF(O1702="","",N1702*O1702*M1702)</f>
        <v>0</v>
      </c>
      <c r="M1702" s="108">
        <v>1</v>
      </c>
      <c r="N1702" s="95">
        <v>1</v>
      </c>
      <c r="O1702" s="109">
        <f>IF(Key!D$1="ON",P1702,IF(SUM(Q1702:DL1702)&lt;1,"",SUM(Q1702:DL1702)/COUNTIF(Q1702:DL1702,"&gt;0")))</f>
        <v>0</v>
      </c>
      <c r="P1702" s="109">
        <f>SUMIFS(Q1702:DK1702,Q$1:DK$1,Dashboard!$K$31)</f>
        <v>0</v>
      </c>
      <c r="U1702" s="95">
        <v>33</v>
      </c>
      <c r="AA1702" s="95">
        <v>25</v>
      </c>
      <c r="AH1702" s="95">
        <v>75</v>
      </c>
    </row>
    <row r="1703" spans="1:34" x14ac:dyDescent="0.3">
      <c r="A1703" s="89" t="str">
        <f>CONCATENATE(D1703,".",F1703,"-",G1703,".",H1703,"")</f>
        <v>2.2-2.1</v>
      </c>
      <c r="B1703" s="89" t="str">
        <f>IF(CONCATENATE(I1703,Key!F$2)=CONCATENATE(INDEX(Dashboard!J:J,MATCH(I1703,Dashboard!J:J,0),1),INDEX(Dashboard!J:K,MATCH(I1703,Dashboard!J:J,0),2)),"ON",IF(Dashboard!K$32="ALL","ON","-"))</f>
        <v>-</v>
      </c>
      <c r="C1703" s="96" t="s">
        <v>152</v>
      </c>
      <c r="D1703" s="89">
        <f>IF(C1703="ID",1,(IF(C1703="PR",2,(IF(C1703="DE",3,(IF(C1703="RS",4,(IF(C1703="RC",5,0)))))))))</f>
        <v>2</v>
      </c>
      <c r="E1703" s="89" t="s">
        <v>202</v>
      </c>
      <c r="F1703" s="89">
        <f>IF(E1703="AM",1,(IF(E1703="BE",2,(IF(E1703="GV",3,(IF(E1703="RA",4,(IF(E1703="RM",5,(IF(E1703="AC",1,(IF(E1703="AT",2,(IF(E1703="DS",3,(IF(E1703="IP",4,(IF(E1703="MA",5,(IF(E1703="PT",6,(IF(E1703="AE",1,(IF(E1703="CM",2,(IF(E1703="DP",3,(IF(E1703="AN",1,(IF(E1703="CO",2,(IF(E1703="IM",3,(IF(E1703="MI",4,(IF(E1703="RP",5,(IF(E1703="SC",6,0)))))))))))))))))))))))))))))))))))))))</f>
        <v>2</v>
      </c>
      <c r="G1703" s="98">
        <v>2</v>
      </c>
      <c r="H1703" s="90" t="s">
        <v>115</v>
      </c>
      <c r="I1703" s="94" t="s">
        <v>52</v>
      </c>
      <c r="J1703" s="88" t="s">
        <v>3404</v>
      </c>
      <c r="K1703" s="103" t="s">
        <v>3405</v>
      </c>
      <c r="L1703" s="117">
        <f>IF(O1703="","",N1703*O1703*M1703)</f>
        <v>0</v>
      </c>
      <c r="M1703" s="108">
        <v>1</v>
      </c>
      <c r="N1703" s="95">
        <v>1</v>
      </c>
      <c r="O1703" s="109">
        <f>IF(Key!D$1="ON",P1703,IF(SUM(Q1703:DL1703)&lt;1,"",SUM(Q1703:DL1703)/COUNTIF(Q1703:DL1703,"&gt;0")))</f>
        <v>0</v>
      </c>
      <c r="P1703" s="109">
        <f>SUMIFS(Q1703:DK1703,Q$1:DK$1,Dashboard!$K$31)</f>
        <v>0</v>
      </c>
      <c r="U1703" s="95">
        <v>33</v>
      </c>
      <c r="AA1703" s="95">
        <v>25</v>
      </c>
      <c r="AH1703" s="95">
        <v>75</v>
      </c>
    </row>
    <row r="1704" spans="1:34" x14ac:dyDescent="0.3">
      <c r="A1704" s="89" t="str">
        <f>CONCATENATE(D1704,".",F1704,"-",G1704,".",H1704,"")</f>
        <v>2.2-2.1</v>
      </c>
      <c r="B1704" s="89" t="str">
        <f>IF(CONCATENATE(I1704,Key!F$2)=CONCATENATE(INDEX(Dashboard!J:J,MATCH(I1704,Dashboard!J:J,0),1),INDEX(Dashboard!J:K,MATCH(I1704,Dashboard!J:J,0),2)),"ON",IF(Dashboard!K$32="ALL","ON","-"))</f>
        <v>-</v>
      </c>
      <c r="C1704" s="88" t="s">
        <v>152</v>
      </c>
      <c r="D1704" s="89">
        <f>IF(C1704="ID",1,(IF(C1704="PR",2,(IF(C1704="DE",3,(IF(C1704="RS",4,(IF(C1704="RC",5,0)))))))))</f>
        <v>2</v>
      </c>
      <c r="E1704" s="89" t="s">
        <v>202</v>
      </c>
      <c r="F1704" s="89">
        <f>IF(E1704="AM",1,(IF(E1704="BE",2,(IF(E1704="GV",3,(IF(E1704="RA",4,(IF(E1704="RM",5,(IF(E1704="AC",1,(IF(E1704="AT",2,(IF(E1704="DS",3,(IF(E1704="IP",4,(IF(E1704="MA",5,(IF(E1704="PT",6,(IF(E1704="AE",1,(IF(E1704="CM",2,(IF(E1704="DP",3,(IF(E1704="AN",1,(IF(E1704="CO",2,(IF(E1704="IM",3,(IF(E1704="MI",4,(IF(E1704="RP",5,(IF(E1704="SC",6,0)))))))))))))))))))))))))))))))))))))))</f>
        <v>2</v>
      </c>
      <c r="G1704" s="52">
        <v>2</v>
      </c>
      <c r="H1704" s="89">
        <v>1</v>
      </c>
      <c r="I1704" s="94" t="s">
        <v>60</v>
      </c>
      <c r="J1704" s="88" t="s">
        <v>3199</v>
      </c>
      <c r="K1704" s="51" t="s">
        <v>5312</v>
      </c>
      <c r="L1704" s="117">
        <f>IF(O1704="","",N1704*O1704*M1704)</f>
        <v>0</v>
      </c>
      <c r="M1704" s="108">
        <v>1</v>
      </c>
      <c r="N1704" s="95">
        <v>1</v>
      </c>
      <c r="O1704" s="109">
        <f>IF(Key!D$1="ON",P1704,IF(SUM(Q1704:DL1704)&lt;1,"",SUM(Q1704:DL1704)/COUNTIF(Q1704:DL1704,"&gt;0")))</f>
        <v>0</v>
      </c>
      <c r="P1704" s="109">
        <f>SUMIFS(Q1704:DK1704,Q$1:DK$1,Dashboard!$K$31)</f>
        <v>0</v>
      </c>
      <c r="U1704" s="95">
        <v>33</v>
      </c>
      <c r="AA1704" s="95">
        <v>25</v>
      </c>
      <c r="AH1704" s="95">
        <v>75</v>
      </c>
    </row>
    <row r="1705" spans="1:34" x14ac:dyDescent="0.3">
      <c r="A1705" s="89" t="str">
        <f>CONCATENATE(D1705,".",F1705,"-",G1705,".",H1705,"")</f>
        <v>2.2-2.1</v>
      </c>
      <c r="B1705" s="89" t="str">
        <f>IF(CONCATENATE(I1705,Key!F$2)=CONCATENATE(INDEX(Dashboard!J:J,MATCH(I1705,Dashboard!J:J,0),1),INDEX(Dashboard!J:K,MATCH(I1705,Dashboard!J:J,0),2)),"ON",IF(Dashboard!K$32="ALL","ON","-"))</f>
        <v>-</v>
      </c>
      <c r="C1705" s="88" t="s">
        <v>152</v>
      </c>
      <c r="D1705" s="89">
        <f>IF(C1705="ID",1,(IF(C1705="PR",2,(IF(C1705="DE",3,(IF(C1705="RS",4,(IF(C1705="RC",5,0)))))))))</f>
        <v>2</v>
      </c>
      <c r="E1705" s="89" t="s">
        <v>202</v>
      </c>
      <c r="F1705" s="89">
        <f>IF(E1705="AM",1,(IF(E1705="BE",2,(IF(E1705="GV",3,(IF(E1705="RA",4,(IF(E1705="RM",5,(IF(E1705="AC",1,(IF(E1705="AT",2,(IF(E1705="DS",3,(IF(E1705="IP",4,(IF(E1705="MA",5,(IF(E1705="PT",6,(IF(E1705="AE",1,(IF(E1705="CM",2,(IF(E1705="DP",3,(IF(E1705="AN",1,(IF(E1705="CO",2,(IF(E1705="IM",3,(IF(E1705="MI",4,(IF(E1705="RP",5,(IF(E1705="SC",6,0)))))))))))))))))))))))))))))))))))))))</f>
        <v>2</v>
      </c>
      <c r="G1705" s="52">
        <v>2</v>
      </c>
      <c r="H1705" s="89">
        <v>1</v>
      </c>
      <c r="I1705" s="94" t="s">
        <v>60</v>
      </c>
      <c r="J1705" s="88" t="s">
        <v>3158</v>
      </c>
      <c r="K1705" s="51" t="s">
        <v>5271</v>
      </c>
      <c r="L1705" s="117">
        <f>IF(O1705="","",N1705*O1705*M1705)</f>
        <v>0</v>
      </c>
      <c r="M1705" s="108">
        <v>1</v>
      </c>
      <c r="N1705" s="95">
        <v>1</v>
      </c>
      <c r="O1705" s="109">
        <f>IF(Key!D$1="ON",P1705,IF(SUM(Q1705:DL1705)&lt;1,"",SUM(Q1705:DL1705)/COUNTIF(Q1705:DL1705,"&gt;0")))</f>
        <v>0</v>
      </c>
      <c r="P1705" s="109">
        <f>SUMIFS(Q1705:DK1705,Q$1:DK$1,Dashboard!$K$31)</f>
        <v>0</v>
      </c>
      <c r="U1705" s="95">
        <v>33</v>
      </c>
      <c r="AA1705" s="95">
        <v>25</v>
      </c>
      <c r="AH1705" s="95">
        <v>75</v>
      </c>
    </row>
    <row r="1706" spans="1:34" x14ac:dyDescent="0.3">
      <c r="A1706" s="89" t="str">
        <f>CONCATENATE(D1706,".",F1706,"-",G1706,".",H1706,"")</f>
        <v>2.2-2.1</v>
      </c>
      <c r="B1706" s="89" t="str">
        <f>IF(CONCATENATE(I1706,Key!F$2)=CONCATENATE(INDEX(Dashboard!J:J,MATCH(I1706,Dashboard!J:J,0),1),INDEX(Dashboard!J:K,MATCH(I1706,Dashboard!J:J,0),2)),"ON",IF(Dashboard!K$32="ALL","ON","-"))</f>
        <v>-</v>
      </c>
      <c r="C1706" s="88" t="s">
        <v>152</v>
      </c>
      <c r="D1706" s="89">
        <f>IF(C1706="ID",1,(IF(C1706="PR",2,(IF(C1706="DE",3,(IF(C1706="RS",4,(IF(C1706="RC",5,0)))))))))</f>
        <v>2</v>
      </c>
      <c r="E1706" s="89" t="s">
        <v>202</v>
      </c>
      <c r="F1706" s="89">
        <f>IF(E1706="AM",1,(IF(E1706="BE",2,(IF(E1706="GV",3,(IF(E1706="RA",4,(IF(E1706="RM",5,(IF(E1706="AC",1,(IF(E1706="AT",2,(IF(E1706="DS",3,(IF(E1706="IP",4,(IF(E1706="MA",5,(IF(E1706="PT",6,(IF(E1706="AE",1,(IF(E1706="CM",2,(IF(E1706="DP",3,(IF(E1706="AN",1,(IF(E1706="CO",2,(IF(E1706="IM",3,(IF(E1706="MI",4,(IF(E1706="RP",5,(IF(E1706="SC",6,0)))))))))))))))))))))))))))))))))))))))</f>
        <v>2</v>
      </c>
      <c r="G1706" s="52">
        <v>2</v>
      </c>
      <c r="H1706" s="90" t="s">
        <v>115</v>
      </c>
      <c r="I1706" s="94" t="s">
        <v>60</v>
      </c>
      <c r="J1706" s="87" t="s">
        <v>3128</v>
      </c>
      <c r="K1706" s="51" t="s">
        <v>5241</v>
      </c>
      <c r="L1706" s="117">
        <f>IF(O1706="","",N1706*O1706*M1706)</f>
        <v>0</v>
      </c>
      <c r="M1706" s="108">
        <v>1</v>
      </c>
      <c r="N1706" s="95">
        <v>1</v>
      </c>
      <c r="O1706" s="109">
        <f>IF(Key!D$1="ON",P1706,IF(SUM(Q1706:DL1706)&lt;1,"",SUM(Q1706:DL1706)/COUNTIF(Q1706:DL1706,"&gt;0")))</f>
        <v>0</v>
      </c>
      <c r="P1706" s="109">
        <f>SUMIFS(Q1706:DK1706,Q$1:DK$1,Dashboard!$K$31)</f>
        <v>0</v>
      </c>
      <c r="U1706" s="95">
        <v>33</v>
      </c>
      <c r="AA1706" s="95">
        <v>25</v>
      </c>
      <c r="AH1706" s="95">
        <v>75</v>
      </c>
    </row>
    <row r="1707" spans="1:34" x14ac:dyDescent="0.3">
      <c r="A1707" s="89" t="str">
        <f>CONCATENATE(D1707,".",F1707,"-",G1707,".",H1707,"")</f>
        <v>2.2-2.1</v>
      </c>
      <c r="B1707" s="89" t="str">
        <f>IF(CONCATENATE(I1707,Key!F$2)=CONCATENATE(INDEX(Dashboard!J:J,MATCH(I1707,Dashboard!J:J,0),1),INDEX(Dashboard!J:K,MATCH(I1707,Dashboard!J:J,0),2)),"ON",IF(Dashboard!K$32="ALL","ON","-"))</f>
        <v>-</v>
      </c>
      <c r="C1707" s="88" t="s">
        <v>152</v>
      </c>
      <c r="D1707" s="89">
        <f>IF(C1707="ID",1,(IF(C1707="PR",2,(IF(C1707="DE",3,(IF(C1707="RS",4,(IF(C1707="RC",5,0)))))))))</f>
        <v>2</v>
      </c>
      <c r="E1707" s="89" t="s">
        <v>202</v>
      </c>
      <c r="F1707" s="89">
        <f>IF(E1707="AM",1,(IF(E1707="BE",2,(IF(E1707="GV",3,(IF(E1707="RA",4,(IF(E1707="RM",5,(IF(E1707="AC",1,(IF(E1707="AT",2,(IF(E1707="DS",3,(IF(E1707="IP",4,(IF(E1707="MA",5,(IF(E1707="PT",6,(IF(E1707="AE",1,(IF(E1707="CM",2,(IF(E1707="DP",3,(IF(E1707="AN",1,(IF(E1707="CO",2,(IF(E1707="IM",3,(IF(E1707="MI",4,(IF(E1707="RP",5,(IF(E1707="SC",6,0)))))))))))))))))))))))))))))))))))))))</f>
        <v>2</v>
      </c>
      <c r="G1707" s="52">
        <v>2</v>
      </c>
      <c r="H1707" s="90" t="s">
        <v>115</v>
      </c>
      <c r="I1707" s="94" t="s">
        <v>60</v>
      </c>
      <c r="J1707" s="87" t="s">
        <v>3200</v>
      </c>
      <c r="K1707" s="51" t="s">
        <v>5313</v>
      </c>
      <c r="L1707" s="117">
        <f>IF(O1707="","",N1707*O1707*M1707)</f>
        <v>0</v>
      </c>
      <c r="M1707" s="108">
        <v>1</v>
      </c>
      <c r="N1707" s="95">
        <v>1</v>
      </c>
      <c r="O1707" s="109">
        <f>IF(Key!D$1="ON",P1707,IF(SUM(Q1707:DL1707)&lt;1,"",SUM(Q1707:DL1707)/COUNTIF(Q1707:DL1707,"&gt;0")))</f>
        <v>0</v>
      </c>
      <c r="P1707" s="109">
        <f>SUMIFS(Q1707:DK1707,Q$1:DK$1,Dashboard!$K$31)</f>
        <v>0</v>
      </c>
      <c r="U1707" s="95">
        <v>33</v>
      </c>
      <c r="AA1707" s="95">
        <v>25</v>
      </c>
      <c r="AH1707" s="95">
        <v>75</v>
      </c>
    </row>
    <row r="1708" spans="1:34" x14ac:dyDescent="0.3">
      <c r="A1708" s="89" t="str">
        <f>CONCATENATE(D1708,".",F1708,"-",G1708,".",H1708,"")</f>
        <v>2.2-2.1</v>
      </c>
      <c r="B1708" s="89" t="str">
        <f>IF(CONCATENATE(I1708,Key!F$2)=CONCATENATE(INDEX(Dashboard!J:J,MATCH(I1708,Dashboard!J:J,0),1),INDEX(Dashboard!J:K,MATCH(I1708,Dashboard!J:J,0),2)),"ON",IF(Dashboard!K$32="ALL","ON","-"))</f>
        <v>-</v>
      </c>
      <c r="C1708" s="88" t="s">
        <v>152</v>
      </c>
      <c r="D1708" s="89">
        <f>IF(C1708="ID",1,(IF(C1708="PR",2,(IF(C1708="DE",3,(IF(C1708="RS",4,(IF(C1708="RC",5,0)))))))))</f>
        <v>2</v>
      </c>
      <c r="E1708" s="89" t="s">
        <v>202</v>
      </c>
      <c r="F1708" s="89">
        <f>IF(E1708="AM",1,(IF(E1708="BE",2,(IF(E1708="GV",3,(IF(E1708="RA",4,(IF(E1708="RM",5,(IF(E1708="AC",1,(IF(E1708="AT",2,(IF(E1708="DS",3,(IF(E1708="IP",4,(IF(E1708="MA",5,(IF(E1708="PT",6,(IF(E1708="AE",1,(IF(E1708="CM",2,(IF(E1708="DP",3,(IF(E1708="AN",1,(IF(E1708="CO",2,(IF(E1708="IM",3,(IF(E1708="MI",4,(IF(E1708="RP",5,(IF(E1708="SC",6,0)))))))))))))))))))))))))))))))))))))))</f>
        <v>2</v>
      </c>
      <c r="G1708" s="52">
        <v>2</v>
      </c>
      <c r="H1708" s="90" t="s">
        <v>115</v>
      </c>
      <c r="I1708" s="94" t="s">
        <v>60</v>
      </c>
      <c r="J1708" s="87" t="s">
        <v>3197</v>
      </c>
      <c r="K1708" s="51" t="s">
        <v>5310</v>
      </c>
      <c r="L1708" s="117">
        <f>IF(O1708="","",N1708*O1708*M1708)</f>
        <v>0</v>
      </c>
      <c r="M1708" s="108">
        <v>0.9</v>
      </c>
      <c r="N1708" s="95">
        <v>1</v>
      </c>
      <c r="O1708" s="109">
        <f>IF(Key!D$1="ON",P1708,IF(SUM(Q1708:DL1708)&lt;1,"",SUM(Q1708:DL1708)/COUNTIF(Q1708:DL1708,"&gt;0")))</f>
        <v>0</v>
      </c>
      <c r="P1708" s="109">
        <f>SUMIFS(Q1708:DK1708,Q$1:DK$1,Dashboard!$K$31)</f>
        <v>0</v>
      </c>
      <c r="S1708" s="95">
        <v>33</v>
      </c>
      <c r="T1708" s="95">
        <v>80</v>
      </c>
      <c r="U1708" s="95">
        <v>33</v>
      </c>
      <c r="AA1708" s="95">
        <v>25</v>
      </c>
      <c r="AH1708" s="95">
        <v>75</v>
      </c>
    </row>
    <row r="1709" spans="1:34" x14ac:dyDescent="0.3">
      <c r="A1709" s="89" t="str">
        <f>CONCATENATE(D1709,".",F1709,"-",G1709,".",H1709,"")</f>
        <v>2.2-2.1</v>
      </c>
      <c r="B1709" s="89" t="str">
        <f>IF(CONCATENATE(I1709,Key!F$2)=CONCATENATE(INDEX(Dashboard!J:J,MATCH(I1709,Dashboard!J:J,0),1),INDEX(Dashboard!J:K,MATCH(I1709,Dashboard!J:J,0),2)),"ON",IF(Dashboard!K$32="ALL","ON","-"))</f>
        <v>-</v>
      </c>
      <c r="C1709" s="88" t="s">
        <v>152</v>
      </c>
      <c r="D1709" s="89">
        <f>IF(C1709="ID",1,(IF(C1709="PR",2,(IF(C1709="DE",3,(IF(C1709="RS",4,(IF(C1709="RC",5,0)))))))))</f>
        <v>2</v>
      </c>
      <c r="E1709" s="89" t="s">
        <v>202</v>
      </c>
      <c r="F1709" s="89">
        <f>IF(E1709="AM",1,(IF(E1709="BE",2,(IF(E1709="GV",3,(IF(E1709="RA",4,(IF(E1709="RM",5,(IF(E1709="AC",1,(IF(E1709="AT",2,(IF(E1709="DS",3,(IF(E1709="IP",4,(IF(E1709="MA",5,(IF(E1709="PT",6,(IF(E1709="AE",1,(IF(E1709="CM",2,(IF(E1709="DP",3,(IF(E1709="AN",1,(IF(E1709="CO",2,(IF(E1709="IM",3,(IF(E1709="MI",4,(IF(E1709="RP",5,(IF(E1709="SC",6,0)))))))))))))))))))))))))))))))))))))))</f>
        <v>2</v>
      </c>
      <c r="G1709" s="52">
        <v>2</v>
      </c>
      <c r="H1709" s="90" t="s">
        <v>115</v>
      </c>
      <c r="I1709" s="94" t="s">
        <v>64</v>
      </c>
      <c r="J1709" s="86" t="s">
        <v>1327</v>
      </c>
      <c r="K1709" s="103" t="s">
        <v>2332</v>
      </c>
      <c r="L1709" s="117">
        <f>IF(O1709="","",N1709*O1709*M1709)</f>
        <v>0</v>
      </c>
      <c r="M1709" s="108">
        <v>1</v>
      </c>
      <c r="N1709" s="95">
        <v>1</v>
      </c>
      <c r="O1709" s="109">
        <f>IF(Key!D$1="ON",P1709,IF(SUM(Q1709:DL1709)&lt;1,"",SUM(Q1709:DL1709)/COUNTIF(Q1709:DL1709,"&gt;0")))</f>
        <v>0</v>
      </c>
      <c r="P1709" s="109">
        <f>SUMIFS(Q1709:DK1709,Q$1:DK$1,Dashboard!$K$31)</f>
        <v>0</v>
      </c>
      <c r="U1709" s="95">
        <v>33</v>
      </c>
      <c r="AA1709" s="95">
        <v>25</v>
      </c>
      <c r="AH1709" s="95">
        <v>75</v>
      </c>
    </row>
    <row r="1710" spans="1:34" x14ac:dyDescent="0.3">
      <c r="A1710" s="89" t="str">
        <f>CONCATENATE(D1710,".",F1710,"-",G1710,".",H1710,"")</f>
        <v>2.2-2.1</v>
      </c>
      <c r="B1710" s="89" t="str">
        <f>IF(CONCATENATE(I1710,Key!F$2)=CONCATENATE(INDEX(Dashboard!J:J,MATCH(I1710,Dashboard!J:J,0),1),INDEX(Dashboard!J:K,MATCH(I1710,Dashboard!J:J,0),2)),"ON",IF(Dashboard!K$32="ALL","ON","-"))</f>
        <v>-</v>
      </c>
      <c r="C1710" s="88" t="s">
        <v>152</v>
      </c>
      <c r="D1710" s="89">
        <f>IF(C1710="ID",1,(IF(C1710="PR",2,(IF(C1710="DE",3,(IF(C1710="RS",4,(IF(C1710="RC",5,0)))))))))</f>
        <v>2</v>
      </c>
      <c r="E1710" s="89" t="s">
        <v>202</v>
      </c>
      <c r="F1710" s="89">
        <f>IF(E1710="AM",1,(IF(E1710="BE",2,(IF(E1710="GV",3,(IF(E1710="RA",4,(IF(E1710="RM",5,(IF(E1710="AC",1,(IF(E1710="AT",2,(IF(E1710="DS",3,(IF(E1710="IP",4,(IF(E1710="MA",5,(IF(E1710="PT",6,(IF(E1710="AE",1,(IF(E1710="CM",2,(IF(E1710="DP",3,(IF(E1710="AN",1,(IF(E1710="CO",2,(IF(E1710="IM",3,(IF(E1710="MI",4,(IF(E1710="RP",5,(IF(E1710="SC",6,0)))))))))))))))))))))))))))))))))))))))</f>
        <v>2</v>
      </c>
      <c r="G1710" s="52">
        <v>2</v>
      </c>
      <c r="H1710" s="90" t="s">
        <v>115</v>
      </c>
      <c r="I1710" s="94" t="s">
        <v>73</v>
      </c>
      <c r="J1710" s="110" t="s">
        <v>4123</v>
      </c>
      <c r="K1710" t="s">
        <v>5210</v>
      </c>
      <c r="L1710" s="117">
        <f>IF(O1710="","",N1710*O1710*M1710)</f>
        <v>0</v>
      </c>
      <c r="M1710" s="108">
        <v>1</v>
      </c>
      <c r="N1710" s="95">
        <v>1</v>
      </c>
      <c r="O1710" s="109">
        <f>IF(Key!D$1="ON",P1710,IF(SUM(Q1710:DL1710)&lt;1,"",SUM(Q1710:DL1710)/COUNTIF(Q1710:DL1710,"&gt;0")))</f>
        <v>0</v>
      </c>
      <c r="P1710" s="109">
        <f>SUMIFS(Q1710:DK1710,Q$1:DK$1,Dashboard!$K$31)</f>
        <v>0</v>
      </c>
      <c r="U1710" s="95">
        <v>33</v>
      </c>
      <c r="AA1710" s="95">
        <v>25</v>
      </c>
      <c r="AH1710" s="95">
        <v>75</v>
      </c>
    </row>
    <row r="1711" spans="1:34" x14ac:dyDescent="0.3">
      <c r="A1711" s="89" t="str">
        <f>CONCATENATE(D1711,".",F1711,"-",G1711,".",H1711,"")</f>
        <v>2.2-2.1</v>
      </c>
      <c r="B1711" s="89" t="str">
        <f>IF(CONCATENATE(I1711,Key!F$2)=CONCATENATE(INDEX(Dashboard!J:J,MATCH(I1711,Dashboard!J:J,0),1),INDEX(Dashboard!J:K,MATCH(I1711,Dashboard!J:J,0),2)),"ON",IF(Dashboard!K$32="ALL","ON","-"))</f>
        <v>-</v>
      </c>
      <c r="C1711" s="88" t="s">
        <v>152</v>
      </c>
      <c r="D1711" s="89">
        <f>IF(C1711="ID",1,(IF(C1711="PR",2,(IF(C1711="DE",3,(IF(C1711="RS",4,(IF(C1711="RC",5,0)))))))))</f>
        <v>2</v>
      </c>
      <c r="E1711" s="89" t="s">
        <v>202</v>
      </c>
      <c r="F1711" s="89">
        <f>IF(E1711="AM",1,(IF(E1711="BE",2,(IF(E1711="GV",3,(IF(E1711="RA",4,(IF(E1711="RM",5,(IF(E1711="AC",1,(IF(E1711="AT",2,(IF(E1711="DS",3,(IF(E1711="IP",4,(IF(E1711="MA",5,(IF(E1711="PT",6,(IF(E1711="AE",1,(IF(E1711="CM",2,(IF(E1711="DP",3,(IF(E1711="AN",1,(IF(E1711="CO",2,(IF(E1711="IM",3,(IF(E1711="MI",4,(IF(E1711="RP",5,(IF(E1711="SC",6,0)))))))))))))))))))))))))))))))))))))))</f>
        <v>2</v>
      </c>
      <c r="G1711" s="52">
        <v>2</v>
      </c>
      <c r="H1711" s="90" t="s">
        <v>115</v>
      </c>
      <c r="I1711" s="94" t="s">
        <v>73</v>
      </c>
      <c r="J1711" s="86" t="s">
        <v>213</v>
      </c>
      <c r="K1711" s="101" t="s">
        <v>5193</v>
      </c>
      <c r="L1711" s="117">
        <f>IF(O1711="","",N1711*O1711*M1711)</f>
        <v>0</v>
      </c>
      <c r="M1711" s="108">
        <v>1</v>
      </c>
      <c r="N1711" s="95">
        <v>1</v>
      </c>
      <c r="O1711" s="109">
        <f>IF(Key!D$1="ON",P1711,IF(SUM(Q1711:DL1711)&lt;1,"",SUM(Q1711:DL1711)/COUNTIF(Q1711:DL1711,"&gt;0")))</f>
        <v>0</v>
      </c>
      <c r="P1711" s="109">
        <f>SUMIFS(Q1711:DK1711,Q$1:DK$1,Dashboard!$K$31)</f>
        <v>0</v>
      </c>
      <c r="U1711" s="95">
        <v>33</v>
      </c>
      <c r="AA1711" s="95">
        <v>25</v>
      </c>
      <c r="AH1711" s="95">
        <v>75</v>
      </c>
    </row>
    <row r="1712" spans="1:34" x14ac:dyDescent="0.3">
      <c r="A1712" s="89" t="str">
        <f>CONCATENATE(D1712,".",F1712,"-",G1712,".",H1712,"")</f>
        <v>2.2-2.1</v>
      </c>
      <c r="B1712" s="89" t="str">
        <f>IF(CONCATENATE(I1712,Key!F$2)=CONCATENATE(INDEX(Dashboard!J:J,MATCH(I1712,Dashboard!J:J,0),1),INDEX(Dashboard!J:K,MATCH(I1712,Dashboard!J:J,0),2)),"ON",IF(Dashboard!K$32="ALL","ON","-"))</f>
        <v>-</v>
      </c>
      <c r="C1712" s="88" t="s">
        <v>152</v>
      </c>
      <c r="D1712" s="89">
        <f>IF(C1712="ID",1,(IF(C1712="PR",2,(IF(C1712="DE",3,(IF(C1712="RS",4,(IF(C1712="RC",5,0)))))))))</f>
        <v>2</v>
      </c>
      <c r="E1712" s="89" t="s">
        <v>202</v>
      </c>
      <c r="F1712" s="89">
        <f>IF(E1712="AM",1,(IF(E1712="BE",2,(IF(E1712="GV",3,(IF(E1712="RA",4,(IF(E1712="RM",5,(IF(E1712="AC",1,(IF(E1712="AT",2,(IF(E1712="DS",3,(IF(E1712="IP",4,(IF(E1712="MA",5,(IF(E1712="PT",6,(IF(E1712="AE",1,(IF(E1712="CM",2,(IF(E1712="DP",3,(IF(E1712="AN",1,(IF(E1712="CO",2,(IF(E1712="IM",3,(IF(E1712="MI",4,(IF(E1712="RP",5,(IF(E1712="SC",6,0)))))))))))))))))))))))))))))))))))))))</f>
        <v>2</v>
      </c>
      <c r="G1712" s="52">
        <v>2</v>
      </c>
      <c r="H1712" s="90" t="s">
        <v>115</v>
      </c>
      <c r="I1712" s="94" t="s">
        <v>73</v>
      </c>
      <c r="J1712" s="86" t="s">
        <v>218</v>
      </c>
      <c r="K1712" s="101" t="s">
        <v>5194</v>
      </c>
      <c r="L1712" s="117">
        <f>IF(O1712="","",N1712*O1712*M1712)</f>
        <v>0</v>
      </c>
      <c r="M1712" s="108">
        <v>1</v>
      </c>
      <c r="N1712" s="95">
        <v>1</v>
      </c>
      <c r="O1712" s="109">
        <f>IF(Key!D$1="ON",P1712,IF(SUM(Q1712:DL1712)&lt;1,"",SUM(Q1712:DL1712)/COUNTIF(Q1712:DL1712,"&gt;0")))</f>
        <v>0</v>
      </c>
      <c r="P1712" s="109">
        <f>SUMIFS(Q1712:DK1712,Q$1:DK$1,Dashboard!$K$31)</f>
        <v>0</v>
      </c>
      <c r="U1712" s="95">
        <v>33</v>
      </c>
      <c r="AA1712" s="95">
        <v>25</v>
      </c>
      <c r="AH1712" s="95">
        <v>75</v>
      </c>
    </row>
    <row r="1713" spans="1:34" x14ac:dyDescent="0.3">
      <c r="A1713" s="89" t="str">
        <f>CONCATENATE(D1713,".",F1713,"-",G1713,".",H1713,"")</f>
        <v>2.2-2.1</v>
      </c>
      <c r="B1713" s="89" t="str">
        <f>IF(CONCATENATE(I1713,Key!F$2)=CONCATENATE(INDEX(Dashboard!J:J,MATCH(I1713,Dashboard!J:J,0),1),INDEX(Dashboard!J:K,MATCH(I1713,Dashboard!J:J,0),2)),"ON",IF(Dashboard!K$32="ALL","ON","-"))</f>
        <v>-</v>
      </c>
      <c r="C1713" s="88" t="s">
        <v>152</v>
      </c>
      <c r="D1713" s="89">
        <f>IF(C1713="ID",1,(IF(C1713="PR",2,(IF(C1713="DE",3,(IF(C1713="RS",4,(IF(C1713="RC",5,0)))))))))</f>
        <v>2</v>
      </c>
      <c r="E1713" s="89" t="s">
        <v>202</v>
      </c>
      <c r="F1713" s="89">
        <f>IF(E1713="AM",1,(IF(E1713="BE",2,(IF(E1713="GV",3,(IF(E1713="RA",4,(IF(E1713="RM",5,(IF(E1713="AC",1,(IF(E1713="AT",2,(IF(E1713="DS",3,(IF(E1713="IP",4,(IF(E1713="MA",5,(IF(E1713="PT",6,(IF(E1713="AE",1,(IF(E1713="CM",2,(IF(E1713="DP",3,(IF(E1713="AN",1,(IF(E1713="CO",2,(IF(E1713="IM",3,(IF(E1713="MI",4,(IF(E1713="RP",5,(IF(E1713="SC",6,0)))))))))))))))))))))))))))))))))))))))</f>
        <v>2</v>
      </c>
      <c r="G1713" s="52">
        <v>2</v>
      </c>
      <c r="H1713" s="90" t="s">
        <v>115</v>
      </c>
      <c r="I1713" s="94" t="s">
        <v>77</v>
      </c>
      <c r="J1713" s="87" t="s">
        <v>1324</v>
      </c>
      <c r="K1713" s="102" t="s">
        <v>2329</v>
      </c>
      <c r="L1713" s="117">
        <f>IF(O1713="","",N1713*O1713*M1713)</f>
        <v>0</v>
      </c>
      <c r="M1713" s="108">
        <v>1</v>
      </c>
      <c r="N1713" s="95">
        <v>1</v>
      </c>
      <c r="O1713" s="109">
        <f>IF(Key!D$1="ON",P1713,IF(SUM(Q1713:DL1713)&lt;1,"",SUM(Q1713:DL1713)/COUNTIF(Q1713:DL1713,"&gt;0")))</f>
        <v>0</v>
      </c>
      <c r="P1713" s="109">
        <f>SUMIFS(Q1713:DK1713,Q$1:DK$1,Dashboard!$K$31)</f>
        <v>0</v>
      </c>
      <c r="U1713" s="95">
        <v>33</v>
      </c>
      <c r="AA1713" s="95">
        <v>25</v>
      </c>
      <c r="AH1713" s="95">
        <v>75</v>
      </c>
    </row>
    <row r="1714" spans="1:34" x14ac:dyDescent="0.3">
      <c r="A1714" s="89" t="str">
        <f>CONCATENATE(D1714,".",F1714,"-",G1714,".",H1714,"")</f>
        <v>2.2-2.1</v>
      </c>
      <c r="B1714" s="89" t="str">
        <f>IF(CONCATENATE(I1714,Key!F$2)=CONCATENATE(INDEX(Dashboard!J:J,MATCH(I1714,Dashboard!J:J,0),1),INDEX(Dashboard!J:K,MATCH(I1714,Dashboard!J:J,0),2)),"ON",IF(Dashboard!K$32="ALL","ON","-"))</f>
        <v>-</v>
      </c>
      <c r="C1714" s="88" t="s">
        <v>152</v>
      </c>
      <c r="D1714" s="89">
        <f>IF(C1714="ID",1,(IF(C1714="PR",2,(IF(C1714="DE",3,(IF(C1714="RS",4,(IF(C1714="RC",5,0)))))))))</f>
        <v>2</v>
      </c>
      <c r="E1714" s="89" t="s">
        <v>202</v>
      </c>
      <c r="F1714" s="89">
        <f>IF(E1714="AM",1,(IF(E1714="BE",2,(IF(E1714="GV",3,(IF(E1714="RA",4,(IF(E1714="RM",5,(IF(E1714="AC",1,(IF(E1714="AT",2,(IF(E1714="DS",3,(IF(E1714="IP",4,(IF(E1714="MA",5,(IF(E1714="PT",6,(IF(E1714="AE",1,(IF(E1714="CM",2,(IF(E1714="DP",3,(IF(E1714="AN",1,(IF(E1714="CO",2,(IF(E1714="IM",3,(IF(E1714="MI",4,(IF(E1714="RP",5,(IF(E1714="SC",6,0)))))))))))))))))))))))))))))))))))))))</f>
        <v>2</v>
      </c>
      <c r="G1714" s="98">
        <v>2</v>
      </c>
      <c r="H1714" s="90" t="s">
        <v>115</v>
      </c>
      <c r="I1714" s="94" t="s">
        <v>77</v>
      </c>
      <c r="J1714" s="87" t="s">
        <v>1325</v>
      </c>
      <c r="K1714" s="102" t="s">
        <v>2330</v>
      </c>
      <c r="L1714" s="117">
        <f>IF(O1714="","",N1714*O1714*M1714)</f>
        <v>0</v>
      </c>
      <c r="M1714" s="108">
        <v>1</v>
      </c>
      <c r="N1714" s="95">
        <v>1</v>
      </c>
      <c r="O1714" s="109">
        <f>IF(Key!D$1="ON",P1714,IF(SUM(Q1714:DL1714)&lt;1,"",SUM(Q1714:DL1714)/COUNTIF(Q1714:DL1714,"&gt;0")))</f>
        <v>0</v>
      </c>
      <c r="P1714" s="109">
        <f>SUMIFS(Q1714:DK1714,Q$1:DK$1,Dashboard!$K$31)</f>
        <v>0</v>
      </c>
      <c r="U1714" s="95">
        <v>33</v>
      </c>
      <c r="AA1714" s="95">
        <v>25</v>
      </c>
      <c r="AH1714" s="95">
        <v>75</v>
      </c>
    </row>
    <row r="1715" spans="1:34" x14ac:dyDescent="0.3">
      <c r="A1715" s="89" t="str">
        <f>CONCATENATE(D1715,".",F1715,"-",G1715,".",H1715,"")</f>
        <v>2.2-2.1</v>
      </c>
      <c r="B1715" s="89" t="str">
        <f>IF(CONCATENATE(I1715,Key!F$2)=CONCATENATE(INDEX(Dashboard!J:J,MATCH(I1715,Dashboard!J:J,0),1),INDEX(Dashboard!J:K,MATCH(I1715,Dashboard!J:J,0),2)),"ON",IF(Dashboard!K$32="ALL","ON","-"))</f>
        <v>-</v>
      </c>
      <c r="C1715" s="88" t="s">
        <v>152</v>
      </c>
      <c r="D1715" s="89">
        <f>IF(C1715="ID",1,(IF(C1715="PR",2,(IF(C1715="DE",3,(IF(C1715="RS",4,(IF(C1715="RC",5,0)))))))))</f>
        <v>2</v>
      </c>
      <c r="E1715" s="89" t="s">
        <v>202</v>
      </c>
      <c r="F1715" s="89">
        <f>IF(E1715="AM",1,(IF(E1715="BE",2,(IF(E1715="GV",3,(IF(E1715="RA",4,(IF(E1715="RM",5,(IF(E1715="AC",1,(IF(E1715="AT",2,(IF(E1715="DS",3,(IF(E1715="IP",4,(IF(E1715="MA",5,(IF(E1715="PT",6,(IF(E1715="AE",1,(IF(E1715="CM",2,(IF(E1715="DP",3,(IF(E1715="AN",1,(IF(E1715="CO",2,(IF(E1715="IM",3,(IF(E1715="MI",4,(IF(E1715="RP",5,(IF(E1715="SC",6,0)))))))))))))))))))))))))))))))))))))))</f>
        <v>2</v>
      </c>
      <c r="G1715" s="98">
        <v>2</v>
      </c>
      <c r="H1715" s="90" t="s">
        <v>115</v>
      </c>
      <c r="I1715" s="94" t="s">
        <v>77</v>
      </c>
      <c r="J1715" s="87" t="s">
        <v>1326</v>
      </c>
      <c r="K1715" s="102" t="s">
        <v>2331</v>
      </c>
      <c r="L1715" s="117">
        <f>IF(O1715="","",N1715*O1715*M1715)</f>
        <v>0</v>
      </c>
      <c r="M1715" s="108">
        <v>1</v>
      </c>
      <c r="N1715" s="95">
        <v>1</v>
      </c>
      <c r="O1715" s="109">
        <f>IF(Key!D$1="ON",P1715,IF(SUM(Q1715:DL1715)&lt;1,"",SUM(Q1715:DL1715)/COUNTIF(Q1715:DL1715,"&gt;0")))</f>
        <v>0</v>
      </c>
      <c r="P1715" s="109">
        <f>SUMIFS(Q1715:DK1715,Q$1:DK$1,Dashboard!$K$31)</f>
        <v>0</v>
      </c>
      <c r="U1715" s="95">
        <v>33</v>
      </c>
      <c r="AA1715" s="95">
        <v>25</v>
      </c>
      <c r="AH1715" s="95">
        <v>75</v>
      </c>
    </row>
    <row r="1716" spans="1:34" x14ac:dyDescent="0.3">
      <c r="A1716" s="89" t="str">
        <f>CONCATENATE(D1716,".",F1716,"-",G1716,".",H1716,"")</f>
        <v>2.2-2.1</v>
      </c>
      <c r="B1716" s="89" t="str">
        <f>IF(CONCATENATE(I1716,Key!F$2)=CONCATENATE(INDEX(Dashboard!J:J,MATCH(I1716,Dashboard!J:J,0),1),INDEX(Dashboard!J:K,MATCH(I1716,Dashboard!J:J,0),2)),"ON",IF(Dashboard!K$32="ALL","ON","-"))</f>
        <v>-</v>
      </c>
      <c r="C1716" s="88" t="s">
        <v>152</v>
      </c>
      <c r="D1716" s="89">
        <f>IF(C1716="ID",1,(IF(C1716="PR",2,(IF(C1716="DE",3,(IF(C1716="RS",4,(IF(C1716="RC",5,0)))))))))</f>
        <v>2</v>
      </c>
      <c r="E1716" s="89" t="s">
        <v>202</v>
      </c>
      <c r="F1716" s="89">
        <f>IF(E1716="AM",1,(IF(E1716="BE",2,(IF(E1716="GV",3,(IF(E1716="RA",4,(IF(E1716="RM",5,(IF(E1716="AC",1,(IF(E1716="AT",2,(IF(E1716="DS",3,(IF(E1716="IP",4,(IF(E1716="MA",5,(IF(E1716="PT",6,(IF(E1716="AE",1,(IF(E1716="CM",2,(IF(E1716="DP",3,(IF(E1716="AN",1,(IF(E1716="CO",2,(IF(E1716="IM",3,(IF(E1716="MI",4,(IF(E1716="RP",5,(IF(E1716="SC",6,0)))))))))))))))))))))))))))))))))))))))</f>
        <v>2</v>
      </c>
      <c r="G1716" s="52">
        <v>2</v>
      </c>
      <c r="H1716" s="90" t="s">
        <v>115</v>
      </c>
      <c r="I1716" s="94" t="s">
        <v>77</v>
      </c>
      <c r="J1716" s="87" t="s">
        <v>1327</v>
      </c>
      <c r="K1716" s="102" t="s">
        <v>2332</v>
      </c>
      <c r="L1716" s="117">
        <f>IF(O1716="","",N1716*O1716*M1716)</f>
        <v>0</v>
      </c>
      <c r="M1716" s="108">
        <v>1</v>
      </c>
      <c r="N1716" s="95">
        <v>1</v>
      </c>
      <c r="O1716" s="109">
        <f>IF(Key!D$1="ON",P1716,IF(SUM(Q1716:DL1716)&lt;1,"",SUM(Q1716:DL1716)/COUNTIF(Q1716:DL1716,"&gt;0")))</f>
        <v>0</v>
      </c>
      <c r="P1716" s="109">
        <f>SUMIFS(Q1716:DK1716,Q$1:DK$1,Dashboard!$K$31)</f>
        <v>0</v>
      </c>
      <c r="U1716" s="95">
        <v>33</v>
      </c>
      <c r="AA1716" s="95">
        <v>25</v>
      </c>
      <c r="AH1716" s="95">
        <v>75</v>
      </c>
    </row>
    <row r="1717" spans="1:34" x14ac:dyDescent="0.3">
      <c r="A1717" s="89" t="str">
        <f>CONCATENATE(D1717,".",F1717,"-",G1717,".",H1717,"")</f>
        <v>2.2-2.1</v>
      </c>
      <c r="B1717" s="89" t="str">
        <f>IF(CONCATENATE(I1717,Key!F$2)=CONCATENATE(INDEX(Dashboard!J:J,MATCH(I1717,Dashboard!J:J,0),1),INDEX(Dashboard!J:K,MATCH(I1717,Dashboard!J:J,0),2)),"ON",IF(Dashboard!K$32="ALL","ON","-"))</f>
        <v>-</v>
      </c>
      <c r="C1717" s="88" t="s">
        <v>152</v>
      </c>
      <c r="D1717" s="89">
        <f>IF(C1717="ID",1,(IF(C1717="PR",2,(IF(C1717="DE",3,(IF(C1717="RS",4,(IF(C1717="RC",5,0)))))))))</f>
        <v>2</v>
      </c>
      <c r="E1717" s="89" t="s">
        <v>202</v>
      </c>
      <c r="F1717" s="89">
        <f>IF(E1717="AM",1,(IF(E1717="BE",2,(IF(E1717="GV",3,(IF(E1717="RA",4,(IF(E1717="RM",5,(IF(E1717="AC",1,(IF(E1717="AT",2,(IF(E1717="DS",3,(IF(E1717="IP",4,(IF(E1717="MA",5,(IF(E1717="PT",6,(IF(E1717="AE",1,(IF(E1717="CM",2,(IF(E1717="DP",3,(IF(E1717="AN",1,(IF(E1717="CO",2,(IF(E1717="IM",3,(IF(E1717="MI",4,(IF(E1717="RP",5,(IF(E1717="SC",6,0)))))))))))))))))))))))))))))))))))))))</f>
        <v>2</v>
      </c>
      <c r="G1717" s="52">
        <v>2</v>
      </c>
      <c r="H1717" s="90" t="s">
        <v>115</v>
      </c>
      <c r="I1717" s="94" t="s">
        <v>77</v>
      </c>
      <c r="J1717" s="87" t="s">
        <v>1329</v>
      </c>
      <c r="K1717" s="102" t="s">
        <v>2333</v>
      </c>
      <c r="L1717" s="117">
        <f>IF(O1717="","",N1717*O1717*M1717)</f>
        <v>0</v>
      </c>
      <c r="M1717" s="108">
        <v>0.9</v>
      </c>
      <c r="N1717" s="95">
        <v>1</v>
      </c>
      <c r="O1717" s="109">
        <f>IF(Key!D$1="ON",P1717,IF(SUM(Q1717:DL1717)&lt;1,"",SUM(Q1717:DL1717)/COUNTIF(Q1717:DL1717,"&gt;0")))</f>
        <v>0</v>
      </c>
      <c r="P1717" s="109">
        <f>SUMIFS(Q1717:DK1717,Q$1:DK$1,Dashboard!$K$31)</f>
        <v>0</v>
      </c>
      <c r="S1717" s="95">
        <v>99</v>
      </c>
      <c r="T1717" s="95">
        <v>80</v>
      </c>
      <c r="U1717" s="95">
        <v>33</v>
      </c>
      <c r="AA1717" s="95">
        <v>25</v>
      </c>
      <c r="AH1717" s="95">
        <v>75</v>
      </c>
    </row>
    <row r="1718" spans="1:34" x14ac:dyDescent="0.3">
      <c r="A1718" s="89" t="str">
        <f>CONCATENATE(D1718,".",F1718,"-",G1718,".",H1718,"")</f>
        <v>2.2-2.1</v>
      </c>
      <c r="B1718" s="89" t="str">
        <f>IF(CONCATENATE(I1718,Key!F$2)=CONCATENATE(INDEX(Dashboard!J:J,MATCH(I1718,Dashboard!J:J,0),1),INDEX(Dashboard!J:K,MATCH(I1718,Dashboard!J:J,0),2)),"ON",IF(Dashboard!K$32="ALL","ON","-"))</f>
        <v>-</v>
      </c>
      <c r="C1718" s="88" t="s">
        <v>152</v>
      </c>
      <c r="D1718" s="89">
        <f>IF(C1718="ID",1,(IF(C1718="PR",2,(IF(C1718="DE",3,(IF(C1718="RS",4,(IF(C1718="RC",5,0)))))))))</f>
        <v>2</v>
      </c>
      <c r="E1718" s="89" t="s">
        <v>202</v>
      </c>
      <c r="F1718" s="89">
        <f>IF(E1718="AM",1,(IF(E1718="BE",2,(IF(E1718="GV",3,(IF(E1718="RA",4,(IF(E1718="RM",5,(IF(E1718="AC",1,(IF(E1718="AT",2,(IF(E1718="DS",3,(IF(E1718="IP",4,(IF(E1718="MA",5,(IF(E1718="PT",6,(IF(E1718="AE",1,(IF(E1718="CM",2,(IF(E1718="DP",3,(IF(E1718="AN",1,(IF(E1718="CO",2,(IF(E1718="IM",3,(IF(E1718="MI",4,(IF(E1718="RP",5,(IF(E1718="SC",6,0)))))))))))))))))))))))))))))))))))))))</f>
        <v>2</v>
      </c>
      <c r="G1718" s="98">
        <v>2</v>
      </c>
      <c r="H1718" s="90" t="s">
        <v>115</v>
      </c>
      <c r="I1718" s="94" t="s">
        <v>85</v>
      </c>
      <c r="J1718" s="87" t="s">
        <v>1326</v>
      </c>
      <c r="K1718" s="119" t="s">
        <v>4522</v>
      </c>
      <c r="L1718" s="117">
        <f>IF(O1718="","",N1718*O1718*M1718)</f>
        <v>0</v>
      </c>
      <c r="M1718" s="108">
        <v>1</v>
      </c>
      <c r="N1718" s="95">
        <v>1</v>
      </c>
      <c r="O1718" s="109">
        <f>IF(Key!D$1="ON",P1718,IF(SUM(Q1718:DL1718)&lt;1,"",SUM(Q1718:DL1718)/COUNTIF(Q1718:DL1718,"&gt;0")))</f>
        <v>0</v>
      </c>
      <c r="P1718" s="109">
        <f>SUMIFS(Q1718:DK1718,Q$1:DK$1,Dashboard!$K$31)</f>
        <v>0</v>
      </c>
      <c r="U1718" s="95">
        <v>33</v>
      </c>
      <c r="AA1718" s="95">
        <v>25</v>
      </c>
      <c r="AH1718" s="95">
        <v>75</v>
      </c>
    </row>
    <row r="1719" spans="1:34" x14ac:dyDescent="0.3">
      <c r="A1719" s="89" t="str">
        <f>CONCATENATE(D1719,".",F1719,"-",G1719,".",H1719,"")</f>
        <v>2.2-2.1</v>
      </c>
      <c r="B1719" s="89" t="str">
        <f>IF(CONCATENATE(I1719,Key!F$2)=CONCATENATE(INDEX(Dashboard!J:J,MATCH(I1719,Dashboard!J:J,0),1),INDEX(Dashboard!J:K,MATCH(I1719,Dashboard!J:J,0),2)),"ON",IF(Dashboard!K$32="ALL","ON","-"))</f>
        <v>-</v>
      </c>
      <c r="C1719" s="88" t="s">
        <v>152</v>
      </c>
      <c r="D1719" s="89">
        <f>IF(C1719="ID",1,(IF(C1719="PR",2,(IF(C1719="DE",3,(IF(C1719="RS",4,(IF(C1719="RC",5,0)))))))))</f>
        <v>2</v>
      </c>
      <c r="E1719" s="89" t="s">
        <v>202</v>
      </c>
      <c r="F1719" s="89">
        <f>IF(E1719="AM",1,(IF(E1719="BE",2,(IF(E1719="GV",3,(IF(E1719="RA",4,(IF(E1719="RM",5,(IF(E1719="AC",1,(IF(E1719="AT",2,(IF(E1719="DS",3,(IF(E1719="IP",4,(IF(E1719="MA",5,(IF(E1719="PT",6,(IF(E1719="AE",1,(IF(E1719="CM",2,(IF(E1719="DP",3,(IF(E1719="AN",1,(IF(E1719="CO",2,(IF(E1719="IM",3,(IF(E1719="MI",4,(IF(E1719="RP",5,(IF(E1719="SC",6,0)))))))))))))))))))))))))))))))))))))))</f>
        <v>2</v>
      </c>
      <c r="G1719" s="98">
        <v>2</v>
      </c>
      <c r="H1719" s="90" t="s">
        <v>115</v>
      </c>
      <c r="I1719" s="94" t="s">
        <v>85</v>
      </c>
      <c r="J1719" s="87" t="s">
        <v>1325</v>
      </c>
      <c r="K1719" s="119" t="s">
        <v>4521</v>
      </c>
      <c r="L1719" s="117">
        <f>IF(O1719="","",N1719*O1719*M1719)</f>
        <v>0</v>
      </c>
      <c r="M1719" s="108">
        <v>1</v>
      </c>
      <c r="N1719" s="95">
        <v>1</v>
      </c>
      <c r="O1719" s="109">
        <f>IF(Key!D$1="ON",P1719,IF(SUM(Q1719:DL1719)&lt;1,"",SUM(Q1719:DL1719)/COUNTIF(Q1719:DL1719,"&gt;0")))</f>
        <v>0</v>
      </c>
      <c r="P1719" s="109">
        <f>SUMIFS(Q1719:DK1719,Q$1:DK$1,Dashboard!$K$31)</f>
        <v>0</v>
      </c>
      <c r="U1719" s="95">
        <v>33</v>
      </c>
      <c r="AA1719" s="95">
        <v>25</v>
      </c>
      <c r="AH1719" s="95">
        <v>75</v>
      </c>
    </row>
    <row r="1720" spans="1:34" x14ac:dyDescent="0.3">
      <c r="A1720" s="89" t="str">
        <f>CONCATENATE(D1720,".",F1720,"-",G1720,".",H1720,"")</f>
        <v>2.2-2.1</v>
      </c>
      <c r="B1720" s="89" t="str">
        <f>IF(CONCATENATE(I1720,Key!F$2)=CONCATENATE(INDEX(Dashboard!J:J,MATCH(I1720,Dashboard!J:J,0),1),INDEX(Dashboard!J:K,MATCH(I1720,Dashboard!J:J,0),2)),"ON",IF(Dashboard!K$32="ALL","ON","-"))</f>
        <v>-</v>
      </c>
      <c r="C1720" s="88" t="s">
        <v>152</v>
      </c>
      <c r="D1720" s="89">
        <f>IF(C1720="ID",1,(IF(C1720="PR",2,(IF(C1720="DE",3,(IF(C1720="RS",4,(IF(C1720="RC",5,0)))))))))</f>
        <v>2</v>
      </c>
      <c r="E1720" s="89" t="s">
        <v>202</v>
      </c>
      <c r="F1720" s="89">
        <f>IF(E1720="AM",1,(IF(E1720="BE",2,(IF(E1720="GV",3,(IF(E1720="RA",4,(IF(E1720="RM",5,(IF(E1720="AC",1,(IF(E1720="AT",2,(IF(E1720="DS",3,(IF(E1720="IP",4,(IF(E1720="MA",5,(IF(E1720="PT",6,(IF(E1720="AE",1,(IF(E1720="CM",2,(IF(E1720="DP",3,(IF(E1720="AN",1,(IF(E1720="CO",2,(IF(E1720="IM",3,(IF(E1720="MI",4,(IF(E1720="RP",5,(IF(E1720="SC",6,0)))))))))))))))))))))))))))))))))))))))</f>
        <v>2</v>
      </c>
      <c r="G1720" s="52">
        <v>2</v>
      </c>
      <c r="H1720" s="90" t="s">
        <v>115</v>
      </c>
      <c r="I1720" s="94" t="s">
        <v>85</v>
      </c>
      <c r="J1720" s="87" t="s">
        <v>1329</v>
      </c>
      <c r="K1720" s="119" t="s">
        <v>4596</v>
      </c>
      <c r="L1720" s="117">
        <f>IF(O1720="","",N1720*O1720*M1720)</f>
        <v>0</v>
      </c>
      <c r="M1720" s="108">
        <v>0.9</v>
      </c>
      <c r="N1720" s="95">
        <v>1</v>
      </c>
      <c r="O1720" s="109">
        <f>IF(Key!D$1="ON",P1720,IF(SUM(Q1720:DL1720)&lt;1,"",SUM(Q1720:DL1720)/COUNTIF(Q1720:DL1720,"&gt;0")))</f>
        <v>0</v>
      </c>
      <c r="P1720" s="109">
        <f>SUMIFS(Q1720:DK1720,Q$1:DK$1,Dashboard!$K$31)</f>
        <v>0</v>
      </c>
      <c r="S1720" s="95">
        <v>33</v>
      </c>
      <c r="T1720" s="95">
        <v>80</v>
      </c>
      <c r="U1720" s="95">
        <v>33</v>
      </c>
      <c r="AA1720" s="95">
        <v>25</v>
      </c>
      <c r="AH1720" s="95">
        <v>75</v>
      </c>
    </row>
    <row r="1721" spans="1:34" x14ac:dyDescent="0.3">
      <c r="A1721" s="89" t="str">
        <f>CONCATENATE(D1721,".",F1721,"-",G1721,".",H1721,"")</f>
        <v>2.2-2.1</v>
      </c>
      <c r="B1721" s="89" t="str">
        <f>IF(CONCATENATE(I1721,Key!F$2)=CONCATENATE(INDEX(Dashboard!J:J,MATCH(I1721,Dashboard!J:J,0),1),INDEX(Dashboard!J:K,MATCH(I1721,Dashboard!J:J,0),2)),"ON",IF(Dashboard!K$32="ALL","ON","-"))</f>
        <v>-</v>
      </c>
      <c r="C1721" s="88" t="s">
        <v>152</v>
      </c>
      <c r="D1721" s="89">
        <f>IF(C1721="ID",1,(IF(C1721="PR",2,(IF(C1721="DE",3,(IF(C1721="RS",4,(IF(C1721="RC",5,0)))))))))</f>
        <v>2</v>
      </c>
      <c r="E1721" s="89" t="s">
        <v>202</v>
      </c>
      <c r="F1721" s="89">
        <f>IF(E1721="AM",1,(IF(E1721="BE",2,(IF(E1721="GV",3,(IF(E1721="RA",4,(IF(E1721="RM",5,(IF(E1721="AC",1,(IF(E1721="AT",2,(IF(E1721="DS",3,(IF(E1721="IP",4,(IF(E1721="MA",5,(IF(E1721="PT",6,(IF(E1721="AE",1,(IF(E1721="CM",2,(IF(E1721="DP",3,(IF(E1721="AN",1,(IF(E1721="CO",2,(IF(E1721="IM",3,(IF(E1721="MI",4,(IF(E1721="RP",5,(IF(E1721="SC",6,0)))))))))))))))))))))))))))))))))))))))</f>
        <v>2</v>
      </c>
      <c r="G1721" s="52">
        <v>2</v>
      </c>
      <c r="H1721" s="90" t="s">
        <v>115</v>
      </c>
      <c r="I1721" s="94" t="s">
        <v>85</v>
      </c>
      <c r="J1721" s="86" t="s">
        <v>652</v>
      </c>
      <c r="K1721" s="119" t="s">
        <v>4605</v>
      </c>
      <c r="L1721" s="117">
        <f>IF(O1721="","",N1721*O1721*M1721)</f>
        <v>0</v>
      </c>
      <c r="M1721" s="108">
        <v>0.9</v>
      </c>
      <c r="N1721" s="95">
        <v>1</v>
      </c>
      <c r="O1721" s="109">
        <f>IF(Key!D$1="ON",P1721,IF(SUM(Q1721:DL1721)&lt;1,"",SUM(Q1721:DL1721)/COUNTIF(Q1721:DL1721,"&gt;0")))</f>
        <v>0</v>
      </c>
      <c r="P1721" s="109">
        <f>SUMIFS(Q1721:DK1721,Q$1:DK$1,Dashboard!$K$31)</f>
        <v>0</v>
      </c>
      <c r="S1721" s="95">
        <v>66</v>
      </c>
      <c r="T1721" s="95">
        <v>80</v>
      </c>
      <c r="U1721" s="95">
        <v>33</v>
      </c>
      <c r="AA1721" s="95">
        <v>25</v>
      </c>
      <c r="AH1721" s="95">
        <v>75</v>
      </c>
    </row>
    <row r="1722" spans="1:34" x14ac:dyDescent="0.3">
      <c r="A1722" s="89" t="str">
        <f>CONCATENATE(D1722,".",F1722,"-",G1722,".",H1722,"")</f>
        <v>2.2-2.1</v>
      </c>
      <c r="B1722" s="89" t="str">
        <f>IF(CONCATENATE(I1722,Key!F$2)=CONCATENATE(INDEX(Dashboard!J:J,MATCH(I1722,Dashboard!J:J,0),1),INDEX(Dashboard!J:K,MATCH(I1722,Dashboard!J:J,0),2)),"ON",IF(Dashboard!K$32="ALL","ON","-"))</f>
        <v>-</v>
      </c>
      <c r="C1722" s="88" t="s">
        <v>152</v>
      </c>
      <c r="D1722" s="89">
        <f>IF(C1722="ID",1,(IF(C1722="PR",2,(IF(C1722="DE",3,(IF(C1722="RS",4,(IF(C1722="RC",5,0)))))))))</f>
        <v>2</v>
      </c>
      <c r="E1722" s="89" t="s">
        <v>202</v>
      </c>
      <c r="F1722" s="89">
        <f>IF(E1722="AM",1,(IF(E1722="BE",2,(IF(E1722="GV",3,(IF(E1722="RA",4,(IF(E1722="RM",5,(IF(E1722="AC",1,(IF(E1722="AT",2,(IF(E1722="DS",3,(IF(E1722="IP",4,(IF(E1722="MA",5,(IF(E1722="PT",6,(IF(E1722="AE",1,(IF(E1722="CM",2,(IF(E1722="DP",3,(IF(E1722="AN",1,(IF(E1722="CO",2,(IF(E1722="IM",3,(IF(E1722="MI",4,(IF(E1722="RP",5,(IF(E1722="SC",6,0)))))))))))))))))))))))))))))))))))))))</f>
        <v>2</v>
      </c>
      <c r="G1722" s="52">
        <v>2</v>
      </c>
      <c r="H1722" s="90" t="s">
        <v>115</v>
      </c>
      <c r="I1722" s="94" t="s">
        <v>85</v>
      </c>
      <c r="J1722" s="87" t="s">
        <v>1324</v>
      </c>
      <c r="K1722" s="119" t="s">
        <v>4583</v>
      </c>
      <c r="L1722" s="117">
        <f>IF(O1722="","",N1722*O1722*M1722)</f>
        <v>0</v>
      </c>
      <c r="M1722" s="108">
        <v>1</v>
      </c>
      <c r="N1722" s="95">
        <v>1</v>
      </c>
      <c r="O1722" s="109">
        <f>IF(Key!D$1="ON",P1722,IF(SUM(Q1722:DL1722)&lt;1,"",SUM(Q1722:DL1722)/COUNTIF(Q1722:DL1722,"&gt;0")))</f>
        <v>0</v>
      </c>
      <c r="P1722" s="109">
        <f>SUMIFS(Q1722:DK1722,Q$1:DK$1,Dashboard!$K$31)</f>
        <v>0</v>
      </c>
      <c r="U1722" s="95">
        <v>33</v>
      </c>
      <c r="AA1722" s="95">
        <v>25</v>
      </c>
      <c r="AH1722" s="95">
        <v>75</v>
      </c>
    </row>
    <row r="1723" spans="1:34" x14ac:dyDescent="0.3">
      <c r="A1723" s="89" t="str">
        <f>CONCATENATE(D1723,".",F1723,"-",G1723,".",H1723,"")</f>
        <v>2.2-2.1</v>
      </c>
      <c r="B1723" s="89" t="str">
        <f>IF(CONCATENATE(I1723,Key!F$2)=CONCATENATE(INDEX(Dashboard!J:J,MATCH(I1723,Dashboard!J:J,0),1),INDEX(Dashboard!J:K,MATCH(I1723,Dashboard!J:J,0),2)),"ON",IF(Dashboard!K$32="ALL","ON","-"))</f>
        <v>-</v>
      </c>
      <c r="C1723" s="88" t="s">
        <v>152</v>
      </c>
      <c r="D1723" s="89">
        <f>IF(C1723="ID",1,(IF(C1723="PR",2,(IF(C1723="DE",3,(IF(C1723="RS",4,(IF(C1723="RC",5,0)))))))))</f>
        <v>2</v>
      </c>
      <c r="E1723" s="89" t="s">
        <v>202</v>
      </c>
      <c r="F1723" s="89">
        <f>IF(E1723="AM",1,(IF(E1723="BE",2,(IF(E1723="GV",3,(IF(E1723="RA",4,(IF(E1723="RM",5,(IF(E1723="AC",1,(IF(E1723="AT",2,(IF(E1723="DS",3,(IF(E1723="IP",4,(IF(E1723="MA",5,(IF(E1723="PT",6,(IF(E1723="AE",1,(IF(E1723="CM",2,(IF(E1723="DP",3,(IF(E1723="AN",1,(IF(E1723="CO",2,(IF(E1723="IM",3,(IF(E1723="MI",4,(IF(E1723="RP",5,(IF(E1723="SC",6,0)))))))))))))))))))))))))))))))))))))))</f>
        <v>2</v>
      </c>
      <c r="G1723" s="52">
        <v>2</v>
      </c>
      <c r="H1723" s="90" t="s">
        <v>115</v>
      </c>
      <c r="I1723" s="94" t="s">
        <v>85</v>
      </c>
      <c r="J1723" s="87" t="s">
        <v>1327</v>
      </c>
      <c r="K1723" s="119" t="s">
        <v>1328</v>
      </c>
      <c r="L1723" s="117">
        <f>IF(O1723="","",N1723*O1723*M1723)</f>
        <v>0</v>
      </c>
      <c r="M1723" s="108">
        <v>1</v>
      </c>
      <c r="N1723" s="95">
        <v>1</v>
      </c>
      <c r="O1723" s="109">
        <f>IF(Key!D$1="ON",P1723,IF(SUM(Q1723:DL1723)&lt;1,"",SUM(Q1723:DL1723)/COUNTIF(Q1723:DL1723,"&gt;0")))</f>
        <v>0</v>
      </c>
      <c r="P1723" s="109">
        <f>SUMIFS(Q1723:DK1723,Q$1:DK$1,Dashboard!$K$31)</f>
        <v>0</v>
      </c>
      <c r="U1723" s="95">
        <v>33</v>
      </c>
      <c r="AA1723" s="95">
        <v>25</v>
      </c>
      <c r="AH1723" s="95">
        <v>75</v>
      </c>
    </row>
    <row r="1724" spans="1:34" x14ac:dyDescent="0.3">
      <c r="A1724" s="89" t="str">
        <f>CONCATENATE(D1724,".",F1724,"-",G1724,".",H1724,"")</f>
        <v>2.2-2.1</v>
      </c>
      <c r="B1724" s="89" t="str">
        <f>IF(CONCATENATE(I1724,Key!F$2)=CONCATENATE(INDEX(Dashboard!J:J,MATCH(I1724,Dashboard!J:J,0),1),INDEX(Dashboard!J:K,MATCH(I1724,Dashboard!J:J,0),2)),"ON",IF(Dashboard!K$32="ALL","ON","-"))</f>
        <v>-</v>
      </c>
      <c r="C1724" s="88" t="s">
        <v>152</v>
      </c>
      <c r="D1724" s="89">
        <f>IF(C1724="ID",1,(IF(C1724="PR",2,(IF(C1724="DE",3,(IF(C1724="RS",4,(IF(C1724="RC",5,0)))))))))</f>
        <v>2</v>
      </c>
      <c r="E1724" s="89" t="s">
        <v>202</v>
      </c>
      <c r="F1724" s="89">
        <f>IF(E1724="AM",1,(IF(E1724="BE",2,(IF(E1724="GV",3,(IF(E1724="RA",4,(IF(E1724="RM",5,(IF(E1724="AC",1,(IF(E1724="AT",2,(IF(E1724="DS",3,(IF(E1724="IP",4,(IF(E1724="MA",5,(IF(E1724="PT",6,(IF(E1724="AE",1,(IF(E1724="CM",2,(IF(E1724="DP",3,(IF(E1724="AN",1,(IF(E1724="CO",2,(IF(E1724="IM",3,(IF(E1724="MI",4,(IF(E1724="RP",5,(IF(E1724="SC",6,0)))))))))))))))))))))))))))))))))))))))</f>
        <v>2</v>
      </c>
      <c r="G1724" s="52">
        <v>2</v>
      </c>
      <c r="H1724" s="90" t="s">
        <v>115</v>
      </c>
      <c r="I1724" s="94" t="s">
        <v>89</v>
      </c>
      <c r="J1724" s="88" t="s">
        <v>543</v>
      </c>
      <c r="K1724" s="102" t="s">
        <v>544</v>
      </c>
      <c r="L1724" s="117">
        <f>IF(O1724="","",N1724*O1724*M1724)</f>
        <v>0</v>
      </c>
      <c r="M1724" s="108">
        <v>1</v>
      </c>
      <c r="N1724" s="95">
        <v>1</v>
      </c>
      <c r="O1724" s="109">
        <f>IF(Key!D$1="ON",P1724,IF(SUM(Q1724:DL1724)&lt;1,"",SUM(Q1724:DL1724)/COUNTIF(Q1724:DL1724,"&gt;0")))</f>
        <v>0</v>
      </c>
      <c r="P1724" s="109">
        <f>SUMIFS(Q1724:DK1724,Q$1:DK$1,Dashboard!$K$31)</f>
        <v>0</v>
      </c>
      <c r="U1724" s="95">
        <v>33</v>
      </c>
      <c r="AA1724" s="95">
        <v>25</v>
      </c>
      <c r="AH1724" s="95">
        <v>75</v>
      </c>
    </row>
    <row r="1725" spans="1:34" x14ac:dyDescent="0.3">
      <c r="A1725" s="89" t="str">
        <f>CONCATENATE(D1725,".",F1725,"-",G1725,".",H1725,"")</f>
        <v>2.2-2.1</v>
      </c>
      <c r="B1725" s="89" t="str">
        <f>IF(CONCATENATE(I1725,Key!F$2)=CONCATENATE(INDEX(Dashboard!J:J,MATCH(I1725,Dashboard!J:J,0),1),INDEX(Dashboard!J:K,MATCH(I1725,Dashboard!J:J,0),2)),"ON",IF(Dashboard!K$32="ALL","ON","-"))</f>
        <v>-</v>
      </c>
      <c r="C1725" s="88" t="s">
        <v>152</v>
      </c>
      <c r="D1725" s="89">
        <f>IF(C1725="ID",1,(IF(C1725="PR",2,(IF(C1725="DE",3,(IF(C1725="RS",4,(IF(C1725="RC",5,0)))))))))</f>
        <v>2</v>
      </c>
      <c r="E1725" s="89" t="s">
        <v>202</v>
      </c>
      <c r="F1725" s="89">
        <f>IF(E1725="AM",1,(IF(E1725="BE",2,(IF(E1725="GV",3,(IF(E1725="RA",4,(IF(E1725="RM",5,(IF(E1725="AC",1,(IF(E1725="AT",2,(IF(E1725="DS",3,(IF(E1725="IP",4,(IF(E1725="MA",5,(IF(E1725="PT",6,(IF(E1725="AE",1,(IF(E1725="CM",2,(IF(E1725="DP",3,(IF(E1725="AN",1,(IF(E1725="CO",2,(IF(E1725="IM",3,(IF(E1725="MI",4,(IF(E1725="RP",5,(IF(E1725="SC",6,0)))))))))))))))))))))))))))))))))))))))</f>
        <v>2</v>
      </c>
      <c r="G1725" s="52">
        <v>2</v>
      </c>
      <c r="H1725" s="90" t="s">
        <v>115</v>
      </c>
      <c r="I1725" s="94" t="s">
        <v>89</v>
      </c>
      <c r="J1725" s="88" t="s">
        <v>545</v>
      </c>
      <c r="K1725" s="102" t="s">
        <v>546</v>
      </c>
      <c r="L1725" s="117">
        <f>IF(O1725="","",N1725*O1725*M1725)</f>
        <v>0</v>
      </c>
      <c r="M1725" s="108">
        <v>1</v>
      </c>
      <c r="N1725" s="95">
        <v>1</v>
      </c>
      <c r="O1725" s="109">
        <f>IF(Key!D$1="ON",P1725,IF(SUM(Q1725:DL1725)&lt;1,"",SUM(Q1725:DL1725)/COUNTIF(Q1725:DL1725,"&gt;0")))</f>
        <v>0</v>
      </c>
      <c r="P1725" s="109">
        <f>SUMIFS(Q1725:DK1725,Q$1:DK$1,Dashboard!$K$31)</f>
        <v>0</v>
      </c>
      <c r="U1725" s="95">
        <v>33</v>
      </c>
      <c r="AA1725" s="95">
        <v>25</v>
      </c>
      <c r="AH1725" s="95">
        <v>75</v>
      </c>
    </row>
    <row r="1726" spans="1:34" x14ac:dyDescent="0.3">
      <c r="A1726" s="89" t="str">
        <f>CONCATENATE(D1726,".",F1726,"-",G1726,".",H1726,"")</f>
        <v>2.2-2.1</v>
      </c>
      <c r="B1726" s="89" t="str">
        <f>IF(CONCATENATE(I1726,Key!F$2)=CONCATENATE(INDEX(Dashboard!J:J,MATCH(I1726,Dashboard!J:J,0),1),INDEX(Dashboard!J:K,MATCH(I1726,Dashboard!J:J,0),2)),"ON",IF(Dashboard!K$32="ALL","ON","-"))</f>
        <v>-</v>
      </c>
      <c r="C1726" s="88" t="s">
        <v>152</v>
      </c>
      <c r="D1726" s="89">
        <f>IF(C1726="ID",1,(IF(C1726="PR",2,(IF(C1726="DE",3,(IF(C1726="RS",4,(IF(C1726="RC",5,0)))))))))</f>
        <v>2</v>
      </c>
      <c r="E1726" s="89" t="s">
        <v>202</v>
      </c>
      <c r="F1726" s="89">
        <f>IF(E1726="AM",1,(IF(E1726="BE",2,(IF(E1726="GV",3,(IF(E1726="RA",4,(IF(E1726="RM",5,(IF(E1726="AC",1,(IF(E1726="AT",2,(IF(E1726="DS",3,(IF(E1726="IP",4,(IF(E1726="MA",5,(IF(E1726="PT",6,(IF(E1726="AE",1,(IF(E1726="CM",2,(IF(E1726="DP",3,(IF(E1726="AN",1,(IF(E1726="CO",2,(IF(E1726="IM",3,(IF(E1726="MI",4,(IF(E1726="RP",5,(IF(E1726="SC",6,0)))))))))))))))))))))))))))))))))))))))</f>
        <v>2</v>
      </c>
      <c r="G1726" s="52">
        <v>2</v>
      </c>
      <c r="H1726" s="90" t="s">
        <v>115</v>
      </c>
      <c r="I1726" s="94" t="s">
        <v>92</v>
      </c>
      <c r="J1726" s="88">
        <v>6.5</v>
      </c>
      <c r="K1726" s="102" t="s">
        <v>5226</v>
      </c>
      <c r="L1726" s="117">
        <f>IF(O1726="","",N1726*O1726*M1726)</f>
        <v>0</v>
      </c>
      <c r="M1726" s="108">
        <v>1</v>
      </c>
      <c r="N1726" s="95">
        <v>1</v>
      </c>
      <c r="O1726" s="109">
        <f>IF(Key!D$1="ON",P1726,IF(SUM(Q1726:DL1726)&lt;1,"",SUM(Q1726:DL1726)/COUNTIF(Q1726:DL1726,"&gt;0")))</f>
        <v>0</v>
      </c>
      <c r="P1726" s="109">
        <f>SUMIFS(Q1726:DK1726,Q$1:DK$1,Dashboard!$K$31)</f>
        <v>0</v>
      </c>
      <c r="U1726" s="95">
        <v>33</v>
      </c>
      <c r="AA1726" s="95">
        <v>25</v>
      </c>
      <c r="AH1726" s="95">
        <v>75</v>
      </c>
    </row>
    <row r="1727" spans="1:34" x14ac:dyDescent="0.3">
      <c r="A1727" s="89" t="str">
        <f>CONCATENATE(D1727,".",F1727,"-",G1727,".",H1727,"")</f>
        <v>2.2-2.1</v>
      </c>
      <c r="B1727" s="89" t="str">
        <f>IF(CONCATENATE(I1727,Key!F$2)=CONCATENATE(INDEX(Dashboard!J:J,MATCH(I1727,Dashboard!J:J,0),1),INDEX(Dashboard!J:K,MATCH(I1727,Dashboard!J:J,0),2)),"ON",IF(Dashboard!K$32="ALL","ON","-"))</f>
        <v>-</v>
      </c>
      <c r="C1727" s="88" t="s">
        <v>152</v>
      </c>
      <c r="D1727" s="89">
        <f>IF(C1727="ID",1,(IF(C1727="PR",2,(IF(C1727="DE",3,(IF(C1727="RS",4,(IF(C1727="RC",5,0)))))))))</f>
        <v>2</v>
      </c>
      <c r="E1727" s="89" t="s">
        <v>202</v>
      </c>
      <c r="F1727" s="89">
        <f>IF(E1727="AM",1,(IF(E1727="BE",2,(IF(E1727="GV",3,(IF(E1727="RA",4,(IF(E1727="RM",5,(IF(E1727="AC",1,(IF(E1727="AT",2,(IF(E1727="DS",3,(IF(E1727="IP",4,(IF(E1727="MA",5,(IF(E1727="PT",6,(IF(E1727="AE",1,(IF(E1727="CM",2,(IF(E1727="DP",3,(IF(E1727="AN",1,(IF(E1727="CO",2,(IF(E1727="IM",3,(IF(E1727="MI",4,(IF(E1727="RP",5,(IF(E1727="SC",6,0)))))))))))))))))))))))))))))))))))))))</f>
        <v>2</v>
      </c>
      <c r="G1727" s="52">
        <v>2</v>
      </c>
      <c r="H1727" s="90" t="s">
        <v>115</v>
      </c>
      <c r="I1727" s="94" t="s">
        <v>92</v>
      </c>
      <c r="J1727" s="88">
        <v>8.4</v>
      </c>
      <c r="K1727" s="102" t="s">
        <v>5226</v>
      </c>
      <c r="L1727" s="117">
        <f>IF(O1727="","",N1727*O1727*M1727)</f>
        <v>0</v>
      </c>
      <c r="M1727" s="108">
        <v>1</v>
      </c>
      <c r="N1727" s="95">
        <v>1</v>
      </c>
      <c r="O1727" s="109">
        <f>IF(Key!D$1="ON",P1727,IF(SUM(Q1727:DL1727)&lt;1,"",SUM(Q1727:DL1727)/COUNTIF(Q1727:DL1727,"&gt;0")))</f>
        <v>0</v>
      </c>
      <c r="P1727" s="109">
        <f>SUMIFS(Q1727:DK1727,Q$1:DK$1,Dashboard!$K$31)</f>
        <v>0</v>
      </c>
      <c r="U1727" s="95">
        <v>33</v>
      </c>
      <c r="AA1727" s="95">
        <v>25</v>
      </c>
      <c r="AH1727" s="95">
        <v>75</v>
      </c>
    </row>
    <row r="1728" spans="1:34" x14ac:dyDescent="0.3">
      <c r="A1728" s="89" t="str">
        <f>CONCATENATE(D1728,".",F1728,"-",G1728,".",H1728,"")</f>
        <v>2.2-2.1</v>
      </c>
      <c r="B1728" s="89" t="str">
        <f>IF(CONCATENATE(I1728,Key!F$2)=CONCATENATE(INDEX(Dashboard!J:J,MATCH(I1728,Dashboard!J:J,0),1),INDEX(Dashboard!J:K,MATCH(I1728,Dashboard!J:J,0),2)),"ON",IF(Dashboard!K$32="ALL","ON","-"))</f>
        <v>-</v>
      </c>
      <c r="C1728" s="88" t="s">
        <v>152</v>
      </c>
      <c r="D1728" s="89">
        <f>IF(C1728="ID",1,(IF(C1728="PR",2,(IF(C1728="DE",3,(IF(C1728="RS",4,(IF(C1728="RC",5,0)))))))))</f>
        <v>2</v>
      </c>
      <c r="E1728" s="89" t="s">
        <v>202</v>
      </c>
      <c r="F1728" s="89">
        <f>IF(E1728="AM",1,(IF(E1728="BE",2,(IF(E1728="GV",3,(IF(E1728="RA",4,(IF(E1728="RM",5,(IF(E1728="AC",1,(IF(E1728="AT",2,(IF(E1728="DS",3,(IF(E1728="IP",4,(IF(E1728="MA",5,(IF(E1728="PT",6,(IF(E1728="AE",1,(IF(E1728="CM",2,(IF(E1728="DP",3,(IF(E1728="AN",1,(IF(E1728="CO",2,(IF(E1728="IM",3,(IF(E1728="MI",4,(IF(E1728="RP",5,(IF(E1728="SC",6,0)))))))))))))))))))))))))))))))))))))))</f>
        <v>2</v>
      </c>
      <c r="G1728" s="52">
        <v>2</v>
      </c>
      <c r="H1728" s="90" t="s">
        <v>115</v>
      </c>
      <c r="I1728" s="94" t="s">
        <v>92</v>
      </c>
      <c r="J1728" s="88" t="s">
        <v>205</v>
      </c>
      <c r="K1728" s="102" t="s">
        <v>5226</v>
      </c>
      <c r="L1728" s="117">
        <f>IF(O1728="","",N1728*O1728*M1728)</f>
        <v>0</v>
      </c>
      <c r="M1728" s="108">
        <v>1</v>
      </c>
      <c r="N1728" s="95">
        <v>1</v>
      </c>
      <c r="O1728" s="109">
        <f>IF(Key!D$1="ON",P1728,IF(SUM(Q1728:DL1728)&lt;1,"",SUM(Q1728:DL1728)/COUNTIF(Q1728:DL1728,"&gt;0")))</f>
        <v>0</v>
      </c>
      <c r="P1728" s="109">
        <f>SUMIFS(Q1728:DK1728,Q$1:DK$1,Dashboard!$K$31)</f>
        <v>0</v>
      </c>
      <c r="U1728" s="95">
        <v>33</v>
      </c>
      <c r="AA1728" s="95">
        <v>25</v>
      </c>
      <c r="AH1728" s="95">
        <v>75</v>
      </c>
    </row>
    <row r="1729" spans="1:34" x14ac:dyDescent="0.3">
      <c r="A1729" s="89" t="str">
        <f>CONCATENATE(D1729,".",F1729,"-",G1729,".",H1729,"")</f>
        <v>2.2-2.1</v>
      </c>
      <c r="B1729" s="89" t="str">
        <f>IF(CONCATENATE(I1729,Key!F$2)=CONCATENATE(INDEX(Dashboard!J:J,MATCH(I1729,Dashboard!J:J,0),1),INDEX(Dashboard!J:K,MATCH(I1729,Dashboard!J:J,0),2)),"ON",IF(Dashboard!K$32="ALL","ON","-"))</f>
        <v>-</v>
      </c>
      <c r="C1729" s="96" t="s">
        <v>152</v>
      </c>
      <c r="D1729" s="89">
        <f>IF(C1729="ID",1,(IF(C1729="PR",2,(IF(C1729="DE",3,(IF(C1729="RS",4,(IF(C1729="RC",5,0)))))))))</f>
        <v>2</v>
      </c>
      <c r="E1729" s="89" t="s">
        <v>202</v>
      </c>
      <c r="F1729" s="89">
        <f>IF(E1729="AM",1,(IF(E1729="BE",2,(IF(E1729="GV",3,(IF(E1729="RA",4,(IF(E1729="RM",5,(IF(E1729="AC",1,(IF(E1729="AT",2,(IF(E1729="DS",3,(IF(E1729="IP",4,(IF(E1729="MA",5,(IF(E1729="PT",6,(IF(E1729="AE",1,(IF(E1729="CM",2,(IF(E1729="DP",3,(IF(E1729="AN",1,(IF(E1729="CO",2,(IF(E1729="IM",3,(IF(E1729="MI",4,(IF(E1729="RP",5,(IF(E1729="SC",6,0)))))))))))))))))))))))))))))))))))))))</f>
        <v>2</v>
      </c>
      <c r="G1729" s="52">
        <v>2</v>
      </c>
      <c r="H1729" s="90" t="s">
        <v>115</v>
      </c>
      <c r="I1729" s="94" t="s">
        <v>92</v>
      </c>
      <c r="J1729" s="88" t="s">
        <v>206</v>
      </c>
      <c r="K1729" s="102" t="s">
        <v>5226</v>
      </c>
      <c r="L1729" s="117">
        <f>IF(O1729="","",N1729*O1729*M1729)</f>
        <v>0</v>
      </c>
      <c r="M1729" s="108">
        <v>0.9</v>
      </c>
      <c r="N1729" s="95">
        <v>1</v>
      </c>
      <c r="O1729" s="109">
        <f>IF(Key!D$1="ON",P1729,IF(SUM(Q1729:DL1729)&lt;1,"",SUM(Q1729:DL1729)/COUNTIF(Q1729:DL1729,"&gt;0")))</f>
        <v>0</v>
      </c>
      <c r="P1729" s="109">
        <f>SUMIFS(Q1729:DK1729,Q$1:DK$1,Dashboard!$K$31)</f>
        <v>0</v>
      </c>
      <c r="S1729" s="95">
        <v>99</v>
      </c>
      <c r="T1729" s="95">
        <v>80</v>
      </c>
      <c r="U1729" s="95">
        <v>33</v>
      </c>
      <c r="AA1729" s="95">
        <v>25</v>
      </c>
      <c r="AH1729" s="95">
        <v>75</v>
      </c>
    </row>
    <row r="1730" spans="1:34" x14ac:dyDescent="0.3">
      <c r="A1730" s="89" t="str">
        <f>CONCATENATE(D1730,".",F1730,"-",G1730,".",H1730,"")</f>
        <v>2.2-2.10</v>
      </c>
      <c r="B1730" s="89" t="str">
        <f>IF(CONCATENATE(I1730,Key!F$2)=CONCATENATE(INDEX(Dashboard!J:J,MATCH(I1730,Dashboard!J:J,0),1),INDEX(Dashboard!J:K,MATCH(I1730,Dashboard!J:J,0),2)),"ON",IF(Dashboard!K$32="ALL","ON","-"))</f>
        <v>-</v>
      </c>
      <c r="C1730" s="88" t="s">
        <v>152</v>
      </c>
      <c r="D1730" s="89">
        <f>IF(C1730="ID",1,(IF(C1730="PR",2,(IF(C1730="DE",3,(IF(C1730="RS",4,(IF(C1730="RC",5,0)))))))))</f>
        <v>2</v>
      </c>
      <c r="E1730" s="89" t="s">
        <v>202</v>
      </c>
      <c r="F1730" s="89">
        <f>IF(E1730="AM",1,(IF(E1730="BE",2,(IF(E1730="GV",3,(IF(E1730="RA",4,(IF(E1730="RM",5,(IF(E1730="AC",1,(IF(E1730="AT",2,(IF(E1730="DS",3,(IF(E1730="IP",4,(IF(E1730="MA",5,(IF(E1730="PT",6,(IF(E1730="AE",1,(IF(E1730="CM",2,(IF(E1730="DP",3,(IF(E1730="AN",1,(IF(E1730="CO",2,(IF(E1730="IM",3,(IF(E1730="MI",4,(IF(E1730="RP",5,(IF(E1730="SC",6,0)))))))))))))))))))))))))))))))))))))))</f>
        <v>2</v>
      </c>
      <c r="G1730" s="52">
        <v>2</v>
      </c>
      <c r="H1730" s="90" t="s">
        <v>3117</v>
      </c>
      <c r="I1730" s="94" t="s">
        <v>64</v>
      </c>
      <c r="J1730" s="86" t="s">
        <v>1322</v>
      </c>
      <c r="K1730" s="103" t="s">
        <v>2328</v>
      </c>
      <c r="L1730" s="117">
        <f>IF(O1730="","",N1730*O1730*M1730)</f>
        <v>0</v>
      </c>
      <c r="M1730" s="108">
        <v>0.9</v>
      </c>
      <c r="N1730" s="95">
        <v>1</v>
      </c>
      <c r="O1730" s="109">
        <f>IF(Key!D$1="ON",P1730,IF(SUM(Q1730:DL1730)&lt;1,"",SUM(Q1730:DL1730)/COUNTIF(Q1730:DL1730,"&gt;0")))</f>
        <v>0</v>
      </c>
      <c r="P1730" s="109">
        <f>SUMIFS(Q1730:DK1730,Q$1:DK$1,Dashboard!$K$31)</f>
        <v>0</v>
      </c>
      <c r="S1730" s="95">
        <v>99</v>
      </c>
      <c r="T1730" s="95">
        <v>80</v>
      </c>
      <c r="U1730" s="95">
        <v>33</v>
      </c>
      <c r="AA1730" s="95">
        <v>25</v>
      </c>
      <c r="AH1730" s="95">
        <v>75</v>
      </c>
    </row>
    <row r="1731" spans="1:34" x14ac:dyDescent="0.3">
      <c r="A1731" s="89" t="str">
        <f>CONCATENATE(D1731,".",F1731,"-",G1731,".",H1731,"")</f>
        <v>2.2-2.2</v>
      </c>
      <c r="B1731" s="89" t="str">
        <f>IF(CONCATENATE(I1731,Key!F$2)=CONCATENATE(INDEX(Dashboard!J:J,MATCH(I1731,Dashboard!J:J,0),1),INDEX(Dashboard!J:K,MATCH(I1731,Dashboard!J:J,0),2)),"ON",IF(Dashboard!K$32="ALL","ON","-"))</f>
        <v>-</v>
      </c>
      <c r="C1731" s="88" t="s">
        <v>152</v>
      </c>
      <c r="D1731" s="89">
        <f>IF(C1731="ID",1,(IF(C1731="PR",2,(IF(C1731="DE",3,(IF(C1731="RS",4,(IF(C1731="RC",5,0)))))))))</f>
        <v>2</v>
      </c>
      <c r="E1731" s="89" t="s">
        <v>202</v>
      </c>
      <c r="F1731" s="89">
        <f>IF(E1731="AM",1,(IF(E1731="BE",2,(IF(E1731="GV",3,(IF(E1731="RA",4,(IF(E1731="RM",5,(IF(E1731="AC",1,(IF(E1731="AT",2,(IF(E1731="DS",3,(IF(E1731="IP",4,(IF(E1731="MA",5,(IF(E1731="PT",6,(IF(E1731="AE",1,(IF(E1731="CM",2,(IF(E1731="DP",3,(IF(E1731="AN",1,(IF(E1731="CO",2,(IF(E1731="IM",3,(IF(E1731="MI",4,(IF(E1731="RP",5,(IF(E1731="SC",6,0)))))))))))))))))))))))))))))))))))))))</f>
        <v>2</v>
      </c>
      <c r="G1731" s="52">
        <v>2</v>
      </c>
      <c r="H1731" s="90" t="s">
        <v>112</v>
      </c>
      <c r="I1731" s="94" t="s">
        <v>60</v>
      </c>
      <c r="J1731" s="87" t="s">
        <v>3201</v>
      </c>
      <c r="K1731" s="51" t="s">
        <v>5314</v>
      </c>
      <c r="L1731" s="117">
        <f>IF(O1731="","",N1731*O1731*M1731)</f>
        <v>0</v>
      </c>
      <c r="M1731" s="108">
        <v>1</v>
      </c>
      <c r="N1731" s="95">
        <v>1</v>
      </c>
      <c r="O1731" s="109">
        <f>IF(Key!D$1="ON",P1731,IF(SUM(Q1731:DL1731)&lt;1,"",SUM(Q1731:DL1731)/COUNTIF(Q1731:DL1731,"&gt;0")))</f>
        <v>0</v>
      </c>
      <c r="P1731" s="109">
        <f>SUMIFS(Q1731:DK1731,Q$1:DK$1,Dashboard!$K$31)</f>
        <v>0</v>
      </c>
      <c r="U1731" s="95">
        <v>33</v>
      </c>
      <c r="AA1731" s="95">
        <v>25</v>
      </c>
      <c r="AH1731" s="95">
        <v>75</v>
      </c>
    </row>
    <row r="1732" spans="1:34" x14ac:dyDescent="0.3">
      <c r="A1732" s="89" t="str">
        <f>CONCATENATE(D1732,".",F1732,"-",G1732,".",H1732,"")</f>
        <v>2.2-2.2</v>
      </c>
      <c r="B1732" s="89" t="str">
        <f>IF(CONCATENATE(I1732,Key!F$2)=CONCATENATE(INDEX(Dashboard!J:J,MATCH(I1732,Dashboard!J:J,0),1),INDEX(Dashboard!J:K,MATCH(I1732,Dashboard!J:J,0),2)),"ON",IF(Dashboard!K$32="ALL","ON","-"))</f>
        <v>-</v>
      </c>
      <c r="C1732" s="88" t="s">
        <v>152</v>
      </c>
      <c r="D1732" s="89">
        <f>IF(C1732="ID",1,(IF(C1732="PR",2,(IF(C1732="DE",3,(IF(C1732="RS",4,(IF(C1732="RC",5,0)))))))))</f>
        <v>2</v>
      </c>
      <c r="E1732" s="89" t="s">
        <v>202</v>
      </c>
      <c r="F1732" s="89">
        <f>IF(E1732="AM",1,(IF(E1732="BE",2,(IF(E1732="GV",3,(IF(E1732="RA",4,(IF(E1732="RM",5,(IF(E1732="AC",1,(IF(E1732="AT",2,(IF(E1732="DS",3,(IF(E1732="IP",4,(IF(E1732="MA",5,(IF(E1732="PT",6,(IF(E1732="AE",1,(IF(E1732="CM",2,(IF(E1732="DP",3,(IF(E1732="AN",1,(IF(E1732="CO",2,(IF(E1732="IM",3,(IF(E1732="MI",4,(IF(E1732="RP",5,(IF(E1732="SC",6,0)))))))))))))))))))))))))))))))))))))))</f>
        <v>2</v>
      </c>
      <c r="G1732" s="52">
        <v>2</v>
      </c>
      <c r="H1732" s="90" t="s">
        <v>112</v>
      </c>
      <c r="I1732" s="94" t="s">
        <v>89</v>
      </c>
      <c r="J1732" s="88" t="s">
        <v>547</v>
      </c>
      <c r="K1732" s="102" t="s">
        <v>548</v>
      </c>
      <c r="L1732" s="117">
        <f>IF(O1732="","",N1732*O1732*M1732)</f>
        <v>0</v>
      </c>
      <c r="M1732" s="108">
        <v>0.9</v>
      </c>
      <c r="N1732" s="95">
        <v>1</v>
      </c>
      <c r="O1732" s="109">
        <f>IF(Key!D$1="ON",P1732,IF(SUM(Q1732:DL1732)&lt;1,"",SUM(Q1732:DL1732)/COUNTIF(Q1732:DL1732,"&gt;0")))</f>
        <v>0</v>
      </c>
      <c r="P1732" s="109">
        <f>SUMIFS(Q1732:DK1732,Q$1:DK$1,Dashboard!$K$31)</f>
        <v>0</v>
      </c>
      <c r="S1732" s="95">
        <v>99</v>
      </c>
      <c r="T1732" s="95">
        <v>80</v>
      </c>
      <c r="U1732" s="95">
        <v>33</v>
      </c>
      <c r="AA1732" s="95">
        <v>25</v>
      </c>
      <c r="AH1732" s="95">
        <v>75</v>
      </c>
    </row>
    <row r="1733" spans="1:34" x14ac:dyDescent="0.3">
      <c r="A1733" s="89" t="str">
        <f>CONCATENATE(D1733,".",F1733,"-",G1733,".",H1733,"")</f>
        <v>2.2-2.3</v>
      </c>
      <c r="B1733" s="89" t="str">
        <f>IF(CONCATENATE(I1733,Key!F$2)=CONCATENATE(INDEX(Dashboard!J:J,MATCH(I1733,Dashboard!J:J,0),1),INDEX(Dashboard!J:K,MATCH(I1733,Dashboard!J:J,0),2)),"ON",IF(Dashboard!K$32="ALL","ON","-"))</f>
        <v>-</v>
      </c>
      <c r="C1733" s="88" t="s">
        <v>152</v>
      </c>
      <c r="D1733" s="89">
        <f>IF(C1733="ID",1,(IF(C1733="PR",2,(IF(C1733="DE",3,(IF(C1733="RS",4,(IF(C1733="RC",5,0)))))))))</f>
        <v>2</v>
      </c>
      <c r="E1733" s="89" t="s">
        <v>202</v>
      </c>
      <c r="F1733" s="89">
        <f>IF(E1733="AM",1,(IF(E1733="BE",2,(IF(E1733="GV",3,(IF(E1733="RA",4,(IF(E1733="RM",5,(IF(E1733="AC",1,(IF(E1733="AT",2,(IF(E1733="DS",3,(IF(E1733="IP",4,(IF(E1733="MA",5,(IF(E1733="PT",6,(IF(E1733="AE",1,(IF(E1733="CM",2,(IF(E1733="DP",3,(IF(E1733="AN",1,(IF(E1733="CO",2,(IF(E1733="IM",3,(IF(E1733="MI",4,(IF(E1733="RP",5,(IF(E1733="SC",6,0)))))))))))))))))))))))))))))))))))))))</f>
        <v>2</v>
      </c>
      <c r="G1733" s="52">
        <v>2</v>
      </c>
      <c r="H1733" s="90" t="s">
        <v>280</v>
      </c>
      <c r="I1733" s="94" t="s">
        <v>89</v>
      </c>
      <c r="J1733" s="88" t="s">
        <v>549</v>
      </c>
      <c r="K1733" s="102" t="s">
        <v>550</v>
      </c>
      <c r="L1733" s="117">
        <f>IF(O1733="","",N1733*O1733*M1733)</f>
        <v>0</v>
      </c>
      <c r="M1733" s="108">
        <v>1</v>
      </c>
      <c r="N1733" s="95">
        <v>1</v>
      </c>
      <c r="O1733" s="109">
        <f>IF(Key!D$1="ON",P1733,IF(SUM(Q1733:DL1733)&lt;1,"",SUM(Q1733:DL1733)/COUNTIF(Q1733:DL1733,"&gt;0")))</f>
        <v>0</v>
      </c>
      <c r="P1733" s="109">
        <f>SUMIFS(Q1733:DK1733,Q$1:DK$1,Dashboard!$K$31)</f>
        <v>0</v>
      </c>
      <c r="U1733" s="95">
        <v>33</v>
      </c>
      <c r="AA1733" s="95">
        <v>25</v>
      </c>
      <c r="AH1733" s="95">
        <v>75</v>
      </c>
    </row>
    <row r="1734" spans="1:34" ht="15.6" x14ac:dyDescent="0.3">
      <c r="A1734" s="89" t="str">
        <f>CONCATENATE(D1734,".",F1734,"-",G1734,".",H1734,"")</f>
        <v>2.2-3.0</v>
      </c>
      <c r="B1734" s="89" t="str">
        <f>IF(CONCATENATE(I1734,Key!F$2)=CONCATENATE(INDEX(Dashboard!J:J,MATCH(I1734,Dashboard!J:J,0),1),INDEX(Dashboard!J:K,MATCH(I1734,Dashboard!J:J,0),2)),"ON",IF(Dashboard!K$32="ALL","ON","-"))</f>
        <v>-</v>
      </c>
      <c r="C1734" s="88" t="s">
        <v>152</v>
      </c>
      <c r="D1734" s="89">
        <f>IF(C1734="ID",1,(IF(C1734="PR",2,(IF(C1734="DE",3,(IF(C1734="RS",4,(IF(C1734="RC",5,0)))))))))</f>
        <v>2</v>
      </c>
      <c r="E1734" s="89" t="s">
        <v>202</v>
      </c>
      <c r="F1734" s="89">
        <f>IF(E1734="AM",1,(IF(E1734="BE",2,(IF(E1734="GV",3,(IF(E1734="RA",4,(IF(E1734="RM",5,(IF(E1734="AC",1,(IF(E1734="AT",2,(IF(E1734="DS",3,(IF(E1734="IP",4,(IF(E1734="MA",5,(IF(E1734="PT",6,(IF(E1734="AE",1,(IF(E1734="CM",2,(IF(E1734="DP",3,(IF(E1734="AN",1,(IF(E1734="CO",2,(IF(E1734="IM",3,(IF(E1734="MI",4,(IF(E1734="RP",5,(IF(E1734="SC",6,0)))))))))))))))))))))))))))))))))))))))</f>
        <v>2</v>
      </c>
      <c r="G1734" s="52">
        <v>3</v>
      </c>
      <c r="H1734" s="90" t="s">
        <v>347</v>
      </c>
      <c r="I1734" s="94" t="s">
        <v>2835</v>
      </c>
      <c r="J1734" s="53" t="s">
        <v>2934</v>
      </c>
      <c r="K1734" s="150" t="s">
        <v>2935</v>
      </c>
      <c r="L1734" s="117">
        <f>IF(O1734="","",N1734*O1734*M1734)</f>
        <v>0</v>
      </c>
      <c r="M1734" s="108">
        <v>0.95</v>
      </c>
      <c r="N1734" s="95">
        <v>1</v>
      </c>
      <c r="O1734" s="109">
        <f>IF(Key!D$1="ON",P1734,IF(SUM(Q1734:DL1734)&lt;1,"",SUM(Q1734:DL1734)/COUNTIF(Q1734:DL1734,"&gt;0")))</f>
        <v>0</v>
      </c>
      <c r="P1734" s="109">
        <f>SUMIFS(Q1734:DK1734,Q$1:DK$1,Dashboard!$K$31)</f>
        <v>0</v>
      </c>
      <c r="U1734" s="95">
        <v>33</v>
      </c>
    </row>
    <row r="1735" spans="1:34" x14ac:dyDescent="0.3">
      <c r="A1735" s="89" t="str">
        <f>CONCATENATE(D1735,".",F1735,"-",G1735,".",H1735,"")</f>
        <v>2.2-3.1</v>
      </c>
      <c r="B1735" s="89" t="str">
        <f>IF(CONCATENATE(I1735,Key!F$2)=CONCATENATE(INDEX(Dashboard!J:J,MATCH(I1735,Dashboard!J:J,0),1),INDEX(Dashboard!J:K,MATCH(I1735,Dashboard!J:J,0),2)),"ON",IF(Dashboard!K$32="ALL","ON","-"))</f>
        <v>ON</v>
      </c>
      <c r="C1735" s="130" t="s">
        <v>152</v>
      </c>
      <c r="D1735" s="89">
        <f>IF(C1735="ID",1,(IF(C1735="PR",2,(IF(C1735="DE",3,(IF(C1735="RS",4,(IF(C1735="RC",5,0)))))))))</f>
        <v>2</v>
      </c>
      <c r="E1735" s="95" t="s">
        <v>202</v>
      </c>
      <c r="F1735" s="89">
        <f>IF(E1735="AM",1,(IF(E1735="BE",2,(IF(E1735="GV",3,(IF(E1735="RA",4,(IF(E1735="RM",5,(IF(E1735="AC",1,(IF(E1735="AT",2,(IF(E1735="DS",3,(IF(E1735="IP",4,(IF(E1735="MA",5,(IF(E1735="PT",6,(IF(E1735="AE",1,(IF(E1735="CM",2,(IF(E1735="DP",3,(IF(E1735="AN",1,(IF(E1735="CO",2,(IF(E1735="IM",3,(IF(E1735="MI",4,(IF(E1735="RP",5,(IF(E1735="SC",6,0)))))))))))))))))))))))))))))))))))))))</f>
        <v>2</v>
      </c>
      <c r="G1735" s="52">
        <v>3</v>
      </c>
      <c r="H1735" s="90" t="s">
        <v>115</v>
      </c>
      <c r="I1735" s="94" t="s">
        <v>4107</v>
      </c>
      <c r="J1735" s="86" t="s">
        <v>3978</v>
      </c>
      <c r="K1735" s="101" t="s">
        <v>4436</v>
      </c>
      <c r="L1735" s="117">
        <f>IF(O1735="","",N1735*O1735*M1735)</f>
        <v>0</v>
      </c>
      <c r="M1735" s="108">
        <v>1</v>
      </c>
      <c r="N1735" s="95">
        <v>1</v>
      </c>
      <c r="O1735" s="109">
        <f>IF(Key!D$1="ON",P1735,IF(SUM(Q1735:DL1735)&lt;1,"",SUM(Q1735:DL1735)/COUNTIF(Q1735:DL1735,"&gt;0")))</f>
        <v>0</v>
      </c>
      <c r="P1735" s="109">
        <f>SUMIFS(Q1735:DK1735,Q$1:DK$1,Dashboard!$K$31)</f>
        <v>0</v>
      </c>
      <c r="U1735" s="95">
        <v>33</v>
      </c>
      <c r="AA1735" s="95">
        <v>25</v>
      </c>
      <c r="AH1735" s="95">
        <v>75</v>
      </c>
    </row>
    <row r="1736" spans="1:34" x14ac:dyDescent="0.3">
      <c r="A1736" s="89" t="str">
        <f>CONCATENATE(D1736,".",F1736,"-",G1736,".",H1736,"")</f>
        <v>2.2-3.1</v>
      </c>
      <c r="B1736" s="89" t="str">
        <f>IF(CONCATENATE(I1736,Key!F$2)=CONCATENATE(INDEX(Dashboard!J:J,MATCH(I1736,Dashboard!J:J,0),1),INDEX(Dashboard!J:K,MATCH(I1736,Dashboard!J:J,0),2)),"ON",IF(Dashboard!K$32="ALL","ON","-"))</f>
        <v>ON</v>
      </c>
      <c r="C1736" s="130" t="s">
        <v>152</v>
      </c>
      <c r="D1736" s="89">
        <f>IF(C1736="ID",1,(IF(C1736="PR",2,(IF(C1736="DE",3,(IF(C1736="RS",4,(IF(C1736="RC",5,0)))))))))</f>
        <v>2</v>
      </c>
      <c r="E1736" s="95" t="s">
        <v>202</v>
      </c>
      <c r="F1736" s="89">
        <f>IF(E1736="AM",1,(IF(E1736="BE",2,(IF(E1736="GV",3,(IF(E1736="RA",4,(IF(E1736="RM",5,(IF(E1736="AC",1,(IF(E1736="AT",2,(IF(E1736="DS",3,(IF(E1736="IP",4,(IF(E1736="MA",5,(IF(E1736="PT",6,(IF(E1736="AE",1,(IF(E1736="CM",2,(IF(E1736="DP",3,(IF(E1736="AN",1,(IF(E1736="CO",2,(IF(E1736="IM",3,(IF(E1736="MI",4,(IF(E1736="RP",5,(IF(E1736="SC",6,0)))))))))))))))))))))))))))))))))))))))</f>
        <v>2</v>
      </c>
      <c r="G1736" s="52">
        <v>3</v>
      </c>
      <c r="H1736" s="90" t="s">
        <v>115</v>
      </c>
      <c r="I1736" s="94" t="s">
        <v>4107</v>
      </c>
      <c r="J1736" s="86" t="s">
        <v>3979</v>
      </c>
      <c r="K1736" s="101" t="s">
        <v>4370</v>
      </c>
      <c r="L1736" s="117">
        <f>IF(O1736="","",N1736*O1736*M1736)</f>
        <v>0</v>
      </c>
      <c r="M1736" s="108">
        <v>1</v>
      </c>
      <c r="N1736" s="95">
        <v>1</v>
      </c>
      <c r="O1736" s="109">
        <f>IF(Key!D$1="ON",P1736,IF(SUM(Q1736:DL1736)&lt;1,"",SUM(Q1736:DL1736)/COUNTIF(Q1736:DL1736,"&gt;0")))</f>
        <v>0</v>
      </c>
      <c r="P1736" s="109">
        <f>SUMIFS(Q1736:DK1736,Q$1:DK$1,Dashboard!$K$31)</f>
        <v>0</v>
      </c>
      <c r="U1736" s="95">
        <v>33</v>
      </c>
      <c r="AA1736" s="95">
        <v>25</v>
      </c>
      <c r="AH1736" s="95">
        <v>75</v>
      </c>
    </row>
    <row r="1737" spans="1:34" x14ac:dyDescent="0.3">
      <c r="A1737" s="89" t="str">
        <f>CONCATENATE(D1737,".",F1737,"-",G1737,".",H1737,"")</f>
        <v>2.2-3.1</v>
      </c>
      <c r="B1737" s="89" t="str">
        <f>IF(CONCATENATE(I1737,Key!F$2)=CONCATENATE(INDEX(Dashboard!J:J,MATCH(I1737,Dashboard!J:J,0),1),INDEX(Dashboard!J:K,MATCH(I1737,Dashboard!J:J,0),2)),"ON",IF(Dashboard!K$32="ALL","ON","-"))</f>
        <v>ON</v>
      </c>
      <c r="C1737" s="130" t="s">
        <v>152</v>
      </c>
      <c r="D1737" s="89">
        <f>IF(C1737="ID",1,(IF(C1737="PR",2,(IF(C1737="DE",3,(IF(C1737="RS",4,(IF(C1737="RC",5,0)))))))))</f>
        <v>2</v>
      </c>
      <c r="E1737" s="95" t="s">
        <v>202</v>
      </c>
      <c r="F1737" s="89">
        <f>IF(E1737="AM",1,(IF(E1737="BE",2,(IF(E1737="GV",3,(IF(E1737="RA",4,(IF(E1737="RM",5,(IF(E1737="AC",1,(IF(E1737="AT",2,(IF(E1737="DS",3,(IF(E1737="IP",4,(IF(E1737="MA",5,(IF(E1737="PT",6,(IF(E1737="AE",1,(IF(E1737="CM",2,(IF(E1737="DP",3,(IF(E1737="AN",1,(IF(E1737="CO",2,(IF(E1737="IM",3,(IF(E1737="MI",4,(IF(E1737="RP",5,(IF(E1737="SC",6,0)))))))))))))))))))))))))))))))))))))))</f>
        <v>2</v>
      </c>
      <c r="G1737" s="52">
        <v>3</v>
      </c>
      <c r="H1737" s="90" t="s">
        <v>115</v>
      </c>
      <c r="I1737" s="94" t="s">
        <v>4107</v>
      </c>
      <c r="J1737" s="86" t="s">
        <v>3981</v>
      </c>
      <c r="K1737" s="101" t="s">
        <v>4437</v>
      </c>
      <c r="L1737" s="117">
        <f>IF(O1737="","",N1737*O1737*M1737)</f>
        <v>0</v>
      </c>
      <c r="M1737" s="108">
        <v>1</v>
      </c>
      <c r="N1737" s="95">
        <v>1</v>
      </c>
      <c r="O1737" s="109">
        <f>IF(Key!D$1="ON",P1737,IF(SUM(Q1737:DL1737)&lt;1,"",SUM(Q1737:DL1737)/COUNTIF(Q1737:DL1737,"&gt;0")))</f>
        <v>0</v>
      </c>
      <c r="P1737" s="109">
        <f>SUMIFS(Q1737:DK1737,Q$1:DK$1,Dashboard!$K$31)</f>
        <v>0</v>
      </c>
      <c r="U1737" s="95">
        <v>33</v>
      </c>
      <c r="AA1737" s="95">
        <v>25</v>
      </c>
      <c r="AH1737" s="95">
        <v>75</v>
      </c>
    </row>
    <row r="1738" spans="1:34" x14ac:dyDescent="0.3">
      <c r="A1738" s="89" t="str">
        <f>CONCATENATE(D1738,".",F1738,"-",G1738,".",H1738,"")</f>
        <v>2.2-3.1</v>
      </c>
      <c r="B1738" s="89" t="str">
        <f>IF(CONCATENATE(I1738,Key!F$2)=CONCATENATE(INDEX(Dashboard!J:J,MATCH(I1738,Dashboard!J:J,0),1),INDEX(Dashboard!J:K,MATCH(I1738,Dashboard!J:J,0),2)),"ON",IF(Dashboard!K$32="ALL","ON","-"))</f>
        <v>ON</v>
      </c>
      <c r="C1738" s="130" t="s">
        <v>152</v>
      </c>
      <c r="D1738" s="89">
        <f>IF(C1738="ID",1,(IF(C1738="PR",2,(IF(C1738="DE",3,(IF(C1738="RS",4,(IF(C1738="RC",5,0)))))))))</f>
        <v>2</v>
      </c>
      <c r="E1738" s="95" t="s">
        <v>202</v>
      </c>
      <c r="F1738" s="89">
        <f>IF(E1738="AM",1,(IF(E1738="BE",2,(IF(E1738="GV",3,(IF(E1738="RA",4,(IF(E1738="RM",5,(IF(E1738="AC",1,(IF(E1738="AT",2,(IF(E1738="DS",3,(IF(E1738="IP",4,(IF(E1738="MA",5,(IF(E1738="PT",6,(IF(E1738="AE",1,(IF(E1738="CM",2,(IF(E1738="DP",3,(IF(E1738="AN",1,(IF(E1738="CO",2,(IF(E1738="IM",3,(IF(E1738="MI",4,(IF(E1738="RP",5,(IF(E1738="SC",6,0)))))))))))))))))))))))))))))))))))))))</f>
        <v>2</v>
      </c>
      <c r="G1738" s="52">
        <v>3</v>
      </c>
      <c r="H1738" s="90" t="s">
        <v>115</v>
      </c>
      <c r="I1738" s="94" t="s">
        <v>4107</v>
      </c>
      <c r="J1738" s="86" t="s">
        <v>3982</v>
      </c>
      <c r="K1738" s="101" t="s">
        <v>4371</v>
      </c>
      <c r="L1738" s="117">
        <f>IF(O1738="","",N1738*O1738*M1738)</f>
        <v>0</v>
      </c>
      <c r="M1738" s="108">
        <v>1</v>
      </c>
      <c r="N1738" s="95">
        <v>1</v>
      </c>
      <c r="O1738" s="109">
        <f>IF(Key!D$1="ON",P1738,IF(SUM(Q1738:DL1738)&lt;1,"",SUM(Q1738:DL1738)/COUNTIF(Q1738:DL1738,"&gt;0")))</f>
        <v>0</v>
      </c>
      <c r="P1738" s="109">
        <f>SUMIFS(Q1738:DK1738,Q$1:DK$1,Dashboard!$K$31)</f>
        <v>0</v>
      </c>
      <c r="U1738" s="95">
        <v>33</v>
      </c>
      <c r="AA1738" s="95">
        <v>25</v>
      </c>
      <c r="AH1738" s="95">
        <v>75</v>
      </c>
    </row>
    <row r="1739" spans="1:34" x14ac:dyDescent="0.3">
      <c r="A1739" s="89" t="str">
        <f>CONCATENATE(D1739,".",F1739,"-",G1739,".",H1739,"")</f>
        <v>2.2-3.1</v>
      </c>
      <c r="B1739" s="89" t="str">
        <f>IF(CONCATENATE(I1739,Key!F$2)=CONCATENATE(INDEX(Dashboard!J:J,MATCH(I1739,Dashboard!J:J,0),1),INDEX(Dashboard!J:K,MATCH(I1739,Dashboard!J:J,0),2)),"ON",IF(Dashboard!K$32="ALL","ON","-"))</f>
        <v>-</v>
      </c>
      <c r="C1739" s="88" t="s">
        <v>152</v>
      </c>
      <c r="D1739" s="89">
        <f>IF(C1739="ID",1,(IF(C1739="PR",2,(IF(C1739="DE",3,(IF(C1739="RS",4,(IF(C1739="RC",5,0)))))))))</f>
        <v>2</v>
      </c>
      <c r="E1739" s="89" t="s">
        <v>202</v>
      </c>
      <c r="F1739" s="89">
        <f>IF(E1739="AM",1,(IF(E1739="BE",2,(IF(E1739="GV",3,(IF(E1739="RA",4,(IF(E1739="RM",5,(IF(E1739="AC",1,(IF(E1739="AT",2,(IF(E1739="DS",3,(IF(E1739="IP",4,(IF(E1739="MA",5,(IF(E1739="PT",6,(IF(E1739="AE",1,(IF(E1739="CM",2,(IF(E1739="DP",3,(IF(E1739="AN",1,(IF(E1739="CO",2,(IF(E1739="IM",3,(IF(E1739="MI",4,(IF(E1739="RP",5,(IF(E1739="SC",6,0)))))))))))))))))))))))))))))))))))))))</f>
        <v>2</v>
      </c>
      <c r="G1739" s="98">
        <v>3</v>
      </c>
      <c r="H1739" s="99">
        <v>1</v>
      </c>
      <c r="I1739" s="94" t="s">
        <v>41</v>
      </c>
      <c r="J1739" s="86" t="s">
        <v>3636</v>
      </c>
      <c r="K1739" s="103" t="s">
        <v>3637</v>
      </c>
      <c r="L1739" s="117">
        <f>IF(O1739="","",N1739*O1739*M1739)</f>
        <v>0</v>
      </c>
      <c r="M1739" s="108">
        <v>1</v>
      </c>
      <c r="N1739" s="95">
        <v>1</v>
      </c>
      <c r="O1739" s="109">
        <f>IF(Key!D$1="ON",P1739,IF(SUM(Q1739:DL1739)&lt;1,"",SUM(Q1739:DL1739)/COUNTIF(Q1739:DL1739,"&gt;0")))</f>
        <v>0</v>
      </c>
      <c r="P1739" s="109">
        <f>SUMIFS(Q1739:DK1739,Q$1:DK$1,Dashboard!$K$31)</f>
        <v>0</v>
      </c>
      <c r="U1739" s="95">
        <v>33</v>
      </c>
    </row>
    <row r="1740" spans="1:34" x14ac:dyDescent="0.3">
      <c r="A1740" s="89" t="str">
        <f>CONCATENATE(D1740,".",F1740,"-",G1740,".",H1740,"")</f>
        <v>2.2-3.1</v>
      </c>
      <c r="B1740" s="89" t="str">
        <f>IF(CONCATENATE(I1740,Key!F$2)=CONCATENATE(INDEX(Dashboard!J:J,MATCH(I1740,Dashboard!J:J,0),1),INDEX(Dashboard!J:K,MATCH(I1740,Dashboard!J:J,0),2)),"ON",IF(Dashboard!K$32="ALL","ON","-"))</f>
        <v>-</v>
      </c>
      <c r="C1740" s="96" t="s">
        <v>152</v>
      </c>
      <c r="D1740" s="89">
        <f>IF(C1740="ID",1,(IF(C1740="PR",2,(IF(C1740="DE",3,(IF(C1740="RS",4,(IF(C1740="RC",5,0)))))))))</f>
        <v>2</v>
      </c>
      <c r="E1740" s="89" t="s">
        <v>202</v>
      </c>
      <c r="F1740" s="89">
        <f>IF(E1740="AM",1,(IF(E1740="BE",2,(IF(E1740="GV",3,(IF(E1740="RA",4,(IF(E1740="RM",5,(IF(E1740="AC",1,(IF(E1740="AT",2,(IF(E1740="DS",3,(IF(E1740="IP",4,(IF(E1740="MA",5,(IF(E1740="PT",6,(IF(E1740="AE",1,(IF(E1740="CM",2,(IF(E1740="DP",3,(IF(E1740="AN",1,(IF(E1740="CO",2,(IF(E1740="IM",3,(IF(E1740="MI",4,(IF(E1740="RP",5,(IF(E1740="SC",6,0)))))))))))))))))))))))))))))))))))))))</f>
        <v>2</v>
      </c>
      <c r="G1740" s="98">
        <v>3</v>
      </c>
      <c r="H1740" s="90" t="s">
        <v>115</v>
      </c>
      <c r="I1740" s="94" t="s">
        <v>52</v>
      </c>
      <c r="J1740" s="88" t="s">
        <v>3284</v>
      </c>
      <c r="K1740" s="102" t="s">
        <v>3285</v>
      </c>
      <c r="L1740" s="117">
        <f>IF(O1740="","",N1740*O1740*M1740)</f>
        <v>0</v>
      </c>
      <c r="M1740" s="108">
        <v>1</v>
      </c>
      <c r="N1740" s="95">
        <v>1</v>
      </c>
      <c r="O1740" s="109">
        <f>IF(Key!D$1="ON",P1740,IF(SUM(Q1740:DL1740)&lt;1,"",SUM(Q1740:DL1740)/COUNTIF(Q1740:DL1740,"&gt;0")))</f>
        <v>0</v>
      </c>
      <c r="P1740" s="109">
        <f>SUMIFS(Q1740:DK1740,Q$1:DK$1,Dashboard!$K$31)</f>
        <v>0</v>
      </c>
      <c r="U1740" s="95">
        <v>33</v>
      </c>
      <c r="AA1740" s="95">
        <v>25</v>
      </c>
      <c r="AH1740" s="95">
        <v>75</v>
      </c>
    </row>
    <row r="1741" spans="1:34" x14ac:dyDescent="0.3">
      <c r="A1741" s="89" t="str">
        <f>CONCATENATE(D1741,".",F1741,"-",G1741,".",H1741,"")</f>
        <v>2.2-3.1</v>
      </c>
      <c r="B1741" s="89" t="str">
        <f>IF(CONCATENATE(I1741,Key!F$2)=CONCATENATE(INDEX(Dashboard!J:J,MATCH(I1741,Dashboard!J:J,0),1),INDEX(Dashboard!J:K,MATCH(I1741,Dashboard!J:J,0),2)),"ON",IF(Dashboard!K$32="ALL","ON","-"))</f>
        <v>-</v>
      </c>
      <c r="C1741" s="96" t="s">
        <v>152</v>
      </c>
      <c r="D1741" s="89">
        <f>IF(C1741="ID",1,(IF(C1741="PR",2,(IF(C1741="DE",3,(IF(C1741="RS",4,(IF(C1741="RC",5,0)))))))))</f>
        <v>2</v>
      </c>
      <c r="E1741" s="89" t="s">
        <v>202</v>
      </c>
      <c r="F1741" s="89">
        <f>IF(E1741="AM",1,(IF(E1741="BE",2,(IF(E1741="GV",3,(IF(E1741="RA",4,(IF(E1741="RM",5,(IF(E1741="AC",1,(IF(E1741="AT",2,(IF(E1741="DS",3,(IF(E1741="IP",4,(IF(E1741="MA",5,(IF(E1741="PT",6,(IF(E1741="AE",1,(IF(E1741="CM",2,(IF(E1741="DP",3,(IF(E1741="AN",1,(IF(E1741="CO",2,(IF(E1741="IM",3,(IF(E1741="MI",4,(IF(E1741="RP",5,(IF(E1741="SC",6,0)))))))))))))))))))))))))))))))))))))))</f>
        <v>2</v>
      </c>
      <c r="G1741" s="98">
        <v>3</v>
      </c>
      <c r="H1741" s="90" t="s">
        <v>115</v>
      </c>
      <c r="I1741" s="94" t="s">
        <v>77</v>
      </c>
      <c r="J1741" s="87" t="s">
        <v>1331</v>
      </c>
      <c r="K1741" s="102" t="s">
        <v>2018</v>
      </c>
      <c r="L1741" s="117">
        <f>IF(O1741="","",N1741*O1741*M1741)</f>
        <v>0</v>
      </c>
      <c r="M1741" s="108">
        <v>1</v>
      </c>
      <c r="N1741" s="95">
        <v>1</v>
      </c>
      <c r="O1741" s="109">
        <f>IF(Key!D$1="ON",P1741,IF(SUM(Q1741:DL1741)&lt;1,"",SUM(Q1741:DL1741)/COUNTIF(Q1741:DL1741,"&gt;0")))</f>
        <v>0</v>
      </c>
      <c r="P1741" s="109">
        <f>SUMIFS(Q1741:DK1741,Q$1:DK$1,Dashboard!$K$31)</f>
        <v>0</v>
      </c>
      <c r="U1741" s="95">
        <v>33</v>
      </c>
      <c r="AA1741" s="95">
        <v>25</v>
      </c>
      <c r="AH1741" s="95">
        <v>75</v>
      </c>
    </row>
    <row r="1742" spans="1:34" x14ac:dyDescent="0.3">
      <c r="A1742" s="89" t="str">
        <f>CONCATENATE(D1742,".",F1742,"-",G1742,".",H1742,"")</f>
        <v>2.2-3.1</v>
      </c>
      <c r="B1742" s="89" t="str">
        <f>IF(CONCATENATE(I1742,Key!F$2)=CONCATENATE(INDEX(Dashboard!J:J,MATCH(I1742,Dashboard!J:J,0),1),INDEX(Dashboard!J:K,MATCH(I1742,Dashboard!J:J,0),2)),"ON",IF(Dashboard!K$32="ALL","ON","-"))</f>
        <v>-</v>
      </c>
      <c r="C1742" s="88" t="s">
        <v>152</v>
      </c>
      <c r="D1742" s="89">
        <f>IF(C1742="ID",1,(IF(C1742="PR",2,(IF(C1742="DE",3,(IF(C1742="RS",4,(IF(C1742="RC",5,0)))))))))</f>
        <v>2</v>
      </c>
      <c r="E1742" s="89" t="s">
        <v>202</v>
      </c>
      <c r="F1742" s="89">
        <f>IF(E1742="AM",1,(IF(E1742="BE",2,(IF(E1742="GV",3,(IF(E1742="RA",4,(IF(E1742="RM",5,(IF(E1742="AC",1,(IF(E1742="AT",2,(IF(E1742="DS",3,(IF(E1742="IP",4,(IF(E1742="MA",5,(IF(E1742="PT",6,(IF(E1742="AE",1,(IF(E1742="CM",2,(IF(E1742="DP",3,(IF(E1742="AN",1,(IF(E1742="CO",2,(IF(E1742="IM",3,(IF(E1742="MI",4,(IF(E1742="RP",5,(IF(E1742="SC",6,0)))))))))))))))))))))))))))))))))))))))</f>
        <v>2</v>
      </c>
      <c r="G1742" s="52">
        <v>3</v>
      </c>
      <c r="H1742" s="90" t="s">
        <v>115</v>
      </c>
      <c r="I1742" s="94" t="s">
        <v>77</v>
      </c>
      <c r="J1742" s="87" t="s">
        <v>1333</v>
      </c>
      <c r="K1742" s="102" t="s">
        <v>2019</v>
      </c>
      <c r="L1742" s="117">
        <f>IF(O1742="","",N1742*O1742*M1742)</f>
        <v>0</v>
      </c>
      <c r="M1742" s="108">
        <v>1</v>
      </c>
      <c r="N1742" s="95">
        <v>1</v>
      </c>
      <c r="O1742" s="109">
        <f>IF(Key!D$1="ON",P1742,IF(SUM(Q1742:DL1742)&lt;1,"",SUM(Q1742:DL1742)/COUNTIF(Q1742:DL1742,"&gt;0")))</f>
        <v>0</v>
      </c>
      <c r="P1742" s="109">
        <f>SUMIFS(Q1742:DK1742,Q$1:DK$1,Dashboard!$K$31)</f>
        <v>0</v>
      </c>
      <c r="U1742" s="95">
        <v>33</v>
      </c>
      <c r="AA1742" s="95">
        <v>25</v>
      </c>
      <c r="AH1742" s="95">
        <v>75</v>
      </c>
    </row>
    <row r="1743" spans="1:34" x14ac:dyDescent="0.3">
      <c r="A1743" s="89" t="str">
        <f>CONCATENATE(D1743,".",F1743,"-",G1743,".",H1743,"")</f>
        <v>2.2-3.1</v>
      </c>
      <c r="B1743" s="89" t="str">
        <f>IF(CONCATENATE(I1743,Key!F$2)=CONCATENATE(INDEX(Dashboard!J:J,MATCH(I1743,Dashboard!J:J,0),1),INDEX(Dashboard!J:K,MATCH(I1743,Dashboard!J:J,0),2)),"ON",IF(Dashboard!K$32="ALL","ON","-"))</f>
        <v>-</v>
      </c>
      <c r="C1743" s="96" t="s">
        <v>152</v>
      </c>
      <c r="D1743" s="89">
        <f>IF(C1743="ID",1,(IF(C1743="PR",2,(IF(C1743="DE",3,(IF(C1743="RS",4,(IF(C1743="RC",5,0)))))))))</f>
        <v>2</v>
      </c>
      <c r="E1743" s="89" t="s">
        <v>202</v>
      </c>
      <c r="F1743" s="89">
        <f>IF(E1743="AM",1,(IF(E1743="BE",2,(IF(E1743="GV",3,(IF(E1743="RA",4,(IF(E1743="RM",5,(IF(E1743="AC",1,(IF(E1743="AT",2,(IF(E1743="DS",3,(IF(E1743="IP",4,(IF(E1743="MA",5,(IF(E1743="PT",6,(IF(E1743="AE",1,(IF(E1743="CM",2,(IF(E1743="DP",3,(IF(E1743="AN",1,(IF(E1743="CO",2,(IF(E1743="IM",3,(IF(E1743="MI",4,(IF(E1743="RP",5,(IF(E1743="SC",6,0)))))))))))))))))))))))))))))))))))))))</f>
        <v>2</v>
      </c>
      <c r="G1743" s="98">
        <v>3</v>
      </c>
      <c r="H1743" s="90" t="s">
        <v>115</v>
      </c>
      <c r="I1743" s="94" t="s">
        <v>85</v>
      </c>
      <c r="J1743" s="87" t="s">
        <v>1331</v>
      </c>
      <c r="K1743" s="119" t="s">
        <v>1332</v>
      </c>
      <c r="L1743" s="117">
        <f>IF(O1743="","",N1743*O1743*M1743)</f>
        <v>0</v>
      </c>
      <c r="M1743" s="108">
        <v>1</v>
      </c>
      <c r="N1743" s="95">
        <v>1</v>
      </c>
      <c r="O1743" s="109">
        <f>IF(Key!D$1="ON",P1743,IF(SUM(Q1743:DL1743)&lt;1,"",SUM(Q1743:DL1743)/COUNTIF(Q1743:DL1743,"&gt;0")))</f>
        <v>0</v>
      </c>
      <c r="P1743" s="109">
        <f>SUMIFS(Q1743:DK1743,Q$1:DK$1,Dashboard!$K$31)</f>
        <v>0</v>
      </c>
      <c r="U1743" s="95">
        <v>33</v>
      </c>
      <c r="AA1743" s="95">
        <v>25</v>
      </c>
      <c r="AH1743" s="95">
        <v>75</v>
      </c>
    </row>
    <row r="1744" spans="1:34" x14ac:dyDescent="0.3">
      <c r="A1744" s="89" t="str">
        <f>CONCATENATE(D1744,".",F1744,"-",G1744,".",H1744,"")</f>
        <v>2.2-3.1</v>
      </c>
      <c r="B1744" s="89" t="str">
        <f>IF(CONCATENATE(I1744,Key!F$2)=CONCATENATE(INDEX(Dashboard!J:J,MATCH(I1744,Dashboard!J:J,0),1),INDEX(Dashboard!J:K,MATCH(I1744,Dashboard!J:J,0),2)),"ON",IF(Dashboard!K$32="ALL","ON","-"))</f>
        <v>-</v>
      </c>
      <c r="C1744" s="88" t="s">
        <v>152</v>
      </c>
      <c r="D1744" s="89">
        <f>IF(C1744="ID",1,(IF(C1744="PR",2,(IF(C1744="DE",3,(IF(C1744="RS",4,(IF(C1744="RC",5,0)))))))))</f>
        <v>2</v>
      </c>
      <c r="E1744" s="89" t="s">
        <v>202</v>
      </c>
      <c r="F1744" s="89">
        <f>IF(E1744="AM",1,(IF(E1744="BE",2,(IF(E1744="GV",3,(IF(E1744="RA",4,(IF(E1744="RM",5,(IF(E1744="AC",1,(IF(E1744="AT",2,(IF(E1744="DS",3,(IF(E1744="IP",4,(IF(E1744="MA",5,(IF(E1744="PT",6,(IF(E1744="AE",1,(IF(E1744="CM",2,(IF(E1744="DP",3,(IF(E1744="AN",1,(IF(E1744="CO",2,(IF(E1744="IM",3,(IF(E1744="MI",4,(IF(E1744="RP",5,(IF(E1744="SC",6,0)))))))))))))))))))))))))))))))))))))))</f>
        <v>2</v>
      </c>
      <c r="G1744" s="52">
        <v>3</v>
      </c>
      <c r="H1744" s="90" t="s">
        <v>115</v>
      </c>
      <c r="I1744" s="94" t="s">
        <v>85</v>
      </c>
      <c r="J1744" s="87" t="s">
        <v>1333</v>
      </c>
      <c r="K1744" s="119" t="s">
        <v>4957</v>
      </c>
      <c r="L1744" s="117">
        <f>IF(O1744="","",N1744*O1744*M1744)</f>
        <v>0</v>
      </c>
      <c r="M1744" s="108">
        <v>1</v>
      </c>
      <c r="N1744" s="95">
        <v>1</v>
      </c>
      <c r="O1744" s="109">
        <f>IF(Key!D$1="ON",P1744,IF(SUM(Q1744:DL1744)&lt;1,"",SUM(Q1744:DL1744)/COUNTIF(Q1744:DL1744,"&gt;0")))</f>
        <v>0</v>
      </c>
      <c r="P1744" s="109">
        <f>SUMIFS(Q1744:DK1744,Q$1:DK$1,Dashboard!$K$31)</f>
        <v>0</v>
      </c>
      <c r="U1744" s="95">
        <v>33</v>
      </c>
      <c r="AA1744" s="95">
        <v>25</v>
      </c>
      <c r="AH1744" s="95">
        <v>75</v>
      </c>
    </row>
    <row r="1745" spans="1:34" ht="15.6" x14ac:dyDescent="0.3">
      <c r="A1745" s="89" t="str">
        <f>CONCATENATE(D1745,".",F1745,"-",G1745,".",H1745,"")</f>
        <v>2.2-3.1</v>
      </c>
      <c r="B1745" s="89" t="str">
        <f>IF(CONCATENATE(I1745,Key!F$2)=CONCATENATE(INDEX(Dashboard!J:J,MATCH(I1745,Dashboard!J:J,0),1),INDEX(Dashboard!J:K,MATCH(I1745,Dashboard!J:J,0),2)),"ON",IF(Dashboard!K$32="ALL","ON","-"))</f>
        <v>-</v>
      </c>
      <c r="C1745" s="88" t="s">
        <v>152</v>
      </c>
      <c r="D1745" s="89">
        <f>IF(C1745="ID",1,(IF(C1745="PR",2,(IF(C1745="DE",3,(IF(C1745="RS",4,(IF(C1745="RC",5,0)))))))))</f>
        <v>2</v>
      </c>
      <c r="E1745" s="89" t="s">
        <v>202</v>
      </c>
      <c r="F1745" s="89">
        <f>IF(E1745="AM",1,(IF(E1745="BE",2,(IF(E1745="GV",3,(IF(E1745="RA",4,(IF(E1745="RM",5,(IF(E1745="AC",1,(IF(E1745="AT",2,(IF(E1745="DS",3,(IF(E1745="IP",4,(IF(E1745="MA",5,(IF(E1745="PT",6,(IF(E1745="AE",1,(IF(E1745="CM",2,(IF(E1745="DP",3,(IF(E1745="AN",1,(IF(E1745="CO",2,(IF(E1745="IM",3,(IF(E1745="MI",4,(IF(E1745="RP",5,(IF(E1745="SC",6,0)))))))))))))))))))))))))))))))))))))))</f>
        <v>2</v>
      </c>
      <c r="G1745" s="52">
        <v>3</v>
      </c>
      <c r="H1745" s="90" t="s">
        <v>115</v>
      </c>
      <c r="I1745" s="94" t="s">
        <v>92</v>
      </c>
      <c r="J1745" s="88">
        <v>2.6</v>
      </c>
      <c r="K1745" s="102" t="s">
        <v>5226</v>
      </c>
      <c r="L1745" s="117">
        <f>IF(O1745="","",N1745*O1745*M1745)</f>
        <v>0</v>
      </c>
      <c r="M1745" s="108">
        <v>1</v>
      </c>
      <c r="N1745" s="95">
        <v>1</v>
      </c>
      <c r="O1745" s="109">
        <f>IF(Key!D$1="ON",P1745,IF(SUM(Q1745:DL1745)&lt;1,"",SUM(Q1745:DL1745)/COUNTIF(Q1745:DL1745,"&gt;0")))</f>
        <v>0</v>
      </c>
      <c r="P1745" s="109">
        <f>SUMIFS(Q1745:DK1745,Q$1:DK$1,Dashboard!$K$31)</f>
        <v>0</v>
      </c>
      <c r="U1745" s="95">
        <v>33</v>
      </c>
      <c r="AA1745" s="95">
        <v>25</v>
      </c>
      <c r="AH1745" s="95">
        <v>75</v>
      </c>
    </row>
    <row r="1746" spans="1:34" x14ac:dyDescent="0.3">
      <c r="A1746" s="89" t="str">
        <f>CONCATENATE(D1746,".",F1746,"-",G1746,".",H1746,"")</f>
        <v>2.2-3.1</v>
      </c>
      <c r="B1746" s="89" t="str">
        <f>IF(CONCATENATE(I1746,Key!F$2)=CONCATENATE(INDEX(Dashboard!J:J,MATCH(I1746,Dashboard!J:J,0),1),INDEX(Dashboard!J:K,MATCH(I1746,Dashboard!J:J,0),2)),"ON",IF(Dashboard!K$32="ALL","ON","-"))</f>
        <v>-</v>
      </c>
      <c r="C1746" s="88" t="s">
        <v>152</v>
      </c>
      <c r="D1746" s="89">
        <f>IF(C1746="ID",1,(IF(C1746="PR",2,(IF(C1746="DE",3,(IF(C1746="RS",4,(IF(C1746="RC",5,0)))))))))</f>
        <v>2</v>
      </c>
      <c r="E1746" s="89" t="s">
        <v>202</v>
      </c>
      <c r="F1746" s="89">
        <f>IF(E1746="AM",1,(IF(E1746="BE",2,(IF(E1746="GV",3,(IF(E1746="RA",4,(IF(E1746="RM",5,(IF(E1746="AC",1,(IF(E1746="AT",2,(IF(E1746="DS",3,(IF(E1746="IP",4,(IF(E1746="MA",5,(IF(E1746="PT",6,(IF(E1746="AE",1,(IF(E1746="CM",2,(IF(E1746="DP",3,(IF(E1746="AN",1,(IF(E1746="CO",2,(IF(E1746="IM",3,(IF(E1746="MI",4,(IF(E1746="RP",5,(IF(E1746="SC",6,0)))))))))))))))))))))))))))))))))))))))</f>
        <v>2</v>
      </c>
      <c r="G1746" s="52">
        <v>3</v>
      </c>
      <c r="H1746" s="90" t="s">
        <v>115</v>
      </c>
      <c r="I1746" s="94" t="s">
        <v>92</v>
      </c>
      <c r="J1746" s="88">
        <v>9.1999999999999993</v>
      </c>
      <c r="K1746" s="102" t="s">
        <v>5226</v>
      </c>
      <c r="L1746" s="117">
        <f>IF(O1746="","",N1746*O1746*M1746)</f>
        <v>0</v>
      </c>
      <c r="M1746" s="108">
        <v>1</v>
      </c>
      <c r="N1746" s="95">
        <v>1</v>
      </c>
      <c r="O1746" s="109">
        <f>IF(Key!D$1="ON",P1746,IF(SUM(Q1746:DL1746)&lt;1,"",SUM(Q1746:DL1746)/COUNTIF(Q1746:DL1746,"&gt;0")))</f>
        <v>0</v>
      </c>
      <c r="P1746" s="109">
        <f>SUMIFS(Q1746:DK1746,Q$1:DK$1,Dashboard!$K$31)</f>
        <v>0</v>
      </c>
      <c r="U1746" s="95">
        <v>33</v>
      </c>
      <c r="AA1746" s="95">
        <v>25</v>
      </c>
      <c r="AH1746" s="95">
        <v>75</v>
      </c>
    </row>
    <row r="1747" spans="1:34" ht="15.6" x14ac:dyDescent="0.3">
      <c r="A1747" s="89" t="str">
        <f>CONCATENATE(D1747,".",F1747,"-",G1747,".",H1747,"")</f>
        <v>2.2-3.1</v>
      </c>
      <c r="B1747" s="89" t="str">
        <f>IF(CONCATENATE(I1747,Key!F$2)=CONCATENATE(INDEX(Dashboard!J:J,MATCH(I1747,Dashboard!J:J,0),1),INDEX(Dashboard!J:K,MATCH(I1747,Dashboard!J:J,0),2)),"ON",IF(Dashboard!K$32="ALL","ON","-"))</f>
        <v>-</v>
      </c>
      <c r="C1747" s="88" t="s">
        <v>152</v>
      </c>
      <c r="D1747" s="89">
        <f>IF(C1747="ID",1,(IF(C1747="PR",2,(IF(C1747="DE",3,(IF(C1747="RS",4,(IF(C1747="RC",5,0)))))))))</f>
        <v>2</v>
      </c>
      <c r="E1747" s="89" t="s">
        <v>202</v>
      </c>
      <c r="F1747" s="89">
        <f>IF(E1747="AM",1,(IF(E1747="BE",2,(IF(E1747="GV",3,(IF(E1747="RA",4,(IF(E1747="RM",5,(IF(E1747="AC",1,(IF(E1747="AT",2,(IF(E1747="DS",3,(IF(E1747="IP",4,(IF(E1747="MA",5,(IF(E1747="PT",6,(IF(E1747="AE",1,(IF(E1747="CM",2,(IF(E1747="DP",3,(IF(E1747="AN",1,(IF(E1747="CO",2,(IF(E1747="IM",3,(IF(E1747="MI",4,(IF(E1747="RP",5,(IF(E1747="SC",6,0)))))))))))))))))))))))))))))))))))))))</f>
        <v>2</v>
      </c>
      <c r="G1747" s="52">
        <v>3</v>
      </c>
      <c r="H1747" s="90" t="s">
        <v>115</v>
      </c>
      <c r="I1747" s="94" t="s">
        <v>92</v>
      </c>
      <c r="J1747" s="88">
        <v>12.8</v>
      </c>
      <c r="K1747" s="102" t="s">
        <v>5226</v>
      </c>
      <c r="L1747" s="117">
        <f>IF(O1747="","",N1747*O1747*M1747)</f>
        <v>0</v>
      </c>
      <c r="M1747" s="108">
        <v>1</v>
      </c>
      <c r="N1747" s="95">
        <v>1</v>
      </c>
      <c r="O1747" s="109">
        <f>IF(Key!D$1="ON",P1747,IF(SUM(Q1747:DL1747)&lt;1,"",SUM(Q1747:DL1747)/COUNTIF(Q1747:DL1747,"&gt;0")))</f>
        <v>0</v>
      </c>
      <c r="P1747" s="109">
        <f>SUMIFS(Q1747:DK1747,Q$1:DK$1,Dashboard!$K$31)</f>
        <v>0</v>
      </c>
      <c r="U1747" s="95">
        <v>33</v>
      </c>
      <c r="AA1747" s="95">
        <v>25</v>
      </c>
      <c r="AH1747" s="95">
        <v>75</v>
      </c>
    </row>
    <row r="1748" spans="1:34" ht="15.6" x14ac:dyDescent="0.3">
      <c r="A1748" s="89" t="str">
        <f>CONCATENATE(D1748,".",F1748,"-",G1748,".",H1748,"")</f>
        <v>2.2-4.0</v>
      </c>
      <c r="B1748" s="89" t="str">
        <f>IF(CONCATENATE(I1748,Key!F$2)=CONCATENATE(INDEX(Dashboard!J:J,MATCH(I1748,Dashboard!J:J,0),1),INDEX(Dashboard!J:K,MATCH(I1748,Dashboard!J:J,0),2)),"ON",IF(Dashboard!K$32="ALL","ON","-"))</f>
        <v>-</v>
      </c>
      <c r="C1748" s="88" t="s">
        <v>152</v>
      </c>
      <c r="D1748" s="89">
        <f>IF(C1748="ID",1,(IF(C1748="PR",2,(IF(C1748="DE",3,(IF(C1748="RS",4,(IF(C1748="RC",5,0)))))))))</f>
        <v>2</v>
      </c>
      <c r="E1748" s="89" t="s">
        <v>202</v>
      </c>
      <c r="F1748" s="89">
        <f>IF(E1748="AM",1,(IF(E1748="BE",2,(IF(E1748="GV",3,(IF(E1748="RA",4,(IF(E1748="RM",5,(IF(E1748="AC",1,(IF(E1748="AT",2,(IF(E1748="DS",3,(IF(E1748="IP",4,(IF(E1748="MA",5,(IF(E1748="PT",6,(IF(E1748="AE",1,(IF(E1748="CM",2,(IF(E1748="DP",3,(IF(E1748="AN",1,(IF(E1748="CO",2,(IF(E1748="IM",3,(IF(E1748="MI",4,(IF(E1748="RP",5,(IF(E1748="SC",6,0)))))))))))))))))))))))))))))))))))))))</f>
        <v>2</v>
      </c>
      <c r="G1748" s="52">
        <v>4</v>
      </c>
      <c r="H1748" s="90" t="s">
        <v>347</v>
      </c>
      <c r="I1748" s="94" t="s">
        <v>2835</v>
      </c>
      <c r="J1748" s="53" t="s">
        <v>2936</v>
      </c>
      <c r="K1748" s="150" t="s">
        <v>2937</v>
      </c>
      <c r="L1748" s="117">
        <f>IF(O1748="","",N1748*O1748*M1748)</f>
        <v>0</v>
      </c>
      <c r="M1748" s="108">
        <v>1</v>
      </c>
      <c r="N1748" s="95">
        <v>1</v>
      </c>
      <c r="O1748" s="109">
        <f>IF(Key!D$1="ON",P1748,IF(SUM(Q1748:DL1748)&lt;1,"",SUM(Q1748:DL1748)/COUNTIF(Q1748:DL1748,"&gt;0")))</f>
        <v>0</v>
      </c>
      <c r="P1748" s="109">
        <f>SUMIFS(Q1748:DK1748,Q$1:DK$1,Dashboard!$K$31)</f>
        <v>0</v>
      </c>
      <c r="U1748" s="95">
        <v>33</v>
      </c>
    </row>
    <row r="1749" spans="1:34" ht="15.6" x14ac:dyDescent="0.3">
      <c r="A1749" s="89" t="str">
        <f>CONCATENATE(D1749,".",F1749,"-",G1749,".",H1749,"")</f>
        <v>2.2-4.1</v>
      </c>
      <c r="B1749" s="89" t="str">
        <f>IF(CONCATENATE(I1749,Key!F$2)=CONCATENATE(INDEX(Dashboard!J:J,MATCH(I1749,Dashboard!J:J,0),1),INDEX(Dashboard!J:K,MATCH(I1749,Dashboard!J:J,0),2)),"ON",IF(Dashboard!K$32="ALL","ON","-"))</f>
        <v>ON</v>
      </c>
      <c r="C1749" s="130" t="s">
        <v>152</v>
      </c>
      <c r="D1749" s="89">
        <f>IF(C1749="ID",1,(IF(C1749="PR",2,(IF(C1749="DE",3,(IF(C1749="RS",4,(IF(C1749="RC",5,0)))))))))</f>
        <v>2</v>
      </c>
      <c r="E1749" s="95" t="s">
        <v>202</v>
      </c>
      <c r="F1749" s="89">
        <f>IF(E1749="AM",1,(IF(E1749="BE",2,(IF(E1749="GV",3,(IF(E1749="RA",4,(IF(E1749="RM",5,(IF(E1749="AC",1,(IF(E1749="AT",2,(IF(E1749="DS",3,(IF(E1749="IP",4,(IF(E1749="MA",5,(IF(E1749="PT",6,(IF(E1749="AE",1,(IF(E1749="CM",2,(IF(E1749="DP",3,(IF(E1749="AN",1,(IF(E1749="CO",2,(IF(E1749="IM",3,(IF(E1749="MI",4,(IF(E1749="RP",5,(IF(E1749="SC",6,0)))))))))))))))))))))))))))))))))))))))</f>
        <v>2</v>
      </c>
      <c r="G1749" s="52">
        <v>4</v>
      </c>
      <c r="H1749" s="90" t="s">
        <v>115</v>
      </c>
      <c r="I1749" s="94" t="s">
        <v>4107</v>
      </c>
      <c r="J1749" s="86" t="s">
        <v>3978</v>
      </c>
      <c r="K1749" s="101" t="s">
        <v>4436</v>
      </c>
      <c r="L1749" s="117">
        <f>IF(O1749="","",N1749*O1749*M1749)</f>
        <v>0</v>
      </c>
      <c r="M1749" s="108">
        <v>1</v>
      </c>
      <c r="N1749" s="95">
        <v>1</v>
      </c>
      <c r="O1749" s="109">
        <f>IF(Key!D$1="ON",P1749,IF(SUM(Q1749:DL1749)&lt;1,"",SUM(Q1749:DL1749)/COUNTIF(Q1749:DL1749,"&gt;0")))</f>
        <v>0</v>
      </c>
      <c r="P1749" s="109">
        <f>SUMIFS(Q1749:DK1749,Q$1:DK$1,Dashboard!$K$31)</f>
        <v>0</v>
      </c>
      <c r="U1749" s="95">
        <v>33</v>
      </c>
      <c r="AA1749" s="95">
        <v>25</v>
      </c>
      <c r="AH1749" s="95">
        <v>75</v>
      </c>
    </row>
    <row r="1750" spans="1:34" x14ac:dyDescent="0.3">
      <c r="A1750" s="89" t="str">
        <f>CONCATENATE(D1750,".",F1750,"-",G1750,".",H1750,"")</f>
        <v>2.2-4.1</v>
      </c>
      <c r="B1750" s="89" t="str">
        <f>IF(CONCATENATE(I1750,Key!F$2)=CONCATENATE(INDEX(Dashboard!J:J,MATCH(I1750,Dashboard!J:J,0),1),INDEX(Dashboard!J:K,MATCH(I1750,Dashboard!J:J,0),2)),"ON",IF(Dashboard!K$32="ALL","ON","-"))</f>
        <v>ON</v>
      </c>
      <c r="C1750" s="130" t="s">
        <v>152</v>
      </c>
      <c r="D1750" s="89">
        <f>IF(C1750="ID",1,(IF(C1750="PR",2,(IF(C1750="DE",3,(IF(C1750="RS",4,(IF(C1750="RC",5,0)))))))))</f>
        <v>2</v>
      </c>
      <c r="E1750" s="95" t="s">
        <v>202</v>
      </c>
      <c r="F1750" s="89">
        <f>IF(E1750="AM",1,(IF(E1750="BE",2,(IF(E1750="GV",3,(IF(E1750="RA",4,(IF(E1750="RM",5,(IF(E1750="AC",1,(IF(E1750="AT",2,(IF(E1750="DS",3,(IF(E1750="IP",4,(IF(E1750="MA",5,(IF(E1750="PT",6,(IF(E1750="AE",1,(IF(E1750="CM",2,(IF(E1750="DP",3,(IF(E1750="AN",1,(IF(E1750="CO",2,(IF(E1750="IM",3,(IF(E1750="MI",4,(IF(E1750="RP",5,(IF(E1750="SC",6,0)))))))))))))))))))))))))))))))))))))))</f>
        <v>2</v>
      </c>
      <c r="G1750" s="52">
        <v>4</v>
      </c>
      <c r="H1750" s="90" t="s">
        <v>115</v>
      </c>
      <c r="I1750" s="94" t="s">
        <v>4107</v>
      </c>
      <c r="J1750" s="86" t="s">
        <v>3979</v>
      </c>
      <c r="K1750" s="101" t="s">
        <v>4370</v>
      </c>
      <c r="L1750" s="117">
        <f>IF(O1750="","",N1750*O1750*M1750)</f>
        <v>0</v>
      </c>
      <c r="M1750" s="108">
        <v>1</v>
      </c>
      <c r="N1750" s="95">
        <v>1</v>
      </c>
      <c r="O1750" s="109">
        <f>IF(Key!D$1="ON",P1750,IF(SUM(Q1750:DL1750)&lt;1,"",SUM(Q1750:DL1750)/COUNTIF(Q1750:DL1750,"&gt;0")))</f>
        <v>0</v>
      </c>
      <c r="P1750" s="109">
        <f>SUMIFS(Q1750:DK1750,Q$1:DK$1,Dashboard!$K$31)</f>
        <v>0</v>
      </c>
      <c r="U1750" s="95">
        <v>33</v>
      </c>
      <c r="AA1750" s="95">
        <v>25</v>
      </c>
      <c r="AH1750" s="95">
        <v>75</v>
      </c>
    </row>
    <row r="1751" spans="1:34" x14ac:dyDescent="0.3">
      <c r="A1751" s="89" t="str">
        <f>CONCATENATE(D1751,".",F1751,"-",G1751,".",H1751,"")</f>
        <v>2.2-4.1</v>
      </c>
      <c r="B1751" s="89" t="str">
        <f>IF(CONCATENATE(I1751,Key!F$2)=CONCATENATE(INDEX(Dashboard!J:J,MATCH(I1751,Dashboard!J:J,0),1),INDEX(Dashboard!J:K,MATCH(I1751,Dashboard!J:J,0),2)),"ON",IF(Dashboard!K$32="ALL","ON","-"))</f>
        <v>ON</v>
      </c>
      <c r="C1751" s="130" t="s">
        <v>152</v>
      </c>
      <c r="D1751" s="89">
        <f>IF(C1751="ID",1,(IF(C1751="PR",2,(IF(C1751="DE",3,(IF(C1751="RS",4,(IF(C1751="RC",5,0)))))))))</f>
        <v>2</v>
      </c>
      <c r="E1751" s="95" t="s">
        <v>202</v>
      </c>
      <c r="F1751" s="89">
        <f>IF(E1751="AM",1,(IF(E1751="BE",2,(IF(E1751="GV",3,(IF(E1751="RA",4,(IF(E1751="RM",5,(IF(E1751="AC",1,(IF(E1751="AT",2,(IF(E1751="DS",3,(IF(E1751="IP",4,(IF(E1751="MA",5,(IF(E1751="PT",6,(IF(E1751="AE",1,(IF(E1751="CM",2,(IF(E1751="DP",3,(IF(E1751="AN",1,(IF(E1751="CO",2,(IF(E1751="IM",3,(IF(E1751="MI",4,(IF(E1751="RP",5,(IF(E1751="SC",6,0)))))))))))))))))))))))))))))))))))))))</f>
        <v>2</v>
      </c>
      <c r="G1751" s="52">
        <v>4</v>
      </c>
      <c r="H1751" s="90" t="s">
        <v>115</v>
      </c>
      <c r="I1751" s="94" t="s">
        <v>4107</v>
      </c>
      <c r="J1751" s="86" t="s">
        <v>3981</v>
      </c>
      <c r="K1751" s="101" t="s">
        <v>4437</v>
      </c>
      <c r="L1751" s="117">
        <f>IF(O1751="","",N1751*O1751*M1751)</f>
        <v>0</v>
      </c>
      <c r="M1751" s="108">
        <v>1</v>
      </c>
      <c r="N1751" s="95">
        <v>1</v>
      </c>
      <c r="O1751" s="109">
        <f>IF(Key!D$1="ON",P1751,IF(SUM(Q1751:DL1751)&lt;1,"",SUM(Q1751:DL1751)/COUNTIF(Q1751:DL1751,"&gt;0")))</f>
        <v>0</v>
      </c>
      <c r="P1751" s="109">
        <f>SUMIFS(Q1751:DK1751,Q$1:DK$1,Dashboard!$K$31)</f>
        <v>0</v>
      </c>
      <c r="U1751" s="95">
        <v>33</v>
      </c>
      <c r="AA1751" s="95">
        <v>25</v>
      </c>
      <c r="AH1751" s="95">
        <v>75</v>
      </c>
    </row>
    <row r="1752" spans="1:34" x14ac:dyDescent="0.3">
      <c r="A1752" s="89" t="str">
        <f>CONCATENATE(D1752,".",F1752,"-",G1752,".",H1752,"")</f>
        <v>2.2-4.1</v>
      </c>
      <c r="B1752" s="89" t="str">
        <f>IF(CONCATENATE(I1752,Key!F$2)=CONCATENATE(INDEX(Dashboard!J:J,MATCH(I1752,Dashboard!J:J,0),1),INDEX(Dashboard!J:K,MATCH(I1752,Dashboard!J:J,0),2)),"ON",IF(Dashboard!K$32="ALL","ON","-"))</f>
        <v>ON</v>
      </c>
      <c r="C1752" s="130" t="s">
        <v>152</v>
      </c>
      <c r="D1752" s="89">
        <f>IF(C1752="ID",1,(IF(C1752="PR",2,(IF(C1752="DE",3,(IF(C1752="RS",4,(IF(C1752="RC",5,0)))))))))</f>
        <v>2</v>
      </c>
      <c r="E1752" s="95" t="s">
        <v>202</v>
      </c>
      <c r="F1752" s="89">
        <f>IF(E1752="AM",1,(IF(E1752="BE",2,(IF(E1752="GV",3,(IF(E1752="RA",4,(IF(E1752="RM",5,(IF(E1752="AC",1,(IF(E1752="AT",2,(IF(E1752="DS",3,(IF(E1752="IP",4,(IF(E1752="MA",5,(IF(E1752="PT",6,(IF(E1752="AE",1,(IF(E1752="CM",2,(IF(E1752="DP",3,(IF(E1752="AN",1,(IF(E1752="CO",2,(IF(E1752="IM",3,(IF(E1752="MI",4,(IF(E1752="RP",5,(IF(E1752="SC",6,0)))))))))))))))))))))))))))))))))))))))</f>
        <v>2</v>
      </c>
      <c r="G1752" s="52">
        <v>4</v>
      </c>
      <c r="H1752" s="90" t="s">
        <v>115</v>
      </c>
      <c r="I1752" s="94" t="s">
        <v>4107</v>
      </c>
      <c r="J1752" s="86" t="s">
        <v>3982</v>
      </c>
      <c r="K1752" s="101" t="s">
        <v>4371</v>
      </c>
      <c r="L1752" s="117">
        <f>IF(O1752="","",N1752*O1752*M1752)</f>
        <v>0</v>
      </c>
      <c r="M1752" s="108">
        <v>1</v>
      </c>
      <c r="N1752" s="95">
        <v>1</v>
      </c>
      <c r="O1752" s="109">
        <f>IF(Key!D$1="ON",P1752,IF(SUM(Q1752:DL1752)&lt;1,"",SUM(Q1752:DL1752)/COUNTIF(Q1752:DL1752,"&gt;0")))</f>
        <v>0</v>
      </c>
      <c r="P1752" s="109">
        <f>SUMIFS(Q1752:DK1752,Q$1:DK$1,Dashboard!$K$31)</f>
        <v>0</v>
      </c>
      <c r="U1752" s="95">
        <v>33</v>
      </c>
      <c r="AA1752" s="95">
        <v>25</v>
      </c>
      <c r="AH1752" s="95">
        <v>75</v>
      </c>
    </row>
    <row r="1753" spans="1:34" ht="15.6" x14ac:dyDescent="0.3">
      <c r="A1753" s="89" t="str">
        <f>CONCATENATE(D1753,".",F1753,"-",G1753,".",H1753,"")</f>
        <v>2.2-4.1</v>
      </c>
      <c r="B1753" s="89" t="str">
        <f>IF(CONCATENATE(I1753,Key!F$2)=CONCATENATE(INDEX(Dashboard!J:J,MATCH(I1753,Dashboard!J:J,0),1),INDEX(Dashboard!J:K,MATCH(I1753,Dashboard!J:J,0),2)),"ON",IF(Dashboard!K$32="ALL","ON","-"))</f>
        <v>-</v>
      </c>
      <c r="C1753" s="96" t="s">
        <v>152</v>
      </c>
      <c r="D1753" s="89">
        <f>IF(C1753="ID",1,(IF(C1753="PR",2,(IF(C1753="DE",3,(IF(C1753="RS",4,(IF(C1753="RC",5,0)))))))))</f>
        <v>2</v>
      </c>
      <c r="E1753" s="89" t="s">
        <v>202</v>
      </c>
      <c r="F1753" s="89">
        <f>IF(E1753="AM",1,(IF(E1753="BE",2,(IF(E1753="GV",3,(IF(E1753="RA",4,(IF(E1753="RM",5,(IF(E1753="AC",1,(IF(E1753="AT",2,(IF(E1753="DS",3,(IF(E1753="IP",4,(IF(E1753="MA",5,(IF(E1753="PT",6,(IF(E1753="AE",1,(IF(E1753="CM",2,(IF(E1753="DP",3,(IF(E1753="AN",1,(IF(E1753="CO",2,(IF(E1753="IM",3,(IF(E1753="MI",4,(IF(E1753="RP",5,(IF(E1753="SC",6,0)))))))))))))))))))))))))))))))))))))))</f>
        <v>2</v>
      </c>
      <c r="G1753" s="98">
        <v>4</v>
      </c>
      <c r="H1753" s="90" t="s">
        <v>115</v>
      </c>
      <c r="I1753" s="94" t="s">
        <v>52</v>
      </c>
      <c r="J1753" s="88" t="s">
        <v>3284</v>
      </c>
      <c r="K1753" s="102" t="s">
        <v>3285</v>
      </c>
      <c r="L1753" s="117">
        <f>IF(O1753="","",N1753*O1753*M1753)</f>
        <v>0</v>
      </c>
      <c r="M1753" s="108">
        <v>1</v>
      </c>
      <c r="N1753" s="95">
        <v>1</v>
      </c>
      <c r="O1753" s="109">
        <f>IF(Key!D$1="ON",P1753,IF(SUM(Q1753:DL1753)&lt;1,"",SUM(Q1753:DL1753)/COUNTIF(Q1753:DL1753,"&gt;0")))</f>
        <v>0</v>
      </c>
      <c r="P1753" s="109">
        <f>SUMIFS(Q1753:DK1753,Q$1:DK$1,Dashboard!$K$31)</f>
        <v>0</v>
      </c>
      <c r="U1753" s="95">
        <v>33</v>
      </c>
      <c r="AA1753" s="95">
        <v>25</v>
      </c>
      <c r="AH1753" s="95">
        <v>75</v>
      </c>
    </row>
    <row r="1754" spans="1:34" x14ac:dyDescent="0.3">
      <c r="A1754" s="89" t="str">
        <f>CONCATENATE(D1754,".",F1754,"-",G1754,".",H1754,"")</f>
        <v>2.2-4.1</v>
      </c>
      <c r="B1754" s="89" t="str">
        <f>IF(CONCATENATE(I1754,Key!F$2)=CONCATENATE(INDEX(Dashboard!J:J,MATCH(I1754,Dashboard!J:J,0),1),INDEX(Dashboard!J:K,MATCH(I1754,Dashboard!J:J,0),2)),"ON",IF(Dashboard!K$32="ALL","ON","-"))</f>
        <v>-</v>
      </c>
      <c r="C1754" s="88" t="s">
        <v>152</v>
      </c>
      <c r="D1754" s="89">
        <f>IF(C1754="ID",1,(IF(C1754="PR",2,(IF(C1754="DE",3,(IF(C1754="RS",4,(IF(C1754="RC",5,0)))))))))</f>
        <v>2</v>
      </c>
      <c r="E1754" s="89" t="s">
        <v>202</v>
      </c>
      <c r="F1754" s="89">
        <f>IF(E1754="AM",1,(IF(E1754="BE",2,(IF(E1754="GV",3,(IF(E1754="RA",4,(IF(E1754="RM",5,(IF(E1754="AC",1,(IF(E1754="AT",2,(IF(E1754="DS",3,(IF(E1754="IP",4,(IF(E1754="MA",5,(IF(E1754="PT",6,(IF(E1754="AE",1,(IF(E1754="CM",2,(IF(E1754="DP",3,(IF(E1754="AN",1,(IF(E1754="CO",2,(IF(E1754="IM",3,(IF(E1754="MI",4,(IF(E1754="RP",5,(IF(E1754="SC",6,0)))))))))))))))))))))))))))))))))))))))</f>
        <v>2</v>
      </c>
      <c r="G1754" s="52">
        <v>4</v>
      </c>
      <c r="H1754" s="89">
        <v>1</v>
      </c>
      <c r="I1754" s="94" t="s">
        <v>60</v>
      </c>
      <c r="J1754" s="88" t="s">
        <v>3132</v>
      </c>
      <c r="K1754" s="51" t="s">
        <v>5245</v>
      </c>
      <c r="L1754" s="117">
        <f>IF(O1754="","",N1754*O1754*M1754)</f>
        <v>0</v>
      </c>
      <c r="M1754" s="108">
        <v>1</v>
      </c>
      <c r="N1754" s="95">
        <v>1</v>
      </c>
      <c r="O1754" s="109">
        <f>IF(Key!D$1="ON",P1754,IF(SUM(Q1754:DL1754)&lt;1,"",SUM(Q1754:DL1754)/COUNTIF(Q1754:DL1754,"&gt;0")))</f>
        <v>0</v>
      </c>
      <c r="P1754" s="109">
        <f>SUMIFS(Q1754:DK1754,Q$1:DK$1,Dashboard!$K$31)</f>
        <v>0</v>
      </c>
      <c r="U1754" s="95">
        <v>33</v>
      </c>
      <c r="AA1754" s="95">
        <v>25</v>
      </c>
      <c r="AH1754" s="95">
        <v>75</v>
      </c>
    </row>
    <row r="1755" spans="1:34" x14ac:dyDescent="0.3">
      <c r="A1755" s="89" t="str">
        <f>CONCATENATE(D1755,".",F1755,"-",G1755,".",H1755,"")</f>
        <v>2.2-4.1</v>
      </c>
      <c r="B1755" s="89" t="str">
        <f>IF(CONCATENATE(I1755,Key!F$2)=CONCATENATE(INDEX(Dashboard!J:J,MATCH(I1755,Dashboard!J:J,0),1),INDEX(Dashboard!J:K,MATCH(I1755,Dashboard!J:J,0),2)),"ON",IF(Dashboard!K$32="ALL","ON","-"))</f>
        <v>-</v>
      </c>
      <c r="C1755" s="88" t="s">
        <v>152</v>
      </c>
      <c r="D1755" s="89">
        <f>IF(C1755="ID",1,(IF(C1755="PR",2,(IF(C1755="DE",3,(IF(C1755="RS",4,(IF(C1755="RC",5,0)))))))))</f>
        <v>2</v>
      </c>
      <c r="E1755" s="89" t="s">
        <v>202</v>
      </c>
      <c r="F1755" s="89">
        <f>IF(E1755="AM",1,(IF(E1755="BE",2,(IF(E1755="GV",3,(IF(E1755="RA",4,(IF(E1755="RM",5,(IF(E1755="AC",1,(IF(E1755="AT",2,(IF(E1755="DS",3,(IF(E1755="IP",4,(IF(E1755="MA",5,(IF(E1755="PT",6,(IF(E1755="AE",1,(IF(E1755="CM",2,(IF(E1755="DP",3,(IF(E1755="AN",1,(IF(E1755="CO",2,(IF(E1755="IM",3,(IF(E1755="MI",4,(IF(E1755="RP",5,(IF(E1755="SC",6,0)))))))))))))))))))))))))))))))))))))))</f>
        <v>2</v>
      </c>
      <c r="G1755" s="52">
        <v>4</v>
      </c>
      <c r="H1755" s="90" t="s">
        <v>115</v>
      </c>
      <c r="I1755" s="94" t="s">
        <v>60</v>
      </c>
      <c r="J1755" s="87" t="s">
        <v>3128</v>
      </c>
      <c r="K1755" s="51" t="s">
        <v>5241</v>
      </c>
      <c r="L1755" s="117">
        <f>IF(O1755="","",N1755*O1755*M1755)</f>
        <v>0</v>
      </c>
      <c r="M1755" s="108">
        <v>1</v>
      </c>
      <c r="N1755" s="95">
        <v>1</v>
      </c>
      <c r="O1755" s="109">
        <f>IF(Key!D$1="ON",P1755,IF(SUM(Q1755:DL1755)&lt;1,"",SUM(Q1755:DL1755)/COUNTIF(Q1755:DL1755,"&gt;0")))</f>
        <v>0</v>
      </c>
      <c r="P1755" s="109">
        <f>SUMIFS(Q1755:DK1755,Q$1:DK$1,Dashboard!$K$31)</f>
        <v>0</v>
      </c>
      <c r="U1755" s="95">
        <v>33</v>
      </c>
      <c r="AA1755" s="95">
        <v>25</v>
      </c>
      <c r="AH1755" s="95">
        <v>75</v>
      </c>
    </row>
    <row r="1756" spans="1:34" x14ac:dyDescent="0.3">
      <c r="A1756" s="89" t="str">
        <f>CONCATENATE(D1756,".",F1756,"-",G1756,".",H1756,"")</f>
        <v>2.2-4.1</v>
      </c>
      <c r="B1756" s="89" t="str">
        <f>IF(CONCATENATE(I1756,Key!F$2)=CONCATENATE(INDEX(Dashboard!J:J,MATCH(I1756,Dashboard!J:J,0),1),INDEX(Dashboard!J:K,MATCH(I1756,Dashboard!J:J,0),2)),"ON",IF(Dashboard!K$32="ALL","ON","-"))</f>
        <v>-</v>
      </c>
      <c r="C1756" s="88" t="s">
        <v>152</v>
      </c>
      <c r="D1756" s="89">
        <f>IF(C1756="ID",1,(IF(C1756="PR",2,(IF(C1756="DE",3,(IF(C1756="RS",4,(IF(C1756="RC",5,0)))))))))</f>
        <v>2</v>
      </c>
      <c r="E1756" s="89" t="s">
        <v>202</v>
      </c>
      <c r="F1756" s="89">
        <f>IF(E1756="AM",1,(IF(E1756="BE",2,(IF(E1756="GV",3,(IF(E1756="RA",4,(IF(E1756="RM",5,(IF(E1756="AC",1,(IF(E1756="AT",2,(IF(E1756="DS",3,(IF(E1756="IP",4,(IF(E1756="MA",5,(IF(E1756="PT",6,(IF(E1756="AE",1,(IF(E1756="CM",2,(IF(E1756="DP",3,(IF(E1756="AN",1,(IF(E1756="CO",2,(IF(E1756="IM",3,(IF(E1756="MI",4,(IF(E1756="RP",5,(IF(E1756="SC",6,0)))))))))))))))))))))))))))))))))))))))</f>
        <v>2</v>
      </c>
      <c r="G1756" s="52">
        <v>4</v>
      </c>
      <c r="H1756" s="90" t="s">
        <v>115</v>
      </c>
      <c r="I1756" s="94" t="s">
        <v>60</v>
      </c>
      <c r="J1756" s="87" t="s">
        <v>3197</v>
      </c>
      <c r="K1756" s="51" t="s">
        <v>5310</v>
      </c>
      <c r="L1756" s="117">
        <f>IF(O1756="","",N1756*O1756*M1756)</f>
        <v>0</v>
      </c>
      <c r="M1756" s="108">
        <v>0.9</v>
      </c>
      <c r="N1756" s="95">
        <v>1</v>
      </c>
      <c r="O1756" s="109">
        <f>IF(Key!D$1="ON",P1756,IF(SUM(Q1756:DL1756)&lt;1,"",SUM(Q1756:DL1756)/COUNTIF(Q1756:DL1756,"&gt;0")))</f>
        <v>0</v>
      </c>
      <c r="P1756" s="109">
        <f>SUMIFS(Q1756:DK1756,Q$1:DK$1,Dashboard!$K$31)</f>
        <v>0</v>
      </c>
      <c r="S1756" s="95">
        <v>33</v>
      </c>
      <c r="T1756" s="95">
        <v>80</v>
      </c>
      <c r="U1756" s="95">
        <v>33</v>
      </c>
      <c r="AA1756" s="95">
        <v>25</v>
      </c>
      <c r="AH1756" s="95">
        <v>75</v>
      </c>
    </row>
    <row r="1757" spans="1:34" x14ac:dyDescent="0.3">
      <c r="A1757" s="89" t="str">
        <f>CONCATENATE(D1757,".",F1757,"-",G1757,".",H1757,"")</f>
        <v>2.2-4.1</v>
      </c>
      <c r="B1757" s="89" t="str">
        <f>IF(CONCATENATE(I1757,Key!F$2)=CONCATENATE(INDEX(Dashboard!J:J,MATCH(I1757,Dashboard!J:J,0),1),INDEX(Dashboard!J:K,MATCH(I1757,Dashboard!J:J,0),2)),"ON",IF(Dashboard!K$32="ALL","ON","-"))</f>
        <v>-</v>
      </c>
      <c r="C1757" s="88" t="s">
        <v>152</v>
      </c>
      <c r="D1757" s="89">
        <f>IF(C1757="ID",1,(IF(C1757="PR",2,(IF(C1757="DE",3,(IF(C1757="RS",4,(IF(C1757="RC",5,0)))))))))</f>
        <v>2</v>
      </c>
      <c r="E1757" s="89" t="s">
        <v>202</v>
      </c>
      <c r="F1757" s="89">
        <f>IF(E1757="AM",1,(IF(E1757="BE",2,(IF(E1757="GV",3,(IF(E1757="RA",4,(IF(E1757="RM",5,(IF(E1757="AC",1,(IF(E1757="AT",2,(IF(E1757="DS",3,(IF(E1757="IP",4,(IF(E1757="MA",5,(IF(E1757="PT",6,(IF(E1757="AE",1,(IF(E1757="CM",2,(IF(E1757="DP",3,(IF(E1757="AN",1,(IF(E1757="CO",2,(IF(E1757="IM",3,(IF(E1757="MI",4,(IF(E1757="RP",5,(IF(E1757="SC",6,0)))))))))))))))))))))))))))))))))))))))</f>
        <v>2</v>
      </c>
      <c r="G1757" s="52">
        <v>4</v>
      </c>
      <c r="H1757" s="90" t="s">
        <v>115</v>
      </c>
      <c r="I1757" s="94" t="s">
        <v>73</v>
      </c>
      <c r="J1757" s="86" t="s">
        <v>213</v>
      </c>
      <c r="K1757" s="101" t="s">
        <v>5193</v>
      </c>
      <c r="L1757" s="117">
        <f>IF(O1757="","",N1757*O1757*M1757)</f>
        <v>0</v>
      </c>
      <c r="M1757" s="108">
        <v>1</v>
      </c>
      <c r="N1757" s="95">
        <v>1</v>
      </c>
      <c r="O1757" s="109">
        <f>IF(Key!D$1="ON",P1757,IF(SUM(Q1757:DL1757)&lt;1,"",SUM(Q1757:DL1757)/COUNTIF(Q1757:DL1757,"&gt;0")))</f>
        <v>0</v>
      </c>
      <c r="P1757" s="109">
        <f>SUMIFS(Q1757:DK1757,Q$1:DK$1,Dashboard!$K$31)</f>
        <v>0</v>
      </c>
      <c r="U1757" s="95">
        <v>33</v>
      </c>
      <c r="AA1757" s="95">
        <v>25</v>
      </c>
      <c r="AH1757" s="95">
        <v>75</v>
      </c>
    </row>
    <row r="1758" spans="1:34" x14ac:dyDescent="0.3">
      <c r="A1758" s="89" t="str">
        <f>CONCATENATE(D1758,".",F1758,"-",G1758,".",H1758,"")</f>
        <v>2.2-4.1</v>
      </c>
      <c r="B1758" s="89" t="str">
        <f>IF(CONCATENATE(I1758,Key!F$2)=CONCATENATE(INDEX(Dashboard!J:J,MATCH(I1758,Dashboard!J:J,0),1),INDEX(Dashboard!J:K,MATCH(I1758,Dashboard!J:J,0),2)),"ON",IF(Dashboard!K$32="ALL","ON","-"))</f>
        <v>-</v>
      </c>
      <c r="C1758" s="88" t="s">
        <v>152</v>
      </c>
      <c r="D1758" s="89">
        <f>IF(C1758="ID",1,(IF(C1758="PR",2,(IF(C1758="DE",3,(IF(C1758="RS",4,(IF(C1758="RC",5,0)))))))))</f>
        <v>2</v>
      </c>
      <c r="E1758" s="89" t="s">
        <v>202</v>
      </c>
      <c r="F1758" s="89">
        <f>IF(E1758="AM",1,(IF(E1758="BE",2,(IF(E1758="GV",3,(IF(E1758="RA",4,(IF(E1758="RM",5,(IF(E1758="AC",1,(IF(E1758="AT",2,(IF(E1758="DS",3,(IF(E1758="IP",4,(IF(E1758="MA",5,(IF(E1758="PT",6,(IF(E1758="AE",1,(IF(E1758="CM",2,(IF(E1758="DP",3,(IF(E1758="AN",1,(IF(E1758="CO",2,(IF(E1758="IM",3,(IF(E1758="MI",4,(IF(E1758="RP",5,(IF(E1758="SC",6,0)))))))))))))))))))))))))))))))))))))))</f>
        <v>2</v>
      </c>
      <c r="G1758" s="52">
        <v>4</v>
      </c>
      <c r="H1758" s="90" t="s">
        <v>115</v>
      </c>
      <c r="I1758" s="94" t="s">
        <v>73</v>
      </c>
      <c r="J1758" s="86" t="s">
        <v>218</v>
      </c>
      <c r="K1758" s="101" t="s">
        <v>5194</v>
      </c>
      <c r="L1758" s="117">
        <f>IF(O1758="","",N1758*O1758*M1758)</f>
        <v>0</v>
      </c>
      <c r="M1758" s="108">
        <v>1</v>
      </c>
      <c r="N1758" s="95">
        <v>1</v>
      </c>
      <c r="O1758" s="109">
        <f>IF(Key!D$1="ON",P1758,IF(SUM(Q1758:DL1758)&lt;1,"",SUM(Q1758:DL1758)/COUNTIF(Q1758:DL1758,"&gt;0")))</f>
        <v>0</v>
      </c>
      <c r="P1758" s="109">
        <f>SUMIFS(Q1758:DK1758,Q$1:DK$1,Dashboard!$K$31)</f>
        <v>0</v>
      </c>
      <c r="U1758" s="95">
        <v>33</v>
      </c>
      <c r="AA1758" s="95">
        <v>25</v>
      </c>
      <c r="AH1758" s="95">
        <v>75</v>
      </c>
    </row>
    <row r="1759" spans="1:34" ht="15.6" x14ac:dyDescent="0.3">
      <c r="A1759" s="89" t="str">
        <f>CONCATENATE(D1759,".",F1759,"-",G1759,".",H1759,"")</f>
        <v>2.2-4.1</v>
      </c>
      <c r="B1759" s="89" t="str">
        <f>IF(CONCATENATE(I1759,Key!F$2)=CONCATENATE(INDEX(Dashboard!J:J,MATCH(I1759,Dashboard!J:J,0),1),INDEX(Dashboard!J:K,MATCH(I1759,Dashboard!J:J,0),2)),"ON",IF(Dashboard!K$32="ALL","ON","-"))</f>
        <v>-</v>
      </c>
      <c r="C1759" s="88" t="s">
        <v>152</v>
      </c>
      <c r="D1759" s="89">
        <f>IF(C1759="ID",1,(IF(C1759="PR",2,(IF(C1759="DE",3,(IF(C1759="RS",4,(IF(C1759="RC",5,0)))))))))</f>
        <v>2</v>
      </c>
      <c r="E1759" s="89" t="s">
        <v>202</v>
      </c>
      <c r="F1759" s="89">
        <f>IF(E1759="AM",1,(IF(E1759="BE",2,(IF(E1759="GV",3,(IF(E1759="RA",4,(IF(E1759="RM",5,(IF(E1759="AC",1,(IF(E1759="AT",2,(IF(E1759="DS",3,(IF(E1759="IP",4,(IF(E1759="MA",5,(IF(E1759="PT",6,(IF(E1759="AE",1,(IF(E1759="CM",2,(IF(E1759="DP",3,(IF(E1759="AN",1,(IF(E1759="CO",2,(IF(E1759="IM",3,(IF(E1759="MI",4,(IF(E1759="RP",5,(IF(E1759="SC",6,0)))))))))))))))))))))))))))))))))))))))</f>
        <v>2</v>
      </c>
      <c r="G1759" s="52">
        <v>4</v>
      </c>
      <c r="H1759" s="90" t="s">
        <v>115</v>
      </c>
      <c r="I1759" s="94" t="s">
        <v>77</v>
      </c>
      <c r="J1759" s="87" t="s">
        <v>666</v>
      </c>
      <c r="K1759" s="102" t="s">
        <v>2335</v>
      </c>
      <c r="L1759" s="117">
        <f>IF(O1759="","",N1759*O1759*M1759)</f>
        <v>0</v>
      </c>
      <c r="M1759" s="108">
        <v>1</v>
      </c>
      <c r="N1759" s="95">
        <v>1</v>
      </c>
      <c r="O1759" s="109">
        <f>IF(Key!D$1="ON",P1759,IF(SUM(Q1759:DL1759)&lt;1,"",SUM(Q1759:DL1759)/COUNTIF(Q1759:DL1759,"&gt;0")))</f>
        <v>0</v>
      </c>
      <c r="P1759" s="109">
        <f>SUMIFS(Q1759:DK1759,Q$1:DK$1,Dashboard!$K$31)</f>
        <v>0</v>
      </c>
      <c r="U1759" s="95">
        <v>33</v>
      </c>
      <c r="AA1759" s="95">
        <v>25</v>
      </c>
      <c r="AH1759" s="95">
        <v>75</v>
      </c>
    </row>
    <row r="1760" spans="1:34" ht="15.6" x14ac:dyDescent="0.3">
      <c r="A1760" s="89" t="str">
        <f>CONCATENATE(D1760,".",F1760,"-",G1760,".",H1760,"")</f>
        <v>2.2-4.1</v>
      </c>
      <c r="B1760" s="89" t="str">
        <f>IF(CONCATENATE(I1760,Key!F$2)=CONCATENATE(INDEX(Dashboard!J:J,MATCH(I1760,Dashboard!J:J,0),1),INDEX(Dashboard!J:K,MATCH(I1760,Dashboard!J:J,0),2)),"ON",IF(Dashboard!K$32="ALL","ON","-"))</f>
        <v>-</v>
      </c>
      <c r="C1760" s="88" t="s">
        <v>152</v>
      </c>
      <c r="D1760" s="89">
        <f>IF(C1760="ID",1,(IF(C1760="PR",2,(IF(C1760="DE",3,(IF(C1760="RS",4,(IF(C1760="RC",5,0)))))))))</f>
        <v>2</v>
      </c>
      <c r="E1760" s="89" t="s">
        <v>202</v>
      </c>
      <c r="F1760" s="89">
        <f>IF(E1760="AM",1,(IF(E1760="BE",2,(IF(E1760="GV",3,(IF(E1760="RA",4,(IF(E1760="RM",5,(IF(E1760="AC",1,(IF(E1760="AT",2,(IF(E1760="DS",3,(IF(E1760="IP",4,(IF(E1760="MA",5,(IF(E1760="PT",6,(IF(E1760="AE",1,(IF(E1760="CM",2,(IF(E1760="DP",3,(IF(E1760="AN",1,(IF(E1760="CO",2,(IF(E1760="IM",3,(IF(E1760="MI",4,(IF(E1760="RP",5,(IF(E1760="SC",6,0)))))))))))))))))))))))))))))))))))))))</f>
        <v>2</v>
      </c>
      <c r="G1760" s="52">
        <v>4</v>
      </c>
      <c r="H1760" s="90" t="s">
        <v>115</v>
      </c>
      <c r="I1760" s="94" t="s">
        <v>92</v>
      </c>
      <c r="J1760" s="88" t="s">
        <v>207</v>
      </c>
      <c r="K1760" s="102" t="s">
        <v>5226</v>
      </c>
      <c r="L1760" s="117">
        <f>IF(O1760="","",N1760*O1760*M1760)</f>
        <v>0</v>
      </c>
      <c r="M1760" s="108">
        <v>1</v>
      </c>
      <c r="N1760" s="95">
        <v>1</v>
      </c>
      <c r="O1760" s="109">
        <f>IF(Key!D$1="ON",P1760,IF(SUM(Q1760:DL1760)&lt;1,"",SUM(Q1760:DL1760)/COUNTIF(Q1760:DL1760,"&gt;0")))</f>
        <v>0</v>
      </c>
      <c r="P1760" s="109">
        <f>SUMIFS(Q1760:DK1760,Q$1:DK$1,Dashboard!$K$31)</f>
        <v>0</v>
      </c>
      <c r="U1760" s="95">
        <v>33</v>
      </c>
      <c r="AA1760" s="95">
        <v>25</v>
      </c>
      <c r="AH1760" s="95">
        <v>75</v>
      </c>
    </row>
    <row r="1761" spans="1:34" ht="15.6" x14ac:dyDescent="0.3">
      <c r="A1761" s="89" t="str">
        <f>CONCATENATE(D1761,".",F1761,"-",G1761,".",H1761,"")</f>
        <v>2.2-5.0</v>
      </c>
      <c r="B1761" s="89" t="str">
        <f>IF(CONCATENATE(I1761,Key!F$2)=CONCATENATE(INDEX(Dashboard!J:J,MATCH(I1761,Dashboard!J:J,0),1),INDEX(Dashboard!J:K,MATCH(I1761,Dashboard!J:J,0),2)),"ON",IF(Dashboard!K$32="ALL","ON","-"))</f>
        <v>-</v>
      </c>
      <c r="C1761" s="88" t="s">
        <v>152</v>
      </c>
      <c r="D1761" s="89">
        <f>IF(C1761="ID",1,(IF(C1761="PR",2,(IF(C1761="DE",3,(IF(C1761="RS",4,(IF(C1761="RC",5,0)))))))))</f>
        <v>2</v>
      </c>
      <c r="E1761" s="89" t="s">
        <v>202</v>
      </c>
      <c r="F1761" s="89">
        <f>IF(E1761="AM",1,(IF(E1761="BE",2,(IF(E1761="GV",3,(IF(E1761="RA",4,(IF(E1761="RM",5,(IF(E1761="AC",1,(IF(E1761="AT",2,(IF(E1761="DS",3,(IF(E1761="IP",4,(IF(E1761="MA",5,(IF(E1761="PT",6,(IF(E1761="AE",1,(IF(E1761="CM",2,(IF(E1761="DP",3,(IF(E1761="AN",1,(IF(E1761="CO",2,(IF(E1761="IM",3,(IF(E1761="MI",4,(IF(E1761="RP",5,(IF(E1761="SC",6,0)))))))))))))))))))))))))))))))))))))))</f>
        <v>2</v>
      </c>
      <c r="G1761" s="52">
        <v>5</v>
      </c>
      <c r="H1761" s="90" t="s">
        <v>347</v>
      </c>
      <c r="I1761" s="94" t="s">
        <v>2835</v>
      </c>
      <c r="J1761" s="53" t="s">
        <v>2938</v>
      </c>
      <c r="K1761" s="150" t="s">
        <v>2939</v>
      </c>
      <c r="L1761" s="117">
        <f>IF(O1761="","",N1761*O1761*M1761)</f>
        <v>0</v>
      </c>
      <c r="M1761" s="108">
        <v>1</v>
      </c>
      <c r="N1761" s="95">
        <v>1</v>
      </c>
      <c r="O1761" s="109">
        <f>IF(Key!D$1="ON",P1761,IF(SUM(Q1761:DL1761)&lt;1,"",SUM(Q1761:DL1761)/COUNTIF(Q1761:DL1761,"&gt;0")))</f>
        <v>0</v>
      </c>
      <c r="P1761" s="109">
        <f>SUMIFS(Q1761:DK1761,Q$1:DK$1,Dashboard!$K$31)</f>
        <v>0</v>
      </c>
      <c r="U1761" s="95">
        <v>33</v>
      </c>
    </row>
    <row r="1762" spans="1:34" x14ac:dyDescent="0.3">
      <c r="A1762" s="89" t="str">
        <f>CONCATENATE(D1762,".",F1762,"-",G1762,".",H1762,"")</f>
        <v>2.2-5.1</v>
      </c>
      <c r="B1762" s="89" t="str">
        <f>IF(CONCATENATE(I1762,Key!F$2)=CONCATENATE(INDEX(Dashboard!J:J,MATCH(I1762,Dashboard!J:J,0),1),INDEX(Dashboard!J:K,MATCH(I1762,Dashboard!J:J,0),2)),"ON",IF(Dashboard!K$32="ALL","ON","-"))</f>
        <v>ON</v>
      </c>
      <c r="C1762" s="130" t="s">
        <v>152</v>
      </c>
      <c r="D1762" s="89">
        <f>IF(C1762="ID",1,(IF(C1762="PR",2,(IF(C1762="DE",3,(IF(C1762="RS",4,(IF(C1762="RC",5,0)))))))))</f>
        <v>2</v>
      </c>
      <c r="E1762" s="95" t="s">
        <v>202</v>
      </c>
      <c r="F1762" s="89">
        <f>IF(E1762="AM",1,(IF(E1762="BE",2,(IF(E1762="GV",3,(IF(E1762="RA",4,(IF(E1762="RM",5,(IF(E1762="AC",1,(IF(E1762="AT",2,(IF(E1762="DS",3,(IF(E1762="IP",4,(IF(E1762="MA",5,(IF(E1762="PT",6,(IF(E1762="AE",1,(IF(E1762="CM",2,(IF(E1762="DP",3,(IF(E1762="AN",1,(IF(E1762="CO",2,(IF(E1762="IM",3,(IF(E1762="MI",4,(IF(E1762="RP",5,(IF(E1762="SC",6,0)))))))))))))))))))))))))))))))))))))))</f>
        <v>2</v>
      </c>
      <c r="G1762" s="52">
        <v>5</v>
      </c>
      <c r="H1762" s="90" t="s">
        <v>115</v>
      </c>
      <c r="I1762" s="94" t="s">
        <v>4107</v>
      </c>
      <c r="J1762" s="86" t="s">
        <v>3978</v>
      </c>
      <c r="K1762" s="101" t="s">
        <v>4436</v>
      </c>
      <c r="L1762" s="117">
        <f>IF(O1762="","",N1762*O1762*M1762)</f>
        <v>0</v>
      </c>
      <c r="M1762" s="108">
        <v>1</v>
      </c>
      <c r="N1762" s="95">
        <v>1</v>
      </c>
      <c r="O1762" s="109">
        <f>IF(Key!D$1="ON",P1762,IF(SUM(Q1762:DL1762)&lt;1,"",SUM(Q1762:DL1762)/COUNTIF(Q1762:DL1762,"&gt;0")))</f>
        <v>0</v>
      </c>
      <c r="P1762" s="109">
        <f>SUMIFS(Q1762:DK1762,Q$1:DK$1,Dashboard!$K$31)</f>
        <v>0</v>
      </c>
      <c r="U1762" s="95">
        <v>33</v>
      </c>
      <c r="AA1762" s="95">
        <v>25</v>
      </c>
      <c r="AH1762" s="95">
        <v>75</v>
      </c>
    </row>
    <row r="1763" spans="1:34" x14ac:dyDescent="0.3">
      <c r="A1763" s="89" t="str">
        <f>CONCATENATE(D1763,".",F1763,"-",G1763,".",H1763,"")</f>
        <v>2.2-5.1</v>
      </c>
      <c r="B1763" s="89" t="str">
        <f>IF(CONCATENATE(I1763,Key!F$2)=CONCATENATE(INDEX(Dashboard!J:J,MATCH(I1763,Dashboard!J:J,0),1),INDEX(Dashboard!J:K,MATCH(I1763,Dashboard!J:J,0),2)),"ON",IF(Dashboard!K$32="ALL","ON","-"))</f>
        <v>ON</v>
      </c>
      <c r="C1763" s="130" t="s">
        <v>152</v>
      </c>
      <c r="D1763" s="89">
        <f>IF(C1763="ID",1,(IF(C1763="PR",2,(IF(C1763="DE",3,(IF(C1763="RS",4,(IF(C1763="RC",5,0)))))))))</f>
        <v>2</v>
      </c>
      <c r="E1763" s="95" t="s">
        <v>202</v>
      </c>
      <c r="F1763" s="89">
        <f>IF(E1763="AM",1,(IF(E1763="BE",2,(IF(E1763="GV",3,(IF(E1763="RA",4,(IF(E1763="RM",5,(IF(E1763="AC",1,(IF(E1763="AT",2,(IF(E1763="DS",3,(IF(E1763="IP",4,(IF(E1763="MA",5,(IF(E1763="PT",6,(IF(E1763="AE",1,(IF(E1763="CM",2,(IF(E1763="DP",3,(IF(E1763="AN",1,(IF(E1763="CO",2,(IF(E1763="IM",3,(IF(E1763="MI",4,(IF(E1763="RP",5,(IF(E1763="SC",6,0)))))))))))))))))))))))))))))))))))))))</f>
        <v>2</v>
      </c>
      <c r="G1763" s="52">
        <v>5</v>
      </c>
      <c r="H1763" s="90" t="s">
        <v>115</v>
      </c>
      <c r="I1763" s="94" t="s">
        <v>4107</v>
      </c>
      <c r="J1763" s="118" t="s">
        <v>3979</v>
      </c>
      <c r="K1763" s="101" t="s">
        <v>4370</v>
      </c>
      <c r="L1763" s="117">
        <f>IF(O1763="","",N1763*O1763*M1763)</f>
        <v>0</v>
      </c>
      <c r="M1763" s="108">
        <v>1</v>
      </c>
      <c r="N1763" s="95">
        <v>1</v>
      </c>
      <c r="O1763" s="109">
        <f>IF(Key!D$1="ON",P1763,IF(SUM(Q1763:DL1763)&lt;1,"",SUM(Q1763:DL1763)/COUNTIF(Q1763:DL1763,"&gt;0")))</f>
        <v>0</v>
      </c>
      <c r="P1763" s="109">
        <f>SUMIFS(Q1763:DK1763,Q$1:DK$1,Dashboard!$K$31)</f>
        <v>0</v>
      </c>
      <c r="U1763" s="95">
        <v>33</v>
      </c>
      <c r="AA1763" s="95">
        <v>25</v>
      </c>
      <c r="AH1763" s="95">
        <v>75</v>
      </c>
    </row>
    <row r="1764" spans="1:34" x14ac:dyDescent="0.3">
      <c r="A1764" s="89" t="str">
        <f>CONCATENATE(D1764,".",F1764,"-",G1764,".",H1764,"")</f>
        <v>2.2-5.1</v>
      </c>
      <c r="B1764" s="89" t="str">
        <f>IF(CONCATENATE(I1764,Key!F$2)=CONCATENATE(INDEX(Dashboard!J:J,MATCH(I1764,Dashboard!J:J,0),1),INDEX(Dashboard!J:K,MATCH(I1764,Dashboard!J:J,0),2)),"ON",IF(Dashboard!K$32="ALL","ON","-"))</f>
        <v>ON</v>
      </c>
      <c r="C1764" s="130" t="s">
        <v>152</v>
      </c>
      <c r="D1764" s="89">
        <f>IF(C1764="ID",1,(IF(C1764="PR",2,(IF(C1764="DE",3,(IF(C1764="RS",4,(IF(C1764="RC",5,0)))))))))</f>
        <v>2</v>
      </c>
      <c r="E1764" s="95" t="s">
        <v>202</v>
      </c>
      <c r="F1764" s="89">
        <f>IF(E1764="AM",1,(IF(E1764="BE",2,(IF(E1764="GV",3,(IF(E1764="RA",4,(IF(E1764="RM",5,(IF(E1764="AC",1,(IF(E1764="AT",2,(IF(E1764="DS",3,(IF(E1764="IP",4,(IF(E1764="MA",5,(IF(E1764="PT",6,(IF(E1764="AE",1,(IF(E1764="CM",2,(IF(E1764="DP",3,(IF(E1764="AN",1,(IF(E1764="CO",2,(IF(E1764="IM",3,(IF(E1764="MI",4,(IF(E1764="RP",5,(IF(E1764="SC",6,0)))))))))))))))))))))))))))))))))))))))</f>
        <v>2</v>
      </c>
      <c r="G1764" s="52">
        <v>5</v>
      </c>
      <c r="H1764" s="90" t="s">
        <v>115</v>
      </c>
      <c r="I1764" s="94" t="s">
        <v>4107</v>
      </c>
      <c r="J1764" s="86" t="s">
        <v>3981</v>
      </c>
      <c r="K1764" s="101" t="s">
        <v>4437</v>
      </c>
      <c r="L1764" s="117">
        <f>IF(O1764="","",N1764*O1764*M1764)</f>
        <v>0</v>
      </c>
      <c r="M1764" s="108">
        <v>1</v>
      </c>
      <c r="N1764" s="95">
        <v>1</v>
      </c>
      <c r="O1764" s="109">
        <f>IF(Key!D$1="ON",P1764,IF(SUM(Q1764:DL1764)&lt;1,"",SUM(Q1764:DL1764)/COUNTIF(Q1764:DL1764,"&gt;0")))</f>
        <v>0</v>
      </c>
      <c r="P1764" s="109">
        <f>SUMIFS(Q1764:DK1764,Q$1:DK$1,Dashboard!$K$31)</f>
        <v>0</v>
      </c>
      <c r="U1764" s="95">
        <v>33</v>
      </c>
      <c r="AA1764" s="95">
        <v>25</v>
      </c>
      <c r="AH1764" s="95">
        <v>75</v>
      </c>
    </row>
    <row r="1765" spans="1:34" x14ac:dyDescent="0.3">
      <c r="A1765" s="89" t="str">
        <f>CONCATENATE(D1765,".",F1765,"-",G1765,".",H1765,"")</f>
        <v>2.2-5.1</v>
      </c>
      <c r="B1765" s="89" t="str">
        <f>IF(CONCATENATE(I1765,Key!F$2)=CONCATENATE(INDEX(Dashboard!J:J,MATCH(I1765,Dashboard!J:J,0),1),INDEX(Dashboard!J:K,MATCH(I1765,Dashboard!J:J,0),2)),"ON",IF(Dashboard!K$32="ALL","ON","-"))</f>
        <v>ON</v>
      </c>
      <c r="C1765" s="130" t="s">
        <v>152</v>
      </c>
      <c r="D1765" s="89">
        <f>IF(C1765="ID",1,(IF(C1765="PR",2,(IF(C1765="DE",3,(IF(C1765="RS",4,(IF(C1765="RC",5,0)))))))))</f>
        <v>2</v>
      </c>
      <c r="E1765" s="95" t="s">
        <v>202</v>
      </c>
      <c r="F1765" s="89">
        <f>IF(E1765="AM",1,(IF(E1765="BE",2,(IF(E1765="GV",3,(IF(E1765="RA",4,(IF(E1765="RM",5,(IF(E1765="AC",1,(IF(E1765="AT",2,(IF(E1765="DS",3,(IF(E1765="IP",4,(IF(E1765="MA",5,(IF(E1765="PT",6,(IF(E1765="AE",1,(IF(E1765="CM",2,(IF(E1765="DP",3,(IF(E1765="AN",1,(IF(E1765="CO",2,(IF(E1765="IM",3,(IF(E1765="MI",4,(IF(E1765="RP",5,(IF(E1765="SC",6,0)))))))))))))))))))))))))))))))))))))))</f>
        <v>2</v>
      </c>
      <c r="G1765" s="52">
        <v>5</v>
      </c>
      <c r="H1765" s="90" t="s">
        <v>115</v>
      </c>
      <c r="I1765" s="94" t="s">
        <v>4107</v>
      </c>
      <c r="J1765" s="86" t="s">
        <v>3982</v>
      </c>
      <c r="K1765" s="101" t="s">
        <v>4371</v>
      </c>
      <c r="L1765" s="117">
        <f>IF(O1765="","",N1765*O1765*M1765)</f>
        <v>0</v>
      </c>
      <c r="M1765" s="108">
        <v>1</v>
      </c>
      <c r="N1765" s="95">
        <v>1</v>
      </c>
      <c r="O1765" s="109">
        <f>IF(Key!D$1="ON",P1765,IF(SUM(Q1765:DL1765)&lt;1,"",SUM(Q1765:DL1765)/COUNTIF(Q1765:DL1765,"&gt;0")))</f>
        <v>0</v>
      </c>
      <c r="P1765" s="109">
        <f>SUMIFS(Q1765:DK1765,Q$1:DK$1,Dashboard!$K$31)</f>
        <v>0</v>
      </c>
      <c r="U1765" s="95">
        <v>33</v>
      </c>
      <c r="AA1765" s="95">
        <v>25</v>
      </c>
      <c r="AH1765" s="95">
        <v>75</v>
      </c>
    </row>
    <row r="1766" spans="1:34" x14ac:dyDescent="0.3">
      <c r="A1766" s="89" t="str">
        <f>CONCATENATE(D1766,".",F1766,"-",G1766,".",H1766,"")</f>
        <v>2.2-5.1</v>
      </c>
      <c r="B1766" s="89" t="str">
        <f>IF(CONCATENATE(I1766,Key!F$2)=CONCATENATE(INDEX(Dashboard!J:J,MATCH(I1766,Dashboard!J:J,0),1),INDEX(Dashboard!J:K,MATCH(I1766,Dashboard!J:J,0),2)),"ON",IF(Dashboard!K$32="ALL","ON","-"))</f>
        <v>-</v>
      </c>
      <c r="C1766" s="96" t="s">
        <v>152</v>
      </c>
      <c r="D1766" s="89">
        <f>IF(C1766="ID",1,(IF(C1766="PR",2,(IF(C1766="DE",3,(IF(C1766="RS",4,(IF(C1766="RC",5,0)))))))))</f>
        <v>2</v>
      </c>
      <c r="E1766" s="89" t="s">
        <v>202</v>
      </c>
      <c r="F1766" s="89">
        <f>IF(E1766="AM",1,(IF(E1766="BE",2,(IF(E1766="GV",3,(IF(E1766="RA",4,(IF(E1766="RM",5,(IF(E1766="AC",1,(IF(E1766="AT",2,(IF(E1766="DS",3,(IF(E1766="IP",4,(IF(E1766="MA",5,(IF(E1766="PT",6,(IF(E1766="AE",1,(IF(E1766="CM",2,(IF(E1766="DP",3,(IF(E1766="AN",1,(IF(E1766="CO",2,(IF(E1766="IM",3,(IF(E1766="MI",4,(IF(E1766="RP",5,(IF(E1766="SC",6,0)))))))))))))))))))))))))))))))))))))))</f>
        <v>2</v>
      </c>
      <c r="G1766" s="98">
        <v>5</v>
      </c>
      <c r="H1766" s="90" t="s">
        <v>115</v>
      </c>
      <c r="I1766" s="94" t="s">
        <v>52</v>
      </c>
      <c r="J1766" s="88" t="s">
        <v>3284</v>
      </c>
      <c r="K1766" s="102" t="s">
        <v>3285</v>
      </c>
      <c r="L1766" s="117">
        <f>IF(O1766="","",N1766*O1766*M1766)</f>
        <v>0</v>
      </c>
      <c r="M1766" s="108">
        <v>1</v>
      </c>
      <c r="N1766" s="95">
        <v>1</v>
      </c>
      <c r="O1766" s="109">
        <f>IF(Key!D$1="ON",P1766,IF(SUM(Q1766:DL1766)&lt;1,"",SUM(Q1766:DL1766)/COUNTIF(Q1766:DL1766,"&gt;0")))</f>
        <v>0</v>
      </c>
      <c r="P1766" s="109">
        <f>SUMIFS(Q1766:DK1766,Q$1:DK$1,Dashboard!$K$31)</f>
        <v>0</v>
      </c>
      <c r="U1766" s="95">
        <v>33</v>
      </c>
      <c r="AA1766" s="95">
        <v>25</v>
      </c>
      <c r="AH1766" s="95">
        <v>75</v>
      </c>
    </row>
    <row r="1767" spans="1:34" x14ac:dyDescent="0.3">
      <c r="A1767" s="89" t="str">
        <f>CONCATENATE(D1767,".",F1767,"-",G1767,".",H1767,"")</f>
        <v>2.2-5.1</v>
      </c>
      <c r="B1767" s="89" t="str">
        <f>IF(CONCATENATE(I1767,Key!F$2)=CONCATENATE(INDEX(Dashboard!J:J,MATCH(I1767,Dashboard!J:J,0),1),INDEX(Dashboard!J:K,MATCH(I1767,Dashboard!J:J,0),2)),"ON",IF(Dashboard!K$32="ALL","ON","-"))</f>
        <v>-</v>
      </c>
      <c r="C1767" s="96" t="s">
        <v>152</v>
      </c>
      <c r="D1767" s="89">
        <f>IF(C1767="ID",1,(IF(C1767="PR",2,(IF(C1767="DE",3,(IF(C1767="RS",4,(IF(C1767="RC",5,0)))))))))</f>
        <v>2</v>
      </c>
      <c r="E1767" s="89" t="s">
        <v>202</v>
      </c>
      <c r="F1767" s="89">
        <f>IF(E1767="AM",1,(IF(E1767="BE",2,(IF(E1767="GV",3,(IF(E1767="RA",4,(IF(E1767="RM",5,(IF(E1767="AC",1,(IF(E1767="AT",2,(IF(E1767="DS",3,(IF(E1767="IP",4,(IF(E1767="MA",5,(IF(E1767="PT",6,(IF(E1767="AE",1,(IF(E1767="CM",2,(IF(E1767="DP",3,(IF(E1767="AN",1,(IF(E1767="CO",2,(IF(E1767="IM",3,(IF(E1767="MI",4,(IF(E1767="RP",5,(IF(E1767="SC",6,0)))))))))))))))))))))))))))))))))))))))</f>
        <v>2</v>
      </c>
      <c r="G1767" s="98">
        <v>5</v>
      </c>
      <c r="H1767" s="90" t="s">
        <v>115</v>
      </c>
      <c r="I1767" s="94" t="s">
        <v>52</v>
      </c>
      <c r="J1767" s="88" t="s">
        <v>3385</v>
      </c>
      <c r="K1767" s="102" t="s">
        <v>3386</v>
      </c>
      <c r="L1767" s="117">
        <f>IF(O1767="","",N1767*O1767*M1767)</f>
        <v>0</v>
      </c>
      <c r="M1767" s="108">
        <v>1</v>
      </c>
      <c r="N1767" s="95">
        <v>1</v>
      </c>
      <c r="O1767" s="109">
        <f>IF(Key!D$1="ON",P1767,IF(SUM(Q1767:DL1767)&lt;1,"",SUM(Q1767:DL1767)/COUNTIF(Q1767:DL1767,"&gt;0")))</f>
        <v>0</v>
      </c>
      <c r="P1767" s="109">
        <f>SUMIFS(Q1767:DK1767,Q$1:DK$1,Dashboard!$K$31)</f>
        <v>0</v>
      </c>
      <c r="U1767" s="95">
        <v>33</v>
      </c>
      <c r="AA1767" s="95">
        <v>25</v>
      </c>
      <c r="AH1767" s="95">
        <v>75</v>
      </c>
    </row>
    <row r="1768" spans="1:34" x14ac:dyDescent="0.3">
      <c r="A1768" s="89" t="str">
        <f>CONCATENATE(D1768,".",F1768,"-",G1768,".",H1768,"")</f>
        <v>2.2-5.1</v>
      </c>
      <c r="B1768" s="89" t="str">
        <f>IF(CONCATENATE(I1768,Key!F$2)=CONCATENATE(INDEX(Dashboard!J:J,MATCH(I1768,Dashboard!J:J,0),1),INDEX(Dashboard!J:K,MATCH(I1768,Dashboard!J:J,0),2)),"ON",IF(Dashboard!K$32="ALL","ON","-"))</f>
        <v>-</v>
      </c>
      <c r="C1768" s="96" t="s">
        <v>152</v>
      </c>
      <c r="D1768" s="89">
        <f>IF(C1768="ID",1,(IF(C1768="PR",2,(IF(C1768="DE",3,(IF(C1768="RS",4,(IF(C1768="RC",5,0)))))))))</f>
        <v>2</v>
      </c>
      <c r="E1768" s="89" t="s">
        <v>202</v>
      </c>
      <c r="F1768" s="89">
        <f>IF(E1768="AM",1,(IF(E1768="BE",2,(IF(E1768="GV",3,(IF(E1768="RA",4,(IF(E1768="RM",5,(IF(E1768="AC",1,(IF(E1768="AT",2,(IF(E1768="DS",3,(IF(E1768="IP",4,(IF(E1768="MA",5,(IF(E1768="PT",6,(IF(E1768="AE",1,(IF(E1768="CM",2,(IF(E1768="DP",3,(IF(E1768="AN",1,(IF(E1768="CO",2,(IF(E1768="IM",3,(IF(E1768="MI",4,(IF(E1768="RP",5,(IF(E1768="SC",6,0)))))))))))))))))))))))))))))))))))))))</f>
        <v>2</v>
      </c>
      <c r="G1768" s="98">
        <v>5</v>
      </c>
      <c r="H1768" s="90" t="s">
        <v>115</v>
      </c>
      <c r="I1768" s="94" t="s">
        <v>52</v>
      </c>
      <c r="J1768" s="88" t="s">
        <v>3406</v>
      </c>
      <c r="K1768" s="102" t="s">
        <v>3407</v>
      </c>
      <c r="L1768" s="117">
        <f>IF(O1768="","",N1768*O1768*M1768)</f>
        <v>0</v>
      </c>
      <c r="M1768" s="108">
        <v>1</v>
      </c>
      <c r="N1768" s="95">
        <v>1</v>
      </c>
      <c r="O1768" s="109">
        <f>IF(Key!D$1="ON",P1768,IF(SUM(Q1768:DL1768)&lt;1,"",SUM(Q1768:DL1768)/COUNTIF(Q1768:DL1768,"&gt;0")))</f>
        <v>0</v>
      </c>
      <c r="P1768" s="109">
        <f>SUMIFS(Q1768:DK1768,Q$1:DK$1,Dashboard!$K$31)</f>
        <v>0</v>
      </c>
      <c r="U1768" s="95">
        <v>33</v>
      </c>
      <c r="AA1768" s="95">
        <v>25</v>
      </c>
      <c r="AH1768" s="95">
        <v>75</v>
      </c>
    </row>
    <row r="1769" spans="1:34" x14ac:dyDescent="0.3">
      <c r="A1769" s="89" t="str">
        <f>CONCATENATE(D1769,".",F1769,"-",G1769,".",H1769,"")</f>
        <v>2.2-5.1</v>
      </c>
      <c r="B1769" s="89" t="str">
        <f>IF(CONCATENATE(I1769,Key!F$2)=CONCATENATE(INDEX(Dashboard!J:J,MATCH(I1769,Dashboard!J:J,0),1),INDEX(Dashboard!J:K,MATCH(I1769,Dashboard!J:J,0),2)),"ON",IF(Dashboard!K$32="ALL","ON","-"))</f>
        <v>-</v>
      </c>
      <c r="C1769" s="88" t="s">
        <v>152</v>
      </c>
      <c r="D1769" s="89">
        <f>IF(C1769="ID",1,(IF(C1769="PR",2,(IF(C1769="DE",3,(IF(C1769="RS",4,(IF(C1769="RC",5,0)))))))))</f>
        <v>2</v>
      </c>
      <c r="E1769" s="89" t="s">
        <v>202</v>
      </c>
      <c r="F1769" s="89">
        <f>IF(E1769="AM",1,(IF(E1769="BE",2,(IF(E1769="GV",3,(IF(E1769="RA",4,(IF(E1769="RM",5,(IF(E1769="AC",1,(IF(E1769="AT",2,(IF(E1769="DS",3,(IF(E1769="IP",4,(IF(E1769="MA",5,(IF(E1769="PT",6,(IF(E1769="AE",1,(IF(E1769="CM",2,(IF(E1769="DP",3,(IF(E1769="AN",1,(IF(E1769="CO",2,(IF(E1769="IM",3,(IF(E1769="MI",4,(IF(E1769="RP",5,(IF(E1769="SC",6,0)))))))))))))))))))))))))))))))))))))))</f>
        <v>2</v>
      </c>
      <c r="G1769" s="52">
        <v>5</v>
      </c>
      <c r="H1769" s="90" t="s">
        <v>115</v>
      </c>
      <c r="I1769" s="94" t="s">
        <v>60</v>
      </c>
      <c r="J1769" s="87" t="s">
        <v>3202</v>
      </c>
      <c r="K1769" s="51" t="s">
        <v>5315</v>
      </c>
      <c r="L1769" s="117">
        <f>IF(O1769="","",N1769*O1769*M1769)</f>
        <v>0</v>
      </c>
      <c r="M1769" s="108">
        <v>1</v>
      </c>
      <c r="N1769" s="95">
        <v>1</v>
      </c>
      <c r="O1769" s="109">
        <f>IF(Key!D$1="ON",P1769,IF(SUM(Q1769:DL1769)&lt;1,"",SUM(Q1769:DL1769)/COUNTIF(Q1769:DL1769,"&gt;0")))</f>
        <v>0</v>
      </c>
      <c r="P1769" s="109">
        <f>SUMIFS(Q1769:DK1769,Q$1:DK$1,Dashboard!$K$31)</f>
        <v>0</v>
      </c>
      <c r="U1769" s="95">
        <v>33</v>
      </c>
      <c r="AA1769" s="95">
        <v>25</v>
      </c>
      <c r="AH1769" s="95">
        <v>75</v>
      </c>
    </row>
    <row r="1770" spans="1:34" x14ac:dyDescent="0.3">
      <c r="A1770" s="89" t="str">
        <f>CONCATENATE(D1770,".",F1770,"-",G1770,".",H1770,"")</f>
        <v>2.2-5.1</v>
      </c>
      <c r="B1770" s="89" t="str">
        <f>IF(CONCATENATE(I1770,Key!F$2)=CONCATENATE(INDEX(Dashboard!J:J,MATCH(I1770,Dashboard!J:J,0),1),INDEX(Dashboard!J:K,MATCH(I1770,Dashboard!J:J,0),2)),"ON",IF(Dashboard!K$32="ALL","ON","-"))</f>
        <v>-</v>
      </c>
      <c r="C1770" s="88" t="s">
        <v>152</v>
      </c>
      <c r="D1770" s="89">
        <f>IF(C1770="ID",1,(IF(C1770="PR",2,(IF(C1770="DE",3,(IF(C1770="RS",4,(IF(C1770="RC",5,0)))))))))</f>
        <v>2</v>
      </c>
      <c r="E1770" s="89" t="s">
        <v>202</v>
      </c>
      <c r="F1770" s="89">
        <f>IF(E1770="AM",1,(IF(E1770="BE",2,(IF(E1770="GV",3,(IF(E1770="RA",4,(IF(E1770="RM",5,(IF(E1770="AC",1,(IF(E1770="AT",2,(IF(E1770="DS",3,(IF(E1770="IP",4,(IF(E1770="MA",5,(IF(E1770="PT",6,(IF(E1770="AE",1,(IF(E1770="CM",2,(IF(E1770="DP",3,(IF(E1770="AN",1,(IF(E1770="CO",2,(IF(E1770="IM",3,(IF(E1770="MI",4,(IF(E1770="RP",5,(IF(E1770="SC",6,0)))))))))))))))))))))))))))))))))))))))</f>
        <v>2</v>
      </c>
      <c r="G1770" s="98">
        <v>5</v>
      </c>
      <c r="H1770" s="89">
        <v>1</v>
      </c>
      <c r="I1770" s="94" t="s">
        <v>60</v>
      </c>
      <c r="J1770" s="88" t="s">
        <v>3158</v>
      </c>
      <c r="K1770" s="51" t="s">
        <v>5271</v>
      </c>
      <c r="L1770" s="117">
        <f>IF(O1770="","",N1770*O1770*M1770)</f>
        <v>0</v>
      </c>
      <c r="M1770" s="108">
        <v>1</v>
      </c>
      <c r="N1770" s="95">
        <v>1</v>
      </c>
      <c r="O1770" s="109">
        <f>IF(Key!D$1="ON",P1770,IF(SUM(Q1770:DL1770)&lt;1,"",SUM(Q1770:DL1770)/COUNTIF(Q1770:DL1770,"&gt;0")))</f>
        <v>0</v>
      </c>
      <c r="P1770" s="109">
        <f>SUMIFS(Q1770:DK1770,Q$1:DK$1,Dashboard!$K$31)</f>
        <v>0</v>
      </c>
      <c r="U1770" s="95">
        <v>33</v>
      </c>
      <c r="AA1770" s="95">
        <v>25</v>
      </c>
      <c r="AH1770" s="95">
        <v>75</v>
      </c>
    </row>
    <row r="1771" spans="1:34" x14ac:dyDescent="0.3">
      <c r="A1771" s="89" t="str">
        <f>CONCATENATE(D1771,".",F1771,"-",G1771,".",H1771,"")</f>
        <v>2.2-5.1</v>
      </c>
      <c r="B1771" s="89" t="str">
        <f>IF(CONCATENATE(I1771,Key!F$2)=CONCATENATE(INDEX(Dashboard!J:J,MATCH(I1771,Dashboard!J:J,0),1),INDEX(Dashboard!J:K,MATCH(I1771,Dashboard!J:J,0),2)),"ON",IF(Dashboard!K$32="ALL","ON","-"))</f>
        <v>-</v>
      </c>
      <c r="C1771" s="88" t="s">
        <v>152</v>
      </c>
      <c r="D1771" s="89">
        <f>IF(C1771="ID",1,(IF(C1771="PR",2,(IF(C1771="DE",3,(IF(C1771="RS",4,(IF(C1771="RC",5,0)))))))))</f>
        <v>2</v>
      </c>
      <c r="E1771" s="89" t="s">
        <v>202</v>
      </c>
      <c r="F1771" s="89">
        <f>IF(E1771="AM",1,(IF(E1771="BE",2,(IF(E1771="GV",3,(IF(E1771="RA",4,(IF(E1771="RM",5,(IF(E1771="AC",1,(IF(E1771="AT",2,(IF(E1771="DS",3,(IF(E1771="IP",4,(IF(E1771="MA",5,(IF(E1771="PT",6,(IF(E1771="AE",1,(IF(E1771="CM",2,(IF(E1771="DP",3,(IF(E1771="AN",1,(IF(E1771="CO",2,(IF(E1771="IM",3,(IF(E1771="MI",4,(IF(E1771="RP",5,(IF(E1771="SC",6,0)))))))))))))))))))))))))))))))))))))))</f>
        <v>2</v>
      </c>
      <c r="G1771" s="52">
        <v>5</v>
      </c>
      <c r="H1771" s="89">
        <v>1</v>
      </c>
      <c r="I1771" s="94" t="s">
        <v>60</v>
      </c>
      <c r="J1771" s="88" t="s">
        <v>3128</v>
      </c>
      <c r="K1771" s="51" t="s">
        <v>5241</v>
      </c>
      <c r="L1771" s="117">
        <f>IF(O1771="","",N1771*O1771*M1771)</f>
        <v>0</v>
      </c>
      <c r="M1771" s="108">
        <v>1</v>
      </c>
      <c r="N1771" s="95">
        <v>1</v>
      </c>
      <c r="O1771" s="109">
        <f>IF(Key!D$1="ON",P1771,IF(SUM(Q1771:DL1771)&lt;1,"",SUM(Q1771:DL1771)/COUNTIF(Q1771:DL1771,"&gt;0")))</f>
        <v>0</v>
      </c>
      <c r="P1771" s="109">
        <f>SUMIFS(Q1771:DK1771,Q$1:DK$1,Dashboard!$K$31)</f>
        <v>0</v>
      </c>
      <c r="U1771" s="95">
        <v>33</v>
      </c>
      <c r="AA1771" s="95">
        <v>25</v>
      </c>
      <c r="AH1771" s="95">
        <v>75</v>
      </c>
    </row>
    <row r="1772" spans="1:34" x14ac:dyDescent="0.3">
      <c r="A1772" s="89" t="str">
        <f>CONCATENATE(D1772,".",F1772,"-",G1772,".",H1772,"")</f>
        <v>2.2-5.1</v>
      </c>
      <c r="B1772" s="89" t="str">
        <f>IF(CONCATENATE(I1772,Key!F$2)=CONCATENATE(INDEX(Dashboard!J:J,MATCH(I1772,Dashboard!J:J,0),1),INDEX(Dashboard!J:K,MATCH(I1772,Dashboard!J:J,0),2)),"ON",IF(Dashboard!K$32="ALL","ON","-"))</f>
        <v>-</v>
      </c>
      <c r="C1772" s="88" t="s">
        <v>152</v>
      </c>
      <c r="D1772" s="89">
        <f>IF(C1772="ID",1,(IF(C1772="PR",2,(IF(C1772="DE",3,(IF(C1772="RS",4,(IF(C1772="RC",5,0)))))))))</f>
        <v>2</v>
      </c>
      <c r="E1772" s="89" t="s">
        <v>202</v>
      </c>
      <c r="F1772" s="89">
        <f>IF(E1772="AM",1,(IF(E1772="BE",2,(IF(E1772="GV",3,(IF(E1772="RA",4,(IF(E1772="RM",5,(IF(E1772="AC",1,(IF(E1772="AT",2,(IF(E1772="DS",3,(IF(E1772="IP",4,(IF(E1772="MA",5,(IF(E1772="PT",6,(IF(E1772="AE",1,(IF(E1772="CM",2,(IF(E1772="DP",3,(IF(E1772="AN",1,(IF(E1772="CO",2,(IF(E1772="IM",3,(IF(E1772="MI",4,(IF(E1772="RP",5,(IF(E1772="SC",6,0)))))))))))))))))))))))))))))))))))))))</f>
        <v>2</v>
      </c>
      <c r="G1772" s="52">
        <v>5</v>
      </c>
      <c r="H1772" s="90" t="s">
        <v>115</v>
      </c>
      <c r="I1772" s="94" t="s">
        <v>60</v>
      </c>
      <c r="J1772" s="87" t="s">
        <v>3203</v>
      </c>
      <c r="K1772" s="51" t="s">
        <v>5316</v>
      </c>
      <c r="L1772" s="117">
        <f>IF(O1772="","",N1772*O1772*M1772)</f>
        <v>0</v>
      </c>
      <c r="M1772" s="108">
        <v>1</v>
      </c>
      <c r="N1772" s="95">
        <v>1</v>
      </c>
      <c r="O1772" s="109">
        <f>IF(Key!D$1="ON",P1772,IF(SUM(Q1772:DL1772)&lt;1,"",SUM(Q1772:DL1772)/COUNTIF(Q1772:DL1772,"&gt;0")))</f>
        <v>0</v>
      </c>
      <c r="P1772" s="109">
        <f>SUMIFS(Q1772:DK1772,Q$1:DK$1,Dashboard!$K$31)</f>
        <v>0</v>
      </c>
      <c r="U1772" s="95">
        <v>33</v>
      </c>
      <c r="AA1772" s="95">
        <v>25</v>
      </c>
      <c r="AH1772" s="95">
        <v>75</v>
      </c>
    </row>
    <row r="1773" spans="1:34" x14ac:dyDescent="0.3">
      <c r="A1773" s="89" t="str">
        <f>CONCATENATE(D1773,".",F1773,"-",G1773,".",H1773,"")</f>
        <v>2.2-5.1</v>
      </c>
      <c r="B1773" s="89" t="str">
        <f>IF(CONCATENATE(I1773,Key!F$2)=CONCATENATE(INDEX(Dashboard!J:J,MATCH(I1773,Dashboard!J:J,0),1),INDEX(Dashboard!J:K,MATCH(I1773,Dashboard!J:J,0),2)),"ON",IF(Dashboard!K$32="ALL","ON","-"))</f>
        <v>-</v>
      </c>
      <c r="C1773" s="88" t="s">
        <v>152</v>
      </c>
      <c r="D1773" s="89">
        <f>IF(C1773="ID",1,(IF(C1773="PR",2,(IF(C1773="DE",3,(IF(C1773="RS",4,(IF(C1773="RC",5,0)))))))))</f>
        <v>2</v>
      </c>
      <c r="E1773" s="89" t="s">
        <v>202</v>
      </c>
      <c r="F1773" s="89">
        <f>IF(E1773="AM",1,(IF(E1773="BE",2,(IF(E1773="GV",3,(IF(E1773="RA",4,(IF(E1773="RM",5,(IF(E1773="AC",1,(IF(E1773="AT",2,(IF(E1773="DS",3,(IF(E1773="IP",4,(IF(E1773="MA",5,(IF(E1773="PT",6,(IF(E1773="AE",1,(IF(E1773="CM",2,(IF(E1773="DP",3,(IF(E1773="AN",1,(IF(E1773="CO",2,(IF(E1773="IM",3,(IF(E1773="MI",4,(IF(E1773="RP",5,(IF(E1773="SC",6,0)))))))))))))))))))))))))))))))))))))))</f>
        <v>2</v>
      </c>
      <c r="G1773" s="52">
        <v>5</v>
      </c>
      <c r="H1773" s="90" t="s">
        <v>115</v>
      </c>
      <c r="I1773" s="94" t="s">
        <v>60</v>
      </c>
      <c r="J1773" s="87" t="s">
        <v>3197</v>
      </c>
      <c r="K1773" s="51" t="s">
        <v>5310</v>
      </c>
      <c r="L1773" s="117">
        <f>IF(O1773="","",N1773*O1773*M1773)</f>
        <v>0</v>
      </c>
      <c r="M1773" s="108">
        <v>0.9</v>
      </c>
      <c r="N1773" s="95">
        <v>1</v>
      </c>
      <c r="O1773" s="109">
        <f>IF(Key!D$1="ON",P1773,IF(SUM(Q1773:DL1773)&lt;1,"",SUM(Q1773:DL1773)/COUNTIF(Q1773:DL1773,"&gt;0")))</f>
        <v>0</v>
      </c>
      <c r="P1773" s="109">
        <f>SUMIFS(Q1773:DK1773,Q$1:DK$1,Dashboard!$K$31)</f>
        <v>0</v>
      </c>
      <c r="S1773" s="95">
        <v>33</v>
      </c>
      <c r="T1773" s="95">
        <v>80</v>
      </c>
      <c r="U1773" s="95">
        <v>33</v>
      </c>
      <c r="AA1773" s="95">
        <v>25</v>
      </c>
      <c r="AH1773" s="95">
        <v>75</v>
      </c>
    </row>
    <row r="1774" spans="1:34" x14ac:dyDescent="0.3">
      <c r="A1774" s="89" t="str">
        <f>CONCATENATE(D1774,".",F1774,"-",G1774,".",H1774,"")</f>
        <v>2.2-5.1</v>
      </c>
      <c r="B1774" s="89" t="str">
        <f>IF(CONCATENATE(I1774,Key!F$2)=CONCATENATE(INDEX(Dashboard!J:J,MATCH(I1774,Dashboard!J:J,0),1),INDEX(Dashboard!J:K,MATCH(I1774,Dashboard!J:J,0),2)),"ON",IF(Dashboard!K$32="ALL","ON","-"))</f>
        <v>-</v>
      </c>
      <c r="C1774" s="88" t="s">
        <v>152</v>
      </c>
      <c r="D1774" s="89">
        <f>IF(C1774="ID",1,(IF(C1774="PR",2,(IF(C1774="DE",3,(IF(C1774="RS",4,(IF(C1774="RC",5,0)))))))))</f>
        <v>2</v>
      </c>
      <c r="E1774" s="89" t="s">
        <v>202</v>
      </c>
      <c r="F1774" s="89">
        <f>IF(E1774="AM",1,(IF(E1774="BE",2,(IF(E1774="GV",3,(IF(E1774="RA",4,(IF(E1774="RM",5,(IF(E1774="AC",1,(IF(E1774="AT",2,(IF(E1774="DS",3,(IF(E1774="IP",4,(IF(E1774="MA",5,(IF(E1774="PT",6,(IF(E1774="AE",1,(IF(E1774="CM",2,(IF(E1774="DP",3,(IF(E1774="AN",1,(IF(E1774="CO",2,(IF(E1774="IM",3,(IF(E1774="MI",4,(IF(E1774="RP",5,(IF(E1774="SC",6,0)))))))))))))))))))))))))))))))))))))))</f>
        <v>2</v>
      </c>
      <c r="G1774" s="52">
        <v>5</v>
      </c>
      <c r="H1774" s="90" t="s">
        <v>115</v>
      </c>
      <c r="I1774" s="94" t="s">
        <v>73</v>
      </c>
      <c r="J1774" s="86" t="s">
        <v>213</v>
      </c>
      <c r="K1774" s="101" t="s">
        <v>5193</v>
      </c>
      <c r="L1774" s="117">
        <f>IF(O1774="","",N1774*O1774*M1774)</f>
        <v>0</v>
      </c>
      <c r="M1774" s="108">
        <v>1</v>
      </c>
      <c r="N1774" s="95">
        <v>1</v>
      </c>
      <c r="O1774" s="109">
        <f>IF(Key!D$1="ON",P1774,IF(SUM(Q1774:DL1774)&lt;1,"",SUM(Q1774:DL1774)/COUNTIF(Q1774:DL1774,"&gt;0")))</f>
        <v>0</v>
      </c>
      <c r="P1774" s="109">
        <f>SUMIFS(Q1774:DK1774,Q$1:DK$1,Dashboard!$K$31)</f>
        <v>0</v>
      </c>
      <c r="U1774" s="95">
        <v>33</v>
      </c>
      <c r="AA1774" s="95">
        <v>25</v>
      </c>
      <c r="AH1774" s="95">
        <v>75</v>
      </c>
    </row>
    <row r="1775" spans="1:34" x14ac:dyDescent="0.3">
      <c r="A1775" s="89" t="str">
        <f>CONCATENATE(D1775,".",F1775,"-",G1775,".",H1775,"")</f>
        <v>2.2-5.1</v>
      </c>
      <c r="B1775" s="89" t="str">
        <f>IF(CONCATENATE(I1775,Key!F$2)=CONCATENATE(INDEX(Dashboard!J:J,MATCH(I1775,Dashboard!J:J,0),1),INDEX(Dashboard!J:K,MATCH(I1775,Dashboard!J:J,0),2)),"ON",IF(Dashboard!K$32="ALL","ON","-"))</f>
        <v>-</v>
      </c>
      <c r="C1775" s="88" t="s">
        <v>152</v>
      </c>
      <c r="D1775" s="89">
        <f>IF(C1775="ID",1,(IF(C1775="PR",2,(IF(C1775="DE",3,(IF(C1775="RS",4,(IF(C1775="RC",5,0)))))))))</f>
        <v>2</v>
      </c>
      <c r="E1775" s="89" t="s">
        <v>202</v>
      </c>
      <c r="F1775" s="89">
        <f>IF(E1775="AM",1,(IF(E1775="BE",2,(IF(E1775="GV",3,(IF(E1775="RA",4,(IF(E1775="RM",5,(IF(E1775="AC",1,(IF(E1775="AT",2,(IF(E1775="DS",3,(IF(E1775="IP",4,(IF(E1775="MA",5,(IF(E1775="PT",6,(IF(E1775="AE",1,(IF(E1775="CM",2,(IF(E1775="DP",3,(IF(E1775="AN",1,(IF(E1775="CO",2,(IF(E1775="IM",3,(IF(E1775="MI",4,(IF(E1775="RP",5,(IF(E1775="SC",6,0)))))))))))))))))))))))))))))))))))))))</f>
        <v>2</v>
      </c>
      <c r="G1775" s="52">
        <v>5</v>
      </c>
      <c r="H1775" s="90" t="s">
        <v>115</v>
      </c>
      <c r="I1775" s="94" t="s">
        <v>73</v>
      </c>
      <c r="J1775" s="86" t="s">
        <v>218</v>
      </c>
      <c r="K1775" s="101" t="s">
        <v>5194</v>
      </c>
      <c r="L1775" s="117">
        <f>IF(O1775="","",N1775*O1775*M1775)</f>
        <v>0</v>
      </c>
      <c r="M1775" s="108">
        <v>1</v>
      </c>
      <c r="N1775" s="95">
        <v>1</v>
      </c>
      <c r="O1775" s="109">
        <f>IF(Key!D$1="ON",P1775,IF(SUM(Q1775:DL1775)&lt;1,"",SUM(Q1775:DL1775)/COUNTIF(Q1775:DL1775,"&gt;0")))</f>
        <v>0</v>
      </c>
      <c r="P1775" s="109">
        <f>SUMIFS(Q1775:DK1775,Q$1:DK$1,Dashboard!$K$31)</f>
        <v>0</v>
      </c>
      <c r="U1775" s="95">
        <v>33</v>
      </c>
      <c r="AA1775" s="95">
        <v>25</v>
      </c>
      <c r="AH1775" s="95">
        <v>75</v>
      </c>
    </row>
    <row r="1776" spans="1:34" x14ac:dyDescent="0.3">
      <c r="A1776" s="89" t="str">
        <f>CONCATENATE(D1776,".",F1776,"-",G1776,".",H1776,"")</f>
        <v>2.2-5.1</v>
      </c>
      <c r="B1776" s="89" t="str">
        <f>IF(CONCATENATE(I1776,Key!F$2)=CONCATENATE(INDEX(Dashboard!J:J,MATCH(I1776,Dashboard!J:J,0),1),INDEX(Dashboard!J:K,MATCH(I1776,Dashboard!J:J,0),2)),"ON",IF(Dashboard!K$32="ALL","ON","-"))</f>
        <v>-</v>
      </c>
      <c r="C1776" s="96" t="s">
        <v>152</v>
      </c>
      <c r="D1776" s="89">
        <f>IF(C1776="ID",1,(IF(C1776="PR",2,(IF(C1776="DE",3,(IF(C1776="RS",4,(IF(C1776="RC",5,0)))))))))</f>
        <v>2</v>
      </c>
      <c r="E1776" s="89" t="s">
        <v>202</v>
      </c>
      <c r="F1776" s="89">
        <f>IF(E1776="AM",1,(IF(E1776="BE",2,(IF(E1776="GV",3,(IF(E1776="RA",4,(IF(E1776="RM",5,(IF(E1776="AC",1,(IF(E1776="AT",2,(IF(E1776="DS",3,(IF(E1776="IP",4,(IF(E1776="MA",5,(IF(E1776="PT",6,(IF(E1776="AE",1,(IF(E1776="CM",2,(IF(E1776="DP",3,(IF(E1776="AN",1,(IF(E1776="CO",2,(IF(E1776="IM",3,(IF(E1776="MI",4,(IF(E1776="RP",5,(IF(E1776="SC",6,0)))))))))))))))))))))))))))))))))))))))</f>
        <v>2</v>
      </c>
      <c r="G1776" s="98">
        <v>5</v>
      </c>
      <c r="H1776" s="90" t="s">
        <v>115</v>
      </c>
      <c r="I1776" s="94" t="s">
        <v>77</v>
      </c>
      <c r="J1776" s="87" t="s">
        <v>1334</v>
      </c>
      <c r="K1776" s="102" t="s">
        <v>2336</v>
      </c>
      <c r="L1776" s="117">
        <f>IF(O1776="","",N1776*O1776*M1776)</f>
        <v>0</v>
      </c>
      <c r="M1776" s="108">
        <v>0.9</v>
      </c>
      <c r="N1776" s="95">
        <v>1</v>
      </c>
      <c r="O1776" s="109">
        <f>IF(Key!D$1="ON",P1776,IF(SUM(Q1776:DL1776)&lt;1,"",SUM(Q1776:DL1776)/COUNTIF(Q1776:DL1776,"&gt;0")))</f>
        <v>0</v>
      </c>
      <c r="P1776" s="109">
        <f>SUMIFS(Q1776:DK1776,Q$1:DK$1,Dashboard!$K$31)</f>
        <v>0</v>
      </c>
      <c r="S1776" s="95">
        <v>99</v>
      </c>
      <c r="T1776" s="95">
        <v>80</v>
      </c>
      <c r="U1776" s="95">
        <v>33</v>
      </c>
      <c r="AA1776" s="95">
        <v>25</v>
      </c>
      <c r="AH1776" s="95">
        <v>75</v>
      </c>
    </row>
    <row r="1777" spans="1:34" x14ac:dyDescent="0.3">
      <c r="A1777" s="89" t="str">
        <f>CONCATENATE(D1777,".",F1777,"-",G1777,".",H1777,"")</f>
        <v>2.2-5.1</v>
      </c>
      <c r="B1777" s="89" t="str">
        <f>IF(CONCATENATE(I1777,Key!F$2)=CONCATENATE(INDEX(Dashboard!J:J,MATCH(I1777,Dashboard!J:J,0),1),INDEX(Dashboard!J:K,MATCH(I1777,Dashboard!J:J,0),2)),"ON",IF(Dashboard!K$32="ALL","ON","-"))</f>
        <v>-</v>
      </c>
      <c r="C1777" s="88" t="s">
        <v>152</v>
      </c>
      <c r="D1777" s="89">
        <f>IF(C1777="ID",1,(IF(C1777="PR",2,(IF(C1777="DE",3,(IF(C1777="RS",4,(IF(C1777="RC",5,0)))))))))</f>
        <v>2</v>
      </c>
      <c r="E1777" s="89" t="s">
        <v>202</v>
      </c>
      <c r="F1777" s="89">
        <f>IF(E1777="AM",1,(IF(E1777="BE",2,(IF(E1777="GV",3,(IF(E1777="RA",4,(IF(E1777="RM",5,(IF(E1777="AC",1,(IF(E1777="AT",2,(IF(E1777="DS",3,(IF(E1777="IP",4,(IF(E1777="MA",5,(IF(E1777="PT",6,(IF(E1777="AE",1,(IF(E1777="CM",2,(IF(E1777="DP",3,(IF(E1777="AN",1,(IF(E1777="CO",2,(IF(E1777="IM",3,(IF(E1777="MI",4,(IF(E1777="RP",5,(IF(E1777="SC",6,0)))))))))))))))))))))))))))))))))))))))</f>
        <v>2</v>
      </c>
      <c r="G1777" s="52">
        <v>5</v>
      </c>
      <c r="H1777" s="90" t="s">
        <v>115</v>
      </c>
      <c r="I1777" s="94" t="s">
        <v>77</v>
      </c>
      <c r="J1777" s="87" t="s">
        <v>1335</v>
      </c>
      <c r="K1777" s="102" t="s">
        <v>2337</v>
      </c>
      <c r="L1777" s="117">
        <f>IF(O1777="","",N1777*O1777*M1777)</f>
        <v>0</v>
      </c>
      <c r="M1777" s="108">
        <v>0.9</v>
      </c>
      <c r="N1777" s="95">
        <v>1</v>
      </c>
      <c r="O1777" s="109">
        <f>IF(Key!D$1="ON",P1777,IF(SUM(Q1777:DL1777)&lt;1,"",SUM(Q1777:DL1777)/COUNTIF(Q1777:DL1777,"&gt;0")))</f>
        <v>0</v>
      </c>
      <c r="P1777" s="109">
        <f>SUMIFS(Q1777:DK1777,Q$1:DK$1,Dashboard!$K$31)</f>
        <v>0</v>
      </c>
      <c r="S1777" s="95">
        <v>99</v>
      </c>
      <c r="T1777" s="95">
        <v>80</v>
      </c>
      <c r="U1777" s="95">
        <v>33</v>
      </c>
      <c r="AA1777" s="95">
        <v>25</v>
      </c>
      <c r="AH1777" s="95">
        <v>75</v>
      </c>
    </row>
    <row r="1778" spans="1:34" x14ac:dyDescent="0.3">
      <c r="A1778" s="89" t="str">
        <f>CONCATENATE(D1778,".",F1778,"-",G1778,".",H1778,"")</f>
        <v>2.2-5.1</v>
      </c>
      <c r="B1778" s="89" t="str">
        <f>IF(CONCATENATE(I1778,Key!F$2)=CONCATENATE(INDEX(Dashboard!J:J,MATCH(I1778,Dashboard!J:J,0),1),INDEX(Dashboard!J:K,MATCH(I1778,Dashboard!J:J,0),2)),"ON",IF(Dashboard!K$32="ALL","ON","-"))</f>
        <v>-</v>
      </c>
      <c r="C1778" s="88" t="s">
        <v>152</v>
      </c>
      <c r="D1778" s="89">
        <f>IF(C1778="ID",1,(IF(C1778="PR",2,(IF(C1778="DE",3,(IF(C1778="RS",4,(IF(C1778="RC",5,0)))))))))</f>
        <v>2</v>
      </c>
      <c r="E1778" s="89" t="s">
        <v>202</v>
      </c>
      <c r="F1778" s="89">
        <f>IF(E1778="AM",1,(IF(E1778="BE",2,(IF(E1778="GV",3,(IF(E1778="RA",4,(IF(E1778="RM",5,(IF(E1778="AC",1,(IF(E1778="AT",2,(IF(E1778="DS",3,(IF(E1778="IP",4,(IF(E1778="MA",5,(IF(E1778="PT",6,(IF(E1778="AE",1,(IF(E1778="CM",2,(IF(E1778="DP",3,(IF(E1778="AN",1,(IF(E1778="CO",2,(IF(E1778="IM",3,(IF(E1778="MI",4,(IF(E1778="RP",5,(IF(E1778="SC",6,0)))))))))))))))))))))))))))))))))))))))</f>
        <v>2</v>
      </c>
      <c r="G1778" s="52">
        <v>5</v>
      </c>
      <c r="H1778" s="90" t="s">
        <v>115</v>
      </c>
      <c r="I1778" s="94" t="s">
        <v>77</v>
      </c>
      <c r="J1778" s="87" t="s">
        <v>1336</v>
      </c>
      <c r="K1778" s="102" t="s">
        <v>2338</v>
      </c>
      <c r="L1778" s="117">
        <f>IF(O1778="","",N1778*O1778*M1778)</f>
        <v>0</v>
      </c>
      <c r="M1778" s="108">
        <v>0.9</v>
      </c>
      <c r="N1778" s="95">
        <v>1</v>
      </c>
      <c r="O1778" s="109">
        <f>IF(Key!D$1="ON",P1778,IF(SUM(Q1778:DL1778)&lt;1,"",SUM(Q1778:DL1778)/COUNTIF(Q1778:DL1778,"&gt;0")))</f>
        <v>0</v>
      </c>
      <c r="P1778" s="109">
        <f>SUMIFS(Q1778:DK1778,Q$1:DK$1,Dashboard!$K$31)</f>
        <v>0</v>
      </c>
      <c r="S1778" s="95">
        <v>99</v>
      </c>
      <c r="T1778" s="95">
        <v>80</v>
      </c>
      <c r="U1778" s="95">
        <v>33</v>
      </c>
      <c r="AA1778" s="95">
        <v>25</v>
      </c>
      <c r="AH1778" s="95">
        <v>75</v>
      </c>
    </row>
    <row r="1779" spans="1:34" x14ac:dyDescent="0.3">
      <c r="A1779" s="89" t="str">
        <f>CONCATENATE(D1779,".",F1779,"-",G1779,".",H1779,"")</f>
        <v>2.2-5.1</v>
      </c>
      <c r="B1779" s="89" t="str">
        <f>IF(CONCATENATE(I1779,Key!F$2)=CONCATENATE(INDEX(Dashboard!J:J,MATCH(I1779,Dashboard!J:J,0),1),INDEX(Dashboard!J:K,MATCH(I1779,Dashboard!J:J,0),2)),"ON",IF(Dashboard!K$32="ALL","ON","-"))</f>
        <v>-</v>
      </c>
      <c r="C1779" s="88" t="s">
        <v>152</v>
      </c>
      <c r="D1779" s="89">
        <f>IF(C1779="ID",1,(IF(C1779="PR",2,(IF(C1779="DE",3,(IF(C1779="RS",4,(IF(C1779="RC",5,0)))))))))</f>
        <v>2</v>
      </c>
      <c r="E1779" s="89" t="s">
        <v>202</v>
      </c>
      <c r="F1779" s="89">
        <f>IF(E1779="AM",1,(IF(E1779="BE",2,(IF(E1779="GV",3,(IF(E1779="RA",4,(IF(E1779="RM",5,(IF(E1779="AC",1,(IF(E1779="AT",2,(IF(E1779="DS",3,(IF(E1779="IP",4,(IF(E1779="MA",5,(IF(E1779="PT",6,(IF(E1779="AE",1,(IF(E1779="CM",2,(IF(E1779="DP",3,(IF(E1779="AN",1,(IF(E1779="CO",2,(IF(E1779="IM",3,(IF(E1779="MI",4,(IF(E1779="RP",5,(IF(E1779="SC",6,0)))))))))))))))))))))))))))))))))))))))</f>
        <v>2</v>
      </c>
      <c r="G1779" s="98">
        <v>5</v>
      </c>
      <c r="H1779" s="90" t="s">
        <v>115</v>
      </c>
      <c r="I1779" s="94" t="s">
        <v>77</v>
      </c>
      <c r="J1779" s="87" t="s">
        <v>1337</v>
      </c>
      <c r="K1779" s="102" t="s">
        <v>2339</v>
      </c>
      <c r="L1779" s="117">
        <f>IF(O1779="","",N1779*O1779*M1779)</f>
        <v>0</v>
      </c>
      <c r="M1779" s="108">
        <v>0.9</v>
      </c>
      <c r="N1779" s="95">
        <v>1</v>
      </c>
      <c r="O1779" s="109">
        <f>IF(Key!D$1="ON",P1779,IF(SUM(Q1779:DL1779)&lt;1,"",SUM(Q1779:DL1779)/COUNTIF(Q1779:DL1779,"&gt;0")))</f>
        <v>0</v>
      </c>
      <c r="P1779" s="109">
        <f>SUMIFS(Q1779:DK1779,Q$1:DK$1,Dashboard!$K$31)</f>
        <v>0</v>
      </c>
      <c r="S1779" s="95">
        <v>99</v>
      </c>
      <c r="T1779" s="95">
        <v>80</v>
      </c>
      <c r="U1779" s="95">
        <v>33</v>
      </c>
      <c r="AA1779" s="95">
        <v>25</v>
      </c>
      <c r="AH1779" s="95">
        <v>75</v>
      </c>
    </row>
    <row r="1780" spans="1:34" x14ac:dyDescent="0.3">
      <c r="A1780" s="89" t="str">
        <f>CONCATENATE(D1780,".",F1780,"-",G1780,".",H1780,"")</f>
        <v>2.2-5.1</v>
      </c>
      <c r="B1780" s="89" t="str">
        <f>IF(CONCATENATE(I1780,Key!F$2)=CONCATENATE(INDEX(Dashboard!J:J,MATCH(I1780,Dashboard!J:J,0),1),INDEX(Dashboard!J:K,MATCH(I1780,Dashboard!J:J,0),2)),"ON",IF(Dashboard!K$32="ALL","ON","-"))</f>
        <v>-</v>
      </c>
      <c r="C1780" s="88" t="s">
        <v>152</v>
      </c>
      <c r="D1780" s="89">
        <f>IF(C1780="ID",1,(IF(C1780="PR",2,(IF(C1780="DE",3,(IF(C1780="RS",4,(IF(C1780="RC",5,0)))))))))</f>
        <v>2</v>
      </c>
      <c r="E1780" s="89" t="s">
        <v>202</v>
      </c>
      <c r="F1780" s="89">
        <f>IF(E1780="AM",1,(IF(E1780="BE",2,(IF(E1780="GV",3,(IF(E1780="RA",4,(IF(E1780="RM",5,(IF(E1780="AC",1,(IF(E1780="AT",2,(IF(E1780="DS",3,(IF(E1780="IP",4,(IF(E1780="MA",5,(IF(E1780="PT",6,(IF(E1780="AE",1,(IF(E1780="CM",2,(IF(E1780="DP",3,(IF(E1780="AN",1,(IF(E1780="CO",2,(IF(E1780="IM",3,(IF(E1780="MI",4,(IF(E1780="RP",5,(IF(E1780="SC",6,0)))))))))))))))))))))))))))))))))))))))</f>
        <v>2</v>
      </c>
      <c r="G1780" s="98">
        <v>5</v>
      </c>
      <c r="H1780" s="99">
        <v>1</v>
      </c>
      <c r="I1780" s="94" t="s">
        <v>85</v>
      </c>
      <c r="J1780" s="86" t="s">
        <v>1314</v>
      </c>
      <c r="K1780" s="119" t="s">
        <v>4600</v>
      </c>
      <c r="L1780" s="117">
        <f>IF(O1780="","",N1780*O1780*M1780)</f>
        <v>0</v>
      </c>
      <c r="M1780" s="108">
        <v>1</v>
      </c>
      <c r="N1780" s="95">
        <v>1</v>
      </c>
      <c r="O1780" s="109">
        <f>IF(Key!D$1="ON",P1780,IF(SUM(Q1780:DL1780)&lt;1,"",SUM(Q1780:DL1780)/COUNTIF(Q1780:DL1780,"&gt;0")))</f>
        <v>0</v>
      </c>
      <c r="P1780" s="109">
        <f>SUMIFS(Q1780:DK1780,Q$1:DK$1,Dashboard!$K$31)</f>
        <v>0</v>
      </c>
      <c r="U1780" s="95">
        <v>33</v>
      </c>
      <c r="AA1780" s="95">
        <v>25</v>
      </c>
      <c r="AH1780" s="95">
        <v>75</v>
      </c>
    </row>
    <row r="1781" spans="1:34" x14ac:dyDescent="0.3">
      <c r="A1781" s="89" t="str">
        <f>CONCATENATE(D1781,".",F1781,"-",G1781,".",H1781,"")</f>
        <v>2.2-5.1</v>
      </c>
      <c r="B1781" s="89" t="str">
        <f>IF(CONCATENATE(I1781,Key!F$2)=CONCATENATE(INDEX(Dashboard!J:J,MATCH(I1781,Dashboard!J:J,0),1),INDEX(Dashboard!J:K,MATCH(I1781,Dashboard!J:J,0),2)),"ON",IF(Dashboard!K$32="ALL","ON","-"))</f>
        <v>-</v>
      </c>
      <c r="C1781" s="88" t="s">
        <v>152</v>
      </c>
      <c r="D1781" s="89">
        <f>IF(C1781="ID",1,(IF(C1781="PR",2,(IF(C1781="DE",3,(IF(C1781="RS",4,(IF(C1781="RC",5,0)))))))))</f>
        <v>2</v>
      </c>
      <c r="E1781" s="89" t="s">
        <v>202</v>
      </c>
      <c r="F1781" s="89">
        <f>IF(E1781="AM",1,(IF(E1781="BE",2,(IF(E1781="GV",3,(IF(E1781="RA",4,(IF(E1781="RM",5,(IF(E1781="AC",1,(IF(E1781="AT",2,(IF(E1781="DS",3,(IF(E1781="IP",4,(IF(E1781="MA",5,(IF(E1781="PT",6,(IF(E1781="AE",1,(IF(E1781="CM",2,(IF(E1781="DP",3,(IF(E1781="AN",1,(IF(E1781="CO",2,(IF(E1781="IM",3,(IF(E1781="MI",4,(IF(E1781="RP",5,(IF(E1781="SC",6,0)))))))))))))))))))))))))))))))))))))))</f>
        <v>2</v>
      </c>
      <c r="G1781" s="98">
        <v>5</v>
      </c>
      <c r="H1781" s="99">
        <v>1</v>
      </c>
      <c r="I1781" s="94" t="s">
        <v>85</v>
      </c>
      <c r="J1781" s="86" t="s">
        <v>1315</v>
      </c>
      <c r="K1781" s="119" t="s">
        <v>4601</v>
      </c>
      <c r="L1781" s="117">
        <f>IF(O1781="","",N1781*O1781*M1781)</f>
        <v>0</v>
      </c>
      <c r="M1781" s="108">
        <v>1</v>
      </c>
      <c r="N1781" s="95">
        <v>1</v>
      </c>
      <c r="O1781" s="109">
        <f>IF(Key!D$1="ON",P1781,IF(SUM(Q1781:DL1781)&lt;1,"",SUM(Q1781:DL1781)/COUNTIF(Q1781:DL1781,"&gt;0")))</f>
        <v>0</v>
      </c>
      <c r="P1781" s="109">
        <f>SUMIFS(Q1781:DK1781,Q$1:DK$1,Dashboard!$K$31)</f>
        <v>0</v>
      </c>
      <c r="U1781" s="95">
        <v>33</v>
      </c>
      <c r="AA1781" s="95">
        <v>25</v>
      </c>
      <c r="AH1781" s="95">
        <v>75</v>
      </c>
    </row>
    <row r="1782" spans="1:34" x14ac:dyDescent="0.3">
      <c r="A1782" s="89" t="str">
        <f>CONCATENATE(D1782,".",F1782,"-",G1782,".",H1782,"")</f>
        <v>2.2-5.1</v>
      </c>
      <c r="B1782" s="89" t="str">
        <f>IF(CONCATENATE(I1782,Key!F$2)=CONCATENATE(INDEX(Dashboard!J:J,MATCH(I1782,Dashboard!J:J,0),1),INDEX(Dashboard!J:K,MATCH(I1782,Dashboard!J:J,0),2)),"ON",IF(Dashboard!K$32="ALL","ON","-"))</f>
        <v>-</v>
      </c>
      <c r="C1782" s="88" t="s">
        <v>152</v>
      </c>
      <c r="D1782" s="89">
        <f>IF(C1782="ID",1,(IF(C1782="PR",2,(IF(C1782="DE",3,(IF(C1782="RS",4,(IF(C1782="RC",5,0)))))))))</f>
        <v>2</v>
      </c>
      <c r="E1782" s="89" t="s">
        <v>202</v>
      </c>
      <c r="F1782" s="89">
        <f>IF(E1782="AM",1,(IF(E1782="BE",2,(IF(E1782="GV",3,(IF(E1782="RA",4,(IF(E1782="RM",5,(IF(E1782="AC",1,(IF(E1782="AT",2,(IF(E1782="DS",3,(IF(E1782="IP",4,(IF(E1782="MA",5,(IF(E1782="PT",6,(IF(E1782="AE",1,(IF(E1782="CM",2,(IF(E1782="DP",3,(IF(E1782="AN",1,(IF(E1782="CO",2,(IF(E1782="IM",3,(IF(E1782="MI",4,(IF(E1782="RP",5,(IF(E1782="SC",6,0)))))))))))))))))))))))))))))))))))))))</f>
        <v>2</v>
      </c>
      <c r="G1782" s="52">
        <v>5</v>
      </c>
      <c r="H1782" s="90" t="s">
        <v>115</v>
      </c>
      <c r="I1782" s="94" t="s">
        <v>85</v>
      </c>
      <c r="J1782" s="87" t="s">
        <v>1335</v>
      </c>
      <c r="K1782" s="119" t="s">
        <v>4603</v>
      </c>
      <c r="L1782" s="117">
        <f>IF(O1782="","",N1782*O1782*M1782)</f>
        <v>0</v>
      </c>
      <c r="M1782" s="108">
        <v>0.9</v>
      </c>
      <c r="N1782" s="95">
        <v>1</v>
      </c>
      <c r="O1782" s="109">
        <f>IF(Key!D$1="ON",P1782,IF(SUM(Q1782:DL1782)&lt;1,"",SUM(Q1782:DL1782)/COUNTIF(Q1782:DL1782,"&gt;0")))</f>
        <v>0</v>
      </c>
      <c r="P1782" s="109">
        <f>SUMIFS(Q1782:DK1782,Q$1:DK$1,Dashboard!$K$31)</f>
        <v>0</v>
      </c>
      <c r="S1782" s="95">
        <v>33</v>
      </c>
      <c r="T1782" s="95">
        <v>80</v>
      </c>
      <c r="U1782" s="95">
        <v>33</v>
      </c>
      <c r="AA1782" s="95">
        <v>25</v>
      </c>
      <c r="AH1782" s="95">
        <v>75</v>
      </c>
    </row>
    <row r="1783" spans="1:34" x14ac:dyDescent="0.3">
      <c r="A1783" s="89" t="str">
        <f>CONCATENATE(D1783,".",F1783,"-",G1783,".",H1783,"")</f>
        <v>2.2-5.1</v>
      </c>
      <c r="B1783" s="89" t="str">
        <f>IF(CONCATENATE(I1783,Key!F$2)=CONCATENATE(INDEX(Dashboard!J:J,MATCH(I1783,Dashboard!J:J,0),1),INDEX(Dashboard!J:K,MATCH(I1783,Dashboard!J:J,0),2)),"ON",IF(Dashboard!K$32="ALL","ON","-"))</f>
        <v>-</v>
      </c>
      <c r="C1783" s="88" t="s">
        <v>152</v>
      </c>
      <c r="D1783" s="89">
        <f>IF(C1783="ID",1,(IF(C1783="PR",2,(IF(C1783="DE",3,(IF(C1783="RS",4,(IF(C1783="RC",5,0)))))))))</f>
        <v>2</v>
      </c>
      <c r="E1783" s="89" t="s">
        <v>202</v>
      </c>
      <c r="F1783" s="89">
        <f>IF(E1783="AM",1,(IF(E1783="BE",2,(IF(E1783="GV",3,(IF(E1783="RA",4,(IF(E1783="RM",5,(IF(E1783="AC",1,(IF(E1783="AT",2,(IF(E1783="DS",3,(IF(E1783="IP",4,(IF(E1783="MA",5,(IF(E1783="PT",6,(IF(E1783="AE",1,(IF(E1783="CM",2,(IF(E1783="DP",3,(IF(E1783="AN",1,(IF(E1783="CO",2,(IF(E1783="IM",3,(IF(E1783="MI",4,(IF(E1783="RP",5,(IF(E1783="SC",6,0)))))))))))))))))))))))))))))))))))))))</f>
        <v>2</v>
      </c>
      <c r="G1783" s="52">
        <v>5</v>
      </c>
      <c r="H1783" s="90" t="s">
        <v>115</v>
      </c>
      <c r="I1783" s="94" t="s">
        <v>85</v>
      </c>
      <c r="J1783" s="87" t="s">
        <v>1336</v>
      </c>
      <c r="K1783" s="119" t="s">
        <v>4604</v>
      </c>
      <c r="L1783" s="117">
        <f>IF(O1783="","",N1783*O1783*M1783)</f>
        <v>0</v>
      </c>
      <c r="M1783" s="108">
        <v>0.9</v>
      </c>
      <c r="N1783" s="95">
        <v>1</v>
      </c>
      <c r="O1783" s="109">
        <f>IF(Key!D$1="ON",P1783,IF(SUM(Q1783:DL1783)&lt;1,"",SUM(Q1783:DL1783)/COUNTIF(Q1783:DL1783,"&gt;0")))</f>
        <v>0</v>
      </c>
      <c r="P1783" s="109">
        <f>SUMIFS(Q1783:DK1783,Q$1:DK$1,Dashboard!$K$31)</f>
        <v>0</v>
      </c>
      <c r="S1783" s="95">
        <v>33</v>
      </c>
      <c r="T1783" s="95">
        <v>80</v>
      </c>
      <c r="U1783" s="95">
        <v>33</v>
      </c>
      <c r="AA1783" s="95">
        <v>25</v>
      </c>
      <c r="AH1783" s="95">
        <v>75</v>
      </c>
    </row>
    <row r="1784" spans="1:34" x14ac:dyDescent="0.3">
      <c r="A1784" s="89" t="str">
        <f>CONCATENATE(D1784,".",F1784,"-",G1784,".",H1784,"")</f>
        <v>2.2-5.1</v>
      </c>
      <c r="B1784" s="89" t="str">
        <f>IF(CONCATENATE(I1784,Key!F$2)=CONCATENATE(INDEX(Dashboard!J:J,MATCH(I1784,Dashboard!J:J,0),1),INDEX(Dashboard!J:K,MATCH(I1784,Dashboard!J:J,0),2)),"ON",IF(Dashboard!K$32="ALL","ON","-"))</f>
        <v>-</v>
      </c>
      <c r="C1784" s="96" t="s">
        <v>152</v>
      </c>
      <c r="D1784" s="89">
        <f>IF(C1784="ID",1,(IF(C1784="PR",2,(IF(C1784="DE",3,(IF(C1784="RS",4,(IF(C1784="RC",5,0)))))))))</f>
        <v>2</v>
      </c>
      <c r="E1784" s="89" t="s">
        <v>202</v>
      </c>
      <c r="F1784" s="89">
        <f>IF(E1784="AM",1,(IF(E1784="BE",2,(IF(E1784="GV",3,(IF(E1784="RA",4,(IF(E1784="RM",5,(IF(E1784="AC",1,(IF(E1784="AT",2,(IF(E1784="DS",3,(IF(E1784="IP",4,(IF(E1784="MA",5,(IF(E1784="PT",6,(IF(E1784="AE",1,(IF(E1784="CM",2,(IF(E1784="DP",3,(IF(E1784="AN",1,(IF(E1784="CO",2,(IF(E1784="IM",3,(IF(E1784="MI",4,(IF(E1784="RP",5,(IF(E1784="SC",6,0)))))))))))))))))))))))))))))))))))))))</f>
        <v>2</v>
      </c>
      <c r="G1784" s="98">
        <v>5</v>
      </c>
      <c r="H1784" s="90" t="s">
        <v>115</v>
      </c>
      <c r="I1784" s="94" t="s">
        <v>85</v>
      </c>
      <c r="J1784" s="87" t="s">
        <v>1334</v>
      </c>
      <c r="K1784" s="119" t="s">
        <v>4602</v>
      </c>
      <c r="L1784" s="117">
        <f>IF(O1784="","",N1784*O1784*M1784)</f>
        <v>0</v>
      </c>
      <c r="M1784" s="108">
        <v>0.9</v>
      </c>
      <c r="N1784" s="95">
        <v>1</v>
      </c>
      <c r="O1784" s="109">
        <f>IF(Key!D$1="ON",P1784,IF(SUM(Q1784:DL1784)&lt;1,"",SUM(Q1784:DL1784)/COUNTIF(Q1784:DL1784,"&gt;0")))</f>
        <v>0</v>
      </c>
      <c r="P1784" s="109">
        <f>SUMIFS(Q1784:DK1784,Q$1:DK$1,Dashboard!$K$31)</f>
        <v>0</v>
      </c>
      <c r="S1784" s="95">
        <v>33</v>
      </c>
      <c r="T1784" s="95">
        <v>80</v>
      </c>
      <c r="U1784" s="95">
        <v>33</v>
      </c>
      <c r="AA1784" s="95">
        <v>25</v>
      </c>
      <c r="AH1784" s="95">
        <v>75</v>
      </c>
    </row>
    <row r="1785" spans="1:34" x14ac:dyDescent="0.3">
      <c r="A1785" s="89" t="str">
        <f>CONCATENATE(D1785,".",F1785,"-",G1785,".",H1785,"")</f>
        <v>2.2-5.1</v>
      </c>
      <c r="B1785" s="89" t="str">
        <f>IF(CONCATENATE(I1785,Key!F$2)=CONCATENATE(INDEX(Dashboard!J:J,MATCH(I1785,Dashboard!J:J,0),1),INDEX(Dashboard!J:K,MATCH(I1785,Dashboard!J:J,0),2)),"ON",IF(Dashboard!K$32="ALL","ON","-"))</f>
        <v>-</v>
      </c>
      <c r="C1785" s="88" t="s">
        <v>152</v>
      </c>
      <c r="D1785" s="89">
        <f>IF(C1785="ID",1,(IF(C1785="PR",2,(IF(C1785="DE",3,(IF(C1785="RS",4,(IF(C1785="RC",5,0)))))))))</f>
        <v>2</v>
      </c>
      <c r="E1785" s="89" t="s">
        <v>202</v>
      </c>
      <c r="F1785" s="89">
        <f>IF(E1785="AM",1,(IF(E1785="BE",2,(IF(E1785="GV",3,(IF(E1785="RA",4,(IF(E1785="RM",5,(IF(E1785="AC",1,(IF(E1785="AT",2,(IF(E1785="DS",3,(IF(E1785="IP",4,(IF(E1785="MA",5,(IF(E1785="PT",6,(IF(E1785="AE",1,(IF(E1785="CM",2,(IF(E1785="DP",3,(IF(E1785="AN",1,(IF(E1785="CO",2,(IF(E1785="IM",3,(IF(E1785="MI",4,(IF(E1785="RP",5,(IF(E1785="SC",6,0)))))))))))))))))))))))))))))))))))))))</f>
        <v>2</v>
      </c>
      <c r="G1785" s="52">
        <v>5</v>
      </c>
      <c r="H1785" s="90" t="s">
        <v>115</v>
      </c>
      <c r="I1785" s="94" t="s">
        <v>85</v>
      </c>
      <c r="J1785" s="135" t="s">
        <v>3913</v>
      </c>
      <c r="K1785" s="143" t="s">
        <v>4787</v>
      </c>
      <c r="L1785" s="117">
        <f>IF(O1785="","",N1785*O1785*M1785)</f>
        <v>0</v>
      </c>
      <c r="M1785" s="108">
        <v>1</v>
      </c>
      <c r="N1785" s="95">
        <v>1</v>
      </c>
      <c r="O1785" s="109">
        <f>IF(Key!D$1="ON",P1785,IF(SUM(Q1785:DL1785)&lt;1,"",SUM(Q1785:DL1785)/COUNTIF(Q1785:DL1785,"&gt;0")))</f>
        <v>0</v>
      </c>
      <c r="P1785" s="109">
        <f>SUMIFS(Q1785:DK1785,Q$1:DK$1,Dashboard!$K$31)</f>
        <v>0</v>
      </c>
      <c r="U1785" s="95">
        <v>33</v>
      </c>
      <c r="AA1785" s="95">
        <v>25</v>
      </c>
      <c r="AH1785" s="95">
        <v>75</v>
      </c>
    </row>
    <row r="1786" spans="1:34" x14ac:dyDescent="0.3">
      <c r="A1786" s="89" t="str">
        <f>CONCATENATE(D1786,".",F1786,"-",G1786,".",H1786,"")</f>
        <v>2.2-5.1</v>
      </c>
      <c r="B1786" s="89" t="str">
        <f>IF(CONCATENATE(I1786,Key!F$2)=CONCATENATE(INDEX(Dashboard!J:J,MATCH(I1786,Dashboard!J:J,0),1),INDEX(Dashboard!J:K,MATCH(I1786,Dashboard!J:J,0),2)),"ON",IF(Dashboard!K$32="ALL","ON","-"))</f>
        <v>-</v>
      </c>
      <c r="C1786" s="88" t="s">
        <v>152</v>
      </c>
      <c r="D1786" s="89">
        <f>IF(C1786="ID",1,(IF(C1786="PR",2,(IF(C1786="DE",3,(IF(C1786="RS",4,(IF(C1786="RC",5,0)))))))))</f>
        <v>2</v>
      </c>
      <c r="E1786" s="89" t="s">
        <v>202</v>
      </c>
      <c r="F1786" s="89">
        <f>IF(E1786="AM",1,(IF(E1786="BE",2,(IF(E1786="GV",3,(IF(E1786="RA",4,(IF(E1786="RM",5,(IF(E1786="AC",1,(IF(E1786="AT",2,(IF(E1786="DS",3,(IF(E1786="IP",4,(IF(E1786="MA",5,(IF(E1786="PT",6,(IF(E1786="AE",1,(IF(E1786="CM",2,(IF(E1786="DP",3,(IF(E1786="AN",1,(IF(E1786="CO",2,(IF(E1786="IM",3,(IF(E1786="MI",4,(IF(E1786="RP",5,(IF(E1786="SC",6,0)))))))))))))))))))))))))))))))))))))))</f>
        <v>2</v>
      </c>
      <c r="G1786" s="52">
        <v>5</v>
      </c>
      <c r="H1786" s="90" t="s">
        <v>115</v>
      </c>
      <c r="I1786" s="94" t="s">
        <v>92</v>
      </c>
      <c r="J1786" s="88">
        <v>7.3</v>
      </c>
      <c r="K1786" s="102" t="s">
        <v>5226</v>
      </c>
      <c r="L1786" s="117">
        <f>IF(O1786="","",N1786*O1786*M1786)</f>
        <v>0</v>
      </c>
      <c r="M1786" s="108">
        <v>1</v>
      </c>
      <c r="N1786" s="95">
        <v>1</v>
      </c>
      <c r="O1786" s="109">
        <f>IF(Key!D$1="ON",P1786,IF(SUM(Q1786:DL1786)&lt;1,"",SUM(Q1786:DL1786)/COUNTIF(Q1786:DL1786,"&gt;0")))</f>
        <v>0</v>
      </c>
      <c r="P1786" s="109">
        <f>SUMIFS(Q1786:DK1786,Q$1:DK$1,Dashboard!$K$31)</f>
        <v>0</v>
      </c>
      <c r="U1786" s="95">
        <v>33</v>
      </c>
      <c r="AA1786" s="95">
        <v>25</v>
      </c>
      <c r="AH1786" s="95">
        <v>75</v>
      </c>
    </row>
    <row r="1787" spans="1:34" x14ac:dyDescent="0.3">
      <c r="A1787" s="89" t="str">
        <f>CONCATENATE(D1787,".",F1787,"-",G1787,".",H1787,"")</f>
        <v>2.2-5.1</v>
      </c>
      <c r="B1787" s="89" t="str">
        <f>IF(CONCATENATE(I1787,Key!F$2)=CONCATENATE(INDEX(Dashboard!J:J,MATCH(I1787,Dashboard!J:J,0),1),INDEX(Dashboard!J:K,MATCH(I1787,Dashboard!J:J,0),2)),"ON",IF(Dashboard!K$32="ALL","ON","-"))</f>
        <v>-</v>
      </c>
      <c r="C1787" s="88" t="s">
        <v>152</v>
      </c>
      <c r="D1787" s="89">
        <f>IF(C1787="ID",1,(IF(C1787="PR",2,(IF(C1787="DE",3,(IF(C1787="RS",4,(IF(C1787="RC",5,0)))))))))</f>
        <v>2</v>
      </c>
      <c r="E1787" s="89" t="s">
        <v>202</v>
      </c>
      <c r="F1787" s="89">
        <f>IF(E1787="AM",1,(IF(E1787="BE",2,(IF(E1787="GV",3,(IF(E1787="RA",4,(IF(E1787="RM",5,(IF(E1787="AC",1,(IF(E1787="AT",2,(IF(E1787="DS",3,(IF(E1787="IP",4,(IF(E1787="MA",5,(IF(E1787="PT",6,(IF(E1787="AE",1,(IF(E1787="CM",2,(IF(E1787="DP",3,(IF(E1787="AN",1,(IF(E1787="CO",2,(IF(E1787="IM",3,(IF(E1787="MI",4,(IF(E1787="RP",5,(IF(E1787="SC",6,0)))))))))))))))))))))))))))))))))))))))</f>
        <v>2</v>
      </c>
      <c r="G1787" s="52">
        <v>5</v>
      </c>
      <c r="H1787" s="90" t="s">
        <v>115</v>
      </c>
      <c r="I1787" s="94" t="s">
        <v>92</v>
      </c>
      <c r="J1787" s="88">
        <v>12.5</v>
      </c>
      <c r="K1787" s="102" t="s">
        <v>5226</v>
      </c>
      <c r="L1787" s="117">
        <f>IF(O1787="","",N1787*O1787*M1787)</f>
        <v>0</v>
      </c>
      <c r="M1787" s="108">
        <v>1</v>
      </c>
      <c r="N1787" s="95">
        <v>1</v>
      </c>
      <c r="O1787" s="109">
        <f>IF(Key!D$1="ON",P1787,IF(SUM(Q1787:DL1787)&lt;1,"",SUM(Q1787:DL1787)/COUNTIF(Q1787:DL1787,"&gt;0")))</f>
        <v>0</v>
      </c>
      <c r="P1787" s="109">
        <f>SUMIFS(Q1787:DK1787,Q$1:DK$1,Dashboard!$K$31)</f>
        <v>0</v>
      </c>
      <c r="U1787" s="95">
        <v>33</v>
      </c>
      <c r="AA1787" s="95">
        <v>25</v>
      </c>
      <c r="AH1787" s="95">
        <v>75</v>
      </c>
    </row>
    <row r="1788" spans="1:34" x14ac:dyDescent="0.3">
      <c r="A1788" s="89" t="str">
        <f>CONCATENATE(D1788,".",F1788,"-",G1788,".",H1788,"")</f>
        <v>2.2-5.1</v>
      </c>
      <c r="B1788" s="89" t="str">
        <f>IF(CONCATENATE(I1788,Key!F$2)=CONCATENATE(INDEX(Dashboard!J:J,MATCH(I1788,Dashboard!J:J,0),1),INDEX(Dashboard!J:K,MATCH(I1788,Dashboard!J:J,0),2)),"ON",IF(Dashboard!K$32="ALL","ON","-"))</f>
        <v>-</v>
      </c>
      <c r="C1788" s="88" t="s">
        <v>152</v>
      </c>
      <c r="D1788" s="89">
        <f>IF(C1788="ID",1,(IF(C1788="PR",2,(IF(C1788="DE",3,(IF(C1788="RS",4,(IF(C1788="RC",5,0)))))))))</f>
        <v>2</v>
      </c>
      <c r="E1788" s="89" t="s">
        <v>202</v>
      </c>
      <c r="F1788" s="89">
        <f>IF(E1788="AM",1,(IF(E1788="BE",2,(IF(E1788="GV",3,(IF(E1788="RA",4,(IF(E1788="RM",5,(IF(E1788="AC",1,(IF(E1788="AT",2,(IF(E1788="DS",3,(IF(E1788="IP",4,(IF(E1788="MA",5,(IF(E1788="PT",6,(IF(E1788="AE",1,(IF(E1788="CM",2,(IF(E1788="DP",3,(IF(E1788="AN",1,(IF(E1788="CO",2,(IF(E1788="IM",3,(IF(E1788="MI",4,(IF(E1788="RP",5,(IF(E1788="SC",6,0)))))))))))))))))))))))))))))))))))))))</f>
        <v>2</v>
      </c>
      <c r="G1788" s="52">
        <v>5</v>
      </c>
      <c r="H1788" s="90" t="s">
        <v>115</v>
      </c>
      <c r="I1788" s="94" t="s">
        <v>92</v>
      </c>
      <c r="J1788" s="88" t="s">
        <v>208</v>
      </c>
      <c r="K1788" s="102" t="s">
        <v>5226</v>
      </c>
      <c r="L1788" s="117">
        <f>IF(O1788="","",N1788*O1788*M1788)</f>
        <v>0</v>
      </c>
      <c r="M1788" s="108">
        <v>0.9</v>
      </c>
      <c r="N1788" s="95">
        <v>1</v>
      </c>
      <c r="O1788" s="109">
        <f>IF(Key!D$1="ON",P1788,IF(SUM(Q1788:DL1788)&lt;1,"",SUM(Q1788:DL1788)/COUNTIF(Q1788:DL1788,"&gt;0")))</f>
        <v>0</v>
      </c>
      <c r="P1788" s="109">
        <f>SUMIFS(Q1788:DK1788,Q$1:DK$1,Dashboard!$K$31)</f>
        <v>0</v>
      </c>
      <c r="S1788" s="95">
        <v>99</v>
      </c>
      <c r="T1788" s="95">
        <v>80</v>
      </c>
      <c r="U1788" s="95">
        <v>33</v>
      </c>
      <c r="AA1788" s="95">
        <v>25</v>
      </c>
      <c r="AH1788" s="95">
        <v>75</v>
      </c>
    </row>
    <row r="1789" spans="1:34" ht="15.6" x14ac:dyDescent="0.3">
      <c r="A1789" s="89" t="str">
        <f>CONCATENATE(D1789,".",F1789,"-",G1789,".",H1789,"")</f>
        <v>2.2-5.1</v>
      </c>
      <c r="B1789" s="89" t="str">
        <f>IF(CONCATENATE(I1789,Key!F$2)=CONCATENATE(INDEX(Dashboard!J:J,MATCH(I1789,Dashboard!J:J,0),1),INDEX(Dashboard!J:K,MATCH(I1789,Dashboard!J:J,0),2)),"ON",IF(Dashboard!K$32="ALL","ON","-"))</f>
        <v>-</v>
      </c>
      <c r="C1789" s="96" t="s">
        <v>152</v>
      </c>
      <c r="D1789" s="89">
        <f>IF(C1789="ID",1,(IF(C1789="PR",2,(IF(C1789="DE",3,(IF(C1789="RS",4,(IF(C1789="RC",5,0)))))))))</f>
        <v>2</v>
      </c>
      <c r="E1789" s="89" t="s">
        <v>202</v>
      </c>
      <c r="F1789" s="89">
        <f>IF(E1789="AM",1,(IF(E1789="BE",2,(IF(E1789="GV",3,(IF(E1789="RA",4,(IF(E1789="RM",5,(IF(E1789="AC",1,(IF(E1789="AT",2,(IF(E1789="DS",3,(IF(E1789="IP",4,(IF(E1789="MA",5,(IF(E1789="PT",6,(IF(E1789="AE",1,(IF(E1789="CM",2,(IF(E1789="DP",3,(IF(E1789="AN",1,(IF(E1789="CO",2,(IF(E1789="IM",3,(IF(E1789="MI",4,(IF(E1789="RP",5,(IF(E1789="SC",6,0)))))))))))))))))))))))))))))))))))))))</f>
        <v>2</v>
      </c>
      <c r="G1789" s="52">
        <v>5</v>
      </c>
      <c r="H1789" s="90" t="s">
        <v>115</v>
      </c>
      <c r="I1789" s="94" t="s">
        <v>92</v>
      </c>
      <c r="J1789" s="88" t="s">
        <v>209</v>
      </c>
      <c r="K1789" s="102" t="s">
        <v>5226</v>
      </c>
      <c r="L1789" s="117">
        <f>IF(O1789="","",N1789*O1789*M1789)</f>
        <v>0</v>
      </c>
      <c r="M1789" s="108">
        <v>1</v>
      </c>
      <c r="N1789" s="95">
        <v>1</v>
      </c>
      <c r="O1789" s="109">
        <f>IF(Key!D$1="ON",P1789,IF(SUM(Q1789:DL1789)&lt;1,"",SUM(Q1789:DL1789)/COUNTIF(Q1789:DL1789,"&gt;0")))</f>
        <v>0</v>
      </c>
      <c r="P1789" s="109">
        <f>SUMIFS(Q1789:DK1789,Q$1:DK$1,Dashboard!$K$31)</f>
        <v>0</v>
      </c>
      <c r="U1789" s="95">
        <v>33</v>
      </c>
      <c r="AA1789" s="95">
        <v>25</v>
      </c>
      <c r="AH1789" s="95">
        <v>75</v>
      </c>
    </row>
    <row r="1790" spans="1:34" ht="15.6" x14ac:dyDescent="0.3">
      <c r="A1790" s="89" t="str">
        <f>CONCATENATE(D1790,".",F1790,"-",G1790,".",H1790,"")</f>
        <v>2.2-5.3</v>
      </c>
      <c r="B1790" s="89" t="str">
        <f>IF(CONCATENATE(I1790,Key!F$2)=CONCATENATE(INDEX(Dashboard!J:J,MATCH(I1790,Dashboard!J:J,0),1),INDEX(Dashboard!J:K,MATCH(I1790,Dashboard!J:J,0),2)),"ON",IF(Dashboard!K$32="ALL","ON","-"))</f>
        <v>-</v>
      </c>
      <c r="C1790" s="88" t="s">
        <v>152</v>
      </c>
      <c r="D1790" s="89">
        <f>IF(C1790="ID",1,(IF(C1790="PR",2,(IF(C1790="DE",3,(IF(C1790="RS",4,(IF(C1790="RC",5,0)))))))))</f>
        <v>2</v>
      </c>
      <c r="E1790" s="89" t="s">
        <v>202</v>
      </c>
      <c r="F1790" s="89">
        <f>IF(E1790="AM",1,(IF(E1790="BE",2,(IF(E1790="GV",3,(IF(E1790="RA",4,(IF(E1790="RM",5,(IF(E1790="AC",1,(IF(E1790="AT",2,(IF(E1790="DS",3,(IF(E1790="IP",4,(IF(E1790="MA",5,(IF(E1790="PT",6,(IF(E1790="AE",1,(IF(E1790="CM",2,(IF(E1790="DP",3,(IF(E1790="AN",1,(IF(E1790="CO",2,(IF(E1790="IM",3,(IF(E1790="MI",4,(IF(E1790="RP",5,(IF(E1790="SC",6,0)))))))))))))))))))))))))))))))))))))))</f>
        <v>2</v>
      </c>
      <c r="G1790" s="52">
        <v>5</v>
      </c>
      <c r="H1790" s="90" t="s">
        <v>280</v>
      </c>
      <c r="I1790" s="94" t="s">
        <v>60</v>
      </c>
      <c r="J1790" s="87" t="s">
        <v>3204</v>
      </c>
      <c r="K1790" s="51" t="s">
        <v>5317</v>
      </c>
      <c r="L1790" s="117">
        <f>IF(O1790="","",N1790*O1790*M1790)</f>
        <v>0</v>
      </c>
      <c r="M1790" s="108">
        <v>1</v>
      </c>
      <c r="N1790" s="95">
        <v>1</v>
      </c>
      <c r="O1790" s="109">
        <f>IF(Key!D$1="ON",P1790,IF(SUM(Q1790:DL1790)&lt;1,"",SUM(Q1790:DL1790)/COUNTIF(Q1790:DL1790,"&gt;0")))</f>
        <v>0</v>
      </c>
      <c r="P1790" s="109">
        <f>SUMIFS(Q1790:DK1790,Q$1:DK$1,Dashboard!$K$31)</f>
        <v>0</v>
      </c>
      <c r="U1790" s="95">
        <v>33</v>
      </c>
      <c r="AA1790" s="95">
        <v>25</v>
      </c>
      <c r="AH1790" s="95">
        <v>75</v>
      </c>
    </row>
    <row r="1791" spans="1:34" x14ac:dyDescent="0.3">
      <c r="A1791" s="89" t="str">
        <f>CONCATENATE(D1791,".",F1791,"-",G1791,".",H1791,"")</f>
        <v>2.2-7.1</v>
      </c>
      <c r="B1791" s="89" t="str">
        <f>IF(CONCATENATE(I1791,Key!F$2)=CONCATENATE(INDEX(Dashboard!J:J,MATCH(I1791,Dashboard!J:J,0),1),INDEX(Dashboard!J:K,MATCH(I1791,Dashboard!J:J,0),2)),"ON",IF(Dashboard!K$32="ALL","ON","-"))</f>
        <v>-</v>
      </c>
      <c r="C1791" s="88" t="s">
        <v>152</v>
      </c>
      <c r="D1791" s="89">
        <f>IF(C1791="ID",1,(IF(C1791="PR",2,(IF(C1791="DE",3,(IF(C1791="RS",4,(IF(C1791="RC",5,0)))))))))</f>
        <v>2</v>
      </c>
      <c r="E1791" s="89" t="s">
        <v>316</v>
      </c>
      <c r="F1791" s="89">
        <f>IF(E1791="AM",1,(IF(E1791="BE",2,(IF(E1791="GV",3,(IF(E1791="RA",4,(IF(E1791="RM",5,(IF(E1791="AC",1,(IF(E1791="AT",2,(IF(E1791="DS",3,(IF(E1791="IP",4,(IF(E1791="MA",5,(IF(E1791="PT",6,(IF(E1791="AE",1,(IF(E1791="CM",2,(IF(E1791="DP",3,(IF(E1791="AN",1,(IF(E1791="CO",2,(IF(E1791="IM",3,(IF(E1791="MI",4,(IF(E1791="RP",5,(IF(E1791="SC",6,0)))))))))))))))))))))))))))))))))))))))</f>
        <v>2</v>
      </c>
      <c r="G1791" s="52">
        <v>7</v>
      </c>
      <c r="H1791" s="99">
        <v>1</v>
      </c>
      <c r="I1791" s="94" t="s">
        <v>37</v>
      </c>
      <c r="J1791" s="86">
        <v>16.8</v>
      </c>
      <c r="K1791" s="102" t="s">
        <v>3738</v>
      </c>
      <c r="L1791" s="117">
        <f>IF(O1791="","",N1791*O1791*M1791)</f>
        <v>0</v>
      </c>
      <c r="M1791" s="108">
        <v>1</v>
      </c>
      <c r="N1791" s="95">
        <v>1</v>
      </c>
      <c r="O1791" s="109">
        <f>IF(Key!D$1="ON",P1791,IF(SUM(Q1791:DL1791)&lt;1,"",SUM(Q1791:DL1791)/COUNTIF(Q1791:DL1791,"&gt;0")))</f>
        <v>0</v>
      </c>
      <c r="P1791" s="109">
        <f>SUMIFS(Q1791:DK1791,Q$1:DK$1,Dashboard!$K$31)</f>
        <v>0</v>
      </c>
      <c r="U1791" s="95">
        <v>33</v>
      </c>
      <c r="AA1791" s="95">
        <v>25</v>
      </c>
      <c r="AH1791" s="95">
        <v>75</v>
      </c>
    </row>
    <row r="1792" spans="1:34" x14ac:dyDescent="0.3">
      <c r="A1792" s="89" t="str">
        <f>CONCATENATE(D1792,".",F1792,"-",G1792,".",H1792,"")</f>
        <v>2.2-7.1</v>
      </c>
      <c r="B1792" s="89" t="str">
        <f>IF(CONCATENATE(I1792,Key!F$2)=CONCATENATE(INDEX(Dashboard!J:J,MATCH(I1792,Dashboard!J:J,0),1),INDEX(Dashboard!J:K,MATCH(I1792,Dashboard!J:J,0),2)),"ON",IF(Dashboard!K$32="ALL","ON","-"))</f>
        <v>-</v>
      </c>
      <c r="C1792" s="88" t="s">
        <v>152</v>
      </c>
      <c r="D1792" s="89">
        <f>IF(C1792="ID",1,(IF(C1792="PR",2,(IF(C1792="DE",3,(IF(C1792="RS",4,(IF(C1792="RC",5,0)))))))))</f>
        <v>2</v>
      </c>
      <c r="E1792" s="89" t="s">
        <v>316</v>
      </c>
      <c r="F1792" s="89">
        <f>IF(E1792="AM",1,(IF(E1792="BE",2,(IF(E1792="GV",3,(IF(E1792="RA",4,(IF(E1792="RM",5,(IF(E1792="AC",1,(IF(E1792="AT",2,(IF(E1792="DS",3,(IF(E1792="IP",4,(IF(E1792="MA",5,(IF(E1792="PT",6,(IF(E1792="AE",1,(IF(E1792="CM",2,(IF(E1792="DP",3,(IF(E1792="AN",1,(IF(E1792="CO",2,(IF(E1792="IM",3,(IF(E1792="MI",4,(IF(E1792="RP",5,(IF(E1792="SC",6,0)))))))))))))))))))))))))))))))))))))))</f>
        <v>2</v>
      </c>
      <c r="G1792" s="52">
        <v>7</v>
      </c>
      <c r="H1792" s="99">
        <v>1</v>
      </c>
      <c r="I1792" s="94" t="s">
        <v>41</v>
      </c>
      <c r="J1792" s="86">
        <v>16.12</v>
      </c>
      <c r="K1792" s="103" t="s">
        <v>3585</v>
      </c>
      <c r="L1792" s="117">
        <f>IF(O1792="","",N1792*O1792*M1792)</f>
        <v>0</v>
      </c>
      <c r="M1792" s="108">
        <v>1</v>
      </c>
      <c r="N1792" s="95">
        <v>1</v>
      </c>
      <c r="O1792" s="109">
        <f>IF(Key!D$1="ON",P1792,IF(SUM(Q1792:DL1792)&lt;1,"",SUM(Q1792:DL1792)/COUNTIF(Q1792:DL1792,"&gt;0")))</f>
        <v>0</v>
      </c>
      <c r="P1792" s="109">
        <f>SUMIFS(Q1792:DK1792,Q$1:DK$1,Dashboard!$K$31)</f>
        <v>0</v>
      </c>
      <c r="U1792" s="95">
        <v>33</v>
      </c>
    </row>
    <row r="1793" spans="1:34" x14ac:dyDescent="0.3">
      <c r="A1793" s="89" t="str">
        <f>CONCATENATE(D1793,".",F1793,"-",G1793,".",H1793,"")</f>
        <v>2.3-0.0</v>
      </c>
      <c r="B1793" s="89" t="str">
        <f>IF(CONCATENATE(I1793,Key!F$2)=CONCATENATE(INDEX(Dashboard!J:J,MATCH(I1793,Dashboard!J:J,0),1),INDEX(Dashboard!J:K,MATCH(I1793,Dashboard!J:J,0),2)),"ON",IF(Dashboard!K$32="ALL","ON","-"))</f>
        <v>-</v>
      </c>
      <c r="C1793" s="88" t="s">
        <v>152</v>
      </c>
      <c r="D1793" s="89">
        <f>IF(C1793="ID",1,(IF(C1793="PR",2,(IF(C1793="DE",3,(IF(C1793="RS",4,(IF(C1793="RC",5,0)))))))))</f>
        <v>2</v>
      </c>
      <c r="E1793" s="89" t="s">
        <v>210</v>
      </c>
      <c r="F1793" s="89">
        <f>IF(E1793="AM",1,(IF(E1793="BE",2,(IF(E1793="GV",3,(IF(E1793="RA",4,(IF(E1793="RM",5,(IF(E1793="AC",1,(IF(E1793="AT",2,(IF(E1793="DS",3,(IF(E1793="IP",4,(IF(E1793="MA",5,(IF(E1793="PT",6,(IF(E1793="AE",1,(IF(E1793="CM",2,(IF(E1793="DP",3,(IF(E1793="AN",1,(IF(E1793="CO",2,(IF(E1793="IM",3,(IF(E1793="MI",4,(IF(E1793="RP",5,(IF(E1793="SC",6,0)))))))))))))))))))))))))))))))))))))))</f>
        <v>3</v>
      </c>
      <c r="G1793" s="52">
        <v>0</v>
      </c>
      <c r="H1793" s="90" t="s">
        <v>347</v>
      </c>
      <c r="I1793" s="94" t="s">
        <v>2835</v>
      </c>
      <c r="J1793" s="151" t="s">
        <v>2940</v>
      </c>
      <c r="K1793" s="150" t="s">
        <v>2941</v>
      </c>
      <c r="L1793" s="117">
        <f>IF(O1793="","",N1793*O1793*M1793)</f>
        <v>0</v>
      </c>
      <c r="M1793" s="108">
        <v>1</v>
      </c>
      <c r="N1793" s="95">
        <v>1</v>
      </c>
      <c r="O1793" s="109">
        <f>IF(Key!D$1="ON",P1793,IF(SUM(Q1793:DL1793)&lt;1,"",SUM(Q1793:DL1793)/COUNTIF(Q1793:DL1793,"&gt;0")))</f>
        <v>0</v>
      </c>
      <c r="P1793" s="109">
        <f>SUMIFS(Q1793:DK1793,Q$1:DK$1,Dashboard!$K$31)</f>
        <v>0</v>
      </c>
      <c r="Q1793" s="110">
        <v>83</v>
      </c>
      <c r="U1793" s="95">
        <v>33</v>
      </c>
    </row>
    <row r="1794" spans="1:34" x14ac:dyDescent="0.3">
      <c r="A1794" s="89" t="str">
        <f>CONCATENATE(D1794,".",F1794,"-",G1794,".",H1794,"")</f>
        <v>2.3-0.1</v>
      </c>
      <c r="B1794" s="89" t="str">
        <f>IF(CONCATENATE(I1794,Key!F$2)=CONCATENATE(INDEX(Dashboard!J:J,MATCH(I1794,Dashboard!J:J,0),1),INDEX(Dashboard!J:K,MATCH(I1794,Dashboard!J:J,0),2)),"ON",IF(Dashboard!K$32="ALL","ON","-"))</f>
        <v>-</v>
      </c>
      <c r="C1794" s="88" t="s">
        <v>152</v>
      </c>
      <c r="D1794" s="89">
        <f>IF(C1794="ID",1,(IF(C1794="PR",2,(IF(C1794="DE",3,(IF(C1794="RS",4,(IF(C1794="RC",5,0)))))))))</f>
        <v>2</v>
      </c>
      <c r="E1794" s="89" t="s">
        <v>210</v>
      </c>
      <c r="F1794" s="89">
        <f>IF(E1794="AM",1,(IF(E1794="BE",2,(IF(E1794="GV",3,(IF(E1794="RA",4,(IF(E1794="RM",5,(IF(E1794="AC",1,(IF(E1794="AT",2,(IF(E1794="DS",3,(IF(E1794="IP",4,(IF(E1794="MA",5,(IF(E1794="PT",6,(IF(E1794="AE",1,(IF(E1794="CM",2,(IF(E1794="DP",3,(IF(E1794="AN",1,(IF(E1794="CO",2,(IF(E1794="IM",3,(IF(E1794="MI",4,(IF(E1794="RP",5,(IF(E1794="SC",6,0)))))))))))))))))))))))))))))))))))))))</f>
        <v>3</v>
      </c>
      <c r="G1794" s="52">
        <v>0</v>
      </c>
      <c r="H1794" s="90" t="s">
        <v>115</v>
      </c>
      <c r="I1794" s="94" t="s">
        <v>2835</v>
      </c>
      <c r="J1794" s="56" t="s">
        <v>2940</v>
      </c>
      <c r="K1794" s="104" t="s">
        <v>2942</v>
      </c>
      <c r="L1794" s="117">
        <f>IF(O1794="","",N1794*O1794*M1794)</f>
        <v>0</v>
      </c>
      <c r="M1794" s="108">
        <v>1</v>
      </c>
      <c r="N1794" s="95">
        <v>1</v>
      </c>
      <c r="O1794" s="109">
        <f>IF(Key!D$1="ON",P1794,IF(SUM(Q1794:DL1794)&lt;1,"",SUM(Q1794:DL1794)/COUNTIF(Q1794:DL1794,"&gt;0")))</f>
        <v>0</v>
      </c>
      <c r="P1794" s="109">
        <f>SUMIFS(Q1794:DK1794,Q$1:DK$1,Dashboard!$K$31)</f>
        <v>0</v>
      </c>
      <c r="Q1794" s="110">
        <v>83</v>
      </c>
      <c r="U1794" s="95">
        <v>33</v>
      </c>
      <c r="AA1794" s="95">
        <v>50</v>
      </c>
    </row>
    <row r="1795" spans="1:34" ht="15.6" x14ac:dyDescent="0.3">
      <c r="A1795" s="89" t="str">
        <f>CONCATENATE(D1795,".",F1795,"-",G1795,".",H1795,"")</f>
        <v>2.3-1.0</v>
      </c>
      <c r="B1795" s="89" t="str">
        <f>IF(CONCATENATE(I1795,Key!F$2)=CONCATENATE(INDEX(Dashboard!J:J,MATCH(I1795,Dashboard!J:J,0),1),INDEX(Dashboard!J:K,MATCH(I1795,Dashboard!J:J,0),2)),"ON",IF(Dashboard!K$32="ALL","ON","-"))</f>
        <v>-</v>
      </c>
      <c r="C1795" s="88" t="s">
        <v>152</v>
      </c>
      <c r="D1795" s="89">
        <f>IF(C1795="ID",1,(IF(C1795="PR",2,(IF(C1795="DE",3,(IF(C1795="RS",4,(IF(C1795="RC",5,0)))))))))</f>
        <v>2</v>
      </c>
      <c r="E1795" s="89" t="s">
        <v>210</v>
      </c>
      <c r="F1795" s="89">
        <f>IF(E1795="AM",1,(IF(E1795="BE",2,(IF(E1795="GV",3,(IF(E1795="RA",4,(IF(E1795="RM",5,(IF(E1795="AC",1,(IF(E1795="AT",2,(IF(E1795="DS",3,(IF(E1795="IP",4,(IF(E1795="MA",5,(IF(E1795="PT",6,(IF(E1795="AE",1,(IF(E1795="CM",2,(IF(E1795="DP",3,(IF(E1795="AN",1,(IF(E1795="CO",2,(IF(E1795="IM",3,(IF(E1795="MI",4,(IF(E1795="RP",5,(IF(E1795="SC",6,0)))))))))))))))))))))))))))))))))))))))</f>
        <v>3</v>
      </c>
      <c r="G1795" s="52">
        <v>1</v>
      </c>
      <c r="H1795" s="90" t="s">
        <v>347</v>
      </c>
      <c r="I1795" s="94" t="s">
        <v>2835</v>
      </c>
      <c r="J1795" s="53" t="s">
        <v>2943</v>
      </c>
      <c r="K1795" s="150" t="s">
        <v>2944</v>
      </c>
      <c r="L1795" s="117">
        <f>IF(O1795="","",N1795*O1795*M1795)</f>
        <v>0</v>
      </c>
      <c r="M1795" s="108">
        <v>1</v>
      </c>
      <c r="N1795" s="95">
        <v>1</v>
      </c>
      <c r="O1795" s="109">
        <f>IF(Key!D$1="ON",P1795,IF(SUM(Q1795:DL1795)&lt;1,"",SUM(Q1795:DL1795)/COUNTIF(Q1795:DL1795,"&gt;0")))</f>
        <v>0</v>
      </c>
      <c r="P1795" s="109">
        <f>SUMIFS(Q1795:DK1795,Q$1:DK$1,Dashboard!$K$31)</f>
        <v>0</v>
      </c>
      <c r="U1795" s="95">
        <v>33</v>
      </c>
    </row>
    <row r="1796" spans="1:34" ht="15.6" x14ac:dyDescent="0.3">
      <c r="A1796" s="89" t="str">
        <f>CONCATENATE(D1796,".",F1796,"-",G1796,".",H1796,"")</f>
        <v>2.3-1.1</v>
      </c>
      <c r="B1796" s="89" t="str">
        <f>IF(CONCATENATE(I1796,Key!F$2)=CONCATENATE(INDEX(Dashboard!J:J,MATCH(I1796,Dashboard!J:J,0),1),INDEX(Dashboard!J:K,MATCH(I1796,Dashboard!J:J,0),2)),"ON",IF(Dashboard!K$32="ALL","ON","-"))</f>
        <v>ON</v>
      </c>
      <c r="C1796" s="130" t="s">
        <v>152</v>
      </c>
      <c r="D1796" s="89">
        <f>IF(C1796="ID",1,(IF(C1796="PR",2,(IF(C1796="DE",3,(IF(C1796="RS",4,(IF(C1796="RC",5,0)))))))))</f>
        <v>2</v>
      </c>
      <c r="E1796" s="95" t="s">
        <v>210</v>
      </c>
      <c r="F1796" s="89">
        <f>IF(E1796="AM",1,(IF(E1796="BE",2,(IF(E1796="GV",3,(IF(E1796="RA",4,(IF(E1796="RM",5,(IF(E1796="AC",1,(IF(E1796="AT",2,(IF(E1796="DS",3,(IF(E1796="IP",4,(IF(E1796="MA",5,(IF(E1796="PT",6,(IF(E1796="AE",1,(IF(E1796="CM",2,(IF(E1796="DP",3,(IF(E1796="AN",1,(IF(E1796="CO",2,(IF(E1796="IM",3,(IF(E1796="MI",4,(IF(E1796="RP",5,(IF(E1796="SC",6,0)))))))))))))))))))))))))))))))))))))))</f>
        <v>3</v>
      </c>
      <c r="G1796" s="52">
        <v>1</v>
      </c>
      <c r="H1796" s="90" t="s">
        <v>115</v>
      </c>
      <c r="I1796" s="94" t="s">
        <v>4107</v>
      </c>
      <c r="J1796" s="86" t="s">
        <v>4071</v>
      </c>
      <c r="K1796" s="101" t="s">
        <v>4472</v>
      </c>
      <c r="L1796" s="117">
        <f>IF(O1796="","",N1796*O1796*M1796)</f>
        <v>0</v>
      </c>
      <c r="M1796" s="108">
        <v>1</v>
      </c>
      <c r="N1796" s="95">
        <v>1</v>
      </c>
      <c r="O1796" s="109">
        <f>IF(Key!D$1="ON",P1796,IF(SUM(Q1796:DL1796)&lt;1,"",SUM(Q1796:DL1796)/COUNTIF(Q1796:DL1796,"&gt;0")))</f>
        <v>0</v>
      </c>
      <c r="P1796" s="109">
        <f>SUMIFS(Q1796:DK1796,Q$1:DK$1,Dashboard!$K$31)</f>
        <v>0</v>
      </c>
      <c r="U1796" s="95">
        <v>33</v>
      </c>
      <c r="AA1796" s="95">
        <v>25</v>
      </c>
      <c r="AH1796" s="95">
        <v>75</v>
      </c>
    </row>
    <row r="1797" spans="1:34" x14ac:dyDescent="0.3">
      <c r="A1797" s="89" t="str">
        <f>CONCATENATE(D1797,".",F1797,"-",G1797,".",H1797,"")</f>
        <v>2.3-1.1</v>
      </c>
      <c r="B1797" s="89" t="str">
        <f>IF(CONCATENATE(I1797,Key!F$2)=CONCATENATE(INDEX(Dashboard!J:J,MATCH(I1797,Dashboard!J:J,0),1),INDEX(Dashboard!J:K,MATCH(I1797,Dashboard!J:J,0),2)),"ON",IF(Dashboard!K$32="ALL","ON","-"))</f>
        <v>ON</v>
      </c>
      <c r="C1797" s="130" t="s">
        <v>152</v>
      </c>
      <c r="D1797" s="89">
        <f>IF(C1797="ID",1,(IF(C1797="PR",2,(IF(C1797="DE",3,(IF(C1797="RS",4,(IF(C1797="RC",5,0)))))))))</f>
        <v>2</v>
      </c>
      <c r="E1797" s="95" t="s">
        <v>210</v>
      </c>
      <c r="F1797" s="89">
        <f>IF(E1797="AM",1,(IF(E1797="BE",2,(IF(E1797="GV",3,(IF(E1797="RA",4,(IF(E1797="RM",5,(IF(E1797="AC",1,(IF(E1797="AT",2,(IF(E1797="DS",3,(IF(E1797="IP",4,(IF(E1797="MA",5,(IF(E1797="PT",6,(IF(E1797="AE",1,(IF(E1797="CM",2,(IF(E1797="DP",3,(IF(E1797="AN",1,(IF(E1797="CO",2,(IF(E1797="IM",3,(IF(E1797="MI",4,(IF(E1797="RP",5,(IF(E1797="SC",6,0)))))))))))))))))))))))))))))))))))))))</f>
        <v>3</v>
      </c>
      <c r="G1797" s="52">
        <v>1</v>
      </c>
      <c r="H1797" s="90" t="s">
        <v>115</v>
      </c>
      <c r="I1797" s="94" t="s">
        <v>4107</v>
      </c>
      <c r="J1797" s="86" t="s">
        <v>4083</v>
      </c>
      <c r="K1797" s="101" t="s">
        <v>4240</v>
      </c>
      <c r="L1797" s="117">
        <f>IF(O1797="","",N1797*O1797*M1797)</f>
        <v>0</v>
      </c>
      <c r="M1797" s="108">
        <v>1</v>
      </c>
      <c r="N1797" s="95">
        <v>1</v>
      </c>
      <c r="O1797" s="109">
        <f>IF(Key!D$1="ON",P1797,IF(SUM(Q1797:DL1797)&lt;1,"",SUM(Q1797:DL1797)/COUNTIF(Q1797:DL1797,"&gt;0")))</f>
        <v>0</v>
      </c>
      <c r="P1797" s="109">
        <f>SUMIFS(Q1797:DK1797,Q$1:DK$1,Dashboard!$K$31)</f>
        <v>0</v>
      </c>
      <c r="U1797" s="95">
        <v>33</v>
      </c>
      <c r="AA1797" s="95">
        <v>25</v>
      </c>
      <c r="AH1797" s="95">
        <v>75</v>
      </c>
    </row>
    <row r="1798" spans="1:34" x14ac:dyDescent="0.3">
      <c r="A1798" s="89" t="str">
        <f>CONCATENATE(D1798,".",F1798,"-",G1798,".",H1798,"")</f>
        <v>2.3-1.1</v>
      </c>
      <c r="B1798" s="89" t="str">
        <f>IF(CONCATENATE(I1798,Key!F$2)=CONCATENATE(INDEX(Dashboard!J:J,MATCH(I1798,Dashboard!J:J,0),1),INDEX(Dashboard!J:K,MATCH(I1798,Dashboard!J:J,0),2)),"ON",IF(Dashboard!K$32="ALL","ON","-"))</f>
        <v>-</v>
      </c>
      <c r="C1798" s="88" t="s">
        <v>152</v>
      </c>
      <c r="D1798" s="89">
        <f>IF(C1798="ID",1,(IF(C1798="PR",2,(IF(C1798="DE",3,(IF(C1798="RS",4,(IF(C1798="RC",5,0)))))))))</f>
        <v>2</v>
      </c>
      <c r="E1798" s="89" t="s">
        <v>210</v>
      </c>
      <c r="F1798" s="89">
        <f>IF(E1798="AM",1,(IF(E1798="BE",2,(IF(E1798="GV",3,(IF(E1798="RA",4,(IF(E1798="RM",5,(IF(E1798="AC",1,(IF(E1798="AT",2,(IF(E1798="DS",3,(IF(E1798="IP",4,(IF(E1798="MA",5,(IF(E1798="PT",6,(IF(E1798="AE",1,(IF(E1798="CM",2,(IF(E1798="DP",3,(IF(E1798="AN",1,(IF(E1798="CO",2,(IF(E1798="IM",3,(IF(E1798="MI",4,(IF(E1798="RP",5,(IF(E1798="SC",6,0)))))))))))))))))))))))))))))))))))))))</f>
        <v>3</v>
      </c>
      <c r="G1798" s="52">
        <v>1</v>
      </c>
      <c r="H1798" s="99">
        <v>1</v>
      </c>
      <c r="I1798" s="94" t="s">
        <v>37</v>
      </c>
      <c r="J1798" s="86">
        <v>13.2</v>
      </c>
      <c r="K1798" s="102" t="s">
        <v>3739</v>
      </c>
      <c r="L1798" s="117">
        <f>IF(O1798="","",N1798*O1798*M1798)</f>
        <v>0</v>
      </c>
      <c r="M1798" s="108">
        <v>1</v>
      </c>
      <c r="N1798" s="95">
        <v>1</v>
      </c>
      <c r="O1798" s="109">
        <f>IF(Key!D$1="ON",P1798,IF(SUM(Q1798:DL1798)&lt;1,"",SUM(Q1798:DL1798)/COUNTIF(Q1798:DL1798,"&gt;0")))</f>
        <v>0</v>
      </c>
      <c r="P1798" s="109">
        <f>SUMIFS(Q1798:DK1798,Q$1:DK$1,Dashboard!$K$31)</f>
        <v>0</v>
      </c>
      <c r="U1798" s="95">
        <v>33</v>
      </c>
      <c r="AA1798" s="95">
        <v>25</v>
      </c>
      <c r="AH1798" s="95">
        <v>75</v>
      </c>
    </row>
    <row r="1799" spans="1:34" x14ac:dyDescent="0.3">
      <c r="A1799" s="89" t="str">
        <f>CONCATENATE(D1799,".",F1799,"-",G1799,".",H1799,"")</f>
        <v>2.3-1.1</v>
      </c>
      <c r="B1799" s="89" t="str">
        <f>IF(CONCATENATE(I1799,Key!F$2)=CONCATENATE(INDEX(Dashboard!J:J,MATCH(I1799,Dashboard!J:J,0),1),INDEX(Dashboard!J:K,MATCH(I1799,Dashboard!J:J,0),2)),"ON",IF(Dashboard!K$32="ALL","ON","-"))</f>
        <v>-</v>
      </c>
      <c r="C1799" s="88" t="s">
        <v>152</v>
      </c>
      <c r="D1799" s="89">
        <f>IF(C1799="ID",1,(IF(C1799="PR",2,(IF(C1799="DE",3,(IF(C1799="RS",4,(IF(C1799="RC",5,0)))))))))</f>
        <v>2</v>
      </c>
      <c r="E1799" s="89" t="s">
        <v>210</v>
      </c>
      <c r="F1799" s="89">
        <f>IF(E1799="AM",1,(IF(E1799="BE",2,(IF(E1799="GV",3,(IF(E1799="RA",4,(IF(E1799="RM",5,(IF(E1799="AC",1,(IF(E1799="AT",2,(IF(E1799="DS",3,(IF(E1799="IP",4,(IF(E1799="MA",5,(IF(E1799="PT",6,(IF(E1799="AE",1,(IF(E1799="CM",2,(IF(E1799="DP",3,(IF(E1799="AN",1,(IF(E1799="CO",2,(IF(E1799="IM",3,(IF(E1799="MI",4,(IF(E1799="RP",5,(IF(E1799="SC",6,0)))))))))))))))))))))))))))))))))))))))</f>
        <v>3</v>
      </c>
      <c r="G1799" s="52">
        <v>1</v>
      </c>
      <c r="H1799" s="99">
        <v>1</v>
      </c>
      <c r="I1799" s="94" t="s">
        <v>37</v>
      </c>
      <c r="J1799" s="86">
        <v>14.5</v>
      </c>
      <c r="K1799" s="102" t="s">
        <v>3740</v>
      </c>
      <c r="L1799" s="117">
        <f>IF(O1799="","",N1799*O1799*M1799)</f>
        <v>0</v>
      </c>
      <c r="M1799" s="108">
        <v>1</v>
      </c>
      <c r="N1799" s="95">
        <v>1</v>
      </c>
      <c r="O1799" s="109">
        <f>IF(Key!D$1="ON",P1799,IF(SUM(Q1799:DL1799)&lt;1,"",SUM(Q1799:DL1799)/COUNTIF(Q1799:DL1799,"&gt;0")))</f>
        <v>0</v>
      </c>
      <c r="P1799" s="109">
        <f>SUMIFS(Q1799:DK1799,Q$1:DK$1,Dashboard!$K$31)</f>
        <v>0</v>
      </c>
      <c r="U1799" s="95">
        <v>33</v>
      </c>
      <c r="AA1799" s="95">
        <v>25</v>
      </c>
      <c r="AH1799" s="95">
        <v>75</v>
      </c>
    </row>
    <row r="1800" spans="1:34" x14ac:dyDescent="0.3">
      <c r="A1800" s="89" t="str">
        <f>CONCATENATE(D1800,".",F1800,"-",G1800,".",H1800,"")</f>
        <v>2.3-1.1</v>
      </c>
      <c r="B1800" s="89" t="str">
        <f>IF(CONCATENATE(I1800,Key!F$2)=CONCATENATE(INDEX(Dashboard!J:J,MATCH(I1800,Dashboard!J:J,0),1),INDEX(Dashboard!J:K,MATCH(I1800,Dashboard!J:J,0),2)),"ON",IF(Dashboard!K$32="ALL","ON","-"))</f>
        <v>-</v>
      </c>
      <c r="C1800" s="88" t="s">
        <v>152</v>
      </c>
      <c r="D1800" s="89">
        <f>IF(C1800="ID",1,(IF(C1800="PR",2,(IF(C1800="DE",3,(IF(C1800="RS",4,(IF(C1800="RC",5,0)))))))))</f>
        <v>2</v>
      </c>
      <c r="E1800" s="89" t="s">
        <v>210</v>
      </c>
      <c r="F1800" s="89">
        <f>IF(E1800="AM",1,(IF(E1800="BE",2,(IF(E1800="GV",3,(IF(E1800="RA",4,(IF(E1800="RM",5,(IF(E1800="AC",1,(IF(E1800="AT",2,(IF(E1800="DS",3,(IF(E1800="IP",4,(IF(E1800="MA",5,(IF(E1800="PT",6,(IF(E1800="AE",1,(IF(E1800="CM",2,(IF(E1800="DP",3,(IF(E1800="AN",1,(IF(E1800="CO",2,(IF(E1800="IM",3,(IF(E1800="MI",4,(IF(E1800="RP",5,(IF(E1800="SC",6,0)))))))))))))))))))))))))))))))))))))))</f>
        <v>3</v>
      </c>
      <c r="G1800" s="52">
        <v>1</v>
      </c>
      <c r="H1800" s="99">
        <v>1</v>
      </c>
      <c r="I1800" s="94" t="s">
        <v>41</v>
      </c>
      <c r="J1800" s="86">
        <v>13.6</v>
      </c>
      <c r="K1800" s="103" t="s">
        <v>3558</v>
      </c>
      <c r="L1800" s="117">
        <f>IF(O1800="","",N1800*O1800*M1800)</f>
        <v>0</v>
      </c>
      <c r="M1800" s="108">
        <v>1</v>
      </c>
      <c r="N1800" s="95">
        <v>1</v>
      </c>
      <c r="O1800" s="109">
        <f>IF(Key!D$1="ON",P1800,IF(SUM(Q1800:DL1800)&lt;1,"",SUM(Q1800:DL1800)/COUNTIF(Q1800:DL1800,"&gt;0")))</f>
        <v>0</v>
      </c>
      <c r="P1800" s="109">
        <f>SUMIFS(Q1800:DK1800,Q$1:DK$1,Dashboard!$K$31)</f>
        <v>0</v>
      </c>
      <c r="U1800" s="95">
        <v>33</v>
      </c>
    </row>
    <row r="1801" spans="1:34" x14ac:dyDescent="0.3">
      <c r="A1801" s="89" t="str">
        <f>CONCATENATE(D1801,".",F1801,"-",G1801,".",H1801,"")</f>
        <v>2.3-1.1</v>
      </c>
      <c r="B1801" s="89" t="str">
        <f>IF(CONCATENATE(I1801,Key!F$2)=CONCATENATE(INDEX(Dashboard!J:J,MATCH(I1801,Dashboard!J:J,0),1),INDEX(Dashboard!J:K,MATCH(I1801,Dashboard!J:J,0),2)),"ON",IF(Dashboard!K$32="ALL","ON","-"))</f>
        <v>-</v>
      </c>
      <c r="C1801" s="88" t="s">
        <v>152</v>
      </c>
      <c r="D1801" s="89">
        <f>IF(C1801="ID",1,(IF(C1801="PR",2,(IF(C1801="DE",3,(IF(C1801="RS",4,(IF(C1801="RC",5,0)))))))))</f>
        <v>2</v>
      </c>
      <c r="E1801" s="89" t="s">
        <v>210</v>
      </c>
      <c r="F1801" s="89">
        <f>IF(E1801="AM",1,(IF(E1801="BE",2,(IF(E1801="GV",3,(IF(E1801="RA",4,(IF(E1801="RM",5,(IF(E1801="AC",1,(IF(E1801="AT",2,(IF(E1801="DS",3,(IF(E1801="IP",4,(IF(E1801="MA",5,(IF(E1801="PT",6,(IF(E1801="AE",1,(IF(E1801="CM",2,(IF(E1801="DP",3,(IF(E1801="AN",1,(IF(E1801="CO",2,(IF(E1801="IM",3,(IF(E1801="MI",4,(IF(E1801="RP",5,(IF(E1801="SC",6,0)))))))))))))))))))))))))))))))))))))))</f>
        <v>3</v>
      </c>
      <c r="G1801" s="98">
        <v>1</v>
      </c>
      <c r="H1801" s="99">
        <v>1</v>
      </c>
      <c r="I1801" s="94" t="s">
        <v>41</v>
      </c>
      <c r="J1801" s="86">
        <v>13.9</v>
      </c>
      <c r="K1801" s="103" t="s">
        <v>3561</v>
      </c>
      <c r="L1801" s="117">
        <f>IF(O1801="","",N1801*O1801*M1801)</f>
        <v>0</v>
      </c>
      <c r="M1801" s="108">
        <v>1</v>
      </c>
      <c r="N1801" s="95">
        <v>1</v>
      </c>
      <c r="O1801" s="109">
        <f>IF(Key!D$1="ON",P1801,IF(SUM(Q1801:DL1801)&lt;1,"",SUM(Q1801:DL1801)/COUNTIF(Q1801:DL1801,"&gt;0")))</f>
        <v>0</v>
      </c>
      <c r="P1801" s="109">
        <f>SUMIFS(Q1801:DK1801,Q$1:DK$1,Dashboard!$K$31)</f>
        <v>0</v>
      </c>
      <c r="U1801" s="95">
        <v>33</v>
      </c>
    </row>
    <row r="1802" spans="1:34" x14ac:dyDescent="0.3">
      <c r="A1802" s="89" t="str">
        <f>CONCATENATE(D1802,".",F1802,"-",G1802,".",H1802,"")</f>
        <v>2.3-1.1</v>
      </c>
      <c r="B1802" s="89" t="str">
        <f>IF(CONCATENATE(I1802,Key!F$2)=CONCATENATE(INDEX(Dashboard!J:J,MATCH(I1802,Dashboard!J:J,0),1),INDEX(Dashboard!J:K,MATCH(I1802,Dashboard!J:J,0),2)),"ON",IF(Dashboard!K$32="ALL","ON","-"))</f>
        <v>-</v>
      </c>
      <c r="C1802" s="88" t="s">
        <v>152</v>
      </c>
      <c r="D1802" s="89">
        <f>IF(C1802="ID",1,(IF(C1802="PR",2,(IF(C1802="DE",3,(IF(C1802="RS",4,(IF(C1802="RC",5,0)))))))))</f>
        <v>2</v>
      </c>
      <c r="E1802" s="89" t="s">
        <v>210</v>
      </c>
      <c r="F1802" s="89">
        <f>IF(E1802="AM",1,(IF(E1802="BE",2,(IF(E1802="GV",3,(IF(E1802="RA",4,(IF(E1802="RM",5,(IF(E1802="AC",1,(IF(E1802="AT",2,(IF(E1802="DS",3,(IF(E1802="IP",4,(IF(E1802="MA",5,(IF(E1802="PT",6,(IF(E1802="AE",1,(IF(E1802="CM",2,(IF(E1802="DP",3,(IF(E1802="AN",1,(IF(E1802="CO",2,(IF(E1802="IM",3,(IF(E1802="MI",4,(IF(E1802="RP",5,(IF(E1802="SC",6,0)))))))))))))))))))))))))))))))))))))))</f>
        <v>3</v>
      </c>
      <c r="G1802" s="52">
        <v>1</v>
      </c>
      <c r="H1802" s="99">
        <v>1</v>
      </c>
      <c r="I1802" s="94" t="s">
        <v>41</v>
      </c>
      <c r="J1802" s="86">
        <v>14.8</v>
      </c>
      <c r="K1802" s="103" t="s">
        <v>3570</v>
      </c>
      <c r="L1802" s="117">
        <f>IF(O1802="","",N1802*O1802*M1802)</f>
        <v>0</v>
      </c>
      <c r="M1802" s="108">
        <v>1</v>
      </c>
      <c r="N1802" s="95">
        <v>1</v>
      </c>
      <c r="O1802" s="109">
        <f>IF(Key!D$1="ON",P1802,IF(SUM(Q1802:DL1802)&lt;1,"",SUM(Q1802:DL1802)/COUNTIF(Q1802:DL1802,"&gt;0")))</f>
        <v>0</v>
      </c>
      <c r="P1802" s="109">
        <f>SUMIFS(Q1802:DK1802,Q$1:DK$1,Dashboard!$K$31)</f>
        <v>0</v>
      </c>
      <c r="U1802" s="95">
        <v>33</v>
      </c>
    </row>
    <row r="1803" spans="1:34" x14ac:dyDescent="0.3">
      <c r="A1803" s="89" t="str">
        <f>CONCATENATE(D1803,".",F1803,"-",G1803,".",H1803,"")</f>
        <v>2.3-1.1</v>
      </c>
      <c r="B1803" s="89" t="str">
        <f>IF(CONCATENATE(I1803,Key!F$2)=CONCATENATE(INDEX(Dashboard!J:J,MATCH(I1803,Dashboard!J:J,0),1),INDEX(Dashboard!J:K,MATCH(I1803,Dashboard!J:J,0),2)),"ON",IF(Dashboard!K$32="ALL","ON","-"))</f>
        <v>-</v>
      </c>
      <c r="C1803" s="96" t="s">
        <v>152</v>
      </c>
      <c r="D1803" s="89">
        <f>IF(C1803="ID",1,(IF(C1803="PR",2,(IF(C1803="DE",3,(IF(C1803="RS",4,(IF(C1803="RC",5,0)))))))))</f>
        <v>2</v>
      </c>
      <c r="E1803" s="89" t="s">
        <v>210</v>
      </c>
      <c r="F1803" s="89">
        <f>IF(E1803="AM",1,(IF(E1803="BE",2,(IF(E1803="GV",3,(IF(E1803="RA",4,(IF(E1803="RM",5,(IF(E1803="AC",1,(IF(E1803="AT",2,(IF(E1803="DS",3,(IF(E1803="IP",4,(IF(E1803="MA",5,(IF(E1803="PT",6,(IF(E1803="AE",1,(IF(E1803="CM",2,(IF(E1803="DP",3,(IF(E1803="AN",1,(IF(E1803="CO",2,(IF(E1803="IM",3,(IF(E1803="MI",4,(IF(E1803="RP",5,(IF(E1803="SC",6,0)))))))))))))))))))))))))))))))))))))))</f>
        <v>3</v>
      </c>
      <c r="G1803" s="98">
        <v>1</v>
      </c>
      <c r="H1803" s="90" t="s">
        <v>115</v>
      </c>
      <c r="I1803" s="94" t="s">
        <v>52</v>
      </c>
      <c r="J1803" s="88" t="s">
        <v>3286</v>
      </c>
      <c r="K1803" s="103" t="s">
        <v>3287</v>
      </c>
      <c r="L1803" s="117">
        <f>IF(O1803="","",N1803*O1803*M1803)</f>
        <v>0</v>
      </c>
      <c r="M1803" s="108">
        <v>1</v>
      </c>
      <c r="N1803" s="95">
        <v>1</v>
      </c>
      <c r="O1803" s="109">
        <f>IF(Key!D$1="ON",P1803,IF(SUM(Q1803:DL1803)&lt;1,"",SUM(Q1803:DL1803)/COUNTIF(Q1803:DL1803,"&gt;0")))</f>
        <v>0</v>
      </c>
      <c r="P1803" s="109">
        <f>SUMIFS(Q1803:DK1803,Q$1:DK$1,Dashboard!$K$31)</f>
        <v>0</v>
      </c>
      <c r="U1803" s="95">
        <v>33</v>
      </c>
      <c r="AA1803" s="95">
        <v>25</v>
      </c>
      <c r="AH1803" s="95">
        <v>75</v>
      </c>
    </row>
    <row r="1804" spans="1:34" x14ac:dyDescent="0.3">
      <c r="A1804" s="89" t="str">
        <f>CONCATENATE(D1804,".",F1804,"-",G1804,".",H1804,"")</f>
        <v>2.3-1.1</v>
      </c>
      <c r="B1804" s="89" t="str">
        <f>IF(CONCATENATE(I1804,Key!F$2)=CONCATENATE(INDEX(Dashboard!J:J,MATCH(I1804,Dashboard!J:J,0),1),INDEX(Dashboard!J:K,MATCH(I1804,Dashboard!J:J,0),2)),"ON",IF(Dashboard!K$32="ALL","ON","-"))</f>
        <v>-</v>
      </c>
      <c r="C1804" s="96" t="s">
        <v>152</v>
      </c>
      <c r="D1804" s="89">
        <f>IF(C1804="ID",1,(IF(C1804="PR",2,(IF(C1804="DE",3,(IF(C1804="RS",4,(IF(C1804="RC",5,0)))))))))</f>
        <v>2</v>
      </c>
      <c r="E1804" s="89" t="s">
        <v>210</v>
      </c>
      <c r="F1804" s="89">
        <f>IF(E1804="AM",1,(IF(E1804="BE",2,(IF(E1804="GV",3,(IF(E1804="RA",4,(IF(E1804="RM",5,(IF(E1804="AC",1,(IF(E1804="AT",2,(IF(E1804="DS",3,(IF(E1804="IP",4,(IF(E1804="MA",5,(IF(E1804="PT",6,(IF(E1804="AE",1,(IF(E1804="CM",2,(IF(E1804="DP",3,(IF(E1804="AN",1,(IF(E1804="CO",2,(IF(E1804="IM",3,(IF(E1804="MI",4,(IF(E1804="RP",5,(IF(E1804="SC",6,0)))))))))))))))))))))))))))))))))))))))</f>
        <v>3</v>
      </c>
      <c r="G1804" s="98">
        <v>1</v>
      </c>
      <c r="H1804" s="90" t="s">
        <v>115</v>
      </c>
      <c r="I1804" s="94" t="s">
        <v>52</v>
      </c>
      <c r="J1804" s="88" t="s">
        <v>3408</v>
      </c>
      <c r="K1804" s="103" t="s">
        <v>3409</v>
      </c>
      <c r="L1804" s="117">
        <f>IF(O1804="","",N1804*O1804*M1804)</f>
        <v>0</v>
      </c>
      <c r="M1804" s="108">
        <v>1</v>
      </c>
      <c r="N1804" s="95">
        <v>1</v>
      </c>
      <c r="O1804" s="109">
        <f>IF(Key!D$1="ON",P1804,IF(SUM(Q1804:DL1804)&lt;1,"",SUM(Q1804:DL1804)/COUNTIF(Q1804:DL1804,"&gt;0")))</f>
        <v>0</v>
      </c>
      <c r="P1804" s="109">
        <f>SUMIFS(Q1804:DK1804,Q$1:DK$1,Dashboard!$K$31)</f>
        <v>0</v>
      </c>
      <c r="U1804" s="95">
        <v>33</v>
      </c>
      <c r="AA1804" s="95">
        <v>25</v>
      </c>
      <c r="AH1804" s="95">
        <v>75</v>
      </c>
    </row>
    <row r="1805" spans="1:34" x14ac:dyDescent="0.3">
      <c r="A1805" s="89" t="str">
        <f>CONCATENATE(D1805,".",F1805,"-",G1805,".",H1805,"")</f>
        <v>2.3-1.1</v>
      </c>
      <c r="B1805" s="89" t="str">
        <f>IF(CONCATENATE(I1805,Key!F$2)=CONCATENATE(INDEX(Dashboard!J:J,MATCH(I1805,Dashboard!J:J,0),1),INDEX(Dashboard!J:K,MATCH(I1805,Dashboard!J:J,0),2)),"ON",IF(Dashboard!K$32="ALL","ON","-"))</f>
        <v>-</v>
      </c>
      <c r="C1805" s="96" t="s">
        <v>152</v>
      </c>
      <c r="D1805" s="89">
        <f>IF(C1805="ID",1,(IF(C1805="PR",2,(IF(C1805="DE",3,(IF(C1805="RS",4,(IF(C1805="RC",5,0)))))))))</f>
        <v>2</v>
      </c>
      <c r="E1805" s="89" t="s">
        <v>210</v>
      </c>
      <c r="F1805" s="89">
        <f>IF(E1805="AM",1,(IF(E1805="BE",2,(IF(E1805="GV",3,(IF(E1805="RA",4,(IF(E1805="RM",5,(IF(E1805="AC",1,(IF(E1805="AT",2,(IF(E1805="DS",3,(IF(E1805="IP",4,(IF(E1805="MA",5,(IF(E1805="PT",6,(IF(E1805="AE",1,(IF(E1805="CM",2,(IF(E1805="DP",3,(IF(E1805="AN",1,(IF(E1805="CO",2,(IF(E1805="IM",3,(IF(E1805="MI",4,(IF(E1805="RP",5,(IF(E1805="SC",6,0)))))))))))))))))))))))))))))))))))))))</f>
        <v>3</v>
      </c>
      <c r="G1805" s="98">
        <v>1</v>
      </c>
      <c r="H1805" s="90" t="s">
        <v>115</v>
      </c>
      <c r="I1805" s="94" t="s">
        <v>52</v>
      </c>
      <c r="J1805" s="88" t="s">
        <v>3408</v>
      </c>
      <c r="K1805" s="103" t="s">
        <v>3409</v>
      </c>
      <c r="L1805" s="117">
        <f>IF(O1805="","",N1805*O1805*M1805)</f>
        <v>0</v>
      </c>
      <c r="M1805" s="108">
        <v>1</v>
      </c>
      <c r="N1805" s="95">
        <v>1</v>
      </c>
      <c r="O1805" s="109">
        <f>IF(Key!D$1="ON",P1805,IF(SUM(Q1805:DL1805)&lt;1,"",SUM(Q1805:DL1805)/COUNTIF(Q1805:DL1805,"&gt;0")))</f>
        <v>0</v>
      </c>
      <c r="P1805" s="109">
        <f>SUMIFS(Q1805:DK1805,Q$1:DK$1,Dashboard!$K$31)</f>
        <v>0</v>
      </c>
      <c r="U1805" s="95">
        <v>33</v>
      </c>
      <c r="AA1805" s="95">
        <v>25</v>
      </c>
      <c r="AH1805" s="95">
        <v>75</v>
      </c>
    </row>
    <row r="1806" spans="1:34" x14ac:dyDescent="0.3">
      <c r="A1806" s="89" t="str">
        <f>CONCATENATE(D1806,".",F1806,"-",G1806,".",H1806,"")</f>
        <v>2.3-1.1</v>
      </c>
      <c r="B1806" s="89" t="str">
        <f>IF(CONCATENATE(I1806,Key!F$2)=CONCATENATE(INDEX(Dashboard!J:J,MATCH(I1806,Dashboard!J:J,0),1),INDEX(Dashboard!J:K,MATCH(I1806,Dashboard!J:J,0),2)),"ON",IF(Dashboard!K$32="ALL","ON","-"))</f>
        <v>-</v>
      </c>
      <c r="C1806" s="96" t="s">
        <v>152</v>
      </c>
      <c r="D1806" s="89">
        <f>IF(C1806="ID",1,(IF(C1806="PR",2,(IF(C1806="DE",3,(IF(C1806="RS",4,(IF(C1806="RC",5,0)))))))))</f>
        <v>2</v>
      </c>
      <c r="E1806" s="89" t="s">
        <v>210</v>
      </c>
      <c r="F1806" s="89">
        <f>IF(E1806="AM",1,(IF(E1806="BE",2,(IF(E1806="GV",3,(IF(E1806="RA",4,(IF(E1806="RM",5,(IF(E1806="AC",1,(IF(E1806="AT",2,(IF(E1806="DS",3,(IF(E1806="IP",4,(IF(E1806="MA",5,(IF(E1806="PT",6,(IF(E1806="AE",1,(IF(E1806="CM",2,(IF(E1806="DP",3,(IF(E1806="AN",1,(IF(E1806="CO",2,(IF(E1806="IM",3,(IF(E1806="MI",4,(IF(E1806="RP",5,(IF(E1806="SC",6,0)))))))))))))))))))))))))))))))))))))))</f>
        <v>3</v>
      </c>
      <c r="G1806" s="98">
        <v>1</v>
      </c>
      <c r="H1806" s="90" t="s">
        <v>115</v>
      </c>
      <c r="I1806" s="94" t="s">
        <v>52</v>
      </c>
      <c r="J1806" s="88" t="s">
        <v>3410</v>
      </c>
      <c r="K1806" s="103" t="s">
        <v>3411</v>
      </c>
      <c r="L1806" s="117">
        <f>IF(O1806="","",N1806*O1806*M1806)</f>
        <v>0</v>
      </c>
      <c r="M1806" s="108">
        <v>1</v>
      </c>
      <c r="N1806" s="95">
        <v>1</v>
      </c>
      <c r="O1806" s="109">
        <f>IF(Key!D$1="ON",P1806,IF(SUM(Q1806:DL1806)&lt;1,"",SUM(Q1806:DL1806)/COUNTIF(Q1806:DL1806,"&gt;0")))</f>
        <v>0</v>
      </c>
      <c r="P1806" s="109">
        <f>SUMIFS(Q1806:DK1806,Q$1:DK$1,Dashboard!$K$31)</f>
        <v>0</v>
      </c>
      <c r="U1806" s="95">
        <v>33</v>
      </c>
      <c r="AA1806" s="95">
        <v>25</v>
      </c>
      <c r="AH1806" s="95">
        <v>75</v>
      </c>
    </row>
    <row r="1807" spans="1:34" x14ac:dyDescent="0.3">
      <c r="A1807" s="89" t="str">
        <f>CONCATENATE(D1807,".",F1807,"-",G1807,".",H1807,"")</f>
        <v>2.3-1.1</v>
      </c>
      <c r="B1807" s="89" t="str">
        <f>IF(CONCATENATE(I1807,Key!F$2)=CONCATENATE(INDEX(Dashboard!J:J,MATCH(I1807,Dashboard!J:J,0),1),INDEX(Dashboard!J:K,MATCH(I1807,Dashboard!J:J,0),2)),"ON",IF(Dashboard!K$32="ALL","ON","-"))</f>
        <v>-</v>
      </c>
      <c r="C1807" s="88" t="s">
        <v>152</v>
      </c>
      <c r="D1807" s="89">
        <f>IF(C1807="ID",1,(IF(C1807="PR",2,(IF(C1807="DE",3,(IF(C1807="RS",4,(IF(C1807="RC",5,0)))))))))</f>
        <v>2</v>
      </c>
      <c r="E1807" s="89" t="s">
        <v>210</v>
      </c>
      <c r="F1807" s="89">
        <f>IF(E1807="AM",1,(IF(E1807="BE",2,(IF(E1807="GV",3,(IF(E1807="RA",4,(IF(E1807="RM",5,(IF(E1807="AC",1,(IF(E1807="AT",2,(IF(E1807="DS",3,(IF(E1807="IP",4,(IF(E1807="MA",5,(IF(E1807="PT",6,(IF(E1807="AE",1,(IF(E1807="CM",2,(IF(E1807="DP",3,(IF(E1807="AN",1,(IF(E1807="CO",2,(IF(E1807="IM",3,(IF(E1807="MI",4,(IF(E1807="RP",5,(IF(E1807="SC",6,0)))))))))))))))))))))))))))))))))))))))</f>
        <v>3</v>
      </c>
      <c r="G1807" s="52">
        <v>1</v>
      </c>
      <c r="H1807" s="90" t="s">
        <v>115</v>
      </c>
      <c r="I1807" s="94" t="s">
        <v>60</v>
      </c>
      <c r="J1807" s="87" t="s">
        <v>3205</v>
      </c>
      <c r="K1807" s="51" t="s">
        <v>5318</v>
      </c>
      <c r="L1807" s="117">
        <f>IF(O1807="","",N1807*O1807*M1807)</f>
        <v>0</v>
      </c>
      <c r="M1807" s="108">
        <v>1</v>
      </c>
      <c r="N1807" s="95">
        <v>1</v>
      </c>
      <c r="O1807" s="109">
        <f>IF(Key!D$1="ON",P1807,IF(SUM(Q1807:DL1807)&lt;1,"",SUM(Q1807:DL1807)/COUNTIF(Q1807:DL1807,"&gt;0")))</f>
        <v>0</v>
      </c>
      <c r="P1807" s="109">
        <f>SUMIFS(Q1807:DK1807,Q$1:DK$1,Dashboard!$K$31)</f>
        <v>0</v>
      </c>
      <c r="U1807" s="95">
        <v>33</v>
      </c>
      <c r="AA1807" s="95">
        <v>25</v>
      </c>
      <c r="AH1807" s="95">
        <v>75</v>
      </c>
    </row>
    <row r="1808" spans="1:34" x14ac:dyDescent="0.3">
      <c r="A1808" s="89" t="str">
        <f>CONCATENATE(D1808,".",F1808,"-",G1808,".",H1808,"")</f>
        <v>2.3-1.1</v>
      </c>
      <c r="B1808" s="89" t="str">
        <f>IF(CONCATENATE(I1808,Key!F$2)=CONCATENATE(INDEX(Dashboard!J:J,MATCH(I1808,Dashboard!J:J,0),1),INDEX(Dashboard!J:K,MATCH(I1808,Dashboard!J:J,0),2)),"ON",IF(Dashboard!K$32="ALL","ON","-"))</f>
        <v>-</v>
      </c>
      <c r="C1808" s="88" t="s">
        <v>152</v>
      </c>
      <c r="D1808" s="89">
        <f>IF(C1808="ID",1,(IF(C1808="PR",2,(IF(C1808="DE",3,(IF(C1808="RS",4,(IF(C1808="RC",5,0)))))))))</f>
        <v>2</v>
      </c>
      <c r="E1808" s="89" t="s">
        <v>210</v>
      </c>
      <c r="F1808" s="89">
        <f>IF(E1808="AM",1,(IF(E1808="BE",2,(IF(E1808="GV",3,(IF(E1808="RA",4,(IF(E1808="RM",5,(IF(E1808="AC",1,(IF(E1808="AT",2,(IF(E1808="DS",3,(IF(E1808="IP",4,(IF(E1808="MA",5,(IF(E1808="PT",6,(IF(E1808="AE",1,(IF(E1808="CM",2,(IF(E1808="DP",3,(IF(E1808="AN",1,(IF(E1808="CO",2,(IF(E1808="IM",3,(IF(E1808="MI",4,(IF(E1808="RP",5,(IF(E1808="SC",6,0)))))))))))))))))))))))))))))))))))))))</f>
        <v>3</v>
      </c>
      <c r="G1808" s="52">
        <v>1</v>
      </c>
      <c r="H1808" s="90" t="s">
        <v>115</v>
      </c>
      <c r="I1808" s="94" t="s">
        <v>60</v>
      </c>
      <c r="J1808" s="87" t="s">
        <v>3206</v>
      </c>
      <c r="K1808" s="51" t="s">
        <v>5319</v>
      </c>
      <c r="L1808" s="117">
        <f>IF(O1808="","",N1808*O1808*M1808)</f>
        <v>0</v>
      </c>
      <c r="M1808" s="108">
        <v>1</v>
      </c>
      <c r="N1808" s="95">
        <v>1</v>
      </c>
      <c r="O1808" s="109">
        <f>IF(Key!D$1="ON",P1808,IF(SUM(Q1808:DL1808)&lt;1,"",SUM(Q1808:DL1808)/COUNTIF(Q1808:DL1808,"&gt;0")))</f>
        <v>0</v>
      </c>
      <c r="P1808" s="109">
        <f>SUMIFS(Q1808:DK1808,Q$1:DK$1,Dashboard!$K$31)</f>
        <v>0</v>
      </c>
      <c r="U1808" s="95">
        <v>33</v>
      </c>
      <c r="AA1808" s="95">
        <v>25</v>
      </c>
      <c r="AH1808" s="95">
        <v>75</v>
      </c>
    </row>
    <row r="1809" spans="1:34" x14ac:dyDescent="0.3">
      <c r="A1809" s="89" t="str">
        <f>CONCATENATE(D1809,".",F1809,"-",G1809,".",H1809,"")</f>
        <v>2.3-1.1</v>
      </c>
      <c r="B1809" s="89" t="str">
        <f>IF(CONCATENATE(I1809,Key!F$2)=CONCATENATE(INDEX(Dashboard!J:J,MATCH(I1809,Dashboard!J:J,0),1),INDEX(Dashboard!J:K,MATCH(I1809,Dashboard!J:J,0),2)),"ON",IF(Dashboard!K$32="ALL","ON","-"))</f>
        <v>-</v>
      </c>
      <c r="C1809" s="88" t="s">
        <v>152</v>
      </c>
      <c r="D1809" s="89">
        <f>IF(C1809="ID",1,(IF(C1809="PR",2,(IF(C1809="DE",3,(IF(C1809="RS",4,(IF(C1809="RC",5,0)))))))))</f>
        <v>2</v>
      </c>
      <c r="E1809" s="89" t="s">
        <v>210</v>
      </c>
      <c r="F1809" s="89">
        <f>IF(E1809="AM",1,(IF(E1809="BE",2,(IF(E1809="GV",3,(IF(E1809="RA",4,(IF(E1809="RM",5,(IF(E1809="AC",1,(IF(E1809="AT",2,(IF(E1809="DS",3,(IF(E1809="IP",4,(IF(E1809="MA",5,(IF(E1809="PT",6,(IF(E1809="AE",1,(IF(E1809="CM",2,(IF(E1809="DP",3,(IF(E1809="AN",1,(IF(E1809="CO",2,(IF(E1809="IM",3,(IF(E1809="MI",4,(IF(E1809="RP",5,(IF(E1809="SC",6,0)))))))))))))))))))))))))))))))))))))))</f>
        <v>3</v>
      </c>
      <c r="G1809" s="52">
        <v>1</v>
      </c>
      <c r="H1809" s="90" t="s">
        <v>115</v>
      </c>
      <c r="I1809" s="94" t="s">
        <v>60</v>
      </c>
      <c r="J1809" s="87" t="s">
        <v>3207</v>
      </c>
      <c r="K1809" s="51" t="s">
        <v>5320</v>
      </c>
      <c r="L1809" s="117">
        <f>IF(O1809="","",N1809*O1809*M1809)</f>
        <v>0</v>
      </c>
      <c r="M1809" s="108">
        <v>1</v>
      </c>
      <c r="N1809" s="95">
        <v>1</v>
      </c>
      <c r="O1809" s="109">
        <f>IF(Key!D$1="ON",P1809,IF(SUM(Q1809:DL1809)&lt;1,"",SUM(Q1809:DL1809)/COUNTIF(Q1809:DL1809,"&gt;0")))</f>
        <v>0</v>
      </c>
      <c r="P1809" s="109">
        <f>SUMIFS(Q1809:DK1809,Q$1:DK$1,Dashboard!$K$31)</f>
        <v>0</v>
      </c>
      <c r="U1809" s="95">
        <v>33</v>
      </c>
      <c r="AA1809" s="95">
        <v>25</v>
      </c>
      <c r="AH1809" s="95">
        <v>75</v>
      </c>
    </row>
    <row r="1810" spans="1:34" x14ac:dyDescent="0.3">
      <c r="A1810" s="89" t="str">
        <f>CONCATENATE(D1810,".",F1810,"-",G1810,".",H1810,"")</f>
        <v>2.3-1.1</v>
      </c>
      <c r="B1810" s="89" t="str">
        <f>IF(CONCATENATE(I1810,Key!F$2)=CONCATENATE(INDEX(Dashboard!J:J,MATCH(I1810,Dashboard!J:J,0),1),INDEX(Dashboard!J:K,MATCH(I1810,Dashboard!J:J,0),2)),"ON",IF(Dashboard!K$32="ALL","ON","-"))</f>
        <v>-</v>
      </c>
      <c r="C1810" s="88" t="s">
        <v>152</v>
      </c>
      <c r="D1810" s="89">
        <f>IF(C1810="ID",1,(IF(C1810="PR",2,(IF(C1810="DE",3,(IF(C1810="RS",4,(IF(C1810="RC",5,0)))))))))</f>
        <v>2</v>
      </c>
      <c r="E1810" s="89" t="s">
        <v>210</v>
      </c>
      <c r="F1810" s="89">
        <f>IF(E1810="AM",1,(IF(E1810="BE",2,(IF(E1810="GV",3,(IF(E1810="RA",4,(IF(E1810="RM",5,(IF(E1810="AC",1,(IF(E1810="AT",2,(IF(E1810="DS",3,(IF(E1810="IP",4,(IF(E1810="MA",5,(IF(E1810="PT",6,(IF(E1810="AE",1,(IF(E1810="CM",2,(IF(E1810="DP",3,(IF(E1810="AN",1,(IF(E1810="CO",2,(IF(E1810="IM",3,(IF(E1810="MI",4,(IF(E1810="RP",5,(IF(E1810="SC",6,0)))))))))))))))))))))))))))))))))))))))</f>
        <v>3</v>
      </c>
      <c r="G1810" s="52">
        <v>1</v>
      </c>
      <c r="H1810" s="90" t="s">
        <v>115</v>
      </c>
      <c r="I1810" s="94" t="s">
        <v>60</v>
      </c>
      <c r="J1810" s="87" t="s">
        <v>3208</v>
      </c>
      <c r="K1810" s="51" t="s">
        <v>5321</v>
      </c>
      <c r="L1810" s="117">
        <f>IF(O1810="","",N1810*O1810*M1810)</f>
        <v>0</v>
      </c>
      <c r="M1810" s="108">
        <v>1</v>
      </c>
      <c r="N1810" s="95">
        <v>1</v>
      </c>
      <c r="O1810" s="109">
        <f>IF(Key!D$1="ON",P1810,IF(SUM(Q1810:DL1810)&lt;1,"",SUM(Q1810:DL1810)/COUNTIF(Q1810:DL1810,"&gt;0")))</f>
        <v>0</v>
      </c>
      <c r="P1810" s="109">
        <f>SUMIFS(Q1810:DK1810,Q$1:DK$1,Dashboard!$K$31)</f>
        <v>0</v>
      </c>
      <c r="U1810" s="95">
        <v>33</v>
      </c>
      <c r="AA1810" s="95">
        <v>25</v>
      </c>
      <c r="AH1810" s="95">
        <v>75</v>
      </c>
    </row>
    <row r="1811" spans="1:34" x14ac:dyDescent="0.3">
      <c r="A1811" s="89" t="str">
        <f>CONCATENATE(D1811,".",F1811,"-",G1811,".",H1811,"")</f>
        <v>2.3-1.1</v>
      </c>
      <c r="B1811" s="89" t="str">
        <f>IF(CONCATENATE(I1811,Key!F$2)=CONCATENATE(INDEX(Dashboard!J:J,MATCH(I1811,Dashboard!J:J,0),1),INDEX(Dashboard!J:K,MATCH(I1811,Dashboard!J:J,0),2)),"ON",IF(Dashboard!K$32="ALL","ON","-"))</f>
        <v>-</v>
      </c>
      <c r="C1811" s="88" t="s">
        <v>152</v>
      </c>
      <c r="D1811" s="89">
        <f>IF(C1811="ID",1,(IF(C1811="PR",2,(IF(C1811="DE",3,(IF(C1811="RS",4,(IF(C1811="RC",5,0)))))))))</f>
        <v>2</v>
      </c>
      <c r="E1811" s="89" t="s">
        <v>210</v>
      </c>
      <c r="F1811" s="89">
        <f>IF(E1811="AM",1,(IF(E1811="BE",2,(IF(E1811="GV",3,(IF(E1811="RA",4,(IF(E1811="RM",5,(IF(E1811="AC",1,(IF(E1811="AT",2,(IF(E1811="DS",3,(IF(E1811="IP",4,(IF(E1811="MA",5,(IF(E1811="PT",6,(IF(E1811="AE",1,(IF(E1811="CM",2,(IF(E1811="DP",3,(IF(E1811="AN",1,(IF(E1811="CO",2,(IF(E1811="IM",3,(IF(E1811="MI",4,(IF(E1811="RP",5,(IF(E1811="SC",6,0)))))))))))))))))))))))))))))))))))))))</f>
        <v>3</v>
      </c>
      <c r="G1811" s="52">
        <v>1</v>
      </c>
      <c r="H1811" s="89">
        <v>1</v>
      </c>
      <c r="I1811" s="94" t="s">
        <v>60</v>
      </c>
      <c r="J1811" s="88" t="s">
        <v>3147</v>
      </c>
      <c r="K1811" s="51" t="s">
        <v>5260</v>
      </c>
      <c r="L1811" s="117">
        <f>IF(O1811="","",N1811*O1811*M1811)</f>
        <v>0</v>
      </c>
      <c r="M1811" s="108">
        <v>1</v>
      </c>
      <c r="N1811" s="95">
        <v>1</v>
      </c>
      <c r="O1811" s="109">
        <f>IF(Key!D$1="ON",P1811,IF(SUM(Q1811:DL1811)&lt;1,"",SUM(Q1811:DL1811)/COUNTIF(Q1811:DL1811,"&gt;0")))</f>
        <v>0</v>
      </c>
      <c r="P1811" s="109">
        <f>SUMIFS(Q1811:DK1811,Q$1:DK$1,Dashboard!$K$31)</f>
        <v>0</v>
      </c>
      <c r="U1811" s="95">
        <v>33</v>
      </c>
      <c r="AA1811" s="95">
        <v>25</v>
      </c>
      <c r="AH1811" s="95">
        <v>75</v>
      </c>
    </row>
    <row r="1812" spans="1:34" ht="15.6" x14ac:dyDescent="0.3">
      <c r="A1812" s="89" t="str">
        <f>CONCATENATE(D1812,".",F1812,"-",G1812,".",H1812,"")</f>
        <v>2.3-1.1</v>
      </c>
      <c r="B1812" s="89" t="str">
        <f>IF(CONCATENATE(I1812,Key!F$2)=CONCATENATE(INDEX(Dashboard!J:J,MATCH(I1812,Dashboard!J:J,0),1),INDEX(Dashboard!J:K,MATCH(I1812,Dashboard!J:J,0),2)),"ON",IF(Dashboard!K$32="ALL","ON","-"))</f>
        <v>-</v>
      </c>
      <c r="C1812" s="88" t="s">
        <v>152</v>
      </c>
      <c r="D1812" s="89">
        <f>IF(C1812="ID",1,(IF(C1812="PR",2,(IF(C1812="DE",3,(IF(C1812="RS",4,(IF(C1812="RC",5,0)))))))))</f>
        <v>2</v>
      </c>
      <c r="E1812" s="89" t="s">
        <v>210</v>
      </c>
      <c r="F1812" s="89">
        <f>IF(E1812="AM",1,(IF(E1812="BE",2,(IF(E1812="GV",3,(IF(E1812="RA",4,(IF(E1812="RM",5,(IF(E1812="AC",1,(IF(E1812="AT",2,(IF(E1812="DS",3,(IF(E1812="IP",4,(IF(E1812="MA",5,(IF(E1812="PT",6,(IF(E1812="AE",1,(IF(E1812="CM",2,(IF(E1812="DP",3,(IF(E1812="AN",1,(IF(E1812="CO",2,(IF(E1812="IM",3,(IF(E1812="MI",4,(IF(E1812="RP",5,(IF(E1812="SC",6,0)))))))))))))))))))))))))))))))))))))))</f>
        <v>3</v>
      </c>
      <c r="G1812" s="52">
        <v>1</v>
      </c>
      <c r="H1812" s="90" t="s">
        <v>115</v>
      </c>
      <c r="I1812" s="94" t="s">
        <v>60</v>
      </c>
      <c r="J1812" s="87" t="s">
        <v>3127</v>
      </c>
      <c r="K1812" s="51" t="s">
        <v>5240</v>
      </c>
      <c r="L1812" s="117">
        <f>IF(O1812="","",N1812*O1812*M1812)</f>
        <v>0</v>
      </c>
      <c r="M1812" s="108">
        <v>1</v>
      </c>
      <c r="N1812" s="95">
        <v>1</v>
      </c>
      <c r="O1812" s="109">
        <f>IF(Key!D$1="ON",P1812,IF(SUM(Q1812:DL1812)&lt;1,"",SUM(Q1812:DL1812)/COUNTIF(Q1812:DL1812,"&gt;0")))</f>
        <v>0</v>
      </c>
      <c r="P1812" s="109">
        <f>SUMIFS(Q1812:DK1812,Q$1:DK$1,Dashboard!$K$31)</f>
        <v>0</v>
      </c>
      <c r="U1812" s="95">
        <v>33</v>
      </c>
      <c r="AA1812" s="95">
        <v>25</v>
      </c>
      <c r="AH1812" s="95">
        <v>75</v>
      </c>
    </row>
    <row r="1813" spans="1:34" ht="15.6" x14ac:dyDescent="0.3">
      <c r="A1813" s="89" t="str">
        <f>CONCATENATE(D1813,".",F1813,"-",G1813,".",H1813,"")</f>
        <v>2.3-1.1</v>
      </c>
      <c r="B1813" s="89" t="str">
        <f>IF(CONCATENATE(I1813,Key!F$2)=CONCATENATE(INDEX(Dashboard!J:J,MATCH(I1813,Dashboard!J:J,0),1),INDEX(Dashboard!J:K,MATCH(I1813,Dashboard!J:J,0),2)),"ON",IF(Dashboard!K$32="ALL","ON","-"))</f>
        <v>-</v>
      </c>
      <c r="C1813" s="88" t="s">
        <v>152</v>
      </c>
      <c r="D1813" s="89">
        <f>IF(C1813="ID",1,(IF(C1813="PR",2,(IF(C1813="DE",3,(IF(C1813="RS",4,(IF(C1813="RC",5,0)))))))))</f>
        <v>2</v>
      </c>
      <c r="E1813" s="89" t="s">
        <v>210</v>
      </c>
      <c r="F1813" s="89">
        <f>IF(E1813="AM",1,(IF(E1813="BE",2,(IF(E1813="GV",3,(IF(E1813="RA",4,(IF(E1813="RM",5,(IF(E1813="AC",1,(IF(E1813="AT",2,(IF(E1813="DS",3,(IF(E1813="IP",4,(IF(E1813="MA",5,(IF(E1813="PT",6,(IF(E1813="AE",1,(IF(E1813="CM",2,(IF(E1813="DP",3,(IF(E1813="AN",1,(IF(E1813="CO",2,(IF(E1813="IM",3,(IF(E1813="MI",4,(IF(E1813="RP",5,(IF(E1813="SC",6,0)))))))))))))))))))))))))))))))))))))))</f>
        <v>3</v>
      </c>
      <c r="G1813" s="52">
        <v>1</v>
      </c>
      <c r="H1813" s="90" t="s">
        <v>115</v>
      </c>
      <c r="I1813" s="94" t="s">
        <v>64</v>
      </c>
      <c r="J1813" s="87" t="s">
        <v>936</v>
      </c>
      <c r="K1813" s="102" t="s">
        <v>2024</v>
      </c>
      <c r="L1813" s="117">
        <f>IF(O1813="","",N1813*O1813*M1813)</f>
        <v>0</v>
      </c>
      <c r="M1813" s="108">
        <v>1</v>
      </c>
      <c r="N1813" s="95">
        <v>1</v>
      </c>
      <c r="O1813" s="109">
        <f>IF(Key!D$1="ON",P1813,IF(SUM(Q1813:DL1813)&lt;1,"",SUM(Q1813:DL1813)/COUNTIF(Q1813:DL1813,"&gt;0")))</f>
        <v>0</v>
      </c>
      <c r="P1813" s="109">
        <f>SUMIFS(Q1813:DK1813,Q$1:DK$1,Dashboard!$K$31)</f>
        <v>0</v>
      </c>
      <c r="U1813" s="95">
        <v>33</v>
      </c>
      <c r="AA1813" s="95">
        <v>25</v>
      </c>
      <c r="AH1813" s="95">
        <v>75</v>
      </c>
    </row>
    <row r="1814" spans="1:34" x14ac:dyDescent="0.3">
      <c r="A1814" s="89" t="str">
        <f>CONCATENATE(D1814,".",F1814,"-",G1814,".",H1814,"")</f>
        <v>2.3-1.1</v>
      </c>
      <c r="B1814" s="89" t="str">
        <f>IF(CONCATENATE(I1814,Key!F$2)=CONCATENATE(INDEX(Dashboard!J:J,MATCH(I1814,Dashboard!J:J,0),1),INDEX(Dashboard!J:K,MATCH(I1814,Dashboard!J:J,0),2)),"ON",IF(Dashboard!K$32="ALL","ON","-"))</f>
        <v>-</v>
      </c>
      <c r="C1814" s="88" t="s">
        <v>152</v>
      </c>
      <c r="D1814" s="89">
        <f>IF(C1814="ID",1,(IF(C1814="PR",2,(IF(C1814="DE",3,(IF(C1814="RS",4,(IF(C1814="RC",5,0)))))))))</f>
        <v>2</v>
      </c>
      <c r="E1814" s="89" t="s">
        <v>210</v>
      </c>
      <c r="F1814" s="89">
        <f>IF(E1814="AM",1,(IF(E1814="BE",2,(IF(E1814="GV",3,(IF(E1814="RA",4,(IF(E1814="RM",5,(IF(E1814="AC",1,(IF(E1814="AT",2,(IF(E1814="DS",3,(IF(E1814="IP",4,(IF(E1814="MA",5,(IF(E1814="PT",6,(IF(E1814="AE",1,(IF(E1814="CM",2,(IF(E1814="DP",3,(IF(E1814="AN",1,(IF(E1814="CO",2,(IF(E1814="IM",3,(IF(E1814="MI",4,(IF(E1814="RP",5,(IF(E1814="SC",6,0)))))))))))))))))))))))))))))))))))))))</f>
        <v>3</v>
      </c>
      <c r="G1814" s="52">
        <v>1</v>
      </c>
      <c r="H1814" s="90" t="s">
        <v>115</v>
      </c>
      <c r="I1814" s="94" t="s">
        <v>64</v>
      </c>
      <c r="J1814" s="87" t="s">
        <v>1338</v>
      </c>
      <c r="K1814" s="102" t="s">
        <v>2340</v>
      </c>
      <c r="L1814" s="117">
        <f>IF(O1814="","",N1814*O1814*M1814)</f>
        <v>0</v>
      </c>
      <c r="M1814" s="108">
        <v>1</v>
      </c>
      <c r="N1814" s="95">
        <v>1</v>
      </c>
      <c r="O1814" s="109">
        <f>IF(Key!D$1="ON",P1814,IF(SUM(Q1814:DL1814)&lt;1,"",SUM(Q1814:DL1814)/COUNTIF(Q1814:DL1814,"&gt;0")))</f>
        <v>0</v>
      </c>
      <c r="P1814" s="109">
        <f>SUMIFS(Q1814:DK1814,Q$1:DK$1,Dashboard!$K$31)</f>
        <v>0</v>
      </c>
      <c r="U1814" s="95">
        <v>33</v>
      </c>
      <c r="AA1814" s="95">
        <v>25</v>
      </c>
      <c r="AH1814" s="95">
        <v>75</v>
      </c>
    </row>
    <row r="1815" spans="1:34" x14ac:dyDescent="0.3">
      <c r="A1815" s="89" t="str">
        <f>CONCATENATE(D1815,".",F1815,"-",G1815,".",H1815,"")</f>
        <v>2.3-1.1</v>
      </c>
      <c r="B1815" s="89" t="str">
        <f>IF(CONCATENATE(I1815,Key!F$2)=CONCATENATE(INDEX(Dashboard!J:J,MATCH(I1815,Dashboard!J:J,0),1),INDEX(Dashboard!J:K,MATCH(I1815,Dashboard!J:J,0),2)),"ON",IF(Dashboard!K$32="ALL","ON","-"))</f>
        <v>-</v>
      </c>
      <c r="C1815" s="88" t="s">
        <v>152</v>
      </c>
      <c r="D1815" s="89">
        <f>IF(C1815="ID",1,(IF(C1815="PR",2,(IF(C1815="DE",3,(IF(C1815="RS",4,(IF(C1815="RC",5,0)))))))))</f>
        <v>2</v>
      </c>
      <c r="E1815" s="89" t="s">
        <v>210</v>
      </c>
      <c r="F1815" s="89">
        <f>IF(E1815="AM",1,(IF(E1815="BE",2,(IF(E1815="GV",3,(IF(E1815="RA",4,(IF(E1815="RM",5,(IF(E1815="AC",1,(IF(E1815="AT",2,(IF(E1815="DS",3,(IF(E1815="IP",4,(IF(E1815="MA",5,(IF(E1815="PT",6,(IF(E1815="AE",1,(IF(E1815="CM",2,(IF(E1815="DP",3,(IF(E1815="AN",1,(IF(E1815="CO",2,(IF(E1815="IM",3,(IF(E1815="MI",4,(IF(E1815="RP",5,(IF(E1815="SC",6,0)))))))))))))))))))))))))))))))))))))))</f>
        <v>3</v>
      </c>
      <c r="G1815" s="98">
        <v>1</v>
      </c>
      <c r="H1815" s="99">
        <v>1</v>
      </c>
      <c r="I1815" s="94" t="s">
        <v>73</v>
      </c>
      <c r="J1815" s="86" t="s">
        <v>4140</v>
      </c>
      <c r="K1815" s="107" t="s">
        <v>4267</v>
      </c>
      <c r="L1815" s="117">
        <f>IF(O1815="","",N1815*O1815*M1815)</f>
        <v>0</v>
      </c>
      <c r="M1815" s="108">
        <v>1</v>
      </c>
      <c r="N1815" s="95">
        <v>1</v>
      </c>
      <c r="O1815" s="109">
        <f>IF(Key!D$1="ON",P1815,IF(SUM(Q1815:DL1815)&lt;1,"",SUM(Q1815:DL1815)/COUNTIF(Q1815:DL1815,"&gt;0")))</f>
        <v>0</v>
      </c>
      <c r="P1815" s="109">
        <f>SUMIFS(Q1815:DK1815,Q$1:DK$1,Dashboard!$K$31)</f>
        <v>0</v>
      </c>
      <c r="U1815" s="95">
        <v>33</v>
      </c>
      <c r="AA1815" s="95">
        <v>25</v>
      </c>
      <c r="AH1815" s="95">
        <v>75</v>
      </c>
    </row>
    <row r="1816" spans="1:34" ht="15.6" x14ac:dyDescent="0.3">
      <c r="A1816" s="89" t="str">
        <f>CONCATENATE(D1816,".",F1816,"-",G1816,".",H1816,"")</f>
        <v>2.3-1.1</v>
      </c>
      <c r="B1816" s="89" t="str">
        <f>IF(CONCATENATE(I1816,Key!F$2)=CONCATENATE(INDEX(Dashboard!J:J,MATCH(I1816,Dashboard!J:J,0),1),INDEX(Dashboard!J:K,MATCH(I1816,Dashboard!J:J,0),2)),"ON",IF(Dashboard!K$32="ALL","ON","-"))</f>
        <v>-</v>
      </c>
      <c r="C1816" s="88" t="s">
        <v>152</v>
      </c>
      <c r="D1816" s="89">
        <f>IF(C1816="ID",1,(IF(C1816="PR",2,(IF(C1816="DE",3,(IF(C1816="RS",4,(IF(C1816="RC",5,0)))))))))</f>
        <v>2</v>
      </c>
      <c r="E1816" s="89" t="s">
        <v>210</v>
      </c>
      <c r="F1816" s="89">
        <f>IF(E1816="AM",1,(IF(E1816="BE",2,(IF(E1816="GV",3,(IF(E1816="RA",4,(IF(E1816="RM",5,(IF(E1816="AC",1,(IF(E1816="AT",2,(IF(E1816="DS",3,(IF(E1816="IP",4,(IF(E1816="MA",5,(IF(E1816="PT",6,(IF(E1816="AE",1,(IF(E1816="CM",2,(IF(E1816="DP",3,(IF(E1816="AN",1,(IF(E1816="CO",2,(IF(E1816="IM",3,(IF(E1816="MI",4,(IF(E1816="RP",5,(IF(E1816="SC",6,0)))))))))))))))))))))))))))))))))))))))</f>
        <v>3</v>
      </c>
      <c r="G1816" s="98">
        <v>1</v>
      </c>
      <c r="H1816" s="99">
        <v>1</v>
      </c>
      <c r="I1816" s="94" t="s">
        <v>73</v>
      </c>
      <c r="J1816" s="86" t="s">
        <v>4229</v>
      </c>
      <c r="K1816" s="107" t="s">
        <v>4341</v>
      </c>
      <c r="L1816" s="117">
        <f>IF(O1816="","",N1816*O1816*M1816)</f>
        <v>0</v>
      </c>
      <c r="M1816" s="108">
        <v>1</v>
      </c>
      <c r="N1816" s="95">
        <v>1</v>
      </c>
      <c r="O1816" s="109">
        <f>IF(Key!D$1="ON",P1816,IF(SUM(Q1816:DL1816)&lt;1,"",SUM(Q1816:DL1816)/COUNTIF(Q1816:DL1816,"&gt;0")))</f>
        <v>0</v>
      </c>
      <c r="P1816" s="109">
        <f>SUMIFS(Q1816:DK1816,Q$1:DK$1,Dashboard!$K$31)</f>
        <v>0</v>
      </c>
      <c r="U1816" s="95">
        <v>33</v>
      </c>
      <c r="AA1816" s="95">
        <v>25</v>
      </c>
      <c r="AH1816" s="95">
        <v>75</v>
      </c>
    </row>
    <row r="1817" spans="1:34" ht="15.6" x14ac:dyDescent="0.3">
      <c r="A1817" s="89" t="str">
        <f>CONCATENATE(D1817,".",F1817,"-",G1817,".",H1817,"")</f>
        <v>2.3-1.1</v>
      </c>
      <c r="B1817" s="89" t="str">
        <f>IF(CONCATENATE(I1817,Key!F$2)=CONCATENATE(INDEX(Dashboard!J:J,MATCH(I1817,Dashboard!J:J,0),1),INDEX(Dashboard!J:K,MATCH(I1817,Dashboard!J:J,0),2)),"ON",IF(Dashboard!K$32="ALL","ON","-"))</f>
        <v>-</v>
      </c>
      <c r="C1817" s="88" t="s">
        <v>152</v>
      </c>
      <c r="D1817" s="89">
        <f>IF(C1817="ID",1,(IF(C1817="PR",2,(IF(C1817="DE",3,(IF(C1817="RS",4,(IF(C1817="RC",5,0)))))))))</f>
        <v>2</v>
      </c>
      <c r="E1817" s="89" t="s">
        <v>210</v>
      </c>
      <c r="F1817" s="89">
        <f>IF(E1817="AM",1,(IF(E1817="BE",2,(IF(E1817="GV",3,(IF(E1817="RA",4,(IF(E1817="RM",5,(IF(E1817="AC",1,(IF(E1817="AT",2,(IF(E1817="DS",3,(IF(E1817="IP",4,(IF(E1817="MA",5,(IF(E1817="PT",6,(IF(E1817="AE",1,(IF(E1817="CM",2,(IF(E1817="DP",3,(IF(E1817="AN",1,(IF(E1817="CO",2,(IF(E1817="IM",3,(IF(E1817="MI",4,(IF(E1817="RP",5,(IF(E1817="SC",6,0)))))))))))))))))))))))))))))))))))))))</f>
        <v>3</v>
      </c>
      <c r="G1817" s="98">
        <v>1</v>
      </c>
      <c r="H1817" s="99">
        <v>1</v>
      </c>
      <c r="I1817" s="94" t="s">
        <v>73</v>
      </c>
      <c r="J1817" s="86" t="s">
        <v>4239</v>
      </c>
      <c r="K1817" s="107" t="s">
        <v>4347</v>
      </c>
      <c r="L1817" s="117">
        <f>IF(O1817="","",N1817*O1817*M1817)</f>
        <v>0</v>
      </c>
      <c r="M1817" s="108">
        <v>1</v>
      </c>
      <c r="N1817" s="95">
        <v>1</v>
      </c>
      <c r="O1817" s="109">
        <f>IF(Key!D$1="ON",P1817,IF(SUM(Q1817:DL1817)&lt;1,"",SUM(Q1817:DL1817)/COUNTIF(Q1817:DL1817,"&gt;0")))</f>
        <v>0</v>
      </c>
      <c r="P1817" s="109">
        <f>SUMIFS(Q1817:DK1817,Q$1:DK$1,Dashboard!$K$31)</f>
        <v>0</v>
      </c>
      <c r="U1817" s="95">
        <v>33</v>
      </c>
      <c r="AA1817" s="95">
        <v>25</v>
      </c>
      <c r="AH1817" s="95">
        <v>75</v>
      </c>
    </row>
    <row r="1818" spans="1:34" x14ac:dyDescent="0.3">
      <c r="A1818" s="89" t="str">
        <f>CONCATENATE(D1818,".",F1818,"-",G1818,".",H1818,"")</f>
        <v>2.3-1.1</v>
      </c>
      <c r="B1818" s="89" t="str">
        <f>IF(CONCATENATE(I1818,Key!F$2)=CONCATENATE(INDEX(Dashboard!J:J,MATCH(I1818,Dashboard!J:J,0),1),INDEX(Dashboard!J:K,MATCH(I1818,Dashboard!J:J,0),2)),"ON",IF(Dashboard!K$32="ALL","ON","-"))</f>
        <v>-</v>
      </c>
      <c r="C1818" s="88" t="s">
        <v>152</v>
      </c>
      <c r="D1818" s="89">
        <f>IF(C1818="ID",1,(IF(C1818="PR",2,(IF(C1818="DE",3,(IF(C1818="RS",4,(IF(C1818="RC",5,0)))))))))</f>
        <v>2</v>
      </c>
      <c r="E1818" s="89" t="s">
        <v>210</v>
      </c>
      <c r="F1818" s="89">
        <f>IF(E1818="AM",1,(IF(E1818="BE",2,(IF(E1818="GV",3,(IF(E1818="RA",4,(IF(E1818="RM",5,(IF(E1818="AC",1,(IF(E1818="AT",2,(IF(E1818="DS",3,(IF(E1818="IP",4,(IF(E1818="MA",5,(IF(E1818="PT",6,(IF(E1818="AE",1,(IF(E1818="CM",2,(IF(E1818="DP",3,(IF(E1818="AN",1,(IF(E1818="CO",2,(IF(E1818="IM",3,(IF(E1818="MI",4,(IF(E1818="RP",5,(IF(E1818="SC",6,0)))))))))))))))))))))))))))))))))))))))</f>
        <v>3</v>
      </c>
      <c r="G1818" s="98">
        <v>1</v>
      </c>
      <c r="H1818" s="99">
        <v>1</v>
      </c>
      <c r="I1818" s="94" t="s">
        <v>73</v>
      </c>
      <c r="J1818" s="86" t="s">
        <v>4185</v>
      </c>
      <c r="K1818" s="107" t="s">
        <v>4311</v>
      </c>
      <c r="L1818" s="117">
        <f>IF(O1818="","",N1818*O1818*M1818)</f>
        <v>0</v>
      </c>
      <c r="M1818" s="108">
        <v>1</v>
      </c>
      <c r="N1818" s="95">
        <v>1</v>
      </c>
      <c r="O1818" s="109">
        <f>IF(Key!D$1="ON",P1818,IF(SUM(Q1818:DL1818)&lt;1,"",SUM(Q1818:DL1818)/COUNTIF(Q1818:DL1818,"&gt;0")))</f>
        <v>0</v>
      </c>
      <c r="P1818" s="109">
        <f>SUMIFS(Q1818:DK1818,Q$1:DK$1,Dashboard!$K$31)</f>
        <v>0</v>
      </c>
      <c r="U1818" s="95">
        <v>33</v>
      </c>
      <c r="AA1818" s="95">
        <v>25</v>
      </c>
      <c r="AH1818" s="95">
        <v>75</v>
      </c>
    </row>
    <row r="1819" spans="1:34" x14ac:dyDescent="0.3">
      <c r="A1819" s="89" t="str">
        <f>CONCATENATE(D1819,".",F1819,"-",G1819,".",H1819,"")</f>
        <v>2.3-1.1</v>
      </c>
      <c r="B1819" s="89" t="str">
        <f>IF(CONCATENATE(I1819,Key!F$2)=CONCATENATE(INDEX(Dashboard!J:J,MATCH(I1819,Dashboard!J:J,0),1),INDEX(Dashboard!J:K,MATCH(I1819,Dashboard!J:J,0),2)),"ON",IF(Dashboard!K$32="ALL","ON","-"))</f>
        <v>-</v>
      </c>
      <c r="C1819" s="88" t="s">
        <v>152</v>
      </c>
      <c r="D1819" s="89">
        <f>IF(C1819="ID",1,(IF(C1819="PR",2,(IF(C1819="DE",3,(IF(C1819="RS",4,(IF(C1819="RC",5,0)))))))))</f>
        <v>2</v>
      </c>
      <c r="E1819" s="89" t="s">
        <v>210</v>
      </c>
      <c r="F1819" s="89">
        <f>IF(E1819="AM",1,(IF(E1819="BE",2,(IF(E1819="GV",3,(IF(E1819="RA",4,(IF(E1819="RM",5,(IF(E1819="AC",1,(IF(E1819="AT",2,(IF(E1819="DS",3,(IF(E1819="IP",4,(IF(E1819="MA",5,(IF(E1819="PT",6,(IF(E1819="AE",1,(IF(E1819="CM",2,(IF(E1819="DP",3,(IF(E1819="AN",1,(IF(E1819="CO",2,(IF(E1819="IM",3,(IF(E1819="MI",4,(IF(E1819="RP",5,(IF(E1819="SC",6,0)))))))))))))))))))))))))))))))))))))))</f>
        <v>3</v>
      </c>
      <c r="G1819" s="98">
        <v>1</v>
      </c>
      <c r="H1819" s="99">
        <v>1</v>
      </c>
      <c r="I1819" s="94" t="s">
        <v>73</v>
      </c>
      <c r="J1819" s="86" t="s">
        <v>4197</v>
      </c>
      <c r="K1819" s="107" t="s">
        <v>4319</v>
      </c>
      <c r="L1819" s="117">
        <f>IF(O1819="","",N1819*O1819*M1819)</f>
        <v>0</v>
      </c>
      <c r="M1819" s="108">
        <v>1</v>
      </c>
      <c r="N1819" s="95">
        <v>1</v>
      </c>
      <c r="O1819" s="109">
        <f>IF(Key!D$1="ON",P1819,IF(SUM(Q1819:DL1819)&lt;1,"",SUM(Q1819:DL1819)/COUNTIF(Q1819:DL1819,"&gt;0")))</f>
        <v>0</v>
      </c>
      <c r="P1819" s="109">
        <f>SUMIFS(Q1819:DK1819,Q$1:DK$1,Dashboard!$K$31)</f>
        <v>0</v>
      </c>
      <c r="U1819" s="95">
        <v>33</v>
      </c>
      <c r="AA1819" s="95">
        <v>25</v>
      </c>
      <c r="AH1819" s="95">
        <v>75</v>
      </c>
    </row>
    <row r="1820" spans="1:34" x14ac:dyDescent="0.3">
      <c r="A1820" s="89" t="str">
        <f>CONCATENATE(D1820,".",F1820,"-",G1820,".",H1820,"")</f>
        <v>2.3-1.1</v>
      </c>
      <c r="B1820" s="89" t="str">
        <f>IF(CONCATENATE(I1820,Key!F$2)=CONCATENATE(INDEX(Dashboard!J:J,MATCH(I1820,Dashboard!J:J,0),1),INDEX(Dashboard!J:K,MATCH(I1820,Dashboard!J:J,0),2)),"ON",IF(Dashboard!K$32="ALL","ON","-"))</f>
        <v>-</v>
      </c>
      <c r="C1820" s="88" t="s">
        <v>152</v>
      </c>
      <c r="D1820" s="89">
        <f>IF(C1820="ID",1,(IF(C1820="PR",2,(IF(C1820="DE",3,(IF(C1820="RS",4,(IF(C1820="RC",5,0)))))))))</f>
        <v>2</v>
      </c>
      <c r="E1820" s="89" t="s">
        <v>210</v>
      </c>
      <c r="F1820" s="89">
        <f>IF(E1820="AM",1,(IF(E1820="BE",2,(IF(E1820="GV",3,(IF(E1820="RA",4,(IF(E1820="RM",5,(IF(E1820="AC",1,(IF(E1820="AT",2,(IF(E1820="DS",3,(IF(E1820="IP",4,(IF(E1820="MA",5,(IF(E1820="PT",6,(IF(E1820="AE",1,(IF(E1820="CM",2,(IF(E1820="DP",3,(IF(E1820="AN",1,(IF(E1820="CO",2,(IF(E1820="IM",3,(IF(E1820="MI",4,(IF(E1820="RP",5,(IF(E1820="SC",6,0)))))))))))))))))))))))))))))))))))))))</f>
        <v>3</v>
      </c>
      <c r="G1820" s="52">
        <v>1</v>
      </c>
      <c r="H1820" s="90" t="s">
        <v>115</v>
      </c>
      <c r="I1820" s="93" t="s">
        <v>77</v>
      </c>
      <c r="J1820" s="87" t="s">
        <v>936</v>
      </c>
      <c r="K1820" s="102" t="s">
        <v>2024</v>
      </c>
      <c r="L1820" s="117">
        <f>IF(O1820="","",N1820*O1820*M1820)</f>
        <v>0</v>
      </c>
      <c r="M1820" s="108">
        <v>1</v>
      </c>
      <c r="N1820" s="95">
        <v>1</v>
      </c>
      <c r="O1820" s="109">
        <f>IF(Key!D$1="ON",P1820,IF(SUM(Q1820:DL1820)&lt;1,"",SUM(Q1820:DL1820)/COUNTIF(Q1820:DL1820,"&gt;0")))</f>
        <v>0</v>
      </c>
      <c r="P1820" s="109">
        <f>SUMIFS(Q1820:DK1820,Q$1:DK$1,Dashboard!$K$31)</f>
        <v>0</v>
      </c>
      <c r="U1820" s="95">
        <v>33</v>
      </c>
      <c r="AA1820" s="95">
        <v>25</v>
      </c>
      <c r="AH1820" s="95">
        <v>75</v>
      </c>
    </row>
    <row r="1821" spans="1:34" x14ac:dyDescent="0.3">
      <c r="A1821" s="89" t="str">
        <f>CONCATENATE(D1821,".",F1821,"-",G1821,".",H1821,"")</f>
        <v>2.3-1.1</v>
      </c>
      <c r="B1821" s="89" t="str">
        <f>IF(CONCATENATE(I1821,Key!F$2)=CONCATENATE(INDEX(Dashboard!J:J,MATCH(I1821,Dashboard!J:J,0),1),INDEX(Dashboard!J:K,MATCH(I1821,Dashboard!J:J,0),2)),"ON",IF(Dashboard!K$32="ALL","ON","-"))</f>
        <v>-</v>
      </c>
      <c r="C1821" s="88" t="s">
        <v>152</v>
      </c>
      <c r="D1821" s="89">
        <f>IF(C1821="ID",1,(IF(C1821="PR",2,(IF(C1821="DE",3,(IF(C1821="RS",4,(IF(C1821="RC",5,0)))))))))</f>
        <v>2</v>
      </c>
      <c r="E1821" s="89" t="s">
        <v>210</v>
      </c>
      <c r="F1821" s="89">
        <f>IF(E1821="AM",1,(IF(E1821="BE",2,(IF(E1821="GV",3,(IF(E1821="RA",4,(IF(E1821="RM",5,(IF(E1821="AC",1,(IF(E1821="AT",2,(IF(E1821="DS",3,(IF(E1821="IP",4,(IF(E1821="MA",5,(IF(E1821="PT",6,(IF(E1821="AE",1,(IF(E1821="CM",2,(IF(E1821="DP",3,(IF(E1821="AN",1,(IF(E1821="CO",2,(IF(E1821="IM",3,(IF(E1821="MI",4,(IF(E1821="RP",5,(IF(E1821="SC",6,0)))))))))))))))))))))))))))))))))))))))</f>
        <v>3</v>
      </c>
      <c r="G1821" s="52">
        <v>1</v>
      </c>
      <c r="H1821" s="90" t="s">
        <v>115</v>
      </c>
      <c r="I1821" s="93" t="s">
        <v>77</v>
      </c>
      <c r="J1821" s="87" t="s">
        <v>1338</v>
      </c>
      <c r="K1821" s="102" t="s">
        <v>2340</v>
      </c>
      <c r="L1821" s="117">
        <f>IF(O1821="","",N1821*O1821*M1821)</f>
        <v>0</v>
      </c>
      <c r="M1821" s="108">
        <v>1</v>
      </c>
      <c r="N1821" s="95">
        <v>1</v>
      </c>
      <c r="O1821" s="109">
        <f>IF(Key!D$1="ON",P1821,IF(SUM(Q1821:DL1821)&lt;1,"",SUM(Q1821:DL1821)/COUNTIF(Q1821:DL1821,"&gt;0")))</f>
        <v>0</v>
      </c>
      <c r="P1821" s="109">
        <f>SUMIFS(Q1821:DK1821,Q$1:DK$1,Dashboard!$K$31)</f>
        <v>0</v>
      </c>
      <c r="U1821" s="95">
        <v>33</v>
      </c>
      <c r="AA1821" s="95">
        <v>25</v>
      </c>
      <c r="AH1821" s="95">
        <v>75</v>
      </c>
    </row>
    <row r="1822" spans="1:34" ht="15.6" x14ac:dyDescent="0.3">
      <c r="A1822" s="89" t="str">
        <f>CONCATENATE(D1822,".",F1822,"-",G1822,".",H1822,"")</f>
        <v>2.3-1.1</v>
      </c>
      <c r="B1822" s="89" t="str">
        <f>IF(CONCATENATE(I1822,Key!F$2)=CONCATENATE(INDEX(Dashboard!J:J,MATCH(I1822,Dashboard!J:J,0),1),INDEX(Dashboard!J:K,MATCH(I1822,Dashboard!J:J,0),2)),"ON",IF(Dashboard!K$32="ALL","ON","-"))</f>
        <v>-</v>
      </c>
      <c r="C1822" s="88" t="s">
        <v>152</v>
      </c>
      <c r="D1822" s="89">
        <f>IF(C1822="ID",1,(IF(C1822="PR",2,(IF(C1822="DE",3,(IF(C1822="RS",4,(IF(C1822="RC",5,0)))))))))</f>
        <v>2</v>
      </c>
      <c r="E1822" s="89" t="s">
        <v>210</v>
      </c>
      <c r="F1822" s="89">
        <f>IF(E1822="AM",1,(IF(E1822="BE",2,(IF(E1822="GV",3,(IF(E1822="RA",4,(IF(E1822="RM",5,(IF(E1822="AC",1,(IF(E1822="AT",2,(IF(E1822="DS",3,(IF(E1822="IP",4,(IF(E1822="MA",5,(IF(E1822="PT",6,(IF(E1822="AE",1,(IF(E1822="CM",2,(IF(E1822="DP",3,(IF(E1822="AN",1,(IF(E1822="CO",2,(IF(E1822="IM",3,(IF(E1822="MI",4,(IF(E1822="RP",5,(IF(E1822="SC",6,0)))))))))))))))))))))))))))))))))))))))</f>
        <v>3</v>
      </c>
      <c r="G1822" s="52">
        <v>1</v>
      </c>
      <c r="H1822" s="90" t="s">
        <v>115</v>
      </c>
      <c r="I1822" s="93" t="s">
        <v>77</v>
      </c>
      <c r="J1822" s="87" t="s">
        <v>1339</v>
      </c>
      <c r="K1822" s="102" t="s">
        <v>2341</v>
      </c>
      <c r="L1822" s="117">
        <f>IF(O1822="","",N1822*O1822*M1822)</f>
        <v>0</v>
      </c>
      <c r="M1822" s="108">
        <v>1</v>
      </c>
      <c r="N1822" s="95">
        <v>1</v>
      </c>
      <c r="O1822" s="109">
        <f>IF(Key!D$1="ON",P1822,IF(SUM(Q1822:DL1822)&lt;1,"",SUM(Q1822:DL1822)/COUNTIF(Q1822:DL1822,"&gt;0")))</f>
        <v>0</v>
      </c>
      <c r="P1822" s="109">
        <f>SUMIFS(Q1822:DK1822,Q$1:DK$1,Dashboard!$K$31)</f>
        <v>0</v>
      </c>
      <c r="U1822" s="95">
        <v>33</v>
      </c>
      <c r="AA1822" s="95">
        <v>25</v>
      </c>
      <c r="AH1822" s="95">
        <v>75</v>
      </c>
    </row>
    <row r="1823" spans="1:34" ht="15.6" x14ac:dyDescent="0.3">
      <c r="A1823" s="89" t="str">
        <f>CONCATENATE(D1823,".",F1823,"-",G1823,".",H1823,"")</f>
        <v>2.3-1.1</v>
      </c>
      <c r="B1823" s="89" t="str">
        <f>IF(CONCATENATE(I1823,Key!F$2)=CONCATENATE(INDEX(Dashboard!J:J,MATCH(I1823,Dashboard!J:J,0),1),INDEX(Dashboard!J:K,MATCH(I1823,Dashboard!J:J,0),2)),"ON",IF(Dashboard!K$32="ALL","ON","-"))</f>
        <v>-</v>
      </c>
      <c r="C1823" s="96" t="s">
        <v>152</v>
      </c>
      <c r="D1823" s="89">
        <f>IF(C1823="ID",1,(IF(C1823="PR",2,(IF(C1823="DE",3,(IF(C1823="RS",4,(IF(C1823="RC",5,0)))))))))</f>
        <v>2</v>
      </c>
      <c r="E1823" s="89" t="s">
        <v>210</v>
      </c>
      <c r="F1823" s="89">
        <f>IF(E1823="AM",1,(IF(E1823="BE",2,(IF(E1823="GV",3,(IF(E1823="RA",4,(IF(E1823="RM",5,(IF(E1823="AC",1,(IF(E1823="AT",2,(IF(E1823="DS",3,(IF(E1823="IP",4,(IF(E1823="MA",5,(IF(E1823="PT",6,(IF(E1823="AE",1,(IF(E1823="CM",2,(IF(E1823="DP",3,(IF(E1823="AN",1,(IF(E1823="CO",2,(IF(E1823="IM",3,(IF(E1823="MI",4,(IF(E1823="RP",5,(IF(E1823="SC",6,0)))))))))))))))))))))))))))))))))))))))</f>
        <v>3</v>
      </c>
      <c r="G1823" s="98">
        <v>1</v>
      </c>
      <c r="H1823" s="90" t="s">
        <v>115</v>
      </c>
      <c r="I1823" s="93" t="s">
        <v>77</v>
      </c>
      <c r="J1823" s="87" t="s">
        <v>1340</v>
      </c>
      <c r="K1823" s="102" t="s">
        <v>2342</v>
      </c>
      <c r="L1823" s="117">
        <f>IF(O1823="","",N1823*O1823*M1823)</f>
        <v>0</v>
      </c>
      <c r="M1823" s="108">
        <v>1</v>
      </c>
      <c r="N1823" s="95">
        <v>1</v>
      </c>
      <c r="O1823" s="109">
        <f>IF(Key!D$1="ON",P1823,IF(SUM(Q1823:DL1823)&lt;1,"",SUM(Q1823:DL1823)/COUNTIF(Q1823:DL1823,"&gt;0")))</f>
        <v>0</v>
      </c>
      <c r="P1823" s="109">
        <f>SUMIFS(Q1823:DK1823,Q$1:DK$1,Dashboard!$K$31)</f>
        <v>0</v>
      </c>
      <c r="U1823" s="95">
        <v>33</v>
      </c>
      <c r="AA1823" s="95">
        <v>25</v>
      </c>
      <c r="AH1823" s="95">
        <v>75</v>
      </c>
    </row>
    <row r="1824" spans="1:34" ht="15.6" x14ac:dyDescent="0.3">
      <c r="A1824" s="89" t="str">
        <f>CONCATENATE(D1824,".",F1824,"-",G1824,".",H1824,"")</f>
        <v>2.3-1.1</v>
      </c>
      <c r="B1824" s="89" t="str">
        <f>IF(CONCATENATE(I1824,Key!F$2)=CONCATENATE(INDEX(Dashboard!J:J,MATCH(I1824,Dashboard!J:J,0),1),INDEX(Dashboard!J:K,MATCH(I1824,Dashboard!J:J,0),2)),"ON",IF(Dashboard!K$32="ALL","ON","-"))</f>
        <v>-</v>
      </c>
      <c r="C1824" s="88" t="s">
        <v>152</v>
      </c>
      <c r="D1824" s="89">
        <f>IF(C1824="ID",1,(IF(C1824="PR",2,(IF(C1824="DE",3,(IF(C1824="RS",4,(IF(C1824="RC",5,0)))))))))</f>
        <v>2</v>
      </c>
      <c r="E1824" s="89" t="s">
        <v>210</v>
      </c>
      <c r="F1824" s="89">
        <f>IF(E1824="AM",1,(IF(E1824="BE",2,(IF(E1824="GV",3,(IF(E1824="RA",4,(IF(E1824="RM",5,(IF(E1824="AC",1,(IF(E1824="AT",2,(IF(E1824="DS",3,(IF(E1824="IP",4,(IF(E1824="MA",5,(IF(E1824="PT",6,(IF(E1824="AE",1,(IF(E1824="CM",2,(IF(E1824="DP",3,(IF(E1824="AN",1,(IF(E1824="CO",2,(IF(E1824="IM",3,(IF(E1824="MI",4,(IF(E1824="RP",5,(IF(E1824="SC",6,0)))))))))))))))))))))))))))))))))))))))</f>
        <v>3</v>
      </c>
      <c r="G1824" s="52">
        <v>1</v>
      </c>
      <c r="H1824" s="90" t="s">
        <v>115</v>
      </c>
      <c r="I1824" s="93" t="s">
        <v>77</v>
      </c>
      <c r="J1824" s="87" t="s">
        <v>1342</v>
      </c>
      <c r="K1824" s="102" t="s">
        <v>2343</v>
      </c>
      <c r="L1824" s="117">
        <f>IF(O1824="","",N1824*O1824*M1824)</f>
        <v>0</v>
      </c>
      <c r="M1824" s="108">
        <v>1</v>
      </c>
      <c r="N1824" s="95">
        <v>1</v>
      </c>
      <c r="O1824" s="109">
        <f>IF(Key!D$1="ON",P1824,IF(SUM(Q1824:DL1824)&lt;1,"",SUM(Q1824:DL1824)/COUNTIF(Q1824:DL1824,"&gt;0")))</f>
        <v>0</v>
      </c>
      <c r="P1824" s="109">
        <f>SUMIFS(Q1824:DK1824,Q$1:DK$1,Dashboard!$K$31)</f>
        <v>0</v>
      </c>
      <c r="U1824" s="95">
        <v>33</v>
      </c>
      <c r="AA1824" s="95">
        <v>25</v>
      </c>
      <c r="AH1824" s="95">
        <v>75</v>
      </c>
    </row>
    <row r="1825" spans="1:34" ht="15.6" x14ac:dyDescent="0.3">
      <c r="A1825" s="89" t="str">
        <f>CONCATENATE(D1825,".",F1825,"-",G1825,".",H1825,"")</f>
        <v>2.3-1.1</v>
      </c>
      <c r="B1825" s="89" t="str">
        <f>IF(CONCATENATE(I1825,Key!F$2)=CONCATENATE(INDEX(Dashboard!J:J,MATCH(I1825,Dashboard!J:J,0),1),INDEX(Dashboard!J:K,MATCH(I1825,Dashboard!J:J,0),2)),"ON",IF(Dashboard!K$32="ALL","ON","-"))</f>
        <v>-</v>
      </c>
      <c r="C1825" s="88" t="s">
        <v>152</v>
      </c>
      <c r="D1825" s="89">
        <f>IF(C1825="ID",1,(IF(C1825="PR",2,(IF(C1825="DE",3,(IF(C1825="RS",4,(IF(C1825="RC",5,0)))))))))</f>
        <v>2</v>
      </c>
      <c r="E1825" s="89" t="s">
        <v>210</v>
      </c>
      <c r="F1825" s="89">
        <f>IF(E1825="AM",1,(IF(E1825="BE",2,(IF(E1825="GV",3,(IF(E1825="RA",4,(IF(E1825="RM",5,(IF(E1825="AC",1,(IF(E1825="AT",2,(IF(E1825="DS",3,(IF(E1825="IP",4,(IF(E1825="MA",5,(IF(E1825="PT",6,(IF(E1825="AE",1,(IF(E1825="CM",2,(IF(E1825="DP",3,(IF(E1825="AN",1,(IF(E1825="CO",2,(IF(E1825="IM",3,(IF(E1825="MI",4,(IF(E1825="RP",5,(IF(E1825="SC",6,0)))))))))))))))))))))))))))))))))))))))</f>
        <v>3</v>
      </c>
      <c r="G1825" s="52">
        <v>1</v>
      </c>
      <c r="H1825" s="90" t="s">
        <v>115</v>
      </c>
      <c r="I1825" s="93" t="s">
        <v>77</v>
      </c>
      <c r="J1825" s="87" t="s">
        <v>1343</v>
      </c>
      <c r="K1825" s="102" t="s">
        <v>2344</v>
      </c>
      <c r="L1825" s="117">
        <f>IF(O1825="","",N1825*O1825*M1825)</f>
        <v>0</v>
      </c>
      <c r="M1825" s="108">
        <v>1</v>
      </c>
      <c r="N1825" s="95">
        <v>1</v>
      </c>
      <c r="O1825" s="109">
        <f>IF(Key!D$1="ON",P1825,IF(SUM(Q1825:DL1825)&lt;1,"",SUM(Q1825:DL1825)/COUNTIF(Q1825:DL1825,"&gt;0")))</f>
        <v>0</v>
      </c>
      <c r="P1825" s="109">
        <f>SUMIFS(Q1825:DK1825,Q$1:DK$1,Dashboard!$K$31)</f>
        <v>0</v>
      </c>
      <c r="U1825" s="95">
        <v>33</v>
      </c>
      <c r="AA1825" s="95">
        <v>25</v>
      </c>
      <c r="AH1825" s="95">
        <v>75</v>
      </c>
    </row>
    <row r="1826" spans="1:34" ht="15.6" x14ac:dyDescent="0.3">
      <c r="A1826" s="89" t="str">
        <f>CONCATENATE(D1826,".",F1826,"-",G1826,".",H1826,"")</f>
        <v>2.3-1.1</v>
      </c>
      <c r="B1826" s="89" t="str">
        <f>IF(CONCATENATE(I1826,Key!F$2)=CONCATENATE(INDEX(Dashboard!J:J,MATCH(I1826,Dashboard!J:J,0),1),INDEX(Dashboard!J:K,MATCH(I1826,Dashboard!J:J,0),2)),"ON",IF(Dashboard!K$32="ALL","ON","-"))</f>
        <v>-</v>
      </c>
      <c r="C1826" s="88" t="s">
        <v>152</v>
      </c>
      <c r="D1826" s="89">
        <f>IF(C1826="ID",1,(IF(C1826="PR",2,(IF(C1826="DE",3,(IF(C1826="RS",4,(IF(C1826="RC",5,0)))))))))</f>
        <v>2</v>
      </c>
      <c r="E1826" s="89" t="s">
        <v>210</v>
      </c>
      <c r="F1826" s="89">
        <f>IF(E1826="AM",1,(IF(E1826="BE",2,(IF(E1826="GV",3,(IF(E1826="RA",4,(IF(E1826="RM",5,(IF(E1826="AC",1,(IF(E1826="AT",2,(IF(E1826="DS",3,(IF(E1826="IP",4,(IF(E1826="MA",5,(IF(E1826="PT",6,(IF(E1826="AE",1,(IF(E1826="CM",2,(IF(E1826="DP",3,(IF(E1826="AN",1,(IF(E1826="CO",2,(IF(E1826="IM",3,(IF(E1826="MI",4,(IF(E1826="RP",5,(IF(E1826="SC",6,0)))))))))))))))))))))))))))))))))))))))</f>
        <v>3</v>
      </c>
      <c r="G1826" s="52">
        <v>1</v>
      </c>
      <c r="H1826" s="90" t="s">
        <v>115</v>
      </c>
      <c r="I1826" s="93" t="s">
        <v>77</v>
      </c>
      <c r="J1826" s="87" t="s">
        <v>1076</v>
      </c>
      <c r="K1826" s="102" t="s">
        <v>2119</v>
      </c>
      <c r="L1826" s="117">
        <f>IF(O1826="","",N1826*O1826*M1826)</f>
        <v>0</v>
      </c>
      <c r="M1826" s="108">
        <v>1</v>
      </c>
      <c r="N1826" s="95">
        <v>1</v>
      </c>
      <c r="O1826" s="109">
        <f>IF(Key!D$1="ON",P1826,IF(SUM(Q1826:DL1826)&lt;1,"",SUM(Q1826:DL1826)/COUNTIF(Q1826:DL1826,"&gt;0")))</f>
        <v>0</v>
      </c>
      <c r="P1826" s="109">
        <f>SUMIFS(Q1826:DK1826,Q$1:DK$1,Dashboard!$K$31)</f>
        <v>0</v>
      </c>
      <c r="U1826" s="95">
        <v>33</v>
      </c>
      <c r="AA1826" s="95">
        <v>25</v>
      </c>
      <c r="AH1826" s="95">
        <v>75</v>
      </c>
    </row>
    <row r="1827" spans="1:34" ht="15.6" x14ac:dyDescent="0.3">
      <c r="A1827" s="89" t="str">
        <f>CONCATENATE(D1827,".",F1827,"-",G1827,".",H1827,"")</f>
        <v>2.3-1.1</v>
      </c>
      <c r="B1827" s="89" t="str">
        <f>IF(CONCATENATE(I1827,Key!F$2)=CONCATENATE(INDEX(Dashboard!J:J,MATCH(I1827,Dashboard!J:J,0),1),INDEX(Dashboard!J:K,MATCH(I1827,Dashboard!J:J,0),2)),"ON",IF(Dashboard!K$32="ALL","ON","-"))</f>
        <v>-</v>
      </c>
      <c r="C1827" s="88" t="s">
        <v>152</v>
      </c>
      <c r="D1827" s="89">
        <f>IF(C1827="ID",1,(IF(C1827="PR",2,(IF(C1827="DE",3,(IF(C1827="RS",4,(IF(C1827="RC",5,0)))))))))</f>
        <v>2</v>
      </c>
      <c r="E1827" s="89" t="s">
        <v>210</v>
      </c>
      <c r="F1827" s="89">
        <f>IF(E1827="AM",1,(IF(E1827="BE",2,(IF(E1827="GV",3,(IF(E1827="RA",4,(IF(E1827="RM",5,(IF(E1827="AC",1,(IF(E1827="AT",2,(IF(E1827="DS",3,(IF(E1827="IP",4,(IF(E1827="MA",5,(IF(E1827="PT",6,(IF(E1827="AE",1,(IF(E1827="CM",2,(IF(E1827="DP",3,(IF(E1827="AN",1,(IF(E1827="CO",2,(IF(E1827="IM",3,(IF(E1827="MI",4,(IF(E1827="RP",5,(IF(E1827="SC",6,0)))))))))))))))))))))))))))))))))))))))</f>
        <v>3</v>
      </c>
      <c r="G1827" s="52">
        <v>1</v>
      </c>
      <c r="H1827" s="90" t="s">
        <v>115</v>
      </c>
      <c r="I1827" s="93" t="s">
        <v>85</v>
      </c>
      <c r="J1827" s="87" t="s">
        <v>1339</v>
      </c>
      <c r="K1827" s="119" t="s">
        <v>2400</v>
      </c>
      <c r="L1827" s="117">
        <f>IF(O1827="","",N1827*O1827*M1827)</f>
        <v>0</v>
      </c>
      <c r="M1827" s="108">
        <v>1</v>
      </c>
      <c r="N1827" s="95">
        <v>1</v>
      </c>
      <c r="O1827" s="109">
        <f>IF(Key!D$1="ON",P1827,IF(SUM(Q1827:DL1827)&lt;1,"",SUM(Q1827:DL1827)/COUNTIF(Q1827:DL1827,"&gt;0")))</f>
        <v>0</v>
      </c>
      <c r="P1827" s="109">
        <f>SUMIFS(Q1827:DK1827,Q$1:DK$1,Dashboard!$K$31)</f>
        <v>0</v>
      </c>
      <c r="U1827" s="95">
        <v>33</v>
      </c>
      <c r="AA1827" s="95">
        <v>25</v>
      </c>
      <c r="AH1827" s="95">
        <v>75</v>
      </c>
    </row>
    <row r="1828" spans="1:34" x14ac:dyDescent="0.3">
      <c r="A1828" s="89" t="str">
        <f>CONCATENATE(D1828,".",F1828,"-",G1828,".",H1828,"")</f>
        <v>2.3-1.1</v>
      </c>
      <c r="B1828" s="89" t="str">
        <f>IF(CONCATENATE(I1828,Key!F$2)=CONCATENATE(INDEX(Dashboard!J:J,MATCH(I1828,Dashboard!J:J,0),1),INDEX(Dashboard!J:K,MATCH(I1828,Dashboard!J:J,0),2)),"ON",IF(Dashboard!K$32="ALL","ON","-"))</f>
        <v>-</v>
      </c>
      <c r="C1828" s="88" t="s">
        <v>152</v>
      </c>
      <c r="D1828" s="89">
        <f>IF(C1828="ID",1,(IF(C1828="PR",2,(IF(C1828="DE",3,(IF(C1828="RS",4,(IF(C1828="RC",5,0)))))))))</f>
        <v>2</v>
      </c>
      <c r="E1828" s="89" t="s">
        <v>210</v>
      </c>
      <c r="F1828" s="89">
        <f>IF(E1828="AM",1,(IF(E1828="BE",2,(IF(E1828="GV",3,(IF(E1828="RA",4,(IF(E1828="RM",5,(IF(E1828="AC",1,(IF(E1828="AT",2,(IF(E1828="DS",3,(IF(E1828="IP",4,(IF(E1828="MA",5,(IF(E1828="PT",6,(IF(E1828="AE",1,(IF(E1828="CM",2,(IF(E1828="DP",3,(IF(E1828="AN",1,(IF(E1828="CO",2,(IF(E1828="IM",3,(IF(E1828="MI",4,(IF(E1828="RP",5,(IF(E1828="SC",6,0)))))))))))))))))))))))))))))))))))))))</f>
        <v>3</v>
      </c>
      <c r="G1828" s="52">
        <v>1</v>
      </c>
      <c r="H1828" s="90" t="s">
        <v>115</v>
      </c>
      <c r="I1828" s="93" t="s">
        <v>85</v>
      </c>
      <c r="J1828" s="87" t="s">
        <v>1342</v>
      </c>
      <c r="K1828" s="119" t="s">
        <v>2400</v>
      </c>
      <c r="L1828" s="117">
        <f>IF(O1828="","",N1828*O1828*M1828)</f>
        <v>0</v>
      </c>
      <c r="M1828" s="108">
        <v>1</v>
      </c>
      <c r="N1828" s="95">
        <v>1</v>
      </c>
      <c r="O1828" s="109">
        <f>IF(Key!D$1="ON",P1828,IF(SUM(Q1828:DL1828)&lt;1,"",SUM(Q1828:DL1828)/COUNTIF(Q1828:DL1828,"&gt;0")))</f>
        <v>0</v>
      </c>
      <c r="P1828" s="109">
        <f>SUMIFS(Q1828:DK1828,Q$1:DK$1,Dashboard!$K$31)</f>
        <v>0</v>
      </c>
      <c r="U1828" s="95">
        <v>33</v>
      </c>
      <c r="AA1828" s="95">
        <v>25</v>
      </c>
      <c r="AH1828" s="95">
        <v>75</v>
      </c>
    </row>
    <row r="1829" spans="1:34" ht="15.6" x14ac:dyDescent="0.3">
      <c r="A1829" s="89" t="str">
        <f>CONCATENATE(D1829,".",F1829,"-",G1829,".",H1829,"")</f>
        <v>2.3-1.1</v>
      </c>
      <c r="B1829" s="89" t="str">
        <f>IF(CONCATENATE(I1829,Key!F$2)=CONCATENATE(INDEX(Dashboard!J:J,MATCH(I1829,Dashboard!J:J,0),1),INDEX(Dashboard!J:K,MATCH(I1829,Dashboard!J:J,0),2)),"ON",IF(Dashboard!K$32="ALL","ON","-"))</f>
        <v>-</v>
      </c>
      <c r="C1829" s="88" t="s">
        <v>152</v>
      </c>
      <c r="D1829" s="89">
        <f>IF(C1829="ID",1,(IF(C1829="PR",2,(IF(C1829="DE",3,(IF(C1829="RS",4,(IF(C1829="RC",5,0)))))))))</f>
        <v>2</v>
      </c>
      <c r="E1829" s="89" t="s">
        <v>210</v>
      </c>
      <c r="F1829" s="89">
        <f>IF(E1829="AM",1,(IF(E1829="BE",2,(IF(E1829="GV",3,(IF(E1829="RA",4,(IF(E1829="RM",5,(IF(E1829="AC",1,(IF(E1829="AT",2,(IF(E1829="DS",3,(IF(E1829="IP",4,(IF(E1829="MA",5,(IF(E1829="PT",6,(IF(E1829="AE",1,(IF(E1829="CM",2,(IF(E1829="DP",3,(IF(E1829="AN",1,(IF(E1829="CO",2,(IF(E1829="IM",3,(IF(E1829="MI",4,(IF(E1829="RP",5,(IF(E1829="SC",6,0)))))))))))))))))))))))))))))))))))))))</f>
        <v>3</v>
      </c>
      <c r="G1829" s="52">
        <v>1</v>
      </c>
      <c r="H1829" s="90" t="s">
        <v>115</v>
      </c>
      <c r="I1829" s="93" t="s">
        <v>85</v>
      </c>
      <c r="J1829" s="86" t="s">
        <v>1338</v>
      </c>
      <c r="K1829" s="119" t="s">
        <v>4586</v>
      </c>
      <c r="L1829" s="117">
        <f>IF(O1829="","",N1829*O1829*M1829)</f>
        <v>0</v>
      </c>
      <c r="M1829" s="108">
        <v>1</v>
      </c>
      <c r="N1829" s="95">
        <v>1</v>
      </c>
      <c r="O1829" s="109">
        <f>IF(Key!D$1="ON",P1829,IF(SUM(Q1829:DL1829)&lt;1,"",SUM(Q1829:DL1829)/COUNTIF(Q1829:DL1829,"&gt;0")))</f>
        <v>0</v>
      </c>
      <c r="P1829" s="109">
        <f>SUMIFS(Q1829:DK1829,Q$1:DK$1,Dashboard!$K$31)</f>
        <v>0</v>
      </c>
      <c r="U1829" s="95">
        <v>33</v>
      </c>
      <c r="AA1829" s="95">
        <v>25</v>
      </c>
      <c r="AH1829" s="95">
        <v>75</v>
      </c>
    </row>
    <row r="1830" spans="1:34" ht="15.6" x14ac:dyDescent="0.3">
      <c r="A1830" s="89" t="str">
        <f>CONCATENATE(D1830,".",F1830,"-",G1830,".",H1830,"")</f>
        <v>2.3-1.1</v>
      </c>
      <c r="B1830" s="89" t="str">
        <f>IF(CONCATENATE(I1830,Key!F$2)=CONCATENATE(INDEX(Dashboard!J:J,MATCH(I1830,Dashboard!J:J,0),1),INDEX(Dashboard!J:K,MATCH(I1830,Dashboard!J:J,0),2)),"ON",IF(Dashboard!K$32="ALL","ON","-"))</f>
        <v>-</v>
      </c>
      <c r="C1830" s="88" t="s">
        <v>152</v>
      </c>
      <c r="D1830" s="89">
        <f>IF(C1830="ID",1,(IF(C1830="PR",2,(IF(C1830="DE",3,(IF(C1830="RS",4,(IF(C1830="RC",5,0)))))))))</f>
        <v>2</v>
      </c>
      <c r="E1830" s="89" t="s">
        <v>210</v>
      </c>
      <c r="F1830" s="89">
        <f>IF(E1830="AM",1,(IF(E1830="BE",2,(IF(E1830="GV",3,(IF(E1830="RA",4,(IF(E1830="RM",5,(IF(E1830="AC",1,(IF(E1830="AT",2,(IF(E1830="DS",3,(IF(E1830="IP",4,(IF(E1830="MA",5,(IF(E1830="PT",6,(IF(E1830="AE",1,(IF(E1830="CM",2,(IF(E1830="DP",3,(IF(E1830="AN",1,(IF(E1830="CO",2,(IF(E1830="IM",3,(IF(E1830="MI",4,(IF(E1830="RP",5,(IF(E1830="SC",6,0)))))))))))))))))))))))))))))))))))))))</f>
        <v>3</v>
      </c>
      <c r="G1830" s="52">
        <v>1</v>
      </c>
      <c r="H1830" s="90" t="s">
        <v>115</v>
      </c>
      <c r="I1830" s="93" t="s">
        <v>85</v>
      </c>
      <c r="J1830" s="87" t="s">
        <v>1343</v>
      </c>
      <c r="K1830" s="119" t="s">
        <v>5058</v>
      </c>
      <c r="L1830" s="117">
        <f>IF(O1830="","",N1830*O1830*M1830)</f>
        <v>0</v>
      </c>
      <c r="M1830" s="108">
        <v>1</v>
      </c>
      <c r="N1830" s="95">
        <v>1</v>
      </c>
      <c r="O1830" s="109">
        <f>IF(Key!D$1="ON",P1830,IF(SUM(Q1830:DL1830)&lt;1,"",SUM(Q1830:DL1830)/COUNTIF(Q1830:DL1830,"&gt;0")))</f>
        <v>0</v>
      </c>
      <c r="P1830" s="109">
        <f>SUMIFS(Q1830:DK1830,Q$1:DK$1,Dashboard!$K$31)</f>
        <v>0</v>
      </c>
      <c r="U1830" s="95">
        <v>33</v>
      </c>
      <c r="AA1830" s="95">
        <v>25</v>
      </c>
      <c r="AH1830" s="95">
        <v>75</v>
      </c>
    </row>
    <row r="1831" spans="1:34" ht="15.6" x14ac:dyDescent="0.3">
      <c r="A1831" s="89" t="str">
        <f>CONCATENATE(D1831,".",F1831,"-",G1831,".",H1831,"")</f>
        <v>2.3-1.1</v>
      </c>
      <c r="B1831" s="89" t="str">
        <f>IF(CONCATENATE(I1831,Key!F$2)=CONCATENATE(INDEX(Dashboard!J:J,MATCH(I1831,Dashboard!J:J,0),1),INDEX(Dashboard!J:K,MATCH(I1831,Dashboard!J:J,0),2)),"ON",IF(Dashboard!K$32="ALL","ON","-"))</f>
        <v>-</v>
      </c>
      <c r="C1831" s="96" t="s">
        <v>152</v>
      </c>
      <c r="D1831" s="89">
        <f>IF(C1831="ID",1,(IF(C1831="PR",2,(IF(C1831="DE",3,(IF(C1831="RS",4,(IF(C1831="RC",5,0)))))))))</f>
        <v>2</v>
      </c>
      <c r="E1831" s="89" t="s">
        <v>210</v>
      </c>
      <c r="F1831" s="89">
        <f>IF(E1831="AM",1,(IF(E1831="BE",2,(IF(E1831="GV",3,(IF(E1831="RA",4,(IF(E1831="RM",5,(IF(E1831="AC",1,(IF(E1831="AT",2,(IF(E1831="DS",3,(IF(E1831="IP",4,(IF(E1831="MA",5,(IF(E1831="PT",6,(IF(E1831="AE",1,(IF(E1831="CM",2,(IF(E1831="DP",3,(IF(E1831="AN",1,(IF(E1831="CO",2,(IF(E1831="IM",3,(IF(E1831="MI",4,(IF(E1831="RP",5,(IF(E1831="SC",6,0)))))))))))))))))))))))))))))))))))))))</f>
        <v>3</v>
      </c>
      <c r="G1831" s="98">
        <v>1</v>
      </c>
      <c r="H1831" s="90" t="s">
        <v>115</v>
      </c>
      <c r="I1831" s="93" t="s">
        <v>85</v>
      </c>
      <c r="J1831" s="87" t="s">
        <v>1340</v>
      </c>
      <c r="K1831" s="119" t="s">
        <v>1341</v>
      </c>
      <c r="L1831" s="117">
        <f>IF(O1831="","",N1831*O1831*M1831)</f>
        <v>0</v>
      </c>
      <c r="M1831" s="108">
        <v>1</v>
      </c>
      <c r="N1831" s="95">
        <v>1</v>
      </c>
      <c r="O1831" s="109">
        <f>IF(Key!D$1="ON",P1831,IF(SUM(Q1831:DL1831)&lt;1,"",SUM(Q1831:DL1831)/COUNTIF(Q1831:DL1831,"&gt;0")))</f>
        <v>0</v>
      </c>
      <c r="P1831" s="109">
        <f>SUMIFS(Q1831:DK1831,Q$1:DK$1,Dashboard!$K$31)</f>
        <v>0</v>
      </c>
      <c r="U1831" s="95">
        <v>33</v>
      </c>
      <c r="AA1831" s="95">
        <v>25</v>
      </c>
      <c r="AH1831" s="95">
        <v>75</v>
      </c>
    </row>
    <row r="1832" spans="1:34" ht="15.6" x14ac:dyDescent="0.3">
      <c r="A1832" s="89" t="str">
        <f>CONCATENATE(D1832,".",F1832,"-",G1832,".",H1832,"")</f>
        <v>2.3-1.1</v>
      </c>
      <c r="B1832" s="89" t="str">
        <f>IF(CONCATENATE(I1832,Key!F$2)=CONCATENATE(INDEX(Dashboard!J:J,MATCH(I1832,Dashboard!J:J,0),1),INDEX(Dashboard!J:K,MATCH(I1832,Dashboard!J:J,0),2)),"ON",IF(Dashboard!K$32="ALL","ON","-"))</f>
        <v>-</v>
      </c>
      <c r="C1832" s="88" t="s">
        <v>152</v>
      </c>
      <c r="D1832" s="89">
        <f>IF(C1832="ID",1,(IF(C1832="PR",2,(IF(C1832="DE",3,(IF(C1832="RS",4,(IF(C1832="RC",5,0)))))))))</f>
        <v>2</v>
      </c>
      <c r="E1832" s="89" t="s">
        <v>210</v>
      </c>
      <c r="F1832" s="89">
        <f>IF(E1832="AM",1,(IF(E1832="BE",2,(IF(E1832="GV",3,(IF(E1832="RA",4,(IF(E1832="RM",5,(IF(E1832="AC",1,(IF(E1832="AT",2,(IF(E1832="DS",3,(IF(E1832="IP",4,(IF(E1832="MA",5,(IF(E1832="PT",6,(IF(E1832="AE",1,(IF(E1832="CM",2,(IF(E1832="DP",3,(IF(E1832="AN",1,(IF(E1832="CO",2,(IF(E1832="IM",3,(IF(E1832="MI",4,(IF(E1832="RP",5,(IF(E1832="SC",6,0)))))))))))))))))))))))))))))))))))))))</f>
        <v>3</v>
      </c>
      <c r="G1832" s="52">
        <v>1</v>
      </c>
      <c r="H1832" s="90" t="s">
        <v>115</v>
      </c>
      <c r="I1832" s="93" t="s">
        <v>85</v>
      </c>
      <c r="J1832" s="87" t="s">
        <v>936</v>
      </c>
      <c r="K1832" s="119" t="s">
        <v>4585</v>
      </c>
      <c r="L1832" s="117">
        <f>IF(O1832="","",N1832*O1832*M1832)</f>
        <v>0</v>
      </c>
      <c r="M1832" s="108">
        <v>1</v>
      </c>
      <c r="N1832" s="95">
        <v>1</v>
      </c>
      <c r="O1832" s="109">
        <f>IF(Key!D$1="ON",P1832,IF(SUM(Q1832:DL1832)&lt;1,"",SUM(Q1832:DL1832)/COUNTIF(Q1832:DL1832,"&gt;0")))</f>
        <v>0</v>
      </c>
      <c r="P1832" s="109">
        <f>SUMIFS(Q1832:DK1832,Q$1:DK$1,Dashboard!$K$31)</f>
        <v>0</v>
      </c>
      <c r="U1832" s="95">
        <v>33</v>
      </c>
      <c r="AA1832" s="95">
        <v>25</v>
      </c>
      <c r="AH1832" s="95">
        <v>75</v>
      </c>
    </row>
    <row r="1833" spans="1:34" ht="15.6" x14ac:dyDescent="0.3">
      <c r="A1833" s="89" t="str">
        <f>CONCATENATE(D1833,".",F1833,"-",G1833,".",H1833,"")</f>
        <v>2.3-1.1</v>
      </c>
      <c r="B1833" s="89" t="str">
        <f>IF(CONCATENATE(I1833,Key!F$2)=CONCATENATE(INDEX(Dashboard!J:J,MATCH(I1833,Dashboard!J:J,0),1),INDEX(Dashboard!J:K,MATCH(I1833,Dashboard!J:J,0),2)),"ON",IF(Dashboard!K$32="ALL","ON","-"))</f>
        <v>-</v>
      </c>
      <c r="C1833" s="88" t="s">
        <v>152</v>
      </c>
      <c r="D1833" s="89">
        <f>IF(C1833="ID",1,(IF(C1833="PR",2,(IF(C1833="DE",3,(IF(C1833="RS",4,(IF(C1833="RC",5,0)))))))))</f>
        <v>2</v>
      </c>
      <c r="E1833" s="89" t="s">
        <v>210</v>
      </c>
      <c r="F1833" s="89">
        <f>IF(E1833="AM",1,(IF(E1833="BE",2,(IF(E1833="GV",3,(IF(E1833="RA",4,(IF(E1833="RM",5,(IF(E1833="AC",1,(IF(E1833="AT",2,(IF(E1833="DS",3,(IF(E1833="IP",4,(IF(E1833="MA",5,(IF(E1833="PT",6,(IF(E1833="AE",1,(IF(E1833="CM",2,(IF(E1833="DP",3,(IF(E1833="AN",1,(IF(E1833="CO",2,(IF(E1833="IM",3,(IF(E1833="MI",4,(IF(E1833="RP",5,(IF(E1833="SC",6,0)))))))))))))))))))))))))))))))))))))))</f>
        <v>3</v>
      </c>
      <c r="G1833" s="52">
        <v>1</v>
      </c>
      <c r="H1833" s="89">
        <v>1</v>
      </c>
      <c r="I1833" s="93" t="s">
        <v>85</v>
      </c>
      <c r="J1833" s="135" t="s">
        <v>708</v>
      </c>
      <c r="K1833" s="143" t="s">
        <v>709</v>
      </c>
      <c r="L1833" s="117">
        <f>IF(O1833="","",N1833*O1833*M1833)</f>
        <v>0</v>
      </c>
      <c r="M1833" s="108">
        <v>1</v>
      </c>
      <c r="N1833" s="95">
        <v>1</v>
      </c>
      <c r="O1833" s="109">
        <f>IF(Key!D$1="ON",P1833,IF(SUM(Q1833:DL1833)&lt;1,"",SUM(Q1833:DL1833)/COUNTIF(Q1833:DL1833,"&gt;0")))</f>
        <v>0</v>
      </c>
      <c r="P1833" s="109">
        <f>SUMIFS(Q1833:DK1833,Q$1:DK$1,Dashboard!$K$31)</f>
        <v>0</v>
      </c>
      <c r="U1833" s="95">
        <v>33</v>
      </c>
      <c r="AA1833" s="95">
        <v>25</v>
      </c>
      <c r="AH1833" s="95">
        <v>75</v>
      </c>
    </row>
    <row r="1834" spans="1:34" ht="15.6" x14ac:dyDescent="0.3">
      <c r="A1834" s="89" t="str">
        <f>CONCATENATE(D1834,".",F1834,"-",G1834,".",H1834,"")</f>
        <v>2.3-1.1</v>
      </c>
      <c r="B1834" s="89" t="str">
        <f>IF(CONCATENATE(I1834,Key!F$2)=CONCATENATE(INDEX(Dashboard!J:J,MATCH(I1834,Dashboard!J:J,0),1),INDEX(Dashboard!J:K,MATCH(I1834,Dashboard!J:J,0),2)),"ON",IF(Dashboard!K$32="ALL","ON","-"))</f>
        <v>-</v>
      </c>
      <c r="C1834" s="88" t="s">
        <v>152</v>
      </c>
      <c r="D1834" s="89">
        <f>IF(C1834="ID",1,(IF(C1834="PR",2,(IF(C1834="DE",3,(IF(C1834="RS",4,(IF(C1834="RC",5,0)))))))))</f>
        <v>2</v>
      </c>
      <c r="E1834" s="89" t="s">
        <v>210</v>
      </c>
      <c r="F1834" s="89">
        <f>IF(E1834="AM",1,(IF(E1834="BE",2,(IF(E1834="GV",3,(IF(E1834="RA",4,(IF(E1834="RM",5,(IF(E1834="AC",1,(IF(E1834="AT",2,(IF(E1834="DS",3,(IF(E1834="IP",4,(IF(E1834="MA",5,(IF(E1834="PT",6,(IF(E1834="AE",1,(IF(E1834="CM",2,(IF(E1834="DP",3,(IF(E1834="AN",1,(IF(E1834="CO",2,(IF(E1834="IM",3,(IF(E1834="MI",4,(IF(E1834="RP",5,(IF(E1834="SC",6,0)))))))))))))))))))))))))))))))))))))))</f>
        <v>3</v>
      </c>
      <c r="G1834" s="52">
        <v>1</v>
      </c>
      <c r="H1834" s="90" t="s">
        <v>115</v>
      </c>
      <c r="I1834" s="93" t="s">
        <v>85</v>
      </c>
      <c r="J1834" s="135" t="s">
        <v>827</v>
      </c>
      <c r="K1834" s="143" t="s">
        <v>5059</v>
      </c>
      <c r="L1834" s="117">
        <f>IF(O1834="","",N1834*O1834*M1834)</f>
        <v>0</v>
      </c>
      <c r="M1834" s="108">
        <v>1</v>
      </c>
      <c r="N1834" s="95">
        <v>1</v>
      </c>
      <c r="O1834" s="109">
        <f>IF(Key!D$1="ON",P1834,IF(SUM(Q1834:DL1834)&lt;1,"",SUM(Q1834:DL1834)/COUNTIF(Q1834:DL1834,"&gt;0")))</f>
        <v>0</v>
      </c>
      <c r="P1834" s="109">
        <f>SUMIFS(Q1834:DK1834,Q$1:DK$1,Dashboard!$K$31)</f>
        <v>0</v>
      </c>
      <c r="U1834" s="95">
        <v>33</v>
      </c>
      <c r="AA1834" s="95">
        <v>25</v>
      </c>
      <c r="AH1834" s="95">
        <v>75</v>
      </c>
    </row>
    <row r="1835" spans="1:34" ht="15.6" x14ac:dyDescent="0.3">
      <c r="A1835" s="89" t="str">
        <f>CONCATENATE(D1835,".",F1835,"-",G1835,".",H1835,"")</f>
        <v>2.3-1.1</v>
      </c>
      <c r="B1835" s="89" t="str">
        <f>IF(CONCATENATE(I1835,Key!F$2)=CONCATENATE(INDEX(Dashboard!J:J,MATCH(I1835,Dashboard!J:J,0),1),INDEX(Dashboard!J:K,MATCH(I1835,Dashboard!J:J,0),2)),"ON",IF(Dashboard!K$32="ALL","ON","-"))</f>
        <v>-</v>
      </c>
      <c r="C1835" s="88" t="s">
        <v>152</v>
      </c>
      <c r="D1835" s="89">
        <f>IF(C1835="ID",1,(IF(C1835="PR",2,(IF(C1835="DE",3,(IF(C1835="RS",4,(IF(C1835="RC",5,0)))))))))</f>
        <v>2</v>
      </c>
      <c r="E1835" s="89" t="s">
        <v>210</v>
      </c>
      <c r="F1835" s="89">
        <f>IF(E1835="AM",1,(IF(E1835="BE",2,(IF(E1835="GV",3,(IF(E1835="RA",4,(IF(E1835="RM",5,(IF(E1835="AC",1,(IF(E1835="AT",2,(IF(E1835="DS",3,(IF(E1835="IP",4,(IF(E1835="MA",5,(IF(E1835="PT",6,(IF(E1835="AE",1,(IF(E1835="CM",2,(IF(E1835="DP",3,(IF(E1835="AN",1,(IF(E1835="CO",2,(IF(E1835="IM",3,(IF(E1835="MI",4,(IF(E1835="RP",5,(IF(E1835="SC",6,0)))))))))))))))))))))))))))))))))))))))</f>
        <v>3</v>
      </c>
      <c r="G1835" s="52">
        <v>1</v>
      </c>
      <c r="H1835" s="90" t="s">
        <v>115</v>
      </c>
      <c r="I1835" s="93" t="s">
        <v>89</v>
      </c>
      <c r="J1835" s="88">
        <v>500.15</v>
      </c>
      <c r="K1835" s="102" t="s">
        <v>551</v>
      </c>
      <c r="L1835" s="117">
        <f>IF(O1835="","",N1835*O1835*M1835)</f>
        <v>0</v>
      </c>
      <c r="M1835" s="108">
        <v>1</v>
      </c>
      <c r="N1835" s="95">
        <v>1</v>
      </c>
      <c r="O1835" s="109">
        <f>IF(Key!D$1="ON",P1835,IF(SUM(Q1835:DL1835)&lt;1,"",SUM(Q1835:DL1835)/COUNTIF(Q1835:DL1835,"&gt;0")))</f>
        <v>0</v>
      </c>
      <c r="P1835" s="109">
        <f>SUMIFS(Q1835:DK1835,Q$1:DK$1,Dashboard!$K$31)</f>
        <v>0</v>
      </c>
      <c r="U1835" s="95">
        <v>33</v>
      </c>
      <c r="AA1835" s="95">
        <v>25</v>
      </c>
      <c r="AH1835" s="95">
        <v>75</v>
      </c>
    </row>
    <row r="1836" spans="1:34" x14ac:dyDescent="0.3">
      <c r="A1836" s="89" t="str">
        <f>CONCATENATE(D1836,".",F1836,"-",G1836,".",H1836,"")</f>
        <v>2.3-1.1</v>
      </c>
      <c r="B1836" s="89" t="str">
        <f>IF(CONCATENATE(I1836,Key!F$2)=CONCATENATE(INDEX(Dashboard!J:J,MATCH(I1836,Dashboard!J:J,0),1),INDEX(Dashboard!J:K,MATCH(I1836,Dashboard!J:J,0),2)),"ON",IF(Dashboard!K$32="ALL","ON","-"))</f>
        <v>-</v>
      </c>
      <c r="C1836" s="88" t="s">
        <v>152</v>
      </c>
      <c r="D1836" s="89">
        <f>IF(C1836="ID",1,(IF(C1836="PR",2,(IF(C1836="DE",3,(IF(C1836="RS",4,(IF(C1836="RC",5,0)))))))))</f>
        <v>2</v>
      </c>
      <c r="E1836" s="89" t="s">
        <v>210</v>
      </c>
      <c r="F1836" s="89">
        <f>IF(E1836="AM",1,(IF(E1836="BE",2,(IF(E1836="GV",3,(IF(E1836="RA",4,(IF(E1836="RM",5,(IF(E1836="AC",1,(IF(E1836="AT",2,(IF(E1836="DS",3,(IF(E1836="IP",4,(IF(E1836="MA",5,(IF(E1836="PT",6,(IF(E1836="AE",1,(IF(E1836="CM",2,(IF(E1836="DP",3,(IF(E1836="AN",1,(IF(E1836="CO",2,(IF(E1836="IM",3,(IF(E1836="MI",4,(IF(E1836="RP",5,(IF(E1836="SC",6,0)))))))))))))))))))))))))))))))))))))))</f>
        <v>3</v>
      </c>
      <c r="G1836" s="52">
        <v>1</v>
      </c>
      <c r="H1836" s="90" t="s">
        <v>115</v>
      </c>
      <c r="I1836" s="93" t="s">
        <v>89</v>
      </c>
      <c r="J1836" s="88" t="s">
        <v>552</v>
      </c>
      <c r="K1836" s="102" t="s">
        <v>553</v>
      </c>
      <c r="L1836" s="117">
        <f>IF(O1836="","",N1836*O1836*M1836)</f>
        <v>0</v>
      </c>
      <c r="M1836" s="108">
        <v>1</v>
      </c>
      <c r="N1836" s="95">
        <v>1</v>
      </c>
      <c r="O1836" s="109">
        <f>IF(Key!D$1="ON",P1836,IF(SUM(Q1836:DL1836)&lt;1,"",SUM(Q1836:DL1836)/COUNTIF(Q1836:DL1836,"&gt;0")))</f>
        <v>0</v>
      </c>
      <c r="P1836" s="109">
        <f>SUMIFS(Q1836:DK1836,Q$1:DK$1,Dashboard!$K$31)</f>
        <v>0</v>
      </c>
      <c r="U1836" s="95">
        <v>33</v>
      </c>
      <c r="AA1836" s="95">
        <v>25</v>
      </c>
      <c r="AH1836" s="95">
        <v>75</v>
      </c>
    </row>
    <row r="1837" spans="1:34" ht="15.6" x14ac:dyDescent="0.3">
      <c r="A1837" s="89" t="str">
        <f>CONCATENATE(D1837,".",F1837,"-",G1837,".",H1837,"")</f>
        <v>2.3-1.1</v>
      </c>
      <c r="B1837" s="89" t="str">
        <f>IF(CONCATENATE(I1837,Key!F$2)=CONCATENATE(INDEX(Dashboard!J:J,MATCH(I1837,Dashboard!J:J,0),1),INDEX(Dashboard!J:K,MATCH(I1837,Dashboard!J:J,0),2)),"ON",IF(Dashboard!K$32="ALL","ON","-"))</f>
        <v>-</v>
      </c>
      <c r="C1837" s="88" t="s">
        <v>152</v>
      </c>
      <c r="D1837" s="89">
        <f>IF(C1837="ID",1,(IF(C1837="PR",2,(IF(C1837="DE",3,(IF(C1837="RS",4,(IF(C1837="RC",5,0)))))))))</f>
        <v>2</v>
      </c>
      <c r="E1837" s="89" t="s">
        <v>210</v>
      </c>
      <c r="F1837" s="89">
        <f>IF(E1837="AM",1,(IF(E1837="BE",2,(IF(E1837="GV",3,(IF(E1837="RA",4,(IF(E1837="RM",5,(IF(E1837="AC",1,(IF(E1837="AT",2,(IF(E1837="DS",3,(IF(E1837="IP",4,(IF(E1837="MA",5,(IF(E1837="PT",6,(IF(E1837="AE",1,(IF(E1837="CM",2,(IF(E1837="DP",3,(IF(E1837="AN",1,(IF(E1837="CO",2,(IF(E1837="IM",3,(IF(E1837="MI",4,(IF(E1837="RP",5,(IF(E1837="SC",6,0)))))))))))))))))))))))))))))))))))))))</f>
        <v>3</v>
      </c>
      <c r="G1837" s="52">
        <v>1</v>
      </c>
      <c r="H1837" s="90" t="s">
        <v>115</v>
      </c>
      <c r="I1837" s="93" t="s">
        <v>89</v>
      </c>
      <c r="J1837" s="88" t="s">
        <v>554</v>
      </c>
      <c r="K1837" s="102" t="s">
        <v>555</v>
      </c>
      <c r="L1837" s="117">
        <f>IF(O1837="","",N1837*O1837*M1837)</f>
        <v>0</v>
      </c>
      <c r="M1837" s="108">
        <v>1</v>
      </c>
      <c r="N1837" s="95">
        <v>1</v>
      </c>
      <c r="O1837" s="109">
        <f>IF(Key!D$1="ON",P1837,IF(SUM(Q1837:DL1837)&lt;1,"",SUM(Q1837:DL1837)/COUNTIF(Q1837:DL1837,"&gt;0")))</f>
        <v>0</v>
      </c>
      <c r="P1837" s="109">
        <f>SUMIFS(Q1837:DK1837,Q$1:DK$1,Dashboard!$K$31)</f>
        <v>0</v>
      </c>
      <c r="U1837" s="95">
        <v>33</v>
      </c>
      <c r="AA1837" s="95">
        <v>25</v>
      </c>
      <c r="AH1837" s="95">
        <v>75</v>
      </c>
    </row>
    <row r="1838" spans="1:34" ht="15.6" x14ac:dyDescent="0.3">
      <c r="A1838" s="89" t="str">
        <f>CONCATENATE(D1838,".",F1838,"-",G1838,".",H1838,"")</f>
        <v>2.3-1.1</v>
      </c>
      <c r="B1838" s="89" t="str">
        <f>IF(CONCATENATE(I1838,Key!F$2)=CONCATENATE(INDEX(Dashboard!J:J,MATCH(I1838,Dashboard!J:J,0),1),INDEX(Dashboard!J:K,MATCH(I1838,Dashboard!J:J,0),2)),"ON",IF(Dashboard!K$32="ALL","ON","-"))</f>
        <v>-</v>
      </c>
      <c r="C1838" s="88" t="s">
        <v>152</v>
      </c>
      <c r="D1838" s="89">
        <f>IF(C1838="ID",1,(IF(C1838="PR",2,(IF(C1838="DE",3,(IF(C1838="RS",4,(IF(C1838="RC",5,0)))))))))</f>
        <v>2</v>
      </c>
      <c r="E1838" s="89" t="s">
        <v>210</v>
      </c>
      <c r="F1838" s="89">
        <f>IF(E1838="AM",1,(IF(E1838="BE",2,(IF(E1838="GV",3,(IF(E1838="RA",4,(IF(E1838="RM",5,(IF(E1838="AC",1,(IF(E1838="AT",2,(IF(E1838="DS",3,(IF(E1838="IP",4,(IF(E1838="MA",5,(IF(E1838="PT",6,(IF(E1838="AE",1,(IF(E1838="CM",2,(IF(E1838="DP",3,(IF(E1838="AN",1,(IF(E1838="CO",2,(IF(E1838="IM",3,(IF(E1838="MI",4,(IF(E1838="RP",5,(IF(E1838="SC",6,0)))))))))))))))))))))))))))))))))))))))</f>
        <v>3</v>
      </c>
      <c r="G1838" s="52">
        <v>1</v>
      </c>
      <c r="H1838" s="90" t="s">
        <v>115</v>
      </c>
      <c r="I1838" s="94" t="s">
        <v>92</v>
      </c>
      <c r="J1838" s="88">
        <v>3</v>
      </c>
      <c r="K1838" s="102" t="s">
        <v>5226</v>
      </c>
      <c r="L1838" s="117">
        <f>IF(O1838="","",N1838*O1838*M1838)</f>
        <v>0</v>
      </c>
      <c r="M1838" s="108">
        <v>1</v>
      </c>
      <c r="N1838" s="95">
        <v>1</v>
      </c>
      <c r="O1838" s="109">
        <f>IF(Key!D$1="ON",P1838,IF(SUM(Q1838:DL1838)&lt;1,"",SUM(Q1838:DL1838)/COUNTIF(Q1838:DL1838,"&gt;0")))</f>
        <v>0</v>
      </c>
      <c r="P1838" s="109">
        <f>SUMIFS(Q1838:DK1838,Q$1:DK$1,Dashboard!$K$31)</f>
        <v>0</v>
      </c>
      <c r="U1838" s="95">
        <v>33</v>
      </c>
      <c r="AA1838" s="95">
        <v>25</v>
      </c>
      <c r="AH1838" s="95">
        <v>75</v>
      </c>
    </row>
    <row r="1839" spans="1:34" ht="15.6" x14ac:dyDescent="0.3">
      <c r="A1839" s="89" t="str">
        <f>CONCATENATE(D1839,".",F1839,"-",G1839,".",H1839,"")</f>
        <v>2.3-1.1</v>
      </c>
      <c r="B1839" s="89" t="str">
        <f>IF(CONCATENATE(I1839,Key!F$2)=CONCATENATE(INDEX(Dashboard!J:J,MATCH(I1839,Dashboard!J:J,0),1),INDEX(Dashboard!J:K,MATCH(I1839,Dashboard!J:J,0),2)),"ON",IF(Dashboard!K$32="ALL","ON","-"))</f>
        <v>-</v>
      </c>
      <c r="C1839" s="88" t="s">
        <v>152</v>
      </c>
      <c r="D1839" s="89">
        <f>IF(C1839="ID",1,(IF(C1839="PR",2,(IF(C1839="DE",3,(IF(C1839="RS",4,(IF(C1839="RC",5,0)))))))))</f>
        <v>2</v>
      </c>
      <c r="E1839" s="89" t="s">
        <v>210</v>
      </c>
      <c r="F1839" s="89">
        <f>IF(E1839="AM",1,(IF(E1839="BE",2,(IF(E1839="GV",3,(IF(E1839="RA",4,(IF(E1839="RM",5,(IF(E1839="AC",1,(IF(E1839="AT",2,(IF(E1839="DS",3,(IF(E1839="IP",4,(IF(E1839="MA",5,(IF(E1839="PT",6,(IF(E1839="AE",1,(IF(E1839="CM",2,(IF(E1839="DP",3,(IF(E1839="AN",1,(IF(E1839="CO",2,(IF(E1839="IM",3,(IF(E1839="MI",4,(IF(E1839="RP",5,(IF(E1839="SC",6,0)))))))))))))))))))))))))))))))))))))))</f>
        <v>3</v>
      </c>
      <c r="G1839" s="52">
        <v>1</v>
      </c>
      <c r="H1839" s="90" t="s">
        <v>115</v>
      </c>
      <c r="I1839" s="94" t="s">
        <v>92</v>
      </c>
      <c r="J1839" s="88">
        <v>3.2</v>
      </c>
      <c r="K1839" s="102" t="s">
        <v>5226</v>
      </c>
      <c r="L1839" s="117">
        <f>IF(O1839="","",N1839*O1839*M1839)</f>
        <v>0</v>
      </c>
      <c r="M1839" s="108">
        <v>1</v>
      </c>
      <c r="N1839" s="95">
        <v>1</v>
      </c>
      <c r="O1839" s="109">
        <f>IF(Key!D$1="ON",P1839,IF(SUM(Q1839:DL1839)&lt;1,"",SUM(Q1839:DL1839)/COUNTIF(Q1839:DL1839,"&gt;0")))</f>
        <v>0</v>
      </c>
      <c r="P1839" s="109">
        <f>SUMIFS(Q1839:DK1839,Q$1:DK$1,Dashboard!$K$31)</f>
        <v>0</v>
      </c>
      <c r="U1839" s="95">
        <v>33</v>
      </c>
      <c r="AA1839" s="95">
        <v>25</v>
      </c>
      <c r="AH1839" s="95">
        <v>75</v>
      </c>
    </row>
    <row r="1840" spans="1:34" ht="15.6" x14ac:dyDescent="0.3">
      <c r="A1840" s="89" t="str">
        <f>CONCATENATE(D1840,".",F1840,"-",G1840,".",H1840,"")</f>
        <v>2.3-1.1</v>
      </c>
      <c r="B1840" s="89" t="str">
        <f>IF(CONCATENATE(I1840,Key!F$2)=CONCATENATE(INDEX(Dashboard!J:J,MATCH(I1840,Dashboard!J:J,0),1),INDEX(Dashboard!J:K,MATCH(I1840,Dashboard!J:J,0),2)),"ON",IF(Dashboard!K$32="ALL","ON","-"))</f>
        <v>-</v>
      </c>
      <c r="C1840" s="88" t="s">
        <v>152</v>
      </c>
      <c r="D1840" s="89">
        <f>IF(C1840="ID",1,(IF(C1840="PR",2,(IF(C1840="DE",3,(IF(C1840="RS",4,(IF(C1840="RC",5,0)))))))))</f>
        <v>2</v>
      </c>
      <c r="E1840" s="89" t="s">
        <v>210</v>
      </c>
      <c r="F1840" s="89">
        <f>IF(E1840="AM",1,(IF(E1840="BE",2,(IF(E1840="GV",3,(IF(E1840="RA",4,(IF(E1840="RM",5,(IF(E1840="AC",1,(IF(E1840="AT",2,(IF(E1840="DS",3,(IF(E1840="IP",4,(IF(E1840="MA",5,(IF(E1840="PT",6,(IF(E1840="AE",1,(IF(E1840="CM",2,(IF(E1840="DP",3,(IF(E1840="AN",1,(IF(E1840="CO",2,(IF(E1840="IM",3,(IF(E1840="MI",4,(IF(E1840="RP",5,(IF(E1840="SC",6,0)))))))))))))))))))))))))))))))))))))))</f>
        <v>3</v>
      </c>
      <c r="G1840" s="52">
        <v>1</v>
      </c>
      <c r="H1840" s="90" t="s">
        <v>115</v>
      </c>
      <c r="I1840" s="94" t="s">
        <v>92</v>
      </c>
      <c r="J1840" s="88">
        <v>3.3</v>
      </c>
      <c r="K1840" s="102" t="s">
        <v>5226</v>
      </c>
      <c r="L1840" s="117">
        <f>IF(O1840="","",N1840*O1840*M1840)</f>
        <v>0</v>
      </c>
      <c r="M1840" s="108">
        <v>1</v>
      </c>
      <c r="N1840" s="95">
        <v>1</v>
      </c>
      <c r="O1840" s="109">
        <f>IF(Key!D$1="ON",P1840,IF(SUM(Q1840:DL1840)&lt;1,"",SUM(Q1840:DL1840)/COUNTIF(Q1840:DL1840,"&gt;0")))</f>
        <v>0</v>
      </c>
      <c r="P1840" s="109">
        <f>SUMIFS(Q1840:DK1840,Q$1:DK$1,Dashboard!$K$31)</f>
        <v>0</v>
      </c>
      <c r="U1840" s="95">
        <v>33</v>
      </c>
      <c r="AA1840" s="95">
        <v>25</v>
      </c>
      <c r="AH1840" s="95">
        <v>75</v>
      </c>
    </row>
    <row r="1841" spans="1:34" ht="15.6" x14ac:dyDescent="0.3">
      <c r="A1841" s="89" t="str">
        <f>CONCATENATE(D1841,".",F1841,"-",G1841,".",H1841,"")</f>
        <v>2.3-1.1</v>
      </c>
      <c r="B1841" s="89" t="str">
        <f>IF(CONCATENATE(I1841,Key!F$2)=CONCATENATE(INDEX(Dashboard!J:J,MATCH(I1841,Dashboard!J:J,0),1),INDEX(Dashboard!J:K,MATCH(I1841,Dashboard!J:J,0),2)),"ON",IF(Dashboard!K$32="ALL","ON","-"))</f>
        <v>-</v>
      </c>
      <c r="C1841" s="88" t="s">
        <v>152</v>
      </c>
      <c r="D1841" s="89">
        <f>IF(C1841="ID",1,(IF(C1841="PR",2,(IF(C1841="DE",3,(IF(C1841="RS",4,(IF(C1841="RC",5,0)))))))))</f>
        <v>2</v>
      </c>
      <c r="E1841" s="89" t="s">
        <v>210</v>
      </c>
      <c r="F1841" s="89">
        <f>IF(E1841="AM",1,(IF(E1841="BE",2,(IF(E1841="GV",3,(IF(E1841="RA",4,(IF(E1841="RM",5,(IF(E1841="AC",1,(IF(E1841="AT",2,(IF(E1841="DS",3,(IF(E1841="IP",4,(IF(E1841="MA",5,(IF(E1841="PT",6,(IF(E1841="AE",1,(IF(E1841="CM",2,(IF(E1841="DP",3,(IF(E1841="AN",1,(IF(E1841="CO",2,(IF(E1841="IM",3,(IF(E1841="MI",4,(IF(E1841="RP",5,(IF(E1841="SC",6,0)))))))))))))))))))))))))))))))))))))))</f>
        <v>3</v>
      </c>
      <c r="G1841" s="52">
        <v>1</v>
      </c>
      <c r="H1841" s="90" t="s">
        <v>115</v>
      </c>
      <c r="I1841" s="94" t="s">
        <v>92</v>
      </c>
      <c r="J1841" s="88">
        <v>3.4</v>
      </c>
      <c r="K1841" s="102" t="s">
        <v>5226</v>
      </c>
      <c r="L1841" s="117">
        <f>IF(O1841="","",N1841*O1841*M1841)</f>
        <v>0</v>
      </c>
      <c r="M1841" s="108">
        <v>1</v>
      </c>
      <c r="N1841" s="95">
        <v>1</v>
      </c>
      <c r="O1841" s="109">
        <f>IF(Key!D$1="ON",P1841,IF(SUM(Q1841:DL1841)&lt;1,"",SUM(Q1841:DL1841)/COUNTIF(Q1841:DL1841,"&gt;0")))</f>
        <v>0</v>
      </c>
      <c r="P1841" s="109">
        <f>SUMIFS(Q1841:DK1841,Q$1:DK$1,Dashboard!$K$31)</f>
        <v>0</v>
      </c>
      <c r="U1841" s="95">
        <v>33</v>
      </c>
      <c r="AA1841" s="95">
        <v>25</v>
      </c>
      <c r="AH1841" s="95">
        <v>75</v>
      </c>
    </row>
    <row r="1842" spans="1:34" ht="15.6" x14ac:dyDescent="0.3">
      <c r="A1842" s="89" t="str">
        <f>CONCATENATE(D1842,".",F1842,"-",G1842,".",H1842,"")</f>
        <v>2.3-1.1</v>
      </c>
      <c r="B1842" s="89" t="str">
        <f>IF(CONCATENATE(I1842,Key!F$2)=CONCATENATE(INDEX(Dashboard!J:J,MATCH(I1842,Dashboard!J:J,0),1),INDEX(Dashboard!J:K,MATCH(I1842,Dashboard!J:J,0),2)),"ON",IF(Dashboard!K$32="ALL","ON","-"))</f>
        <v>-</v>
      </c>
      <c r="C1842" s="88" t="s">
        <v>152</v>
      </c>
      <c r="D1842" s="89">
        <f>IF(C1842="ID",1,(IF(C1842="PR",2,(IF(C1842="DE",3,(IF(C1842="RS",4,(IF(C1842="RC",5,0)))))))))</f>
        <v>2</v>
      </c>
      <c r="E1842" s="89" t="s">
        <v>210</v>
      </c>
      <c r="F1842" s="89">
        <f>IF(E1842="AM",1,(IF(E1842="BE",2,(IF(E1842="GV",3,(IF(E1842="RA",4,(IF(E1842="RM",5,(IF(E1842="AC",1,(IF(E1842="AT",2,(IF(E1842="DS",3,(IF(E1842="IP",4,(IF(E1842="MA",5,(IF(E1842="PT",6,(IF(E1842="AE",1,(IF(E1842="CM",2,(IF(E1842="DP",3,(IF(E1842="AN",1,(IF(E1842="CO",2,(IF(E1842="IM",3,(IF(E1842="MI",4,(IF(E1842="RP",5,(IF(E1842="SC",6,0)))))))))))))))))))))))))))))))))))))))</f>
        <v>3</v>
      </c>
      <c r="G1842" s="52">
        <v>1</v>
      </c>
      <c r="H1842" s="90" t="s">
        <v>115</v>
      </c>
      <c r="I1842" s="94" t="s">
        <v>92</v>
      </c>
      <c r="J1842" s="88" t="s">
        <v>211</v>
      </c>
      <c r="K1842" s="102" t="s">
        <v>5226</v>
      </c>
      <c r="L1842" s="117">
        <f>IF(O1842="","",N1842*O1842*M1842)</f>
        <v>0</v>
      </c>
      <c r="M1842" s="108">
        <v>1</v>
      </c>
      <c r="N1842" s="95">
        <v>1</v>
      </c>
      <c r="O1842" s="109">
        <f>IF(Key!D$1="ON",P1842,IF(SUM(Q1842:DL1842)&lt;1,"",SUM(Q1842:DL1842)/COUNTIF(Q1842:DL1842,"&gt;0")))</f>
        <v>0</v>
      </c>
      <c r="P1842" s="109">
        <f>SUMIFS(Q1842:DK1842,Q$1:DK$1,Dashboard!$K$31)</f>
        <v>0</v>
      </c>
      <c r="U1842" s="95">
        <v>33</v>
      </c>
      <c r="AA1842" s="95">
        <v>25</v>
      </c>
      <c r="AH1842" s="95">
        <v>75</v>
      </c>
    </row>
    <row r="1843" spans="1:34" ht="15.6" x14ac:dyDescent="0.3">
      <c r="A1843" s="89" t="str">
        <f>CONCATENATE(D1843,".",F1843,"-",G1843,".",H1843,"")</f>
        <v>2.3-2.0</v>
      </c>
      <c r="B1843" s="89" t="str">
        <f>IF(CONCATENATE(I1843,Key!F$2)=CONCATENATE(INDEX(Dashboard!J:J,MATCH(I1843,Dashboard!J:J,0),1),INDEX(Dashboard!J:K,MATCH(I1843,Dashboard!J:J,0),2)),"ON",IF(Dashboard!K$32="ALL","ON","-"))</f>
        <v>-</v>
      </c>
      <c r="C1843" s="88" t="s">
        <v>152</v>
      </c>
      <c r="D1843" s="89">
        <f>IF(C1843="ID",1,(IF(C1843="PR",2,(IF(C1843="DE",3,(IF(C1843="RS",4,(IF(C1843="RC",5,0)))))))))</f>
        <v>2</v>
      </c>
      <c r="E1843" s="89" t="s">
        <v>210</v>
      </c>
      <c r="F1843" s="89">
        <f>IF(E1843="AM",1,(IF(E1843="BE",2,(IF(E1843="GV",3,(IF(E1843="RA",4,(IF(E1843="RM",5,(IF(E1843="AC",1,(IF(E1843="AT",2,(IF(E1843="DS",3,(IF(E1843="IP",4,(IF(E1843="MA",5,(IF(E1843="PT",6,(IF(E1843="AE",1,(IF(E1843="CM",2,(IF(E1843="DP",3,(IF(E1843="AN",1,(IF(E1843="CO",2,(IF(E1843="IM",3,(IF(E1843="MI",4,(IF(E1843="RP",5,(IF(E1843="SC",6,0)))))))))))))))))))))))))))))))))))))))</f>
        <v>3</v>
      </c>
      <c r="G1843" s="52">
        <v>2</v>
      </c>
      <c r="H1843" s="90" t="s">
        <v>347</v>
      </c>
      <c r="I1843" s="94" t="s">
        <v>2835</v>
      </c>
      <c r="J1843" s="53" t="s">
        <v>2945</v>
      </c>
      <c r="K1843" s="150" t="s">
        <v>2946</v>
      </c>
      <c r="L1843" s="117">
        <f>IF(O1843="","",N1843*O1843*M1843)</f>
        <v>0</v>
      </c>
      <c r="M1843" s="108">
        <v>1</v>
      </c>
      <c r="N1843" s="95">
        <v>1</v>
      </c>
      <c r="O1843" s="109">
        <f>IF(Key!D$1="ON",P1843,IF(SUM(Q1843:DL1843)&lt;1,"",SUM(Q1843:DL1843)/COUNTIF(Q1843:DL1843,"&gt;0")))</f>
        <v>0</v>
      </c>
      <c r="P1843" s="109">
        <f>SUMIFS(Q1843:DK1843,Q$1:DK$1,Dashboard!$K$31)</f>
        <v>0</v>
      </c>
      <c r="U1843" s="95">
        <v>33</v>
      </c>
    </row>
    <row r="1844" spans="1:34" ht="15.6" x14ac:dyDescent="0.3">
      <c r="A1844" s="89" t="str">
        <f>CONCATENATE(D1844,".",F1844,"-",G1844,".",H1844,"")</f>
        <v>2.3-2.1</v>
      </c>
      <c r="B1844" s="89" t="str">
        <f>IF(CONCATENATE(I1844,Key!F$2)=CONCATENATE(INDEX(Dashboard!J:J,MATCH(I1844,Dashboard!J:J,0),1),INDEX(Dashboard!J:K,MATCH(I1844,Dashboard!J:J,0),2)),"ON",IF(Dashboard!K$32="ALL","ON","-"))</f>
        <v>ON</v>
      </c>
      <c r="C1844" s="130" t="s">
        <v>152</v>
      </c>
      <c r="D1844" s="89">
        <f>IF(C1844="ID",1,(IF(C1844="PR",2,(IF(C1844="DE",3,(IF(C1844="RS",4,(IF(C1844="RC",5,0)))))))))</f>
        <v>2</v>
      </c>
      <c r="E1844" s="95" t="s">
        <v>210</v>
      </c>
      <c r="F1844" s="89">
        <f>IF(E1844="AM",1,(IF(E1844="BE",2,(IF(E1844="GV",3,(IF(E1844="RA",4,(IF(E1844="RM",5,(IF(E1844="AC",1,(IF(E1844="AT",2,(IF(E1844="DS",3,(IF(E1844="IP",4,(IF(E1844="MA",5,(IF(E1844="PT",6,(IF(E1844="AE",1,(IF(E1844="CM",2,(IF(E1844="DP",3,(IF(E1844="AN",1,(IF(E1844="CO",2,(IF(E1844="IM",3,(IF(E1844="MI",4,(IF(E1844="RP",5,(IF(E1844="SC",6,0)))))))))))))))))))))))))))))))))))))))</f>
        <v>3</v>
      </c>
      <c r="G1844" s="52">
        <v>2</v>
      </c>
      <c r="H1844" s="90" t="s">
        <v>115</v>
      </c>
      <c r="I1844" s="94" t="s">
        <v>4107</v>
      </c>
      <c r="J1844" s="86" t="s">
        <v>4071</v>
      </c>
      <c r="K1844" s="101" t="s">
        <v>4472</v>
      </c>
      <c r="L1844" s="117">
        <f>IF(O1844="","",N1844*O1844*M1844)</f>
        <v>0</v>
      </c>
      <c r="M1844" s="108">
        <v>1</v>
      </c>
      <c r="N1844" s="95">
        <v>1</v>
      </c>
      <c r="O1844" s="109">
        <f>IF(Key!D$1="ON",P1844,IF(SUM(Q1844:DL1844)&lt;1,"",SUM(Q1844:DL1844)/COUNTIF(Q1844:DL1844,"&gt;0")))</f>
        <v>0</v>
      </c>
      <c r="P1844" s="109">
        <f>SUMIFS(Q1844:DK1844,Q$1:DK$1,Dashboard!$K$31)</f>
        <v>0</v>
      </c>
      <c r="U1844" s="95">
        <v>33</v>
      </c>
      <c r="AA1844" s="95">
        <v>25</v>
      </c>
      <c r="AH1844" s="95">
        <v>75</v>
      </c>
    </row>
    <row r="1845" spans="1:34" ht="15.6" x14ac:dyDescent="0.3">
      <c r="A1845" s="89" t="str">
        <f>CONCATENATE(D1845,".",F1845,"-",G1845,".",H1845,"")</f>
        <v>2.3-2.1</v>
      </c>
      <c r="B1845" s="89" t="str">
        <f>IF(CONCATENATE(I1845,Key!F$2)=CONCATENATE(INDEX(Dashboard!J:J,MATCH(I1845,Dashboard!J:J,0),1),INDEX(Dashboard!J:K,MATCH(I1845,Dashboard!J:J,0),2)),"ON",IF(Dashboard!K$32="ALL","ON","-"))</f>
        <v>ON</v>
      </c>
      <c r="C1845" s="96" t="s">
        <v>152</v>
      </c>
      <c r="D1845" s="89">
        <f>IF(C1845="ID",1,(IF(C1845="PR",2,(IF(C1845="DE",3,(IF(C1845="RS",4,(IF(C1845="RC",5,0)))))))))</f>
        <v>2</v>
      </c>
      <c r="E1845" s="89" t="s">
        <v>210</v>
      </c>
      <c r="F1845" s="89">
        <f>IF(E1845="AM",1,(IF(E1845="BE",2,(IF(E1845="GV",3,(IF(E1845="RA",4,(IF(E1845="RM",5,(IF(E1845="AC",1,(IF(E1845="AT",2,(IF(E1845="DS",3,(IF(E1845="IP",4,(IF(E1845="MA",5,(IF(E1845="PT",6,(IF(E1845="AE",1,(IF(E1845="CM",2,(IF(E1845="DP",3,(IF(E1845="AN",1,(IF(E1845="CO",2,(IF(E1845="IM",3,(IF(E1845="MI",4,(IF(E1845="RP",5,(IF(E1845="SC",6,0)))))))))))))))))))))))))))))))))))))))</f>
        <v>3</v>
      </c>
      <c r="G1845" s="98">
        <v>2</v>
      </c>
      <c r="H1845" s="90" t="s">
        <v>115</v>
      </c>
      <c r="I1845" s="94" t="s">
        <v>4107</v>
      </c>
      <c r="J1845" s="86" t="s">
        <v>4101</v>
      </c>
      <c r="K1845" s="101" t="s">
        <v>4417</v>
      </c>
      <c r="L1845" s="117">
        <f>IF(O1845="","",N1845*O1845*M1845)</f>
        <v>0</v>
      </c>
      <c r="M1845" s="108">
        <v>1</v>
      </c>
      <c r="N1845" s="95">
        <v>1</v>
      </c>
      <c r="O1845" s="109">
        <f>IF(Key!D$1="ON",P1845,IF(SUM(Q1845:DL1845)&lt;1,"",SUM(Q1845:DL1845)/COUNTIF(Q1845:DL1845,"&gt;0")))</f>
        <v>0</v>
      </c>
      <c r="P1845" s="109">
        <f>SUMIFS(Q1845:DK1845,Q$1:DK$1,Dashboard!$K$31)</f>
        <v>0</v>
      </c>
      <c r="U1845" s="95">
        <v>33</v>
      </c>
      <c r="AA1845" s="95">
        <v>25</v>
      </c>
      <c r="AH1845" s="95">
        <v>75</v>
      </c>
    </row>
    <row r="1846" spans="1:34" ht="15.6" x14ac:dyDescent="0.3">
      <c r="A1846" s="89" t="str">
        <f>CONCATENATE(D1846,".",F1846,"-",G1846,".",H1846,"")</f>
        <v>2.3-2.1</v>
      </c>
      <c r="B1846" s="89" t="str">
        <f>IF(CONCATENATE(I1846,Key!F$2)=CONCATENATE(INDEX(Dashboard!J:J,MATCH(I1846,Dashboard!J:J,0),1),INDEX(Dashboard!J:K,MATCH(I1846,Dashboard!J:J,0),2)),"ON",IF(Dashboard!K$32="ALL","ON","-"))</f>
        <v>ON</v>
      </c>
      <c r="C1846" s="130" t="s">
        <v>152</v>
      </c>
      <c r="D1846" s="89">
        <f>IF(C1846="ID",1,(IF(C1846="PR",2,(IF(C1846="DE",3,(IF(C1846="RS",4,(IF(C1846="RC",5,0)))))))))</f>
        <v>2</v>
      </c>
      <c r="E1846" s="95" t="s">
        <v>210</v>
      </c>
      <c r="F1846" s="89">
        <f>IF(E1846="AM",1,(IF(E1846="BE",2,(IF(E1846="GV",3,(IF(E1846="RA",4,(IF(E1846="RM",5,(IF(E1846="AC",1,(IF(E1846="AT",2,(IF(E1846="DS",3,(IF(E1846="IP",4,(IF(E1846="MA",5,(IF(E1846="PT",6,(IF(E1846="AE",1,(IF(E1846="CM",2,(IF(E1846="DP",3,(IF(E1846="AN",1,(IF(E1846="CO",2,(IF(E1846="IM",3,(IF(E1846="MI",4,(IF(E1846="RP",5,(IF(E1846="SC",6,0)))))))))))))))))))))))))))))))))))))))</f>
        <v>3</v>
      </c>
      <c r="G1846" s="52">
        <v>2</v>
      </c>
      <c r="H1846" s="90" t="s">
        <v>115</v>
      </c>
      <c r="I1846" s="94" t="s">
        <v>4107</v>
      </c>
      <c r="J1846" s="86" t="s">
        <v>4102</v>
      </c>
      <c r="K1846" s="101" t="s">
        <v>4418</v>
      </c>
      <c r="L1846" s="117">
        <f>IF(O1846="","",N1846*O1846*M1846)</f>
        <v>0</v>
      </c>
      <c r="M1846" s="108">
        <v>1</v>
      </c>
      <c r="N1846" s="95">
        <v>1</v>
      </c>
      <c r="O1846" s="109">
        <f>IF(Key!D$1="ON",P1846,IF(SUM(Q1846:DL1846)&lt;1,"",SUM(Q1846:DL1846)/COUNTIF(Q1846:DL1846,"&gt;0")))</f>
        <v>0</v>
      </c>
      <c r="P1846" s="109">
        <f>SUMIFS(Q1846:DK1846,Q$1:DK$1,Dashboard!$K$31)</f>
        <v>0</v>
      </c>
      <c r="U1846" s="95">
        <v>33</v>
      </c>
      <c r="AA1846" s="95">
        <v>25</v>
      </c>
      <c r="AH1846" s="95">
        <v>75</v>
      </c>
    </row>
    <row r="1847" spans="1:34" ht="15.6" x14ac:dyDescent="0.3">
      <c r="A1847" s="89" t="str">
        <f>CONCATENATE(D1847,".",F1847,"-",G1847,".",H1847,"")</f>
        <v>2.3-2.1</v>
      </c>
      <c r="B1847" s="89" t="str">
        <f>IF(CONCATENATE(I1847,Key!F$2)=CONCATENATE(INDEX(Dashboard!J:J,MATCH(I1847,Dashboard!J:J,0),1),INDEX(Dashboard!J:K,MATCH(I1847,Dashboard!J:J,0),2)),"ON",IF(Dashboard!K$32="ALL","ON","-"))</f>
        <v>-</v>
      </c>
      <c r="C1847" s="88" t="s">
        <v>152</v>
      </c>
      <c r="D1847" s="89">
        <f>IF(C1847="ID",1,(IF(C1847="PR",2,(IF(C1847="DE",3,(IF(C1847="RS",4,(IF(C1847="RC",5,0)))))))))</f>
        <v>2</v>
      </c>
      <c r="E1847" s="89" t="s">
        <v>210</v>
      </c>
      <c r="F1847" s="89">
        <f>IF(E1847="AM",1,(IF(E1847="BE",2,(IF(E1847="GV",3,(IF(E1847="RA",4,(IF(E1847="RM",5,(IF(E1847="AC",1,(IF(E1847="AT",2,(IF(E1847="DS",3,(IF(E1847="IP",4,(IF(E1847="MA",5,(IF(E1847="PT",6,(IF(E1847="AE",1,(IF(E1847="CM",2,(IF(E1847="DP",3,(IF(E1847="AN",1,(IF(E1847="CO",2,(IF(E1847="IM",3,(IF(E1847="MI",4,(IF(E1847="RP",5,(IF(E1847="SC",6,0)))))))))))))))))))))))))))))))))))))))</f>
        <v>3</v>
      </c>
      <c r="G1847" s="52">
        <v>2</v>
      </c>
      <c r="H1847" s="99">
        <v>1</v>
      </c>
      <c r="I1847" s="94" t="s">
        <v>37</v>
      </c>
      <c r="J1847" s="86">
        <v>3.4</v>
      </c>
      <c r="K1847" s="102" t="s">
        <v>3741</v>
      </c>
      <c r="L1847" s="117">
        <f>IF(O1847="","",N1847*O1847*M1847)</f>
        <v>0</v>
      </c>
      <c r="M1847" s="108">
        <v>1</v>
      </c>
      <c r="N1847" s="95">
        <v>1</v>
      </c>
      <c r="O1847" s="109">
        <f>IF(Key!D$1="ON",P1847,IF(SUM(Q1847:DL1847)&lt;1,"",SUM(Q1847:DL1847)/COUNTIF(Q1847:DL1847,"&gt;0")))</f>
        <v>0</v>
      </c>
      <c r="P1847" s="109">
        <f>SUMIFS(Q1847:DK1847,Q$1:DK$1,Dashboard!$K$31)</f>
        <v>0</v>
      </c>
      <c r="U1847" s="95">
        <v>33</v>
      </c>
      <c r="AA1847" s="95">
        <v>25</v>
      </c>
      <c r="AH1847" s="95">
        <v>75</v>
      </c>
    </row>
    <row r="1848" spans="1:34" ht="15.6" x14ac:dyDescent="0.3">
      <c r="A1848" s="89" t="str">
        <f>CONCATENATE(D1848,".",F1848,"-",G1848,".",H1848,"")</f>
        <v>2.3-2.1</v>
      </c>
      <c r="B1848" s="89" t="str">
        <f>IF(CONCATENATE(I1848,Key!F$2)=CONCATENATE(INDEX(Dashboard!J:J,MATCH(I1848,Dashboard!J:J,0),1),INDEX(Dashboard!J:K,MATCH(I1848,Dashboard!J:J,0),2)),"ON",IF(Dashboard!K$32="ALL","ON","-"))</f>
        <v>-</v>
      </c>
      <c r="C1848" s="88" t="s">
        <v>152</v>
      </c>
      <c r="D1848" s="89">
        <f>IF(C1848="ID",1,(IF(C1848="PR",2,(IF(C1848="DE",3,(IF(C1848="RS",4,(IF(C1848="RC",5,0)))))))))</f>
        <v>2</v>
      </c>
      <c r="E1848" s="89" t="s">
        <v>210</v>
      </c>
      <c r="F1848" s="89">
        <f>IF(E1848="AM",1,(IF(E1848="BE",2,(IF(E1848="GV",3,(IF(E1848="RA",4,(IF(E1848="RM",5,(IF(E1848="AC",1,(IF(E1848="AT",2,(IF(E1848="DS",3,(IF(E1848="IP",4,(IF(E1848="MA",5,(IF(E1848="PT",6,(IF(E1848="AE",1,(IF(E1848="CM",2,(IF(E1848="DP",3,(IF(E1848="AN",1,(IF(E1848="CO",2,(IF(E1848="IM",3,(IF(E1848="MI",4,(IF(E1848="RP",5,(IF(E1848="SC",6,0)))))))))))))))))))))))))))))))))))))))</f>
        <v>3</v>
      </c>
      <c r="G1848" s="52">
        <v>2</v>
      </c>
      <c r="H1848" s="99">
        <v>1</v>
      </c>
      <c r="I1848" s="94" t="s">
        <v>37</v>
      </c>
      <c r="J1848" s="86">
        <v>14.2</v>
      </c>
      <c r="K1848" s="102" t="s">
        <v>3742</v>
      </c>
      <c r="L1848" s="117">
        <f>IF(O1848="","",N1848*O1848*M1848)</f>
        <v>0</v>
      </c>
      <c r="M1848" s="108">
        <v>1</v>
      </c>
      <c r="N1848" s="95">
        <v>1</v>
      </c>
      <c r="O1848" s="109">
        <f>IF(Key!D$1="ON",P1848,IF(SUM(Q1848:DL1848)&lt;1,"",SUM(Q1848:DL1848)/COUNTIF(Q1848:DL1848,"&gt;0")))</f>
        <v>0</v>
      </c>
      <c r="P1848" s="109">
        <f>SUMIFS(Q1848:DK1848,Q$1:DK$1,Dashboard!$K$31)</f>
        <v>0</v>
      </c>
      <c r="U1848" s="95">
        <v>33</v>
      </c>
      <c r="AA1848" s="95">
        <v>25</v>
      </c>
      <c r="AH1848" s="95">
        <v>75</v>
      </c>
    </row>
    <row r="1849" spans="1:34" x14ac:dyDescent="0.3">
      <c r="A1849" s="89" t="str">
        <f>CONCATENATE(D1849,".",F1849,"-",G1849,".",H1849,"")</f>
        <v>2.3-2.1</v>
      </c>
      <c r="B1849" s="89" t="str">
        <f>IF(CONCATENATE(I1849,Key!F$2)=CONCATENATE(INDEX(Dashboard!J:J,MATCH(I1849,Dashboard!J:J,0),1),INDEX(Dashboard!J:K,MATCH(I1849,Dashboard!J:J,0),2)),"ON",IF(Dashboard!K$32="ALL","ON","-"))</f>
        <v>-</v>
      </c>
      <c r="C1849" s="88" t="s">
        <v>152</v>
      </c>
      <c r="D1849" s="89">
        <f>IF(C1849="ID",1,(IF(C1849="PR",2,(IF(C1849="DE",3,(IF(C1849="RS",4,(IF(C1849="RC",5,0)))))))))</f>
        <v>2</v>
      </c>
      <c r="E1849" s="89" t="s">
        <v>210</v>
      </c>
      <c r="F1849" s="89">
        <f>IF(E1849="AM",1,(IF(E1849="BE",2,(IF(E1849="GV",3,(IF(E1849="RA",4,(IF(E1849="RM",5,(IF(E1849="AC",1,(IF(E1849="AT",2,(IF(E1849="DS",3,(IF(E1849="IP",4,(IF(E1849="MA",5,(IF(E1849="PT",6,(IF(E1849="AE",1,(IF(E1849="CM",2,(IF(E1849="DP",3,(IF(E1849="AN",1,(IF(E1849="CO",2,(IF(E1849="IM",3,(IF(E1849="MI",4,(IF(E1849="RP",5,(IF(E1849="SC",6,0)))))))))))))))))))))))))))))))))))))))</f>
        <v>3</v>
      </c>
      <c r="G1849" s="52">
        <v>2</v>
      </c>
      <c r="H1849" s="99">
        <v>1</v>
      </c>
      <c r="I1849" s="94" t="s">
        <v>37</v>
      </c>
      <c r="J1849" s="86">
        <v>15.5</v>
      </c>
      <c r="K1849" s="102" t="s">
        <v>3743</v>
      </c>
      <c r="L1849" s="117">
        <f>IF(O1849="","",N1849*O1849*M1849)</f>
        <v>0</v>
      </c>
      <c r="M1849" s="108">
        <v>1</v>
      </c>
      <c r="N1849" s="95">
        <v>1</v>
      </c>
      <c r="O1849" s="109">
        <f>IF(Key!D$1="ON",P1849,IF(SUM(Q1849:DL1849)&lt;1,"",SUM(Q1849:DL1849)/COUNTIF(Q1849:DL1849,"&gt;0")))</f>
        <v>0</v>
      </c>
      <c r="P1849" s="109">
        <f>SUMIFS(Q1849:DK1849,Q$1:DK$1,Dashboard!$K$31)</f>
        <v>0</v>
      </c>
      <c r="U1849" s="95">
        <v>33</v>
      </c>
      <c r="AA1849" s="95">
        <v>25</v>
      </c>
      <c r="AH1849" s="95">
        <v>75</v>
      </c>
    </row>
    <row r="1850" spans="1:34" ht="15.6" x14ac:dyDescent="0.3">
      <c r="A1850" s="89" t="str">
        <f>CONCATENATE(D1850,".",F1850,"-",G1850,".",H1850,"")</f>
        <v>2.3-2.1</v>
      </c>
      <c r="B1850" s="89" t="str">
        <f>IF(CONCATENATE(I1850,Key!F$2)=CONCATENATE(INDEX(Dashboard!J:J,MATCH(I1850,Dashboard!J:J,0),1),INDEX(Dashboard!J:K,MATCH(I1850,Dashboard!J:J,0),2)),"ON",IF(Dashboard!K$32="ALL","ON","-"))</f>
        <v>-</v>
      </c>
      <c r="C1850" s="88" t="s">
        <v>152</v>
      </c>
      <c r="D1850" s="89">
        <f>IF(C1850="ID",1,(IF(C1850="PR",2,(IF(C1850="DE",3,(IF(C1850="RS",4,(IF(C1850="RC",5,0)))))))))</f>
        <v>2</v>
      </c>
      <c r="E1850" s="89" t="s">
        <v>210</v>
      </c>
      <c r="F1850" s="89">
        <f>IF(E1850="AM",1,(IF(E1850="BE",2,(IF(E1850="GV",3,(IF(E1850="RA",4,(IF(E1850="RM",5,(IF(E1850="AC",1,(IF(E1850="AT",2,(IF(E1850="DS",3,(IF(E1850="IP",4,(IF(E1850="MA",5,(IF(E1850="PT",6,(IF(E1850="AE",1,(IF(E1850="CM",2,(IF(E1850="DP",3,(IF(E1850="AN",1,(IF(E1850="CO",2,(IF(E1850="IM",3,(IF(E1850="MI",4,(IF(E1850="RP",5,(IF(E1850="SC",6,0)))))))))))))))))))))))))))))))))))))))</f>
        <v>3</v>
      </c>
      <c r="G1850" s="52">
        <v>2</v>
      </c>
      <c r="H1850" s="99">
        <v>1</v>
      </c>
      <c r="I1850" s="94" t="s">
        <v>37</v>
      </c>
      <c r="J1850" s="86">
        <v>16.13</v>
      </c>
      <c r="K1850" s="102" t="s">
        <v>3744</v>
      </c>
      <c r="L1850" s="117">
        <f>IF(O1850="","",N1850*O1850*M1850)</f>
        <v>0</v>
      </c>
      <c r="M1850" s="108">
        <v>1</v>
      </c>
      <c r="N1850" s="95">
        <v>1</v>
      </c>
      <c r="O1850" s="109">
        <f>IF(Key!D$1="ON",P1850,IF(SUM(Q1850:DL1850)&lt;1,"",SUM(Q1850:DL1850)/COUNTIF(Q1850:DL1850,"&gt;0")))</f>
        <v>0</v>
      </c>
      <c r="P1850" s="109">
        <f>SUMIFS(Q1850:DK1850,Q$1:DK$1,Dashboard!$K$31)</f>
        <v>0</v>
      </c>
      <c r="U1850" s="95">
        <v>33</v>
      </c>
      <c r="AA1850" s="95">
        <v>25</v>
      </c>
      <c r="AH1850" s="95">
        <v>75</v>
      </c>
    </row>
    <row r="1851" spans="1:34" ht="15.6" x14ac:dyDescent="0.3">
      <c r="A1851" s="89" t="str">
        <f>CONCATENATE(D1851,".",F1851,"-",G1851,".",H1851,"")</f>
        <v>2.3-2.1</v>
      </c>
      <c r="B1851" s="89" t="str">
        <f>IF(CONCATENATE(I1851,Key!F$2)=CONCATENATE(INDEX(Dashboard!J:J,MATCH(I1851,Dashboard!J:J,0),1),INDEX(Dashboard!J:K,MATCH(I1851,Dashboard!J:J,0),2)),"ON",IF(Dashboard!K$32="ALL","ON","-"))</f>
        <v>-</v>
      </c>
      <c r="C1851" s="88" t="s">
        <v>152</v>
      </c>
      <c r="D1851" s="89">
        <f>IF(C1851="ID",1,(IF(C1851="PR",2,(IF(C1851="DE",3,(IF(C1851="RS",4,(IF(C1851="RC",5,0)))))))))</f>
        <v>2</v>
      </c>
      <c r="E1851" s="89" t="s">
        <v>210</v>
      </c>
      <c r="F1851" s="89">
        <f>IF(E1851="AM",1,(IF(E1851="BE",2,(IF(E1851="GV",3,(IF(E1851="RA",4,(IF(E1851="RM",5,(IF(E1851="AC",1,(IF(E1851="AT",2,(IF(E1851="DS",3,(IF(E1851="IP",4,(IF(E1851="MA",5,(IF(E1851="PT",6,(IF(E1851="AE",1,(IF(E1851="CM",2,(IF(E1851="DP",3,(IF(E1851="AN",1,(IF(E1851="CO",2,(IF(E1851="IM",3,(IF(E1851="MI",4,(IF(E1851="RP",5,(IF(E1851="SC",6,0)))))))))))))))))))))))))))))))))))))))</f>
        <v>3</v>
      </c>
      <c r="G1851" s="52">
        <v>2</v>
      </c>
      <c r="H1851" s="99">
        <v>1</v>
      </c>
      <c r="I1851" s="94" t="s">
        <v>41</v>
      </c>
      <c r="J1851" s="86">
        <v>14.2</v>
      </c>
      <c r="K1851" s="103" t="s">
        <v>3564</v>
      </c>
      <c r="L1851" s="117">
        <f>IF(O1851="","",N1851*O1851*M1851)</f>
        <v>0</v>
      </c>
      <c r="M1851" s="108">
        <v>1</v>
      </c>
      <c r="N1851" s="95">
        <v>1</v>
      </c>
      <c r="O1851" s="109">
        <f>IF(Key!D$1="ON",P1851,IF(SUM(Q1851:DL1851)&lt;1,"",SUM(Q1851:DL1851)/COUNTIF(Q1851:DL1851,"&gt;0")))</f>
        <v>0</v>
      </c>
      <c r="P1851" s="109">
        <f>SUMIFS(Q1851:DK1851,Q$1:DK$1,Dashboard!$K$31)</f>
        <v>0</v>
      </c>
      <c r="U1851" s="95">
        <v>33</v>
      </c>
    </row>
    <row r="1852" spans="1:34" ht="15.6" x14ac:dyDescent="0.3">
      <c r="A1852" s="89" t="str">
        <f>CONCATENATE(D1852,".",F1852,"-",G1852,".",H1852,"")</f>
        <v>2.3-2.1</v>
      </c>
      <c r="B1852" s="89" t="str">
        <f>IF(CONCATENATE(I1852,Key!F$2)=CONCATENATE(INDEX(Dashboard!J:J,MATCH(I1852,Dashboard!J:J,0),1),INDEX(Dashboard!J:K,MATCH(I1852,Dashboard!J:J,0),2)),"ON",IF(Dashboard!K$32="ALL","ON","-"))</f>
        <v>-</v>
      </c>
      <c r="C1852" s="88" t="s">
        <v>152</v>
      </c>
      <c r="D1852" s="89">
        <f>IF(C1852="ID",1,(IF(C1852="PR",2,(IF(C1852="DE",3,(IF(C1852="RS",4,(IF(C1852="RC",5,0)))))))))</f>
        <v>2</v>
      </c>
      <c r="E1852" s="89" t="s">
        <v>210</v>
      </c>
      <c r="F1852" s="89">
        <f>IF(E1852="AM",1,(IF(E1852="BE",2,(IF(E1852="GV",3,(IF(E1852="RA",4,(IF(E1852="RM",5,(IF(E1852="AC",1,(IF(E1852="AT",2,(IF(E1852="DS",3,(IF(E1852="IP",4,(IF(E1852="MA",5,(IF(E1852="PT",6,(IF(E1852="AE",1,(IF(E1852="CM",2,(IF(E1852="DP",3,(IF(E1852="AN",1,(IF(E1852="CO",2,(IF(E1852="IM",3,(IF(E1852="MI",4,(IF(E1852="RP",5,(IF(E1852="SC",6,0)))))))))))))))))))))))))))))))))))))))</f>
        <v>3</v>
      </c>
      <c r="G1852" s="98">
        <v>2</v>
      </c>
      <c r="H1852" s="99">
        <v>1</v>
      </c>
      <c r="I1852" s="94" t="s">
        <v>41</v>
      </c>
      <c r="J1852" s="86">
        <v>14.4</v>
      </c>
      <c r="K1852" s="103" t="s">
        <v>3566</v>
      </c>
      <c r="L1852" s="117">
        <f>IF(O1852="","",N1852*O1852*M1852)</f>
        <v>0</v>
      </c>
      <c r="M1852" s="108">
        <v>1</v>
      </c>
      <c r="N1852" s="95">
        <v>1</v>
      </c>
      <c r="O1852" s="109">
        <f>IF(Key!D$1="ON",P1852,IF(SUM(Q1852:DL1852)&lt;1,"",SUM(Q1852:DL1852)/COUNTIF(Q1852:DL1852,"&gt;0")))</f>
        <v>0</v>
      </c>
      <c r="P1852" s="109">
        <f>SUMIFS(Q1852:DK1852,Q$1:DK$1,Dashboard!$K$31)</f>
        <v>0</v>
      </c>
      <c r="U1852" s="95">
        <v>33</v>
      </c>
    </row>
    <row r="1853" spans="1:34" ht="15.6" x14ac:dyDescent="0.3">
      <c r="A1853" s="89" t="str">
        <f>CONCATENATE(D1853,".",F1853,"-",G1853,".",H1853,"")</f>
        <v>2.3-2.1</v>
      </c>
      <c r="B1853" s="89" t="str">
        <f>IF(CONCATENATE(I1853,Key!F$2)=CONCATENATE(INDEX(Dashboard!J:J,MATCH(I1853,Dashboard!J:J,0),1),INDEX(Dashboard!J:K,MATCH(I1853,Dashboard!J:J,0),2)),"ON",IF(Dashboard!K$32="ALL","ON","-"))</f>
        <v>-</v>
      </c>
      <c r="C1853" s="88" t="s">
        <v>152</v>
      </c>
      <c r="D1853" s="89">
        <f>IF(C1853="ID",1,(IF(C1853="PR",2,(IF(C1853="DE",3,(IF(C1853="RS",4,(IF(C1853="RC",5,0)))))))))</f>
        <v>2</v>
      </c>
      <c r="E1853" s="89" t="s">
        <v>210</v>
      </c>
      <c r="F1853" s="89">
        <f>IF(E1853="AM",1,(IF(E1853="BE",2,(IF(E1853="GV",3,(IF(E1853="RA",4,(IF(E1853="RM",5,(IF(E1853="AC",1,(IF(E1853="AT",2,(IF(E1853="DS",3,(IF(E1853="IP",4,(IF(E1853="MA",5,(IF(E1853="PT",6,(IF(E1853="AE",1,(IF(E1853="CM",2,(IF(E1853="DP",3,(IF(E1853="AN",1,(IF(E1853="CO",2,(IF(E1853="IM",3,(IF(E1853="MI",4,(IF(E1853="RP",5,(IF(E1853="SC",6,0)))))))))))))))))))))))))))))))))))))))</f>
        <v>3</v>
      </c>
      <c r="G1853" s="52">
        <v>2</v>
      </c>
      <c r="H1853" s="99">
        <v>1</v>
      </c>
      <c r="I1853" s="94" t="s">
        <v>41</v>
      </c>
      <c r="J1853" s="86">
        <v>15.7</v>
      </c>
      <c r="K1853" s="103" t="s">
        <v>3579</v>
      </c>
      <c r="L1853" s="117">
        <f>IF(O1853="","",N1853*O1853*M1853)</f>
        <v>0</v>
      </c>
      <c r="M1853" s="108">
        <v>1</v>
      </c>
      <c r="N1853" s="95">
        <v>1</v>
      </c>
      <c r="O1853" s="109">
        <f>IF(Key!D$1="ON",P1853,IF(SUM(Q1853:DL1853)&lt;1,"",SUM(Q1853:DL1853)/COUNTIF(Q1853:DL1853,"&gt;0")))</f>
        <v>0</v>
      </c>
      <c r="P1853" s="109">
        <f>SUMIFS(Q1853:DK1853,Q$1:DK$1,Dashboard!$K$31)</f>
        <v>0</v>
      </c>
      <c r="U1853" s="95">
        <v>33</v>
      </c>
    </row>
    <row r="1854" spans="1:34" ht="15.6" x14ac:dyDescent="0.3">
      <c r="A1854" s="89" t="str">
        <f>CONCATENATE(D1854,".",F1854,"-",G1854,".",H1854,"")</f>
        <v>2.3-2.1</v>
      </c>
      <c r="B1854" s="89" t="str">
        <f>IF(CONCATENATE(I1854,Key!F$2)=CONCATENATE(INDEX(Dashboard!J:J,MATCH(I1854,Dashboard!J:J,0),1),INDEX(Dashboard!J:K,MATCH(I1854,Dashboard!J:J,0),2)),"ON",IF(Dashboard!K$32="ALL","ON","-"))</f>
        <v>-</v>
      </c>
      <c r="C1854" s="96" t="s">
        <v>152</v>
      </c>
      <c r="D1854" s="89">
        <f>IF(C1854="ID",1,(IF(C1854="PR",2,(IF(C1854="DE",3,(IF(C1854="RS",4,(IF(C1854="RC",5,0)))))))))</f>
        <v>2</v>
      </c>
      <c r="E1854" s="89" t="s">
        <v>210</v>
      </c>
      <c r="F1854" s="89">
        <f>IF(E1854="AM",1,(IF(E1854="BE",2,(IF(E1854="GV",3,(IF(E1854="RA",4,(IF(E1854="RM",5,(IF(E1854="AC",1,(IF(E1854="AT",2,(IF(E1854="DS",3,(IF(E1854="IP",4,(IF(E1854="MA",5,(IF(E1854="PT",6,(IF(E1854="AE",1,(IF(E1854="CM",2,(IF(E1854="DP",3,(IF(E1854="AN",1,(IF(E1854="CO",2,(IF(E1854="IM",3,(IF(E1854="MI",4,(IF(E1854="RP",5,(IF(E1854="SC",6,0)))))))))))))))))))))))))))))))))))))))</f>
        <v>3</v>
      </c>
      <c r="G1854" s="98">
        <v>2</v>
      </c>
      <c r="H1854" s="90" t="s">
        <v>115</v>
      </c>
      <c r="I1854" s="94" t="s">
        <v>52</v>
      </c>
      <c r="J1854" s="88" t="s">
        <v>3286</v>
      </c>
      <c r="K1854" s="103" t="s">
        <v>3287</v>
      </c>
      <c r="L1854" s="117">
        <f>IF(O1854="","",N1854*O1854*M1854)</f>
        <v>0</v>
      </c>
      <c r="M1854" s="108">
        <v>1</v>
      </c>
      <c r="N1854" s="95">
        <v>1</v>
      </c>
      <c r="O1854" s="109">
        <f>IF(Key!D$1="ON",P1854,IF(SUM(Q1854:DL1854)&lt;1,"",SUM(Q1854:DL1854)/COUNTIF(Q1854:DL1854,"&gt;0")))</f>
        <v>0</v>
      </c>
      <c r="P1854" s="109">
        <f>SUMIFS(Q1854:DK1854,Q$1:DK$1,Dashboard!$K$31)</f>
        <v>0</v>
      </c>
      <c r="U1854" s="95">
        <v>33</v>
      </c>
      <c r="AA1854" s="95">
        <v>25</v>
      </c>
      <c r="AH1854" s="95">
        <v>75</v>
      </c>
    </row>
    <row r="1855" spans="1:34" ht="15.6" x14ac:dyDescent="0.3">
      <c r="A1855" s="89" t="str">
        <f>CONCATENATE(D1855,".",F1855,"-",G1855,".",H1855,"")</f>
        <v>2.3-2.1</v>
      </c>
      <c r="B1855" s="89" t="str">
        <f>IF(CONCATENATE(I1855,Key!F$2)=CONCATENATE(INDEX(Dashboard!J:J,MATCH(I1855,Dashboard!J:J,0),1),INDEX(Dashboard!J:K,MATCH(I1855,Dashboard!J:J,0),2)),"ON",IF(Dashboard!K$32="ALL","ON","-"))</f>
        <v>-</v>
      </c>
      <c r="C1855" s="96" t="s">
        <v>152</v>
      </c>
      <c r="D1855" s="89">
        <f>IF(C1855="ID",1,(IF(C1855="PR",2,(IF(C1855="DE",3,(IF(C1855="RS",4,(IF(C1855="RC",5,0)))))))))</f>
        <v>2</v>
      </c>
      <c r="E1855" s="89" t="s">
        <v>210</v>
      </c>
      <c r="F1855" s="89">
        <f>IF(E1855="AM",1,(IF(E1855="BE",2,(IF(E1855="GV",3,(IF(E1855="RA",4,(IF(E1855="RM",5,(IF(E1855="AC",1,(IF(E1855="AT",2,(IF(E1855="DS",3,(IF(E1855="IP",4,(IF(E1855="MA",5,(IF(E1855="PT",6,(IF(E1855="AE",1,(IF(E1855="CM",2,(IF(E1855="DP",3,(IF(E1855="AN",1,(IF(E1855="CO",2,(IF(E1855="IM",3,(IF(E1855="MI",4,(IF(E1855="RP",5,(IF(E1855="SC",6,0)))))))))))))))))))))))))))))))))))))))</f>
        <v>3</v>
      </c>
      <c r="G1855" s="98">
        <v>2</v>
      </c>
      <c r="H1855" s="90" t="s">
        <v>115</v>
      </c>
      <c r="I1855" s="94" t="s">
        <v>52</v>
      </c>
      <c r="J1855" s="88" t="s">
        <v>3412</v>
      </c>
      <c r="K1855" s="103" t="s">
        <v>3413</v>
      </c>
      <c r="L1855" s="117">
        <f>IF(O1855="","",N1855*O1855*M1855)</f>
        <v>0</v>
      </c>
      <c r="M1855" s="108">
        <v>1</v>
      </c>
      <c r="N1855" s="95">
        <v>1</v>
      </c>
      <c r="O1855" s="109">
        <f>IF(Key!D$1="ON",P1855,IF(SUM(Q1855:DL1855)&lt;1,"",SUM(Q1855:DL1855)/COUNTIF(Q1855:DL1855,"&gt;0")))</f>
        <v>0</v>
      </c>
      <c r="P1855" s="109">
        <f>SUMIFS(Q1855:DK1855,Q$1:DK$1,Dashboard!$K$31)</f>
        <v>0</v>
      </c>
      <c r="U1855" s="95">
        <v>33</v>
      </c>
      <c r="AA1855" s="95">
        <v>25</v>
      </c>
      <c r="AH1855" s="95">
        <v>75</v>
      </c>
    </row>
    <row r="1856" spans="1:34" ht="15.6" x14ac:dyDescent="0.3">
      <c r="A1856" s="89" t="str">
        <f>CONCATENATE(D1856,".",F1856,"-",G1856,".",H1856,"")</f>
        <v>2.3-2.1</v>
      </c>
      <c r="B1856" s="89" t="str">
        <f>IF(CONCATENATE(I1856,Key!F$2)=CONCATENATE(INDEX(Dashboard!J:J,MATCH(I1856,Dashboard!J:J,0),1),INDEX(Dashboard!J:K,MATCH(I1856,Dashboard!J:J,0),2)),"ON",IF(Dashboard!K$32="ALL","ON","-"))</f>
        <v>-</v>
      </c>
      <c r="C1856" s="96" t="s">
        <v>152</v>
      </c>
      <c r="D1856" s="89">
        <f>IF(C1856="ID",1,(IF(C1856="PR",2,(IF(C1856="DE",3,(IF(C1856="RS",4,(IF(C1856="RC",5,0)))))))))</f>
        <v>2</v>
      </c>
      <c r="E1856" s="89" t="s">
        <v>210</v>
      </c>
      <c r="F1856" s="89">
        <f>IF(E1856="AM",1,(IF(E1856="BE",2,(IF(E1856="GV",3,(IF(E1856="RA",4,(IF(E1856="RM",5,(IF(E1856="AC",1,(IF(E1856="AT",2,(IF(E1856="DS",3,(IF(E1856="IP",4,(IF(E1856="MA",5,(IF(E1856="PT",6,(IF(E1856="AE",1,(IF(E1856="CM",2,(IF(E1856="DP",3,(IF(E1856="AN",1,(IF(E1856="CO",2,(IF(E1856="IM",3,(IF(E1856="MI",4,(IF(E1856="RP",5,(IF(E1856="SC",6,0)))))))))))))))))))))))))))))))))))))))</f>
        <v>3</v>
      </c>
      <c r="G1856" s="98">
        <v>2</v>
      </c>
      <c r="H1856" s="90" t="s">
        <v>115</v>
      </c>
      <c r="I1856" s="94" t="s">
        <v>52</v>
      </c>
      <c r="J1856" s="88" t="s">
        <v>3414</v>
      </c>
      <c r="K1856" s="103" t="s">
        <v>3415</v>
      </c>
      <c r="L1856" s="117">
        <f>IF(O1856="","",N1856*O1856*M1856)</f>
        <v>0</v>
      </c>
      <c r="M1856" s="108">
        <v>1</v>
      </c>
      <c r="N1856" s="95">
        <v>1</v>
      </c>
      <c r="O1856" s="109">
        <f>IF(Key!D$1="ON",P1856,IF(SUM(Q1856:DL1856)&lt;1,"",SUM(Q1856:DL1856)/COUNTIF(Q1856:DL1856,"&gt;0")))</f>
        <v>0</v>
      </c>
      <c r="P1856" s="109">
        <f>SUMIFS(Q1856:DK1856,Q$1:DK$1,Dashboard!$K$31)</f>
        <v>0</v>
      </c>
      <c r="U1856" s="95">
        <v>33</v>
      </c>
      <c r="AA1856" s="95">
        <v>25</v>
      </c>
      <c r="AH1856" s="95">
        <v>75</v>
      </c>
    </row>
    <row r="1857" spans="1:34" x14ac:dyDescent="0.3">
      <c r="A1857" s="89" t="str">
        <f>CONCATENATE(D1857,".",F1857,"-",G1857,".",H1857,"")</f>
        <v>2.3-2.1</v>
      </c>
      <c r="B1857" s="89" t="str">
        <f>IF(CONCATENATE(I1857,Key!F$2)=CONCATENATE(INDEX(Dashboard!J:J,MATCH(I1857,Dashboard!J:J,0),1),INDEX(Dashboard!J:K,MATCH(I1857,Dashboard!J:J,0),2)),"ON",IF(Dashboard!K$32="ALL","ON","-"))</f>
        <v>-</v>
      </c>
      <c r="C1857" s="96" t="s">
        <v>152</v>
      </c>
      <c r="D1857" s="89">
        <f>IF(C1857="ID",1,(IF(C1857="PR",2,(IF(C1857="DE",3,(IF(C1857="RS",4,(IF(C1857="RC",5,0)))))))))</f>
        <v>2</v>
      </c>
      <c r="E1857" s="89" t="s">
        <v>210</v>
      </c>
      <c r="F1857" s="89">
        <f>IF(E1857="AM",1,(IF(E1857="BE",2,(IF(E1857="GV",3,(IF(E1857="RA",4,(IF(E1857="RM",5,(IF(E1857="AC",1,(IF(E1857="AT",2,(IF(E1857="DS",3,(IF(E1857="IP",4,(IF(E1857="MA",5,(IF(E1857="PT",6,(IF(E1857="AE",1,(IF(E1857="CM",2,(IF(E1857="DP",3,(IF(E1857="AN",1,(IF(E1857="CO",2,(IF(E1857="IM",3,(IF(E1857="MI",4,(IF(E1857="RP",5,(IF(E1857="SC",6,0)))))))))))))))))))))))))))))))))))))))</f>
        <v>3</v>
      </c>
      <c r="G1857" s="98">
        <v>2</v>
      </c>
      <c r="H1857" s="90" t="s">
        <v>115</v>
      </c>
      <c r="I1857" s="94" t="s">
        <v>52</v>
      </c>
      <c r="J1857" s="88" t="s">
        <v>3410</v>
      </c>
      <c r="K1857" s="103" t="s">
        <v>3411</v>
      </c>
      <c r="L1857" s="117">
        <f>IF(O1857="","",N1857*O1857*M1857)</f>
        <v>0</v>
      </c>
      <c r="M1857" s="108">
        <v>1</v>
      </c>
      <c r="N1857" s="95">
        <v>1</v>
      </c>
      <c r="O1857" s="109">
        <f>IF(Key!D$1="ON",P1857,IF(SUM(Q1857:DL1857)&lt;1,"",SUM(Q1857:DL1857)/COUNTIF(Q1857:DL1857,"&gt;0")))</f>
        <v>0</v>
      </c>
      <c r="P1857" s="109">
        <f>SUMIFS(Q1857:DK1857,Q$1:DK$1,Dashboard!$K$31)</f>
        <v>0</v>
      </c>
      <c r="U1857" s="95">
        <v>33</v>
      </c>
      <c r="AA1857" s="95">
        <v>25</v>
      </c>
      <c r="AH1857" s="95">
        <v>75</v>
      </c>
    </row>
    <row r="1858" spans="1:34" x14ac:dyDescent="0.3">
      <c r="A1858" s="89" t="str">
        <f>CONCATENATE(D1858,".",F1858,"-",G1858,".",H1858,"")</f>
        <v>2.3-2.1</v>
      </c>
      <c r="B1858" s="89" t="str">
        <f>IF(CONCATENATE(I1858,Key!F$2)=CONCATENATE(INDEX(Dashboard!J:J,MATCH(I1858,Dashboard!J:J,0),1),INDEX(Dashboard!J:K,MATCH(I1858,Dashboard!J:J,0),2)),"ON",IF(Dashboard!K$32="ALL","ON","-"))</f>
        <v>-</v>
      </c>
      <c r="C1858" s="88" t="s">
        <v>152</v>
      </c>
      <c r="D1858" s="89">
        <f>IF(C1858="ID",1,(IF(C1858="PR",2,(IF(C1858="DE",3,(IF(C1858="RS",4,(IF(C1858="RC",5,0)))))))))</f>
        <v>2</v>
      </c>
      <c r="E1858" s="89" t="s">
        <v>210</v>
      </c>
      <c r="F1858" s="89">
        <f>IF(E1858="AM",1,(IF(E1858="BE",2,(IF(E1858="GV",3,(IF(E1858="RA",4,(IF(E1858="RM",5,(IF(E1858="AC",1,(IF(E1858="AT",2,(IF(E1858="DS",3,(IF(E1858="IP",4,(IF(E1858="MA",5,(IF(E1858="PT",6,(IF(E1858="AE",1,(IF(E1858="CM",2,(IF(E1858="DP",3,(IF(E1858="AN",1,(IF(E1858="CO",2,(IF(E1858="IM",3,(IF(E1858="MI",4,(IF(E1858="RP",5,(IF(E1858="SC",6,0)))))))))))))))))))))))))))))))))))))))</f>
        <v>3</v>
      </c>
      <c r="G1858" s="52">
        <v>2</v>
      </c>
      <c r="H1858" s="90" t="s">
        <v>115</v>
      </c>
      <c r="I1858" s="94" t="s">
        <v>60</v>
      </c>
      <c r="J1858" s="87" t="s">
        <v>3206</v>
      </c>
      <c r="K1858" s="51" t="s">
        <v>5319</v>
      </c>
      <c r="L1858" s="117">
        <f>IF(O1858="","",N1858*O1858*M1858)</f>
        <v>0</v>
      </c>
      <c r="M1858" s="108">
        <v>1</v>
      </c>
      <c r="N1858" s="95">
        <v>1</v>
      </c>
      <c r="O1858" s="109">
        <f>IF(Key!D$1="ON",P1858,IF(SUM(Q1858:DL1858)&lt;1,"",SUM(Q1858:DL1858)/COUNTIF(Q1858:DL1858,"&gt;0")))</f>
        <v>0</v>
      </c>
      <c r="P1858" s="109">
        <f>SUMIFS(Q1858:DK1858,Q$1:DK$1,Dashboard!$K$31)</f>
        <v>0</v>
      </c>
      <c r="U1858" s="95">
        <v>33</v>
      </c>
      <c r="AA1858" s="95">
        <v>25</v>
      </c>
      <c r="AH1858" s="95">
        <v>75</v>
      </c>
    </row>
    <row r="1859" spans="1:34" x14ac:dyDescent="0.3">
      <c r="A1859" s="89" t="str">
        <f>CONCATENATE(D1859,".",F1859,"-",G1859,".",H1859,"")</f>
        <v>2.3-2.1</v>
      </c>
      <c r="B1859" s="89" t="str">
        <f>IF(CONCATENATE(I1859,Key!F$2)=CONCATENATE(INDEX(Dashboard!J:J,MATCH(I1859,Dashboard!J:J,0),1),INDEX(Dashboard!J:K,MATCH(I1859,Dashboard!J:J,0),2)),"ON",IF(Dashboard!K$32="ALL","ON","-"))</f>
        <v>-</v>
      </c>
      <c r="C1859" s="88" t="s">
        <v>152</v>
      </c>
      <c r="D1859" s="89">
        <f>IF(C1859="ID",1,(IF(C1859="PR",2,(IF(C1859="DE",3,(IF(C1859="RS",4,(IF(C1859="RC",5,0)))))))))</f>
        <v>2</v>
      </c>
      <c r="E1859" s="89" t="s">
        <v>210</v>
      </c>
      <c r="F1859" s="89">
        <f>IF(E1859="AM",1,(IF(E1859="BE",2,(IF(E1859="GV",3,(IF(E1859="RA",4,(IF(E1859="RM",5,(IF(E1859="AC",1,(IF(E1859="AT",2,(IF(E1859="DS",3,(IF(E1859="IP",4,(IF(E1859="MA",5,(IF(E1859="PT",6,(IF(E1859="AE",1,(IF(E1859="CM",2,(IF(E1859="DP",3,(IF(E1859="AN",1,(IF(E1859="CO",2,(IF(E1859="IM",3,(IF(E1859="MI",4,(IF(E1859="RP",5,(IF(E1859="SC",6,0)))))))))))))))))))))))))))))))))))))))</f>
        <v>3</v>
      </c>
      <c r="G1859" s="52">
        <v>2</v>
      </c>
      <c r="H1859" s="90" t="s">
        <v>115</v>
      </c>
      <c r="I1859" s="94" t="s">
        <v>60</v>
      </c>
      <c r="J1859" s="87" t="s">
        <v>3123</v>
      </c>
      <c r="K1859" s="51" t="s">
        <v>5236</v>
      </c>
      <c r="L1859" s="117">
        <f>IF(O1859="","",N1859*O1859*M1859)</f>
        <v>0</v>
      </c>
      <c r="M1859" s="108">
        <v>1</v>
      </c>
      <c r="N1859" s="95">
        <v>1</v>
      </c>
      <c r="O1859" s="109">
        <f>IF(Key!D$1="ON",P1859,IF(SUM(Q1859:DL1859)&lt;1,"",SUM(Q1859:DL1859)/COUNTIF(Q1859:DL1859,"&gt;0")))</f>
        <v>0</v>
      </c>
      <c r="P1859" s="109">
        <f>SUMIFS(Q1859:DK1859,Q$1:DK$1,Dashboard!$K$31)</f>
        <v>0</v>
      </c>
      <c r="U1859" s="95">
        <v>33</v>
      </c>
      <c r="AA1859" s="95">
        <v>25</v>
      </c>
      <c r="AH1859" s="95">
        <v>75</v>
      </c>
    </row>
    <row r="1860" spans="1:34" x14ac:dyDescent="0.3">
      <c r="A1860" s="89" t="str">
        <f>CONCATENATE(D1860,".",F1860,"-",G1860,".",H1860,"")</f>
        <v>2.3-2.1</v>
      </c>
      <c r="B1860" s="89" t="str">
        <f>IF(CONCATENATE(I1860,Key!F$2)=CONCATENATE(INDEX(Dashboard!J:J,MATCH(I1860,Dashboard!J:J,0),1),INDEX(Dashboard!J:K,MATCH(I1860,Dashboard!J:J,0),2)),"ON",IF(Dashboard!K$32="ALL","ON","-"))</f>
        <v>-</v>
      </c>
      <c r="C1860" s="88" t="s">
        <v>152</v>
      </c>
      <c r="D1860" s="89">
        <f>IF(C1860="ID",1,(IF(C1860="PR",2,(IF(C1860="DE",3,(IF(C1860="RS",4,(IF(C1860="RC",5,0)))))))))</f>
        <v>2</v>
      </c>
      <c r="E1860" s="89" t="s">
        <v>210</v>
      </c>
      <c r="F1860" s="89">
        <f>IF(E1860="AM",1,(IF(E1860="BE",2,(IF(E1860="GV",3,(IF(E1860="RA",4,(IF(E1860="RM",5,(IF(E1860="AC",1,(IF(E1860="AT",2,(IF(E1860="DS",3,(IF(E1860="IP",4,(IF(E1860="MA",5,(IF(E1860="PT",6,(IF(E1860="AE",1,(IF(E1860="CM",2,(IF(E1860="DP",3,(IF(E1860="AN",1,(IF(E1860="CO",2,(IF(E1860="IM",3,(IF(E1860="MI",4,(IF(E1860="RP",5,(IF(E1860="SC",6,0)))))))))))))))))))))))))))))))))))))))</f>
        <v>3</v>
      </c>
      <c r="G1860" s="52">
        <v>2</v>
      </c>
      <c r="H1860" s="90" t="s">
        <v>115</v>
      </c>
      <c r="I1860" s="94" t="s">
        <v>60</v>
      </c>
      <c r="J1860" s="87" t="s">
        <v>3209</v>
      </c>
      <c r="K1860" s="51" t="s">
        <v>5322</v>
      </c>
      <c r="L1860" s="117">
        <f>IF(O1860="","",N1860*O1860*M1860)</f>
        <v>0</v>
      </c>
      <c r="M1860" s="108">
        <v>1</v>
      </c>
      <c r="N1860" s="95">
        <v>1</v>
      </c>
      <c r="O1860" s="109">
        <f>IF(Key!D$1="ON",P1860,IF(SUM(Q1860:DL1860)&lt;1,"",SUM(Q1860:DL1860)/COUNTIF(Q1860:DL1860,"&gt;0")))</f>
        <v>0</v>
      </c>
      <c r="P1860" s="109">
        <f>SUMIFS(Q1860:DK1860,Q$1:DK$1,Dashboard!$K$31)</f>
        <v>0</v>
      </c>
      <c r="U1860" s="95">
        <v>33</v>
      </c>
      <c r="AA1860" s="95">
        <v>25</v>
      </c>
      <c r="AH1860" s="95">
        <v>75</v>
      </c>
    </row>
    <row r="1861" spans="1:34" x14ac:dyDescent="0.3">
      <c r="A1861" s="89" t="str">
        <f>CONCATENATE(D1861,".",F1861,"-",G1861,".",H1861,"")</f>
        <v>2.3-2.1</v>
      </c>
      <c r="B1861" s="89" t="str">
        <f>IF(CONCATENATE(I1861,Key!F$2)=CONCATENATE(INDEX(Dashboard!J:J,MATCH(I1861,Dashboard!J:J,0),1),INDEX(Dashboard!J:K,MATCH(I1861,Dashboard!J:J,0),2)),"ON",IF(Dashboard!K$32="ALL","ON","-"))</f>
        <v>-</v>
      </c>
      <c r="C1861" s="88" t="s">
        <v>152</v>
      </c>
      <c r="D1861" s="89">
        <f>IF(C1861="ID",1,(IF(C1861="PR",2,(IF(C1861="DE",3,(IF(C1861="RS",4,(IF(C1861="RC",5,0)))))))))</f>
        <v>2</v>
      </c>
      <c r="E1861" s="89" t="s">
        <v>210</v>
      </c>
      <c r="F1861" s="89">
        <f>IF(E1861="AM",1,(IF(E1861="BE",2,(IF(E1861="GV",3,(IF(E1861="RA",4,(IF(E1861="RM",5,(IF(E1861="AC",1,(IF(E1861="AT",2,(IF(E1861="DS",3,(IF(E1861="IP",4,(IF(E1861="MA",5,(IF(E1861="PT",6,(IF(E1861="AE",1,(IF(E1861="CM",2,(IF(E1861="DP",3,(IF(E1861="AN",1,(IF(E1861="CO",2,(IF(E1861="IM",3,(IF(E1861="MI",4,(IF(E1861="RP",5,(IF(E1861="SC",6,0)))))))))))))))))))))))))))))))))))))))</f>
        <v>3</v>
      </c>
      <c r="G1861" s="52">
        <v>2</v>
      </c>
      <c r="H1861" s="89">
        <v>1</v>
      </c>
      <c r="I1861" s="94" t="s">
        <v>60</v>
      </c>
      <c r="J1861" s="88" t="s">
        <v>3192</v>
      </c>
      <c r="K1861" s="51" t="s">
        <v>5305</v>
      </c>
      <c r="L1861" s="117">
        <f>IF(O1861="","",N1861*O1861*M1861)</f>
        <v>0</v>
      </c>
      <c r="M1861" s="108">
        <v>1</v>
      </c>
      <c r="N1861" s="95">
        <v>1</v>
      </c>
      <c r="O1861" s="109">
        <f>IF(Key!D$1="ON",P1861,IF(SUM(Q1861:DL1861)&lt;1,"",SUM(Q1861:DL1861)/COUNTIF(Q1861:DL1861,"&gt;0")))</f>
        <v>0</v>
      </c>
      <c r="P1861" s="109">
        <f>SUMIFS(Q1861:DK1861,Q$1:DK$1,Dashboard!$K$31)</f>
        <v>0</v>
      </c>
      <c r="U1861" s="95">
        <v>33</v>
      </c>
      <c r="AA1861" s="95">
        <v>25</v>
      </c>
      <c r="AH1861" s="95">
        <v>75</v>
      </c>
    </row>
    <row r="1862" spans="1:34" x14ac:dyDescent="0.3">
      <c r="A1862" s="89" t="str">
        <f>CONCATENATE(D1862,".",F1862,"-",G1862,".",H1862,"")</f>
        <v>2.3-2.1</v>
      </c>
      <c r="B1862" s="89" t="str">
        <f>IF(CONCATENATE(I1862,Key!F$2)=CONCATENATE(INDEX(Dashboard!J:J,MATCH(I1862,Dashboard!J:J,0),1),INDEX(Dashboard!J:K,MATCH(I1862,Dashboard!J:J,0),2)),"ON",IF(Dashboard!K$32="ALL","ON","-"))</f>
        <v>-</v>
      </c>
      <c r="C1862" s="88" t="s">
        <v>152</v>
      </c>
      <c r="D1862" s="89">
        <f>IF(C1862="ID",1,(IF(C1862="PR",2,(IF(C1862="DE",3,(IF(C1862="RS",4,(IF(C1862="RC",5,0)))))))))</f>
        <v>2</v>
      </c>
      <c r="E1862" s="89" t="s">
        <v>210</v>
      </c>
      <c r="F1862" s="89">
        <f>IF(E1862="AM",1,(IF(E1862="BE",2,(IF(E1862="GV",3,(IF(E1862="RA",4,(IF(E1862="RM",5,(IF(E1862="AC",1,(IF(E1862="AT",2,(IF(E1862="DS",3,(IF(E1862="IP",4,(IF(E1862="MA",5,(IF(E1862="PT",6,(IF(E1862="AE",1,(IF(E1862="CM",2,(IF(E1862="DP",3,(IF(E1862="AN",1,(IF(E1862="CO",2,(IF(E1862="IM",3,(IF(E1862="MI",4,(IF(E1862="RP",5,(IF(E1862="SC",6,0)))))))))))))))))))))))))))))))))))))))</f>
        <v>3</v>
      </c>
      <c r="G1862" s="52">
        <v>2</v>
      </c>
      <c r="H1862" s="89">
        <v>1</v>
      </c>
      <c r="I1862" s="94" t="s">
        <v>60</v>
      </c>
      <c r="J1862" s="88" t="s">
        <v>3193</v>
      </c>
      <c r="K1862" s="51" t="s">
        <v>5306</v>
      </c>
      <c r="L1862" s="117">
        <f>IF(O1862="","",N1862*O1862*M1862)</f>
        <v>0</v>
      </c>
      <c r="M1862" s="108">
        <v>1</v>
      </c>
      <c r="N1862" s="95">
        <v>1</v>
      </c>
      <c r="O1862" s="109">
        <f>IF(Key!D$1="ON",P1862,IF(SUM(Q1862:DL1862)&lt;1,"",SUM(Q1862:DL1862)/COUNTIF(Q1862:DL1862,"&gt;0")))</f>
        <v>0</v>
      </c>
      <c r="P1862" s="109">
        <f>SUMIFS(Q1862:DK1862,Q$1:DK$1,Dashboard!$K$31)</f>
        <v>0</v>
      </c>
      <c r="U1862" s="95">
        <v>33</v>
      </c>
      <c r="AA1862" s="95">
        <v>25</v>
      </c>
      <c r="AH1862" s="95">
        <v>75</v>
      </c>
    </row>
    <row r="1863" spans="1:34" x14ac:dyDescent="0.3">
      <c r="A1863" s="89" t="str">
        <f>CONCATENATE(D1863,".",F1863,"-",G1863,".",H1863,"")</f>
        <v>2.3-2.1</v>
      </c>
      <c r="B1863" s="89" t="str">
        <f>IF(CONCATENATE(I1863,Key!F$2)=CONCATENATE(INDEX(Dashboard!J:J,MATCH(I1863,Dashboard!J:J,0),1),INDEX(Dashboard!J:K,MATCH(I1863,Dashboard!J:J,0),2)),"ON",IF(Dashboard!K$32="ALL","ON","-"))</f>
        <v>-</v>
      </c>
      <c r="C1863" s="88" t="s">
        <v>152</v>
      </c>
      <c r="D1863" s="89">
        <f>IF(C1863="ID",1,(IF(C1863="PR",2,(IF(C1863="DE",3,(IF(C1863="RS",4,(IF(C1863="RC",5,0)))))))))</f>
        <v>2</v>
      </c>
      <c r="E1863" s="89" t="s">
        <v>210</v>
      </c>
      <c r="F1863" s="89">
        <f>IF(E1863="AM",1,(IF(E1863="BE",2,(IF(E1863="GV",3,(IF(E1863="RA",4,(IF(E1863="RM",5,(IF(E1863="AC",1,(IF(E1863="AT",2,(IF(E1863="DS",3,(IF(E1863="IP",4,(IF(E1863="MA",5,(IF(E1863="PT",6,(IF(E1863="AE",1,(IF(E1863="CM",2,(IF(E1863="DP",3,(IF(E1863="AN",1,(IF(E1863="CO",2,(IF(E1863="IM",3,(IF(E1863="MI",4,(IF(E1863="RP",5,(IF(E1863="SC",6,0)))))))))))))))))))))))))))))))))))))))</f>
        <v>3</v>
      </c>
      <c r="G1863" s="52">
        <v>2</v>
      </c>
      <c r="H1863" s="90" t="s">
        <v>115</v>
      </c>
      <c r="I1863" s="94" t="s">
        <v>60</v>
      </c>
      <c r="J1863" s="87" t="s">
        <v>3127</v>
      </c>
      <c r="K1863" s="51" t="s">
        <v>5240</v>
      </c>
      <c r="L1863" s="117">
        <f>IF(O1863="","",N1863*O1863*M1863)</f>
        <v>0</v>
      </c>
      <c r="M1863" s="108">
        <v>1</v>
      </c>
      <c r="N1863" s="95">
        <v>1</v>
      </c>
      <c r="O1863" s="109">
        <f>IF(Key!D$1="ON",P1863,IF(SUM(Q1863:DL1863)&lt;1,"",SUM(Q1863:DL1863)/COUNTIF(Q1863:DL1863,"&gt;0")))</f>
        <v>0</v>
      </c>
      <c r="P1863" s="109">
        <f>SUMIFS(Q1863:DK1863,Q$1:DK$1,Dashboard!$K$31)</f>
        <v>0</v>
      </c>
      <c r="U1863" s="95">
        <v>33</v>
      </c>
      <c r="AA1863" s="95">
        <v>25</v>
      </c>
      <c r="AH1863" s="95">
        <v>75</v>
      </c>
    </row>
    <row r="1864" spans="1:34" x14ac:dyDescent="0.3">
      <c r="A1864" s="89" t="str">
        <f>CONCATENATE(D1864,".",F1864,"-",G1864,".",H1864,"")</f>
        <v>2.3-2.1</v>
      </c>
      <c r="B1864" s="89" t="str">
        <f>IF(CONCATENATE(I1864,Key!F$2)=CONCATENATE(INDEX(Dashboard!J:J,MATCH(I1864,Dashboard!J:J,0),1),INDEX(Dashboard!J:K,MATCH(I1864,Dashboard!J:J,0),2)),"ON",IF(Dashboard!K$32="ALL","ON","-"))</f>
        <v>-</v>
      </c>
      <c r="C1864" s="88" t="s">
        <v>152</v>
      </c>
      <c r="D1864" s="89">
        <f>IF(C1864="ID",1,(IF(C1864="PR",2,(IF(C1864="DE",3,(IF(C1864="RS",4,(IF(C1864="RC",5,0)))))))))</f>
        <v>2</v>
      </c>
      <c r="E1864" s="89" t="s">
        <v>210</v>
      </c>
      <c r="F1864" s="89">
        <f>IF(E1864="AM",1,(IF(E1864="BE",2,(IF(E1864="GV",3,(IF(E1864="RA",4,(IF(E1864="RM",5,(IF(E1864="AC",1,(IF(E1864="AT",2,(IF(E1864="DS",3,(IF(E1864="IP",4,(IF(E1864="MA",5,(IF(E1864="PT",6,(IF(E1864="AE",1,(IF(E1864="CM",2,(IF(E1864="DP",3,(IF(E1864="AN",1,(IF(E1864="CO",2,(IF(E1864="IM",3,(IF(E1864="MI",4,(IF(E1864="RP",5,(IF(E1864="SC",6,0)))))))))))))))))))))))))))))))))))))))</f>
        <v>3</v>
      </c>
      <c r="G1864" s="52">
        <v>2</v>
      </c>
      <c r="H1864" s="90" t="s">
        <v>115</v>
      </c>
      <c r="I1864" s="94" t="s">
        <v>64</v>
      </c>
      <c r="J1864" s="87" t="s">
        <v>1346</v>
      </c>
      <c r="K1864" s="102" t="s">
        <v>2346</v>
      </c>
      <c r="L1864" s="117">
        <f>IF(O1864="","",N1864*O1864*M1864)</f>
        <v>0</v>
      </c>
      <c r="M1864" s="108">
        <v>1</v>
      </c>
      <c r="N1864" s="95">
        <v>1</v>
      </c>
      <c r="O1864" s="109">
        <f>IF(Key!D$1="ON",P1864,IF(SUM(Q1864:DL1864)&lt;1,"",SUM(Q1864:DL1864)/COUNTIF(Q1864:DL1864,"&gt;0")))</f>
        <v>0</v>
      </c>
      <c r="P1864" s="109">
        <f>SUMIFS(Q1864:DK1864,Q$1:DK$1,Dashboard!$K$31)</f>
        <v>0</v>
      </c>
      <c r="U1864" s="95">
        <v>33</v>
      </c>
      <c r="AA1864" s="95">
        <v>25</v>
      </c>
      <c r="AH1864" s="95">
        <v>75</v>
      </c>
    </row>
    <row r="1865" spans="1:34" ht="15.6" x14ac:dyDescent="0.3">
      <c r="A1865" s="89" t="str">
        <f>CONCATENATE(D1865,".",F1865,"-",G1865,".",H1865,"")</f>
        <v>2.3-2.1</v>
      </c>
      <c r="B1865" s="89" t="str">
        <f>IF(CONCATENATE(I1865,Key!F$2)=CONCATENATE(INDEX(Dashboard!J:J,MATCH(I1865,Dashboard!J:J,0),1),INDEX(Dashboard!J:K,MATCH(I1865,Dashboard!J:J,0),2)),"ON",IF(Dashboard!K$32="ALL","ON","-"))</f>
        <v>-</v>
      </c>
      <c r="C1865" s="88" t="s">
        <v>152</v>
      </c>
      <c r="D1865" s="89">
        <f>IF(C1865="ID",1,(IF(C1865="PR",2,(IF(C1865="DE",3,(IF(C1865="RS",4,(IF(C1865="RC",5,0)))))))))</f>
        <v>2</v>
      </c>
      <c r="E1865" s="89" t="s">
        <v>210</v>
      </c>
      <c r="F1865" s="89">
        <f>IF(E1865="AM",1,(IF(E1865="BE",2,(IF(E1865="GV",3,(IF(E1865="RA",4,(IF(E1865="RM",5,(IF(E1865="AC",1,(IF(E1865="AT",2,(IF(E1865="DS",3,(IF(E1865="IP",4,(IF(E1865="MA",5,(IF(E1865="PT",6,(IF(E1865="AE",1,(IF(E1865="CM",2,(IF(E1865="DP",3,(IF(E1865="AN",1,(IF(E1865="CO",2,(IF(E1865="IM",3,(IF(E1865="MI",4,(IF(E1865="RP",5,(IF(E1865="SC",6,0)))))))))))))))))))))))))))))))))))))))</f>
        <v>3</v>
      </c>
      <c r="G1865" s="52">
        <v>2</v>
      </c>
      <c r="H1865" s="90" t="s">
        <v>115</v>
      </c>
      <c r="I1865" s="94" t="s">
        <v>64</v>
      </c>
      <c r="J1865" s="87" t="s">
        <v>1347</v>
      </c>
      <c r="K1865" s="102" t="s">
        <v>2347</v>
      </c>
      <c r="L1865" s="117">
        <f>IF(O1865="","",N1865*O1865*M1865)</f>
        <v>0</v>
      </c>
      <c r="M1865" s="108">
        <v>1</v>
      </c>
      <c r="N1865" s="95">
        <v>1</v>
      </c>
      <c r="O1865" s="109">
        <f>IF(Key!D$1="ON",P1865,IF(SUM(Q1865:DL1865)&lt;1,"",SUM(Q1865:DL1865)/COUNTIF(Q1865:DL1865,"&gt;0")))</f>
        <v>0</v>
      </c>
      <c r="P1865" s="109">
        <f>SUMIFS(Q1865:DK1865,Q$1:DK$1,Dashboard!$K$31)</f>
        <v>0</v>
      </c>
      <c r="U1865" s="95">
        <v>33</v>
      </c>
      <c r="AA1865" s="95">
        <v>25</v>
      </c>
      <c r="AH1865" s="95">
        <v>75</v>
      </c>
    </row>
    <row r="1866" spans="1:34" x14ac:dyDescent="0.3">
      <c r="A1866" s="89" t="str">
        <f>CONCATENATE(D1866,".",F1866,"-",G1866,".",H1866,"")</f>
        <v>2.3-2.1</v>
      </c>
      <c r="B1866" s="89" t="str">
        <f>IF(CONCATENATE(I1866,Key!F$2)=CONCATENATE(INDEX(Dashboard!J:J,MATCH(I1866,Dashboard!J:J,0),1),INDEX(Dashboard!J:K,MATCH(I1866,Dashboard!J:J,0),2)),"ON",IF(Dashboard!K$32="ALL","ON","-"))</f>
        <v>-</v>
      </c>
      <c r="C1866" s="88" t="s">
        <v>152</v>
      </c>
      <c r="D1866" s="89">
        <f>IF(C1866="ID",1,(IF(C1866="PR",2,(IF(C1866="DE",3,(IF(C1866="RS",4,(IF(C1866="RC",5,0)))))))))</f>
        <v>2</v>
      </c>
      <c r="E1866" s="89" t="s">
        <v>210</v>
      </c>
      <c r="F1866" s="89">
        <f>IF(E1866="AM",1,(IF(E1866="BE",2,(IF(E1866="GV",3,(IF(E1866="RA",4,(IF(E1866="RM",5,(IF(E1866="AC",1,(IF(E1866="AT",2,(IF(E1866="DS",3,(IF(E1866="IP",4,(IF(E1866="MA",5,(IF(E1866="PT",6,(IF(E1866="AE",1,(IF(E1866="CM",2,(IF(E1866="DP",3,(IF(E1866="AN",1,(IF(E1866="CO",2,(IF(E1866="IM",3,(IF(E1866="MI",4,(IF(E1866="RP",5,(IF(E1866="SC",6,0)))))))))))))))))))))))))))))))))))))))</f>
        <v>3</v>
      </c>
      <c r="G1866" s="52">
        <v>2</v>
      </c>
      <c r="H1866" s="90" t="s">
        <v>115</v>
      </c>
      <c r="I1866" s="94" t="s">
        <v>64</v>
      </c>
      <c r="J1866" s="87" t="s">
        <v>1348</v>
      </c>
      <c r="K1866" s="102" t="s">
        <v>2348</v>
      </c>
      <c r="L1866" s="117">
        <f>IF(O1866="","",N1866*O1866*M1866)</f>
        <v>0</v>
      </c>
      <c r="M1866" s="108">
        <v>1</v>
      </c>
      <c r="N1866" s="95">
        <v>1</v>
      </c>
      <c r="O1866" s="109">
        <f>IF(Key!D$1="ON",P1866,IF(SUM(Q1866:DL1866)&lt;1,"",SUM(Q1866:DL1866)/COUNTIF(Q1866:DL1866,"&gt;0")))</f>
        <v>0</v>
      </c>
      <c r="P1866" s="109">
        <f>SUMIFS(Q1866:DK1866,Q$1:DK$1,Dashboard!$K$31)</f>
        <v>0</v>
      </c>
      <c r="U1866" s="95">
        <v>33</v>
      </c>
      <c r="AA1866" s="95">
        <v>25</v>
      </c>
      <c r="AH1866" s="95">
        <v>75</v>
      </c>
    </row>
    <row r="1867" spans="1:34" x14ac:dyDescent="0.3">
      <c r="A1867" s="89" t="str">
        <f>CONCATENATE(D1867,".",F1867,"-",G1867,".",H1867,"")</f>
        <v>2.3-2.1</v>
      </c>
      <c r="B1867" s="89" t="str">
        <f>IF(CONCATENATE(I1867,Key!F$2)=CONCATENATE(INDEX(Dashboard!J:J,MATCH(I1867,Dashboard!J:J,0),1),INDEX(Dashboard!J:K,MATCH(I1867,Dashboard!J:J,0),2)),"ON",IF(Dashboard!K$32="ALL","ON","-"))</f>
        <v>-</v>
      </c>
      <c r="C1867" s="88" t="s">
        <v>152</v>
      </c>
      <c r="D1867" s="89">
        <f>IF(C1867="ID",1,(IF(C1867="PR",2,(IF(C1867="DE",3,(IF(C1867="RS",4,(IF(C1867="RC",5,0)))))))))</f>
        <v>2</v>
      </c>
      <c r="E1867" s="89" t="s">
        <v>210</v>
      </c>
      <c r="F1867" s="89">
        <f>IF(E1867="AM",1,(IF(E1867="BE",2,(IF(E1867="GV",3,(IF(E1867="RA",4,(IF(E1867="RM",5,(IF(E1867="AC",1,(IF(E1867="AT",2,(IF(E1867="DS",3,(IF(E1867="IP",4,(IF(E1867="MA",5,(IF(E1867="PT",6,(IF(E1867="AE",1,(IF(E1867="CM",2,(IF(E1867="DP",3,(IF(E1867="AN",1,(IF(E1867="CO",2,(IF(E1867="IM",3,(IF(E1867="MI",4,(IF(E1867="RP",5,(IF(E1867="SC",6,0)))))))))))))))))))))))))))))))))))))))</f>
        <v>3</v>
      </c>
      <c r="G1867" s="52">
        <v>2</v>
      </c>
      <c r="H1867" s="90" t="s">
        <v>115</v>
      </c>
      <c r="I1867" s="94" t="s">
        <v>64</v>
      </c>
      <c r="J1867" s="87" t="s">
        <v>1349</v>
      </c>
      <c r="K1867" s="102" t="s">
        <v>2349</v>
      </c>
      <c r="L1867" s="117">
        <f>IF(O1867="","",N1867*O1867*M1867)</f>
        <v>0</v>
      </c>
      <c r="M1867" s="108">
        <v>1</v>
      </c>
      <c r="N1867" s="95">
        <v>1</v>
      </c>
      <c r="O1867" s="109">
        <f>IF(Key!D$1="ON",P1867,IF(SUM(Q1867:DL1867)&lt;1,"",SUM(Q1867:DL1867)/COUNTIF(Q1867:DL1867,"&gt;0")))</f>
        <v>0</v>
      </c>
      <c r="P1867" s="109">
        <f>SUMIFS(Q1867:DK1867,Q$1:DK$1,Dashboard!$K$31)</f>
        <v>0</v>
      </c>
      <c r="U1867" s="95">
        <v>33</v>
      </c>
      <c r="AA1867" s="95">
        <v>25</v>
      </c>
      <c r="AH1867" s="95">
        <v>75</v>
      </c>
    </row>
    <row r="1868" spans="1:34" x14ac:dyDescent="0.3">
      <c r="A1868" s="89" t="str">
        <f>CONCATENATE(D1868,".",F1868,"-",G1868,".",H1868,"")</f>
        <v>2.3-2.1</v>
      </c>
      <c r="B1868" s="89" t="str">
        <f>IF(CONCATENATE(I1868,Key!F$2)=CONCATENATE(INDEX(Dashboard!J:J,MATCH(I1868,Dashboard!J:J,0),1),INDEX(Dashboard!J:K,MATCH(I1868,Dashboard!J:J,0),2)),"ON",IF(Dashboard!K$32="ALL","ON","-"))</f>
        <v>-</v>
      </c>
      <c r="C1868" s="88" t="s">
        <v>152</v>
      </c>
      <c r="D1868" s="89">
        <f>IF(C1868="ID",1,(IF(C1868="PR",2,(IF(C1868="DE",3,(IF(C1868="RS",4,(IF(C1868="RC",5,0)))))))))</f>
        <v>2</v>
      </c>
      <c r="E1868" s="89" t="s">
        <v>210</v>
      </c>
      <c r="F1868" s="89">
        <f>IF(E1868="AM",1,(IF(E1868="BE",2,(IF(E1868="GV",3,(IF(E1868="RA",4,(IF(E1868="RM",5,(IF(E1868="AC",1,(IF(E1868="AT",2,(IF(E1868="DS",3,(IF(E1868="IP",4,(IF(E1868="MA",5,(IF(E1868="PT",6,(IF(E1868="AE",1,(IF(E1868="CM",2,(IF(E1868="DP",3,(IF(E1868="AN",1,(IF(E1868="CO",2,(IF(E1868="IM",3,(IF(E1868="MI",4,(IF(E1868="RP",5,(IF(E1868="SC",6,0)))))))))))))))))))))))))))))))))))))))</f>
        <v>3</v>
      </c>
      <c r="G1868" s="98">
        <v>2</v>
      </c>
      <c r="H1868" s="99">
        <v>1</v>
      </c>
      <c r="I1868" s="94" t="s">
        <v>73</v>
      </c>
      <c r="J1868" s="86" t="s">
        <v>4129</v>
      </c>
      <c r="K1868" s="107" t="s">
        <v>4261</v>
      </c>
      <c r="L1868" s="117">
        <f>IF(O1868="","",N1868*O1868*M1868)</f>
        <v>0</v>
      </c>
      <c r="M1868" s="108">
        <v>1</v>
      </c>
      <c r="N1868" s="95">
        <v>1</v>
      </c>
      <c r="O1868" s="109">
        <f>IF(Key!D$1="ON",P1868,IF(SUM(Q1868:DL1868)&lt;1,"",SUM(Q1868:DL1868)/COUNTIF(Q1868:DL1868,"&gt;0")))</f>
        <v>0</v>
      </c>
      <c r="P1868" s="109">
        <f>SUMIFS(Q1868:DK1868,Q$1:DK$1,Dashboard!$K$31)</f>
        <v>0</v>
      </c>
      <c r="U1868" s="95">
        <v>33</v>
      </c>
      <c r="AA1868" s="95">
        <v>25</v>
      </c>
      <c r="AH1868" s="95">
        <v>75</v>
      </c>
    </row>
    <row r="1869" spans="1:34" x14ac:dyDescent="0.3">
      <c r="A1869" s="89" t="str">
        <f>CONCATENATE(D1869,".",F1869,"-",G1869,".",H1869,"")</f>
        <v>2.3-2.1</v>
      </c>
      <c r="B1869" s="89" t="str">
        <f>IF(CONCATENATE(I1869,Key!F$2)=CONCATENATE(INDEX(Dashboard!J:J,MATCH(I1869,Dashboard!J:J,0),1),INDEX(Dashboard!J:K,MATCH(I1869,Dashboard!J:J,0),2)),"ON",IF(Dashboard!K$32="ALL","ON","-"))</f>
        <v>-</v>
      </c>
      <c r="C1869" s="88" t="s">
        <v>152</v>
      </c>
      <c r="D1869" s="89">
        <f>IF(C1869="ID",1,(IF(C1869="PR",2,(IF(C1869="DE",3,(IF(C1869="RS",4,(IF(C1869="RC",5,0)))))))))</f>
        <v>2</v>
      </c>
      <c r="E1869" s="89" t="s">
        <v>210</v>
      </c>
      <c r="F1869" s="89">
        <f>IF(E1869="AM",1,(IF(E1869="BE",2,(IF(E1869="GV",3,(IF(E1869="RA",4,(IF(E1869="RM",5,(IF(E1869="AC",1,(IF(E1869="AT",2,(IF(E1869="DS",3,(IF(E1869="IP",4,(IF(E1869="MA",5,(IF(E1869="PT",6,(IF(E1869="AE",1,(IF(E1869="CM",2,(IF(E1869="DP",3,(IF(E1869="AN",1,(IF(E1869="CO",2,(IF(E1869="IM",3,(IF(E1869="MI",4,(IF(E1869="RP",5,(IF(E1869="SC",6,0)))))))))))))))))))))))))))))))))))))))</f>
        <v>3</v>
      </c>
      <c r="G1869" s="98">
        <v>2</v>
      </c>
      <c r="H1869" s="99">
        <v>1</v>
      </c>
      <c r="I1869" s="94" t="s">
        <v>73</v>
      </c>
      <c r="J1869" s="86" t="s">
        <v>4136</v>
      </c>
      <c r="K1869" s="107" t="s">
        <v>4265</v>
      </c>
      <c r="L1869" s="117">
        <f>IF(O1869="","",N1869*O1869*M1869)</f>
        <v>0</v>
      </c>
      <c r="M1869" s="108">
        <v>1</v>
      </c>
      <c r="N1869" s="95">
        <v>1</v>
      </c>
      <c r="O1869" s="109">
        <f>IF(Key!D$1="ON",P1869,IF(SUM(Q1869:DL1869)&lt;1,"",SUM(Q1869:DL1869)/COUNTIF(Q1869:DL1869,"&gt;0")))</f>
        <v>0</v>
      </c>
      <c r="P1869" s="109">
        <f>SUMIFS(Q1869:DK1869,Q$1:DK$1,Dashboard!$K$31)</f>
        <v>0</v>
      </c>
      <c r="U1869" s="95">
        <v>33</v>
      </c>
      <c r="AA1869" s="95">
        <v>25</v>
      </c>
      <c r="AH1869" s="95">
        <v>75</v>
      </c>
    </row>
    <row r="1870" spans="1:34" x14ac:dyDescent="0.3">
      <c r="A1870" s="89" t="str">
        <f>CONCATENATE(D1870,".",F1870,"-",G1870,".",H1870,"")</f>
        <v>2.3-2.1</v>
      </c>
      <c r="B1870" s="89" t="str">
        <f>IF(CONCATENATE(I1870,Key!F$2)=CONCATENATE(INDEX(Dashboard!J:J,MATCH(I1870,Dashboard!J:J,0),1),INDEX(Dashboard!J:K,MATCH(I1870,Dashboard!J:J,0),2)),"ON",IF(Dashboard!K$32="ALL","ON","-"))</f>
        <v>-</v>
      </c>
      <c r="C1870" s="88" t="s">
        <v>152</v>
      </c>
      <c r="D1870" s="89">
        <f>IF(C1870="ID",1,(IF(C1870="PR",2,(IF(C1870="DE",3,(IF(C1870="RS",4,(IF(C1870="RC",5,0)))))))))</f>
        <v>2</v>
      </c>
      <c r="E1870" s="89" t="s">
        <v>210</v>
      </c>
      <c r="F1870" s="89">
        <f>IF(E1870="AM",1,(IF(E1870="BE",2,(IF(E1870="GV",3,(IF(E1870="RA",4,(IF(E1870="RM",5,(IF(E1870="AC",1,(IF(E1870="AT",2,(IF(E1870="DS",3,(IF(E1870="IP",4,(IF(E1870="MA",5,(IF(E1870="PT",6,(IF(E1870="AE",1,(IF(E1870="CM",2,(IF(E1870="DP",3,(IF(E1870="AN",1,(IF(E1870="CO",2,(IF(E1870="IM",3,(IF(E1870="MI",4,(IF(E1870="RP",5,(IF(E1870="SC",6,0)))))))))))))))))))))))))))))))))))))))</f>
        <v>3</v>
      </c>
      <c r="G1870" s="52">
        <v>2</v>
      </c>
      <c r="H1870" s="90" t="s">
        <v>115</v>
      </c>
      <c r="I1870" s="94" t="s">
        <v>73</v>
      </c>
      <c r="J1870" s="86" t="s">
        <v>4229</v>
      </c>
      <c r="K1870" s="101" t="s">
        <v>4407</v>
      </c>
      <c r="L1870" s="117">
        <f>IF(O1870="","",N1870*O1870*M1870)</f>
        <v>0</v>
      </c>
      <c r="M1870" s="108">
        <v>1</v>
      </c>
      <c r="N1870" s="95">
        <v>1</v>
      </c>
      <c r="O1870" s="109">
        <f>IF(Key!D$1="ON",P1870,IF(SUM(Q1870:DL1870)&lt;1,"",SUM(Q1870:DL1870)/COUNTIF(Q1870:DL1870,"&gt;0")))</f>
        <v>0</v>
      </c>
      <c r="P1870" s="109">
        <f>SUMIFS(Q1870:DK1870,Q$1:DK$1,Dashboard!$K$31)</f>
        <v>0</v>
      </c>
      <c r="U1870" s="95">
        <v>33</v>
      </c>
      <c r="AA1870" s="95">
        <v>25</v>
      </c>
      <c r="AH1870" s="95">
        <v>75</v>
      </c>
    </row>
    <row r="1871" spans="1:34" x14ac:dyDescent="0.3">
      <c r="A1871" s="89" t="str">
        <f>CONCATENATE(D1871,".",F1871,"-",G1871,".",H1871,"")</f>
        <v>2.3-2.1</v>
      </c>
      <c r="B1871" s="89" t="str">
        <f>IF(CONCATENATE(I1871,Key!F$2)=CONCATENATE(INDEX(Dashboard!J:J,MATCH(I1871,Dashboard!J:J,0),1),INDEX(Dashboard!J:K,MATCH(I1871,Dashboard!J:J,0),2)),"ON",IF(Dashboard!K$32="ALL","ON","-"))</f>
        <v>-</v>
      </c>
      <c r="C1871" s="88" t="s">
        <v>152</v>
      </c>
      <c r="D1871" s="89">
        <f>IF(C1871="ID",1,(IF(C1871="PR",2,(IF(C1871="DE",3,(IF(C1871="RS",4,(IF(C1871="RC",5,0)))))))))</f>
        <v>2</v>
      </c>
      <c r="E1871" s="89" t="s">
        <v>210</v>
      </c>
      <c r="F1871" s="89">
        <f>IF(E1871="AM",1,(IF(E1871="BE",2,(IF(E1871="GV",3,(IF(E1871="RA",4,(IF(E1871="RM",5,(IF(E1871="AC",1,(IF(E1871="AT",2,(IF(E1871="DS",3,(IF(E1871="IP",4,(IF(E1871="MA",5,(IF(E1871="PT",6,(IF(E1871="AE",1,(IF(E1871="CM",2,(IF(E1871="DP",3,(IF(E1871="AN",1,(IF(E1871="CO",2,(IF(E1871="IM",3,(IF(E1871="MI",4,(IF(E1871="RP",5,(IF(E1871="SC",6,0)))))))))))))))))))))))))))))))))))))))</f>
        <v>3</v>
      </c>
      <c r="G1871" s="98">
        <v>2</v>
      </c>
      <c r="H1871" s="99">
        <v>1</v>
      </c>
      <c r="I1871" s="94" t="s">
        <v>73</v>
      </c>
      <c r="J1871" s="86" t="s">
        <v>4225</v>
      </c>
      <c r="K1871" s="107" t="s">
        <v>4339</v>
      </c>
      <c r="L1871" s="117">
        <f>IF(O1871="","",N1871*O1871*M1871)</f>
        <v>0</v>
      </c>
      <c r="M1871" s="108">
        <v>1</v>
      </c>
      <c r="N1871" s="95">
        <v>1</v>
      </c>
      <c r="O1871" s="109">
        <f>IF(Key!D$1="ON",P1871,IF(SUM(Q1871:DL1871)&lt;1,"",SUM(Q1871:DL1871)/COUNTIF(Q1871:DL1871,"&gt;0")))</f>
        <v>0</v>
      </c>
      <c r="P1871" s="109">
        <f>SUMIFS(Q1871:DK1871,Q$1:DK$1,Dashboard!$K$31)</f>
        <v>0</v>
      </c>
      <c r="U1871" s="95">
        <v>33</v>
      </c>
      <c r="AA1871" s="95">
        <v>25</v>
      </c>
      <c r="AH1871" s="95">
        <v>75</v>
      </c>
    </row>
    <row r="1872" spans="1:34" ht="15.6" x14ac:dyDescent="0.3">
      <c r="A1872" s="89" t="str">
        <f>CONCATENATE(D1872,".",F1872,"-",G1872,".",H1872,"")</f>
        <v>2.3-2.1</v>
      </c>
      <c r="B1872" s="89" t="str">
        <f>IF(CONCATENATE(I1872,Key!F$2)=CONCATENATE(INDEX(Dashboard!J:J,MATCH(I1872,Dashboard!J:J,0),1),INDEX(Dashboard!J:K,MATCH(I1872,Dashboard!J:J,0),2)),"ON",IF(Dashboard!K$32="ALL","ON","-"))</f>
        <v>-</v>
      </c>
      <c r="C1872" s="88" t="s">
        <v>152</v>
      </c>
      <c r="D1872" s="89">
        <f>IF(C1872="ID",1,(IF(C1872="PR",2,(IF(C1872="DE",3,(IF(C1872="RS",4,(IF(C1872="RC",5,0)))))))))</f>
        <v>2</v>
      </c>
      <c r="E1872" s="89" t="s">
        <v>210</v>
      </c>
      <c r="F1872" s="89">
        <f>IF(E1872="AM",1,(IF(E1872="BE",2,(IF(E1872="GV",3,(IF(E1872="RA",4,(IF(E1872="RM",5,(IF(E1872="AC",1,(IF(E1872="AT",2,(IF(E1872="DS",3,(IF(E1872="IP",4,(IF(E1872="MA",5,(IF(E1872="PT",6,(IF(E1872="AE",1,(IF(E1872="CM",2,(IF(E1872="DP",3,(IF(E1872="AN",1,(IF(E1872="CO",2,(IF(E1872="IM",3,(IF(E1872="MI",4,(IF(E1872="RP",5,(IF(E1872="SC",6,0)))))))))))))))))))))))))))))))))))))))</f>
        <v>3</v>
      </c>
      <c r="G1872" s="98">
        <v>2</v>
      </c>
      <c r="H1872" s="99">
        <v>1</v>
      </c>
      <c r="I1872" s="94" t="s">
        <v>73</v>
      </c>
      <c r="J1872" s="86" t="s">
        <v>4190</v>
      </c>
      <c r="K1872" s="107" t="s">
        <v>4315</v>
      </c>
      <c r="L1872" s="117">
        <f>IF(O1872="","",N1872*O1872*M1872)</f>
        <v>0</v>
      </c>
      <c r="M1872" s="108">
        <v>1</v>
      </c>
      <c r="N1872" s="95">
        <v>1</v>
      </c>
      <c r="O1872" s="109">
        <f>IF(Key!D$1="ON",P1872,IF(SUM(Q1872:DL1872)&lt;1,"",SUM(Q1872:DL1872)/COUNTIF(Q1872:DL1872,"&gt;0")))</f>
        <v>0</v>
      </c>
      <c r="P1872" s="109">
        <f>SUMIFS(Q1872:DK1872,Q$1:DK$1,Dashboard!$K$31)</f>
        <v>0</v>
      </c>
      <c r="U1872" s="95">
        <v>33</v>
      </c>
      <c r="AA1872" s="95">
        <v>25</v>
      </c>
      <c r="AH1872" s="95">
        <v>75</v>
      </c>
    </row>
    <row r="1873" spans="1:34" x14ac:dyDescent="0.3">
      <c r="A1873" s="89" t="str">
        <f>CONCATENATE(D1873,".",F1873,"-",G1873,".",H1873,"")</f>
        <v>2.3-2.1</v>
      </c>
      <c r="B1873" s="89" t="str">
        <f>IF(CONCATENATE(I1873,Key!F$2)=CONCATENATE(INDEX(Dashboard!J:J,MATCH(I1873,Dashboard!J:J,0),1),INDEX(Dashboard!J:K,MATCH(I1873,Dashboard!J:J,0),2)),"ON",IF(Dashboard!K$32="ALL","ON","-"))</f>
        <v>-</v>
      </c>
      <c r="C1873" s="96" t="s">
        <v>152</v>
      </c>
      <c r="D1873" s="89">
        <f>IF(C1873="ID",1,(IF(C1873="PR",2,(IF(C1873="DE",3,(IF(C1873="RS",4,(IF(C1873="RC",5,0)))))))))</f>
        <v>2</v>
      </c>
      <c r="E1873" s="89" t="s">
        <v>210</v>
      </c>
      <c r="F1873" s="89">
        <f>IF(E1873="AM",1,(IF(E1873="BE",2,(IF(E1873="GV",3,(IF(E1873="RA",4,(IF(E1873="RM",5,(IF(E1873="AC",1,(IF(E1873="AT",2,(IF(E1873="DS",3,(IF(E1873="IP",4,(IF(E1873="MA",5,(IF(E1873="PT",6,(IF(E1873="AE",1,(IF(E1873="CM",2,(IF(E1873="DP",3,(IF(E1873="AN",1,(IF(E1873="CO",2,(IF(E1873="IM",3,(IF(E1873="MI",4,(IF(E1873="RP",5,(IF(E1873="SC",6,0)))))))))))))))))))))))))))))))))))))))</f>
        <v>3</v>
      </c>
      <c r="G1873" s="98">
        <v>2</v>
      </c>
      <c r="H1873" s="90" t="s">
        <v>115</v>
      </c>
      <c r="I1873" s="94" t="s">
        <v>77</v>
      </c>
      <c r="J1873" s="87" t="s">
        <v>1344</v>
      </c>
      <c r="K1873" s="102" t="s">
        <v>2345</v>
      </c>
      <c r="L1873" s="117">
        <f>IF(O1873="","",N1873*O1873*M1873)</f>
        <v>0</v>
      </c>
      <c r="M1873" s="108">
        <v>1</v>
      </c>
      <c r="N1873" s="95">
        <v>1</v>
      </c>
      <c r="O1873" s="109">
        <f>IF(Key!D$1="ON",P1873,IF(SUM(Q1873:DL1873)&lt;1,"",SUM(Q1873:DL1873)/COUNTIF(Q1873:DL1873,"&gt;0")))</f>
        <v>0</v>
      </c>
      <c r="P1873" s="109">
        <f>SUMIFS(Q1873:DK1873,Q$1:DK$1,Dashboard!$K$31)</f>
        <v>0</v>
      </c>
      <c r="U1873" s="95">
        <v>33</v>
      </c>
      <c r="AA1873" s="95">
        <v>25</v>
      </c>
      <c r="AH1873" s="95">
        <v>75</v>
      </c>
    </row>
    <row r="1874" spans="1:34" x14ac:dyDescent="0.3">
      <c r="A1874" s="89" t="str">
        <f>CONCATENATE(D1874,".",F1874,"-",G1874,".",H1874,"")</f>
        <v>2.3-2.1</v>
      </c>
      <c r="B1874" s="89" t="str">
        <f>IF(CONCATENATE(I1874,Key!F$2)=CONCATENATE(INDEX(Dashboard!J:J,MATCH(I1874,Dashboard!J:J,0),1),INDEX(Dashboard!J:K,MATCH(I1874,Dashboard!J:J,0),2)),"ON",IF(Dashboard!K$32="ALL","ON","-"))</f>
        <v>-</v>
      </c>
      <c r="C1874" s="88" t="s">
        <v>152</v>
      </c>
      <c r="D1874" s="89">
        <f>IF(C1874="ID",1,(IF(C1874="PR",2,(IF(C1874="DE",3,(IF(C1874="RS",4,(IF(C1874="RC",5,0)))))))))</f>
        <v>2</v>
      </c>
      <c r="E1874" s="89" t="s">
        <v>210</v>
      </c>
      <c r="F1874" s="89">
        <f>IF(E1874="AM",1,(IF(E1874="BE",2,(IF(E1874="GV",3,(IF(E1874="RA",4,(IF(E1874="RM",5,(IF(E1874="AC",1,(IF(E1874="AT",2,(IF(E1874="DS",3,(IF(E1874="IP",4,(IF(E1874="MA",5,(IF(E1874="PT",6,(IF(E1874="AE",1,(IF(E1874="CM",2,(IF(E1874="DP",3,(IF(E1874="AN",1,(IF(E1874="CO",2,(IF(E1874="IM",3,(IF(E1874="MI",4,(IF(E1874="RP",5,(IF(E1874="SC",6,0)))))))))))))))))))))))))))))))))))))))</f>
        <v>3</v>
      </c>
      <c r="G1874" s="52">
        <v>2</v>
      </c>
      <c r="H1874" s="90" t="s">
        <v>115</v>
      </c>
      <c r="I1874" s="94" t="s">
        <v>77</v>
      </c>
      <c r="J1874" s="87" t="s">
        <v>1346</v>
      </c>
      <c r="K1874" s="102" t="s">
        <v>2346</v>
      </c>
      <c r="L1874" s="117">
        <f>IF(O1874="","",N1874*O1874*M1874)</f>
        <v>0</v>
      </c>
      <c r="M1874" s="108">
        <v>1</v>
      </c>
      <c r="N1874" s="95">
        <v>1</v>
      </c>
      <c r="O1874" s="109">
        <f>IF(Key!D$1="ON",P1874,IF(SUM(Q1874:DL1874)&lt;1,"",SUM(Q1874:DL1874)/COUNTIF(Q1874:DL1874,"&gt;0")))</f>
        <v>0</v>
      </c>
      <c r="P1874" s="109">
        <f>SUMIFS(Q1874:DK1874,Q$1:DK$1,Dashboard!$K$31)</f>
        <v>0</v>
      </c>
      <c r="U1874" s="95">
        <v>33</v>
      </c>
      <c r="AA1874" s="95">
        <v>25</v>
      </c>
      <c r="AH1874" s="95">
        <v>75</v>
      </c>
    </row>
    <row r="1875" spans="1:34" x14ac:dyDescent="0.3">
      <c r="A1875" s="89" t="str">
        <f>CONCATENATE(D1875,".",F1875,"-",G1875,".",H1875,"")</f>
        <v>2.3-2.1</v>
      </c>
      <c r="B1875" s="89" t="str">
        <f>IF(CONCATENATE(I1875,Key!F$2)=CONCATENATE(INDEX(Dashboard!J:J,MATCH(I1875,Dashboard!J:J,0),1),INDEX(Dashboard!J:K,MATCH(I1875,Dashboard!J:J,0),2)),"ON",IF(Dashboard!K$32="ALL","ON","-"))</f>
        <v>-</v>
      </c>
      <c r="C1875" s="88" t="s">
        <v>152</v>
      </c>
      <c r="D1875" s="89">
        <f>IF(C1875="ID",1,(IF(C1875="PR",2,(IF(C1875="DE",3,(IF(C1875="RS",4,(IF(C1875="RC",5,0)))))))))</f>
        <v>2</v>
      </c>
      <c r="E1875" s="89" t="s">
        <v>210</v>
      </c>
      <c r="F1875" s="89">
        <f>IF(E1875="AM",1,(IF(E1875="BE",2,(IF(E1875="GV",3,(IF(E1875="RA",4,(IF(E1875="RM",5,(IF(E1875="AC",1,(IF(E1875="AT",2,(IF(E1875="DS",3,(IF(E1875="IP",4,(IF(E1875="MA",5,(IF(E1875="PT",6,(IF(E1875="AE",1,(IF(E1875="CM",2,(IF(E1875="DP",3,(IF(E1875="AN",1,(IF(E1875="CO",2,(IF(E1875="IM",3,(IF(E1875="MI",4,(IF(E1875="RP",5,(IF(E1875="SC",6,0)))))))))))))))))))))))))))))))))))))))</f>
        <v>3</v>
      </c>
      <c r="G1875" s="52">
        <v>2</v>
      </c>
      <c r="H1875" s="90" t="s">
        <v>115</v>
      </c>
      <c r="I1875" s="94" t="s">
        <v>77</v>
      </c>
      <c r="J1875" s="87" t="s">
        <v>1347</v>
      </c>
      <c r="K1875" s="102" t="s">
        <v>2347</v>
      </c>
      <c r="L1875" s="117">
        <f>IF(O1875="","",N1875*O1875*M1875)</f>
        <v>0</v>
      </c>
      <c r="M1875" s="108">
        <v>1</v>
      </c>
      <c r="N1875" s="95">
        <v>1</v>
      </c>
      <c r="O1875" s="109">
        <f>IF(Key!D$1="ON",P1875,IF(SUM(Q1875:DL1875)&lt;1,"",SUM(Q1875:DL1875)/COUNTIF(Q1875:DL1875,"&gt;0")))</f>
        <v>0</v>
      </c>
      <c r="P1875" s="109">
        <f>SUMIFS(Q1875:DK1875,Q$1:DK$1,Dashboard!$K$31)</f>
        <v>0</v>
      </c>
      <c r="U1875" s="95">
        <v>33</v>
      </c>
      <c r="AA1875" s="95">
        <v>25</v>
      </c>
      <c r="AH1875" s="95">
        <v>75</v>
      </c>
    </row>
    <row r="1876" spans="1:34" x14ac:dyDescent="0.3">
      <c r="A1876" s="89" t="str">
        <f>CONCATENATE(D1876,".",F1876,"-",G1876,".",H1876,"")</f>
        <v>2.3-2.1</v>
      </c>
      <c r="B1876" s="89" t="str">
        <f>IF(CONCATENATE(I1876,Key!F$2)=CONCATENATE(INDEX(Dashboard!J:J,MATCH(I1876,Dashboard!J:J,0),1),INDEX(Dashboard!J:K,MATCH(I1876,Dashboard!J:J,0),2)),"ON",IF(Dashboard!K$32="ALL","ON","-"))</f>
        <v>-</v>
      </c>
      <c r="C1876" s="88" t="s">
        <v>152</v>
      </c>
      <c r="D1876" s="89">
        <f>IF(C1876="ID",1,(IF(C1876="PR",2,(IF(C1876="DE",3,(IF(C1876="RS",4,(IF(C1876="RC",5,0)))))))))</f>
        <v>2</v>
      </c>
      <c r="E1876" s="89" t="s">
        <v>210</v>
      </c>
      <c r="F1876" s="89">
        <f>IF(E1876="AM",1,(IF(E1876="BE",2,(IF(E1876="GV",3,(IF(E1876="RA",4,(IF(E1876="RM",5,(IF(E1876="AC",1,(IF(E1876="AT",2,(IF(E1876="DS",3,(IF(E1876="IP",4,(IF(E1876="MA",5,(IF(E1876="PT",6,(IF(E1876="AE",1,(IF(E1876="CM",2,(IF(E1876="DP",3,(IF(E1876="AN",1,(IF(E1876="CO",2,(IF(E1876="IM",3,(IF(E1876="MI",4,(IF(E1876="RP",5,(IF(E1876="SC",6,0)))))))))))))))))))))))))))))))))))))))</f>
        <v>3</v>
      </c>
      <c r="G1876" s="52">
        <v>2</v>
      </c>
      <c r="H1876" s="90" t="s">
        <v>115</v>
      </c>
      <c r="I1876" s="94" t="s">
        <v>77</v>
      </c>
      <c r="J1876" s="87" t="s">
        <v>1348</v>
      </c>
      <c r="K1876" s="102" t="s">
        <v>2348</v>
      </c>
      <c r="L1876" s="117">
        <f>IF(O1876="","",N1876*O1876*M1876)</f>
        <v>0</v>
      </c>
      <c r="M1876" s="108">
        <v>1</v>
      </c>
      <c r="N1876" s="95">
        <v>1</v>
      </c>
      <c r="O1876" s="109">
        <f>IF(Key!D$1="ON",P1876,IF(SUM(Q1876:DL1876)&lt;1,"",SUM(Q1876:DL1876)/COUNTIF(Q1876:DL1876,"&gt;0")))</f>
        <v>0</v>
      </c>
      <c r="P1876" s="109">
        <f>SUMIFS(Q1876:DK1876,Q$1:DK$1,Dashboard!$K$31)</f>
        <v>0</v>
      </c>
      <c r="U1876" s="95">
        <v>33</v>
      </c>
      <c r="AA1876" s="95">
        <v>25</v>
      </c>
      <c r="AH1876" s="95">
        <v>75</v>
      </c>
    </row>
    <row r="1877" spans="1:34" x14ac:dyDescent="0.3">
      <c r="A1877" s="89" t="str">
        <f>CONCATENATE(D1877,".",F1877,"-",G1877,".",H1877,"")</f>
        <v>2.3-2.1</v>
      </c>
      <c r="B1877" s="89" t="str">
        <f>IF(CONCATENATE(I1877,Key!F$2)=CONCATENATE(INDEX(Dashboard!J:J,MATCH(I1877,Dashboard!J:J,0),1),INDEX(Dashboard!J:K,MATCH(I1877,Dashboard!J:J,0),2)),"ON",IF(Dashboard!K$32="ALL","ON","-"))</f>
        <v>-</v>
      </c>
      <c r="C1877" s="88" t="s">
        <v>152</v>
      </c>
      <c r="D1877" s="89">
        <f>IF(C1877="ID",1,(IF(C1877="PR",2,(IF(C1877="DE",3,(IF(C1877="RS",4,(IF(C1877="RC",5,0)))))))))</f>
        <v>2</v>
      </c>
      <c r="E1877" s="89" t="s">
        <v>210</v>
      </c>
      <c r="F1877" s="89">
        <f>IF(E1877="AM",1,(IF(E1877="BE",2,(IF(E1877="GV",3,(IF(E1877="RA",4,(IF(E1877="RM",5,(IF(E1877="AC",1,(IF(E1877="AT",2,(IF(E1877="DS",3,(IF(E1877="IP",4,(IF(E1877="MA",5,(IF(E1877="PT",6,(IF(E1877="AE",1,(IF(E1877="CM",2,(IF(E1877="DP",3,(IF(E1877="AN",1,(IF(E1877="CO",2,(IF(E1877="IM",3,(IF(E1877="MI",4,(IF(E1877="RP",5,(IF(E1877="SC",6,0)))))))))))))))))))))))))))))))))))))))</f>
        <v>3</v>
      </c>
      <c r="G1877" s="52">
        <v>2</v>
      </c>
      <c r="H1877" s="90" t="s">
        <v>115</v>
      </c>
      <c r="I1877" s="94" t="s">
        <v>77</v>
      </c>
      <c r="J1877" s="87" t="s">
        <v>1349</v>
      </c>
      <c r="K1877" s="102" t="s">
        <v>2349</v>
      </c>
      <c r="L1877" s="117">
        <f>IF(O1877="","",N1877*O1877*M1877)</f>
        <v>0</v>
      </c>
      <c r="M1877" s="108">
        <v>1</v>
      </c>
      <c r="N1877" s="95">
        <v>1</v>
      </c>
      <c r="O1877" s="109">
        <f>IF(Key!D$1="ON",P1877,IF(SUM(Q1877:DL1877)&lt;1,"",SUM(Q1877:DL1877)/COUNTIF(Q1877:DL1877,"&gt;0")))</f>
        <v>0</v>
      </c>
      <c r="P1877" s="109">
        <f>SUMIFS(Q1877:DK1877,Q$1:DK$1,Dashboard!$K$31)</f>
        <v>0</v>
      </c>
      <c r="U1877" s="95">
        <v>33</v>
      </c>
      <c r="AA1877" s="95">
        <v>25</v>
      </c>
      <c r="AH1877" s="95">
        <v>75</v>
      </c>
    </row>
    <row r="1878" spans="1:34" x14ac:dyDescent="0.3">
      <c r="A1878" s="89" t="str">
        <f>CONCATENATE(D1878,".",F1878,"-",G1878,".",H1878,"")</f>
        <v>2.3-2.1</v>
      </c>
      <c r="B1878" s="89" t="str">
        <f>IF(CONCATENATE(I1878,Key!F$2)=CONCATENATE(INDEX(Dashboard!J:J,MATCH(I1878,Dashboard!J:J,0),1),INDEX(Dashboard!J:K,MATCH(I1878,Dashboard!J:J,0),2)),"ON",IF(Dashboard!K$32="ALL","ON","-"))</f>
        <v>-</v>
      </c>
      <c r="C1878" s="88" t="s">
        <v>152</v>
      </c>
      <c r="D1878" s="89">
        <f>IF(C1878="ID",1,(IF(C1878="PR",2,(IF(C1878="DE",3,(IF(C1878="RS",4,(IF(C1878="RC",5,0)))))))))</f>
        <v>2</v>
      </c>
      <c r="E1878" s="89" t="s">
        <v>210</v>
      </c>
      <c r="F1878" s="89">
        <f>IF(E1878="AM",1,(IF(E1878="BE",2,(IF(E1878="GV",3,(IF(E1878="RA",4,(IF(E1878="RM",5,(IF(E1878="AC",1,(IF(E1878="AT",2,(IF(E1878="DS",3,(IF(E1878="IP",4,(IF(E1878="MA",5,(IF(E1878="PT",6,(IF(E1878="AE",1,(IF(E1878="CM",2,(IF(E1878="DP",3,(IF(E1878="AN",1,(IF(E1878="CO",2,(IF(E1878="IM",3,(IF(E1878="MI",4,(IF(E1878="RP",5,(IF(E1878="SC",6,0)))))))))))))))))))))))))))))))))))))))</f>
        <v>3</v>
      </c>
      <c r="G1878" s="52">
        <v>2</v>
      </c>
      <c r="H1878" s="90" t="s">
        <v>115</v>
      </c>
      <c r="I1878" s="94" t="s">
        <v>85</v>
      </c>
      <c r="J1878" s="87" t="s">
        <v>1356</v>
      </c>
      <c r="K1878" s="119" t="s">
        <v>5056</v>
      </c>
      <c r="L1878" s="117">
        <f>IF(O1878="","",N1878*O1878*M1878)</f>
        <v>0</v>
      </c>
      <c r="M1878" s="108">
        <v>1</v>
      </c>
      <c r="N1878" s="95">
        <v>1</v>
      </c>
      <c r="O1878" s="109">
        <f>IF(Key!D$1="ON",P1878,IF(SUM(Q1878:DL1878)&lt;1,"",SUM(Q1878:DL1878)/COUNTIF(Q1878:DL1878,"&gt;0")))</f>
        <v>0</v>
      </c>
      <c r="P1878" s="109">
        <f>SUMIFS(Q1878:DK1878,Q$1:DK$1,Dashboard!$K$31)</f>
        <v>0</v>
      </c>
      <c r="U1878" s="95">
        <v>33</v>
      </c>
      <c r="AA1878" s="95">
        <v>25</v>
      </c>
      <c r="AH1878" s="95">
        <v>75</v>
      </c>
    </row>
    <row r="1879" spans="1:34" ht="15.6" x14ac:dyDescent="0.3">
      <c r="A1879" s="89" t="str">
        <f>CONCATENATE(D1879,".",F1879,"-",G1879,".",H1879,"")</f>
        <v>2.3-2.1</v>
      </c>
      <c r="B1879" s="89" t="str">
        <f>IF(CONCATENATE(I1879,Key!F$2)=CONCATENATE(INDEX(Dashboard!J:J,MATCH(I1879,Dashboard!J:J,0),1),INDEX(Dashboard!J:K,MATCH(I1879,Dashboard!J:J,0),2)),"ON",IF(Dashboard!K$32="ALL","ON","-"))</f>
        <v>-</v>
      </c>
      <c r="C1879" s="88" t="s">
        <v>152</v>
      </c>
      <c r="D1879" s="89">
        <f>IF(C1879="ID",1,(IF(C1879="PR",2,(IF(C1879="DE",3,(IF(C1879="RS",4,(IF(C1879="RC",5,0)))))))))</f>
        <v>2</v>
      </c>
      <c r="E1879" s="89" t="s">
        <v>210</v>
      </c>
      <c r="F1879" s="89">
        <f>IF(E1879="AM",1,(IF(E1879="BE",2,(IF(E1879="GV",3,(IF(E1879="RA",4,(IF(E1879="RM",5,(IF(E1879="AC",1,(IF(E1879="AT",2,(IF(E1879="DS",3,(IF(E1879="IP",4,(IF(E1879="MA",5,(IF(E1879="PT",6,(IF(E1879="AE",1,(IF(E1879="CM",2,(IF(E1879="DP",3,(IF(E1879="AN",1,(IF(E1879="CO",2,(IF(E1879="IM",3,(IF(E1879="MI",4,(IF(E1879="RP",5,(IF(E1879="SC",6,0)))))))))))))))))))))))))))))))))))))))</f>
        <v>3</v>
      </c>
      <c r="G1879" s="52">
        <v>2</v>
      </c>
      <c r="H1879" s="90" t="s">
        <v>115</v>
      </c>
      <c r="I1879" s="94" t="s">
        <v>85</v>
      </c>
      <c r="J1879" s="87" t="s">
        <v>1349</v>
      </c>
      <c r="K1879" s="119" t="s">
        <v>5035</v>
      </c>
      <c r="L1879" s="117">
        <f>IF(O1879="","",N1879*O1879*M1879)</f>
        <v>0</v>
      </c>
      <c r="M1879" s="108">
        <v>1</v>
      </c>
      <c r="N1879" s="95">
        <v>1</v>
      </c>
      <c r="O1879" s="109">
        <f>IF(Key!D$1="ON",P1879,IF(SUM(Q1879:DL1879)&lt;1,"",SUM(Q1879:DL1879)/COUNTIF(Q1879:DL1879,"&gt;0")))</f>
        <v>0</v>
      </c>
      <c r="P1879" s="109">
        <f>SUMIFS(Q1879:DK1879,Q$1:DK$1,Dashboard!$K$31)</f>
        <v>0</v>
      </c>
      <c r="U1879" s="95">
        <v>33</v>
      </c>
      <c r="AA1879" s="95">
        <v>25</v>
      </c>
      <c r="AH1879" s="95">
        <v>75</v>
      </c>
    </row>
    <row r="1880" spans="1:34" x14ac:dyDescent="0.3">
      <c r="A1880" s="89" t="str">
        <f>CONCATENATE(D1880,".",F1880,"-",G1880,".",H1880,"")</f>
        <v>2.3-2.1</v>
      </c>
      <c r="B1880" s="89" t="str">
        <f>IF(CONCATENATE(I1880,Key!F$2)=CONCATENATE(INDEX(Dashboard!J:J,MATCH(I1880,Dashboard!J:J,0),1),INDEX(Dashboard!J:K,MATCH(I1880,Dashboard!J:J,0),2)),"ON",IF(Dashboard!K$32="ALL","ON","-"))</f>
        <v>-</v>
      </c>
      <c r="C1880" s="88" t="s">
        <v>152</v>
      </c>
      <c r="D1880" s="89">
        <f>IF(C1880="ID",1,(IF(C1880="PR",2,(IF(C1880="DE",3,(IF(C1880="RS",4,(IF(C1880="RC",5,0)))))))))</f>
        <v>2</v>
      </c>
      <c r="E1880" s="89" t="s">
        <v>210</v>
      </c>
      <c r="F1880" s="89">
        <f>IF(E1880="AM",1,(IF(E1880="BE",2,(IF(E1880="GV",3,(IF(E1880="RA",4,(IF(E1880="RM",5,(IF(E1880="AC",1,(IF(E1880="AT",2,(IF(E1880="DS",3,(IF(E1880="IP",4,(IF(E1880="MA",5,(IF(E1880="PT",6,(IF(E1880="AE",1,(IF(E1880="CM",2,(IF(E1880="DP",3,(IF(E1880="AN",1,(IF(E1880="CO",2,(IF(E1880="IM",3,(IF(E1880="MI",4,(IF(E1880="RP",5,(IF(E1880="SC",6,0)))))))))))))))))))))))))))))))))))))))</f>
        <v>3</v>
      </c>
      <c r="G1880" s="52">
        <v>2</v>
      </c>
      <c r="H1880" s="90" t="s">
        <v>115</v>
      </c>
      <c r="I1880" s="94" t="s">
        <v>85</v>
      </c>
      <c r="J1880" s="87" t="s">
        <v>1346</v>
      </c>
      <c r="K1880" s="119" t="s">
        <v>2400</v>
      </c>
      <c r="L1880" s="117">
        <f>IF(O1880="","",N1880*O1880*M1880)</f>
        <v>0</v>
      </c>
      <c r="M1880" s="108">
        <v>1</v>
      </c>
      <c r="N1880" s="95">
        <v>1</v>
      </c>
      <c r="O1880" s="109">
        <f>IF(Key!D$1="ON",P1880,IF(SUM(Q1880:DL1880)&lt;1,"",SUM(Q1880:DL1880)/COUNTIF(Q1880:DL1880,"&gt;0")))</f>
        <v>0</v>
      </c>
      <c r="P1880" s="109">
        <f>SUMIFS(Q1880:DK1880,Q$1:DK$1,Dashboard!$K$31)</f>
        <v>0</v>
      </c>
      <c r="U1880" s="95">
        <v>33</v>
      </c>
      <c r="AA1880" s="95">
        <v>25</v>
      </c>
      <c r="AH1880" s="95">
        <v>75</v>
      </c>
    </row>
    <row r="1881" spans="1:34" x14ac:dyDescent="0.3">
      <c r="A1881" s="89" t="str">
        <f>CONCATENATE(D1881,".",F1881,"-",G1881,".",H1881,"")</f>
        <v>2.3-2.1</v>
      </c>
      <c r="B1881" s="89" t="str">
        <f>IF(CONCATENATE(I1881,Key!F$2)=CONCATENATE(INDEX(Dashboard!J:J,MATCH(I1881,Dashboard!J:J,0),1),INDEX(Dashboard!J:K,MATCH(I1881,Dashboard!J:J,0),2)),"ON",IF(Dashboard!K$32="ALL","ON","-"))</f>
        <v>-</v>
      </c>
      <c r="C1881" s="88" t="s">
        <v>152</v>
      </c>
      <c r="D1881" s="89">
        <f>IF(C1881="ID",1,(IF(C1881="PR",2,(IF(C1881="DE",3,(IF(C1881="RS",4,(IF(C1881="RC",5,0)))))))))</f>
        <v>2</v>
      </c>
      <c r="E1881" s="89" t="s">
        <v>210</v>
      </c>
      <c r="F1881" s="89">
        <f>IF(E1881="AM",1,(IF(E1881="BE",2,(IF(E1881="GV",3,(IF(E1881="RA",4,(IF(E1881="RM",5,(IF(E1881="AC",1,(IF(E1881="AT",2,(IF(E1881="DS",3,(IF(E1881="IP",4,(IF(E1881="MA",5,(IF(E1881="PT",6,(IF(E1881="AE",1,(IF(E1881="CM",2,(IF(E1881="DP",3,(IF(E1881="AN",1,(IF(E1881="CO",2,(IF(E1881="IM",3,(IF(E1881="MI",4,(IF(E1881="RP",5,(IF(E1881="SC",6,0)))))))))))))))))))))))))))))))))))))))</f>
        <v>3</v>
      </c>
      <c r="G1881" s="52">
        <v>2</v>
      </c>
      <c r="H1881" s="90" t="s">
        <v>115</v>
      </c>
      <c r="I1881" s="94" t="s">
        <v>85</v>
      </c>
      <c r="J1881" s="87" t="s">
        <v>1348</v>
      </c>
      <c r="K1881" s="119" t="s">
        <v>5034</v>
      </c>
      <c r="L1881" s="117">
        <f>IF(O1881="","",N1881*O1881*M1881)</f>
        <v>0</v>
      </c>
      <c r="M1881" s="108">
        <v>1</v>
      </c>
      <c r="N1881" s="95">
        <v>1</v>
      </c>
      <c r="O1881" s="109">
        <f>IF(Key!D$1="ON",P1881,IF(SUM(Q1881:DL1881)&lt;1,"",SUM(Q1881:DL1881)/COUNTIF(Q1881:DL1881,"&gt;0")))</f>
        <v>0</v>
      </c>
      <c r="P1881" s="109">
        <f>SUMIFS(Q1881:DK1881,Q$1:DK$1,Dashboard!$K$31)</f>
        <v>0</v>
      </c>
      <c r="U1881" s="95">
        <v>33</v>
      </c>
      <c r="AA1881" s="95">
        <v>25</v>
      </c>
      <c r="AH1881" s="95">
        <v>75</v>
      </c>
    </row>
    <row r="1882" spans="1:34" x14ac:dyDescent="0.3">
      <c r="A1882" s="89" t="str">
        <f>CONCATENATE(D1882,".",F1882,"-",G1882,".",H1882,"")</f>
        <v>2.3-2.1</v>
      </c>
      <c r="B1882" s="89" t="str">
        <f>IF(CONCATENATE(I1882,Key!F$2)=CONCATENATE(INDEX(Dashboard!J:J,MATCH(I1882,Dashboard!J:J,0),1),INDEX(Dashboard!J:K,MATCH(I1882,Dashboard!J:J,0),2)),"ON",IF(Dashboard!K$32="ALL","ON","-"))</f>
        <v>-</v>
      </c>
      <c r="C1882" s="88" t="s">
        <v>152</v>
      </c>
      <c r="D1882" s="89">
        <f>IF(C1882="ID",1,(IF(C1882="PR",2,(IF(C1882="DE",3,(IF(C1882="RS",4,(IF(C1882="RC",5,0)))))))))</f>
        <v>2</v>
      </c>
      <c r="E1882" s="89" t="s">
        <v>210</v>
      </c>
      <c r="F1882" s="89">
        <f>IF(E1882="AM",1,(IF(E1882="BE",2,(IF(E1882="GV",3,(IF(E1882="RA",4,(IF(E1882="RM",5,(IF(E1882="AC",1,(IF(E1882="AT",2,(IF(E1882="DS",3,(IF(E1882="IP",4,(IF(E1882="MA",5,(IF(E1882="PT",6,(IF(E1882="AE",1,(IF(E1882="CM",2,(IF(E1882="DP",3,(IF(E1882="AN",1,(IF(E1882="CO",2,(IF(E1882="IM",3,(IF(E1882="MI",4,(IF(E1882="RP",5,(IF(E1882="SC",6,0)))))))))))))))))))))))))))))))))))))))</f>
        <v>3</v>
      </c>
      <c r="G1882" s="52">
        <v>2</v>
      </c>
      <c r="H1882" s="90" t="s">
        <v>115</v>
      </c>
      <c r="I1882" s="94" t="s">
        <v>85</v>
      </c>
      <c r="J1882" s="87" t="s">
        <v>1354</v>
      </c>
      <c r="K1882" s="119" t="s">
        <v>5054</v>
      </c>
      <c r="L1882" s="117">
        <f>IF(O1882="","",N1882*O1882*M1882)</f>
        <v>0</v>
      </c>
      <c r="M1882" s="108">
        <v>1</v>
      </c>
      <c r="N1882" s="95">
        <v>1</v>
      </c>
      <c r="O1882" s="109">
        <f>IF(Key!D$1="ON",P1882,IF(SUM(Q1882:DL1882)&lt;1,"",SUM(Q1882:DL1882)/COUNTIF(Q1882:DL1882,"&gt;0")))</f>
        <v>0</v>
      </c>
      <c r="P1882" s="109">
        <f>SUMIFS(Q1882:DK1882,Q$1:DK$1,Dashboard!$K$31)</f>
        <v>0</v>
      </c>
      <c r="U1882" s="95">
        <v>33</v>
      </c>
      <c r="AA1882" s="95">
        <v>25</v>
      </c>
      <c r="AH1882" s="95">
        <v>75</v>
      </c>
    </row>
    <row r="1883" spans="1:34" ht="15.6" x14ac:dyDescent="0.3">
      <c r="A1883" s="89" t="str">
        <f>CONCATENATE(D1883,".",F1883,"-",G1883,".",H1883,"")</f>
        <v>2.3-2.1</v>
      </c>
      <c r="B1883" s="89" t="str">
        <f>IF(CONCATENATE(I1883,Key!F$2)=CONCATENATE(INDEX(Dashboard!J:J,MATCH(I1883,Dashboard!J:J,0),1),INDEX(Dashboard!J:K,MATCH(I1883,Dashboard!J:J,0),2)),"ON",IF(Dashboard!K$32="ALL","ON","-"))</f>
        <v>-</v>
      </c>
      <c r="C1883" s="88" t="s">
        <v>152</v>
      </c>
      <c r="D1883" s="89">
        <f>IF(C1883="ID",1,(IF(C1883="PR",2,(IF(C1883="DE",3,(IF(C1883="RS",4,(IF(C1883="RC",5,0)))))))))</f>
        <v>2</v>
      </c>
      <c r="E1883" s="89" t="s">
        <v>210</v>
      </c>
      <c r="F1883" s="89">
        <f>IF(E1883="AM",1,(IF(E1883="BE",2,(IF(E1883="GV",3,(IF(E1883="RA",4,(IF(E1883="RM",5,(IF(E1883="AC",1,(IF(E1883="AT",2,(IF(E1883="DS",3,(IF(E1883="IP",4,(IF(E1883="MA",5,(IF(E1883="PT",6,(IF(E1883="AE",1,(IF(E1883="CM",2,(IF(E1883="DP",3,(IF(E1883="AN",1,(IF(E1883="CO",2,(IF(E1883="IM",3,(IF(E1883="MI",4,(IF(E1883="RP",5,(IF(E1883="SC",6,0)))))))))))))))))))))))))))))))))))))))</f>
        <v>3</v>
      </c>
      <c r="G1883" s="52">
        <v>2</v>
      </c>
      <c r="H1883" s="90" t="s">
        <v>115</v>
      </c>
      <c r="I1883" s="94" t="s">
        <v>85</v>
      </c>
      <c r="J1883" s="87" t="s">
        <v>1347</v>
      </c>
      <c r="K1883" s="119" t="s">
        <v>5033</v>
      </c>
      <c r="L1883" s="117">
        <f>IF(O1883="","",N1883*O1883*M1883)</f>
        <v>0</v>
      </c>
      <c r="M1883" s="108">
        <v>1</v>
      </c>
      <c r="N1883" s="95">
        <v>1</v>
      </c>
      <c r="O1883" s="109">
        <f>IF(Key!D$1="ON",P1883,IF(SUM(Q1883:DL1883)&lt;1,"",SUM(Q1883:DL1883)/COUNTIF(Q1883:DL1883,"&gt;0")))</f>
        <v>0</v>
      </c>
      <c r="P1883" s="109">
        <f>SUMIFS(Q1883:DK1883,Q$1:DK$1,Dashboard!$K$31)</f>
        <v>0</v>
      </c>
      <c r="U1883" s="95">
        <v>33</v>
      </c>
      <c r="AA1883" s="95">
        <v>25</v>
      </c>
      <c r="AH1883" s="95">
        <v>75</v>
      </c>
    </row>
    <row r="1884" spans="1:34" x14ac:dyDescent="0.3">
      <c r="A1884" s="89" t="str">
        <f>CONCATENATE(D1884,".",F1884,"-",G1884,".",H1884,"")</f>
        <v>2.3-2.1</v>
      </c>
      <c r="B1884" s="89" t="str">
        <f>IF(CONCATENATE(I1884,Key!F$2)=CONCATENATE(INDEX(Dashboard!J:J,MATCH(I1884,Dashboard!J:J,0),1),INDEX(Dashboard!J:K,MATCH(I1884,Dashboard!J:J,0),2)),"ON",IF(Dashboard!K$32="ALL","ON","-"))</f>
        <v>-</v>
      </c>
      <c r="C1884" s="88" t="s">
        <v>152</v>
      </c>
      <c r="D1884" s="89">
        <f>IF(C1884="ID",1,(IF(C1884="PR",2,(IF(C1884="DE",3,(IF(C1884="RS",4,(IF(C1884="RC",5,0)))))))))</f>
        <v>2</v>
      </c>
      <c r="E1884" s="89" t="s">
        <v>210</v>
      </c>
      <c r="F1884" s="89">
        <f>IF(E1884="AM",1,(IF(E1884="BE",2,(IF(E1884="GV",3,(IF(E1884="RA",4,(IF(E1884="RM",5,(IF(E1884="AC",1,(IF(E1884="AT",2,(IF(E1884="DS",3,(IF(E1884="IP",4,(IF(E1884="MA",5,(IF(E1884="PT",6,(IF(E1884="AE",1,(IF(E1884="CM",2,(IF(E1884="DP",3,(IF(E1884="AN",1,(IF(E1884="CO",2,(IF(E1884="IM",3,(IF(E1884="MI",4,(IF(E1884="RP",5,(IF(E1884="SC",6,0)))))))))))))))))))))))))))))))))))))))</f>
        <v>3</v>
      </c>
      <c r="G1884" s="52">
        <v>2</v>
      </c>
      <c r="H1884" s="90" t="s">
        <v>115</v>
      </c>
      <c r="I1884" s="94" t="s">
        <v>85</v>
      </c>
      <c r="J1884" s="87" t="s">
        <v>1352</v>
      </c>
      <c r="K1884" s="119" t="s">
        <v>1353</v>
      </c>
      <c r="L1884" s="117">
        <f>IF(O1884="","",N1884*O1884*M1884)</f>
        <v>0</v>
      </c>
      <c r="M1884" s="108">
        <v>1</v>
      </c>
      <c r="N1884" s="95">
        <v>1</v>
      </c>
      <c r="O1884" s="109">
        <f>IF(Key!D$1="ON",P1884,IF(SUM(Q1884:DL1884)&lt;1,"",SUM(Q1884:DL1884)/COUNTIF(Q1884:DL1884,"&gt;0")))</f>
        <v>0</v>
      </c>
      <c r="P1884" s="109">
        <f>SUMIFS(Q1884:DK1884,Q$1:DK$1,Dashboard!$K$31)</f>
        <v>0</v>
      </c>
      <c r="U1884" s="95">
        <v>33</v>
      </c>
      <c r="AA1884" s="95">
        <v>25</v>
      </c>
      <c r="AH1884" s="95">
        <v>75</v>
      </c>
    </row>
    <row r="1885" spans="1:34" x14ac:dyDescent="0.3">
      <c r="A1885" s="89" t="str">
        <f>CONCATENATE(D1885,".",F1885,"-",G1885,".",H1885,"")</f>
        <v>2.3-2.1</v>
      </c>
      <c r="B1885" s="89" t="str">
        <f>IF(CONCATENATE(I1885,Key!F$2)=CONCATENATE(INDEX(Dashboard!J:J,MATCH(I1885,Dashboard!J:J,0),1),INDEX(Dashboard!J:K,MATCH(I1885,Dashboard!J:J,0),2)),"ON",IF(Dashboard!K$32="ALL","ON","-"))</f>
        <v>-</v>
      </c>
      <c r="C1885" s="96" t="s">
        <v>152</v>
      </c>
      <c r="D1885" s="89">
        <f>IF(C1885="ID",1,(IF(C1885="PR",2,(IF(C1885="DE",3,(IF(C1885="RS",4,(IF(C1885="RC",5,0)))))))))</f>
        <v>2</v>
      </c>
      <c r="E1885" s="89" t="s">
        <v>210</v>
      </c>
      <c r="F1885" s="89">
        <f>IF(E1885="AM",1,(IF(E1885="BE",2,(IF(E1885="GV",3,(IF(E1885="RA",4,(IF(E1885="RM",5,(IF(E1885="AC",1,(IF(E1885="AT",2,(IF(E1885="DS",3,(IF(E1885="IP",4,(IF(E1885="MA",5,(IF(E1885="PT",6,(IF(E1885="AE",1,(IF(E1885="CM",2,(IF(E1885="DP",3,(IF(E1885="AN",1,(IF(E1885="CO",2,(IF(E1885="IM",3,(IF(E1885="MI",4,(IF(E1885="RP",5,(IF(E1885="SC",6,0)))))))))))))))))))))))))))))))))))))))</f>
        <v>3</v>
      </c>
      <c r="G1885" s="98">
        <v>2</v>
      </c>
      <c r="H1885" s="90" t="s">
        <v>115</v>
      </c>
      <c r="I1885" s="94" t="s">
        <v>85</v>
      </c>
      <c r="J1885" s="87" t="s">
        <v>1344</v>
      </c>
      <c r="K1885" s="119" t="s">
        <v>1345</v>
      </c>
      <c r="L1885" s="117">
        <f>IF(O1885="","",N1885*O1885*M1885)</f>
        <v>0</v>
      </c>
      <c r="M1885" s="108">
        <v>1</v>
      </c>
      <c r="N1885" s="95">
        <v>1</v>
      </c>
      <c r="O1885" s="109">
        <f>IF(Key!D$1="ON",P1885,IF(SUM(Q1885:DL1885)&lt;1,"",SUM(Q1885:DL1885)/COUNTIF(Q1885:DL1885,"&gt;0")))</f>
        <v>0</v>
      </c>
      <c r="P1885" s="109">
        <f>SUMIFS(Q1885:DK1885,Q$1:DK$1,Dashboard!$K$31)</f>
        <v>0</v>
      </c>
      <c r="U1885" s="95">
        <v>33</v>
      </c>
      <c r="AA1885" s="95">
        <v>25</v>
      </c>
      <c r="AH1885" s="95">
        <v>75</v>
      </c>
    </row>
    <row r="1886" spans="1:34" x14ac:dyDescent="0.3">
      <c r="A1886" s="89" t="str">
        <f>CONCATENATE(D1886,".",F1886,"-",G1886,".",H1886,"")</f>
        <v>2.3-2.1</v>
      </c>
      <c r="B1886" s="89" t="str">
        <f>IF(CONCATENATE(I1886,Key!F$2)=CONCATENATE(INDEX(Dashboard!J:J,MATCH(I1886,Dashboard!J:J,0),1),INDEX(Dashboard!J:K,MATCH(I1886,Dashboard!J:J,0),2)),"ON",IF(Dashboard!K$32="ALL","ON","-"))</f>
        <v>-</v>
      </c>
      <c r="C1886" s="88" t="s">
        <v>152</v>
      </c>
      <c r="D1886" s="89">
        <f>IF(C1886="ID",1,(IF(C1886="PR",2,(IF(C1886="DE",3,(IF(C1886="RS",4,(IF(C1886="RC",5,0)))))))))</f>
        <v>2</v>
      </c>
      <c r="E1886" s="89" t="s">
        <v>210</v>
      </c>
      <c r="F1886" s="89">
        <f>IF(E1886="AM",1,(IF(E1886="BE",2,(IF(E1886="GV",3,(IF(E1886="RA",4,(IF(E1886="RM",5,(IF(E1886="AC",1,(IF(E1886="AT",2,(IF(E1886="DS",3,(IF(E1886="IP",4,(IF(E1886="MA",5,(IF(E1886="PT",6,(IF(E1886="AE",1,(IF(E1886="CM",2,(IF(E1886="DP",3,(IF(E1886="AN",1,(IF(E1886="CO",2,(IF(E1886="IM",3,(IF(E1886="MI",4,(IF(E1886="RP",5,(IF(E1886="SC",6,0)))))))))))))))))))))))))))))))))))))))</f>
        <v>3</v>
      </c>
      <c r="G1886" s="52">
        <v>2</v>
      </c>
      <c r="H1886" s="90" t="s">
        <v>115</v>
      </c>
      <c r="I1886" s="94" t="s">
        <v>85</v>
      </c>
      <c r="J1886" s="87" t="s">
        <v>1355</v>
      </c>
      <c r="K1886" s="119" t="s">
        <v>5055</v>
      </c>
      <c r="L1886" s="117">
        <f>IF(O1886="","",N1886*O1886*M1886)</f>
        <v>0</v>
      </c>
      <c r="M1886" s="108">
        <v>1</v>
      </c>
      <c r="N1886" s="95">
        <v>1</v>
      </c>
      <c r="O1886" s="109">
        <f>IF(Key!D$1="ON",P1886,IF(SUM(Q1886:DL1886)&lt;1,"",SUM(Q1886:DL1886)/COUNTIF(Q1886:DL1886,"&gt;0")))</f>
        <v>0</v>
      </c>
      <c r="P1886" s="109">
        <f>SUMIFS(Q1886:DK1886,Q$1:DK$1,Dashboard!$K$31)</f>
        <v>0</v>
      </c>
      <c r="U1886" s="95">
        <v>33</v>
      </c>
      <c r="AA1886" s="95">
        <v>25</v>
      </c>
      <c r="AH1886" s="95">
        <v>75</v>
      </c>
    </row>
    <row r="1887" spans="1:34" x14ac:dyDescent="0.3">
      <c r="A1887" s="89" t="str">
        <f>CONCATENATE(D1887,".",F1887,"-",G1887,".",H1887,"")</f>
        <v>2.3-2.1</v>
      </c>
      <c r="B1887" s="89" t="str">
        <f>IF(CONCATENATE(I1887,Key!F$2)=CONCATENATE(INDEX(Dashboard!J:J,MATCH(I1887,Dashboard!J:J,0),1),INDEX(Dashboard!J:K,MATCH(I1887,Dashboard!J:J,0),2)),"ON",IF(Dashboard!K$32="ALL","ON","-"))</f>
        <v>-</v>
      </c>
      <c r="C1887" s="88" t="s">
        <v>152</v>
      </c>
      <c r="D1887" s="89">
        <f>IF(C1887="ID",1,(IF(C1887="PR",2,(IF(C1887="DE",3,(IF(C1887="RS",4,(IF(C1887="RC",5,0)))))))))</f>
        <v>2</v>
      </c>
      <c r="E1887" s="89" t="s">
        <v>210</v>
      </c>
      <c r="F1887" s="89">
        <f>IF(E1887="AM",1,(IF(E1887="BE",2,(IF(E1887="GV",3,(IF(E1887="RA",4,(IF(E1887="RM",5,(IF(E1887="AC",1,(IF(E1887="AT",2,(IF(E1887="DS",3,(IF(E1887="IP",4,(IF(E1887="MA",5,(IF(E1887="PT",6,(IF(E1887="AE",1,(IF(E1887="CM",2,(IF(E1887="DP",3,(IF(E1887="AN",1,(IF(E1887="CO",2,(IF(E1887="IM",3,(IF(E1887="MI",4,(IF(E1887="RP",5,(IF(E1887="SC",6,0)))))))))))))))))))))))))))))))))))))))</f>
        <v>3</v>
      </c>
      <c r="G1887" s="52">
        <v>2</v>
      </c>
      <c r="H1887" s="90" t="s">
        <v>115</v>
      </c>
      <c r="I1887" s="94" t="s">
        <v>85</v>
      </c>
      <c r="J1887" s="135" t="s">
        <v>3926</v>
      </c>
      <c r="K1887" s="143" t="s">
        <v>5047</v>
      </c>
      <c r="L1887" s="117">
        <f>IF(O1887="","",N1887*O1887*M1887)</f>
        <v>0</v>
      </c>
      <c r="M1887" s="108">
        <v>1</v>
      </c>
      <c r="N1887" s="95">
        <v>1</v>
      </c>
      <c r="O1887" s="109">
        <f>IF(Key!D$1="ON",P1887,IF(SUM(Q1887:DL1887)&lt;1,"",SUM(Q1887:DL1887)/COUNTIF(Q1887:DL1887,"&gt;0")))</f>
        <v>0</v>
      </c>
      <c r="P1887" s="109">
        <f>SUMIFS(Q1887:DK1887,Q$1:DK$1,Dashboard!$K$31)</f>
        <v>0</v>
      </c>
      <c r="U1887" s="95">
        <v>33</v>
      </c>
      <c r="AA1887" s="95">
        <v>25</v>
      </c>
      <c r="AH1887" s="95">
        <v>75</v>
      </c>
    </row>
    <row r="1888" spans="1:34" x14ac:dyDescent="0.3">
      <c r="A1888" s="89" t="str">
        <f>CONCATENATE(D1888,".",F1888,"-",G1888,".",H1888,"")</f>
        <v>2.3-2.1</v>
      </c>
      <c r="B1888" s="89" t="str">
        <f>IF(CONCATENATE(I1888,Key!F$2)=CONCATENATE(INDEX(Dashboard!J:J,MATCH(I1888,Dashboard!J:J,0),1),INDEX(Dashboard!J:K,MATCH(I1888,Dashboard!J:J,0),2)),"ON",IF(Dashboard!K$32="ALL","ON","-"))</f>
        <v>-</v>
      </c>
      <c r="C1888" s="88" t="s">
        <v>152</v>
      </c>
      <c r="D1888" s="89">
        <f>IF(C1888="ID",1,(IF(C1888="PR",2,(IF(C1888="DE",3,(IF(C1888="RS",4,(IF(C1888="RC",5,0)))))))))</f>
        <v>2</v>
      </c>
      <c r="E1888" s="89" t="s">
        <v>210</v>
      </c>
      <c r="F1888" s="89">
        <f>IF(E1888="AM",1,(IF(E1888="BE",2,(IF(E1888="GV",3,(IF(E1888="RA",4,(IF(E1888="RM",5,(IF(E1888="AC",1,(IF(E1888="AT",2,(IF(E1888="DS",3,(IF(E1888="IP",4,(IF(E1888="MA",5,(IF(E1888="PT",6,(IF(E1888="AE",1,(IF(E1888="CM",2,(IF(E1888="DP",3,(IF(E1888="AN",1,(IF(E1888="CO",2,(IF(E1888="IM",3,(IF(E1888="MI",4,(IF(E1888="RP",5,(IF(E1888="SC",6,0)))))))))))))))))))))))))))))))))))))))</f>
        <v>3</v>
      </c>
      <c r="G1888" s="52">
        <v>2</v>
      </c>
      <c r="H1888" s="90" t="s">
        <v>115</v>
      </c>
      <c r="I1888" s="94" t="s">
        <v>89</v>
      </c>
      <c r="J1888" s="88" t="s">
        <v>552</v>
      </c>
      <c r="K1888" s="102" t="s">
        <v>553</v>
      </c>
      <c r="L1888" s="117">
        <f>IF(O1888="","",N1888*O1888*M1888)</f>
        <v>0</v>
      </c>
      <c r="M1888" s="108">
        <v>1</v>
      </c>
      <c r="N1888" s="95">
        <v>1</v>
      </c>
      <c r="O1888" s="109">
        <f>IF(Key!D$1="ON",P1888,IF(SUM(Q1888:DL1888)&lt;1,"",SUM(Q1888:DL1888)/COUNTIF(Q1888:DL1888,"&gt;0")))</f>
        <v>0</v>
      </c>
      <c r="P1888" s="109">
        <f>SUMIFS(Q1888:DK1888,Q$1:DK$1,Dashboard!$K$31)</f>
        <v>0</v>
      </c>
      <c r="U1888" s="95">
        <v>33</v>
      </c>
      <c r="AA1888" s="95">
        <v>25</v>
      </c>
      <c r="AH1888" s="95">
        <v>75</v>
      </c>
    </row>
    <row r="1889" spans="1:34" ht="15.6" x14ac:dyDescent="0.3">
      <c r="A1889" s="89" t="str">
        <f>CONCATENATE(D1889,".",F1889,"-",G1889,".",H1889,"")</f>
        <v>2.3-2.1</v>
      </c>
      <c r="B1889" s="89" t="str">
        <f>IF(CONCATENATE(I1889,Key!F$2)=CONCATENATE(INDEX(Dashboard!J:J,MATCH(I1889,Dashboard!J:J,0),1),INDEX(Dashboard!J:K,MATCH(I1889,Dashboard!J:J,0),2)),"ON",IF(Dashboard!K$32="ALL","ON","-"))</f>
        <v>-</v>
      </c>
      <c r="C1889" s="88" t="s">
        <v>152</v>
      </c>
      <c r="D1889" s="89">
        <f>IF(C1889="ID",1,(IF(C1889="PR",2,(IF(C1889="DE",3,(IF(C1889="RS",4,(IF(C1889="RC",5,0)))))))))</f>
        <v>2</v>
      </c>
      <c r="E1889" s="89" t="s">
        <v>210</v>
      </c>
      <c r="F1889" s="89">
        <f>IF(E1889="AM",1,(IF(E1889="BE",2,(IF(E1889="GV",3,(IF(E1889="RA",4,(IF(E1889="RM",5,(IF(E1889="AC",1,(IF(E1889="AT",2,(IF(E1889="DS",3,(IF(E1889="IP",4,(IF(E1889="MA",5,(IF(E1889="PT",6,(IF(E1889="AE",1,(IF(E1889="CM",2,(IF(E1889="DP",3,(IF(E1889="AN",1,(IF(E1889="CO",2,(IF(E1889="IM",3,(IF(E1889="MI",4,(IF(E1889="RP",5,(IF(E1889="SC",6,0)))))))))))))))))))))))))))))))))))))))</f>
        <v>3</v>
      </c>
      <c r="G1889" s="52">
        <v>2</v>
      </c>
      <c r="H1889" s="90" t="s">
        <v>115</v>
      </c>
      <c r="I1889" s="94" t="s">
        <v>89</v>
      </c>
      <c r="J1889" s="88" t="s">
        <v>556</v>
      </c>
      <c r="K1889" s="102" t="s">
        <v>557</v>
      </c>
      <c r="L1889" s="117">
        <f>IF(O1889="","",N1889*O1889*M1889)</f>
        <v>0</v>
      </c>
      <c r="M1889" s="108">
        <v>1</v>
      </c>
      <c r="N1889" s="95">
        <v>1</v>
      </c>
      <c r="O1889" s="109">
        <f>IF(Key!D$1="ON",P1889,IF(SUM(Q1889:DL1889)&lt;1,"",SUM(Q1889:DL1889)/COUNTIF(Q1889:DL1889,"&gt;0")))</f>
        <v>0</v>
      </c>
      <c r="P1889" s="109">
        <f>SUMIFS(Q1889:DK1889,Q$1:DK$1,Dashboard!$K$31)</f>
        <v>0</v>
      </c>
      <c r="U1889" s="95">
        <v>33</v>
      </c>
      <c r="AA1889" s="95">
        <v>25</v>
      </c>
      <c r="AH1889" s="95">
        <v>75</v>
      </c>
    </row>
    <row r="1890" spans="1:34" x14ac:dyDescent="0.3">
      <c r="A1890" s="89" t="str">
        <f>CONCATENATE(D1890,".",F1890,"-",G1890,".",H1890,"")</f>
        <v>2.3-2.1</v>
      </c>
      <c r="B1890" s="89" t="str">
        <f>IF(CONCATENATE(I1890,Key!F$2)=CONCATENATE(INDEX(Dashboard!J:J,MATCH(I1890,Dashboard!J:J,0),1),INDEX(Dashboard!J:K,MATCH(I1890,Dashboard!J:J,0),2)),"ON",IF(Dashboard!K$32="ALL","ON","-"))</f>
        <v>-</v>
      </c>
      <c r="C1890" s="88" t="s">
        <v>152</v>
      </c>
      <c r="D1890" s="89">
        <f>IF(C1890="ID",1,(IF(C1890="PR",2,(IF(C1890="DE",3,(IF(C1890="RS",4,(IF(C1890="RC",5,0)))))))))</f>
        <v>2</v>
      </c>
      <c r="E1890" s="89" t="s">
        <v>210</v>
      </c>
      <c r="F1890" s="89">
        <f>IF(E1890="AM",1,(IF(E1890="BE",2,(IF(E1890="GV",3,(IF(E1890="RA",4,(IF(E1890="RM",5,(IF(E1890="AC",1,(IF(E1890="AT",2,(IF(E1890="DS",3,(IF(E1890="IP",4,(IF(E1890="MA",5,(IF(E1890="PT",6,(IF(E1890="AE",1,(IF(E1890="CM",2,(IF(E1890="DP",3,(IF(E1890="AN",1,(IF(E1890="CO",2,(IF(E1890="IM",3,(IF(E1890="MI",4,(IF(E1890="RP",5,(IF(E1890="SC",6,0)))))))))))))))))))))))))))))))))))))))</f>
        <v>3</v>
      </c>
      <c r="G1890" s="52">
        <v>2</v>
      </c>
      <c r="H1890" s="90" t="s">
        <v>115</v>
      </c>
      <c r="I1890" s="94" t="s">
        <v>92</v>
      </c>
      <c r="J1890" s="88">
        <v>2.2999999999999998</v>
      </c>
      <c r="K1890" s="102" t="s">
        <v>5226</v>
      </c>
      <c r="L1890" s="117">
        <f>IF(O1890="","",N1890*O1890*M1890)</f>
        <v>0</v>
      </c>
      <c r="M1890" s="108">
        <v>1</v>
      </c>
      <c r="N1890" s="95">
        <v>1</v>
      </c>
      <c r="O1890" s="109">
        <f>IF(Key!D$1="ON",P1890,IF(SUM(Q1890:DL1890)&lt;1,"",SUM(Q1890:DL1890)/COUNTIF(Q1890:DL1890,"&gt;0")))</f>
        <v>0</v>
      </c>
      <c r="P1890" s="109">
        <f>SUMIFS(Q1890:DK1890,Q$1:DK$1,Dashboard!$K$31)</f>
        <v>0</v>
      </c>
      <c r="U1890" s="95">
        <v>33</v>
      </c>
      <c r="AA1890" s="95">
        <v>25</v>
      </c>
      <c r="AH1890" s="95">
        <v>75</v>
      </c>
    </row>
    <row r="1891" spans="1:34" x14ac:dyDescent="0.3">
      <c r="A1891" s="89" t="str">
        <f>CONCATENATE(D1891,".",F1891,"-",G1891,".",H1891,"")</f>
        <v>2.3-2.1</v>
      </c>
      <c r="B1891" s="89" t="str">
        <f>IF(CONCATENATE(I1891,Key!F$2)=CONCATENATE(INDEX(Dashboard!J:J,MATCH(I1891,Dashboard!J:J,0),1),INDEX(Dashboard!J:K,MATCH(I1891,Dashboard!J:J,0),2)),"ON",IF(Dashboard!K$32="ALL","ON","-"))</f>
        <v>-</v>
      </c>
      <c r="C1891" s="96" t="s">
        <v>152</v>
      </c>
      <c r="D1891" s="89">
        <f>IF(C1891="ID",1,(IF(C1891="PR",2,(IF(C1891="DE",3,(IF(C1891="RS",4,(IF(C1891="RC",5,0)))))))))</f>
        <v>2</v>
      </c>
      <c r="E1891" s="89" t="s">
        <v>210</v>
      </c>
      <c r="F1891" s="89">
        <f>IF(E1891="AM",1,(IF(E1891="BE",2,(IF(E1891="GV",3,(IF(E1891="RA",4,(IF(E1891="RM",5,(IF(E1891="AC",1,(IF(E1891="AT",2,(IF(E1891="DS",3,(IF(E1891="IP",4,(IF(E1891="MA",5,(IF(E1891="PT",6,(IF(E1891="AE",1,(IF(E1891="CM",2,(IF(E1891="DP",3,(IF(E1891="AN",1,(IF(E1891="CO",2,(IF(E1891="IM",3,(IF(E1891="MI",4,(IF(E1891="RP",5,(IF(E1891="SC",6,0)))))))))))))))))))))))))))))))))))))))</f>
        <v>3</v>
      </c>
      <c r="G1891" s="98">
        <v>2</v>
      </c>
      <c r="H1891" s="90" t="s">
        <v>115</v>
      </c>
      <c r="I1891" s="94" t="s">
        <v>92</v>
      </c>
      <c r="J1891" s="88">
        <v>4.0999999999999996</v>
      </c>
      <c r="K1891" s="102" t="s">
        <v>5226</v>
      </c>
      <c r="L1891" s="117">
        <f>IF(O1891="","",N1891*O1891*M1891)</f>
        <v>0</v>
      </c>
      <c r="M1891" s="108">
        <v>1</v>
      </c>
      <c r="N1891" s="95">
        <v>1</v>
      </c>
      <c r="O1891" s="109">
        <f>IF(Key!D$1="ON",P1891,IF(SUM(Q1891:DL1891)&lt;1,"",SUM(Q1891:DL1891)/COUNTIF(Q1891:DL1891,"&gt;0")))</f>
        <v>0</v>
      </c>
      <c r="P1891" s="109">
        <f>SUMIFS(Q1891:DK1891,Q$1:DK$1,Dashboard!$K$31)</f>
        <v>0</v>
      </c>
      <c r="U1891" s="95">
        <v>33</v>
      </c>
      <c r="AA1891" s="95">
        <v>25</v>
      </c>
      <c r="AH1891" s="95">
        <v>75</v>
      </c>
    </row>
    <row r="1892" spans="1:34" ht="15.6" x14ac:dyDescent="0.3">
      <c r="A1892" s="89" t="str">
        <f>CONCATENATE(D1892,".",F1892,"-",G1892,".",H1892,"")</f>
        <v>2.3-2.1</v>
      </c>
      <c r="B1892" s="89" t="str">
        <f>IF(CONCATENATE(I1892,Key!F$2)=CONCATENATE(INDEX(Dashboard!J:J,MATCH(I1892,Dashboard!J:J,0),1),INDEX(Dashboard!J:K,MATCH(I1892,Dashboard!J:J,0),2)),"ON",IF(Dashboard!K$32="ALL","ON","-"))</f>
        <v>-</v>
      </c>
      <c r="C1892" s="96" t="s">
        <v>152</v>
      </c>
      <c r="D1892" s="89">
        <f>IF(C1892="ID",1,(IF(C1892="PR",2,(IF(C1892="DE",3,(IF(C1892="RS",4,(IF(C1892="RC",5,0)))))))))</f>
        <v>2</v>
      </c>
      <c r="E1892" s="89" t="s">
        <v>210</v>
      </c>
      <c r="F1892" s="89">
        <f>IF(E1892="AM",1,(IF(E1892="BE",2,(IF(E1892="GV",3,(IF(E1892="RA",4,(IF(E1892="RM",5,(IF(E1892="AC",1,(IF(E1892="AT",2,(IF(E1892="DS",3,(IF(E1892="IP",4,(IF(E1892="MA",5,(IF(E1892="PT",6,(IF(E1892="AE",1,(IF(E1892="CM",2,(IF(E1892="DP",3,(IF(E1892="AN",1,(IF(E1892="CO",2,(IF(E1892="IM",3,(IF(E1892="MI",4,(IF(E1892="RP",5,(IF(E1892="SC",6,0)))))))))))))))))))))))))))))))))))))))</f>
        <v>3</v>
      </c>
      <c r="G1892" s="98">
        <v>2</v>
      </c>
      <c r="H1892" s="90" t="s">
        <v>115</v>
      </c>
      <c r="I1892" s="94" t="s">
        <v>92</v>
      </c>
      <c r="J1892" s="88">
        <v>11.4</v>
      </c>
      <c r="K1892" s="102" t="s">
        <v>5226</v>
      </c>
      <c r="L1892" s="117">
        <f>IF(O1892="","",N1892*O1892*M1892)</f>
        <v>0</v>
      </c>
      <c r="M1892" s="108">
        <v>1</v>
      </c>
      <c r="N1892" s="95">
        <v>1</v>
      </c>
      <c r="O1892" s="109">
        <f>IF(Key!D$1="ON",P1892,IF(SUM(Q1892:DL1892)&lt;1,"",SUM(Q1892:DL1892)/COUNTIF(Q1892:DL1892,"&gt;0")))</f>
        <v>0</v>
      </c>
      <c r="P1892" s="109">
        <f>SUMIFS(Q1892:DK1892,Q$1:DK$1,Dashboard!$K$31)</f>
        <v>0</v>
      </c>
      <c r="U1892" s="95">
        <v>33</v>
      </c>
      <c r="AA1892" s="95">
        <v>25</v>
      </c>
      <c r="AH1892" s="95">
        <v>75</v>
      </c>
    </row>
    <row r="1893" spans="1:34" x14ac:dyDescent="0.3">
      <c r="A1893" s="89" t="str">
        <f>CONCATENATE(D1893,".",F1893,"-",G1893,".",H1893,"")</f>
        <v>2.3-2.1</v>
      </c>
      <c r="B1893" s="89" t="str">
        <f>IF(CONCATENATE(I1893,Key!F$2)=CONCATENATE(INDEX(Dashboard!J:J,MATCH(I1893,Dashboard!J:J,0),1),INDEX(Dashboard!J:K,MATCH(I1893,Dashboard!J:J,0),2)),"ON",IF(Dashboard!K$32="ALL","ON","-"))</f>
        <v>-</v>
      </c>
      <c r="C1893" s="96" t="s">
        <v>152</v>
      </c>
      <c r="D1893" s="89">
        <f>IF(C1893="ID",1,(IF(C1893="PR",2,(IF(C1893="DE",3,(IF(C1893="RS",4,(IF(C1893="RC",5,0)))))))))</f>
        <v>2</v>
      </c>
      <c r="E1893" s="89" t="s">
        <v>210</v>
      </c>
      <c r="F1893" s="89">
        <f>IF(E1893="AM",1,(IF(E1893="BE",2,(IF(E1893="GV",3,(IF(E1893="RA",4,(IF(E1893="RM",5,(IF(E1893="AC",1,(IF(E1893="AT",2,(IF(E1893="DS",3,(IF(E1893="IP",4,(IF(E1893="MA",5,(IF(E1893="PT",6,(IF(E1893="AE",1,(IF(E1893="CM",2,(IF(E1893="DP",3,(IF(E1893="AN",1,(IF(E1893="CO",2,(IF(E1893="IM",3,(IF(E1893="MI",4,(IF(E1893="RP",5,(IF(E1893="SC",6,0)))))))))))))))))))))))))))))))))))))))</f>
        <v>3</v>
      </c>
      <c r="G1893" s="98">
        <v>2</v>
      </c>
      <c r="H1893" s="90" t="s">
        <v>115</v>
      </c>
      <c r="I1893" s="94" t="s">
        <v>92</v>
      </c>
      <c r="J1893" s="88" t="s">
        <v>212</v>
      </c>
      <c r="K1893" s="102" t="s">
        <v>5226</v>
      </c>
      <c r="L1893" s="117">
        <f>IF(O1893="","",N1893*O1893*M1893)</f>
        <v>0</v>
      </c>
      <c r="M1893" s="108">
        <v>1</v>
      </c>
      <c r="N1893" s="95">
        <v>1</v>
      </c>
      <c r="O1893" s="109">
        <f>IF(Key!D$1="ON",P1893,IF(SUM(Q1893:DL1893)&lt;1,"",SUM(Q1893:DL1893)/COUNTIF(Q1893:DL1893,"&gt;0")))</f>
        <v>0</v>
      </c>
      <c r="P1893" s="109">
        <f>SUMIFS(Q1893:DK1893,Q$1:DK$1,Dashboard!$K$31)</f>
        <v>0</v>
      </c>
      <c r="U1893" s="95">
        <v>33</v>
      </c>
      <c r="AA1893" s="95">
        <v>25</v>
      </c>
      <c r="AH1893" s="95">
        <v>75</v>
      </c>
    </row>
    <row r="1894" spans="1:34" x14ac:dyDescent="0.3">
      <c r="A1894" s="89" t="str">
        <f>CONCATENATE(D1894,".",F1894,"-",G1894,".",H1894,"")</f>
        <v>2.3-2.1</v>
      </c>
      <c r="B1894" s="89" t="str">
        <f>IF(CONCATENATE(I1894,Key!F$2)=CONCATENATE(INDEX(Dashboard!J:J,MATCH(I1894,Dashboard!J:J,0),1),INDEX(Dashboard!J:K,MATCH(I1894,Dashboard!J:J,0),2)),"ON",IF(Dashboard!K$32="ALL","ON","-"))</f>
        <v>-</v>
      </c>
      <c r="C1894" s="88" t="s">
        <v>152</v>
      </c>
      <c r="D1894" s="89">
        <f>IF(C1894="ID",1,(IF(C1894="PR",2,(IF(C1894="DE",3,(IF(C1894="RS",4,(IF(C1894="RC",5,0)))))))))</f>
        <v>2</v>
      </c>
      <c r="E1894" s="89" t="s">
        <v>210</v>
      </c>
      <c r="F1894" s="89">
        <f>IF(E1894="AM",1,(IF(E1894="BE",2,(IF(E1894="GV",3,(IF(E1894="RA",4,(IF(E1894="RM",5,(IF(E1894="AC",1,(IF(E1894="AT",2,(IF(E1894="DS",3,(IF(E1894="IP",4,(IF(E1894="MA",5,(IF(E1894="PT",6,(IF(E1894="AE",1,(IF(E1894="CM",2,(IF(E1894="DP",3,(IF(E1894="AN",1,(IF(E1894="CO",2,(IF(E1894="IM",3,(IF(E1894="MI",4,(IF(E1894="RP",5,(IF(E1894="SC",6,0)))))))))))))))))))))))))))))))))))))))</f>
        <v>3</v>
      </c>
      <c r="G1894" s="52">
        <v>2</v>
      </c>
      <c r="H1894" s="90" t="s">
        <v>115</v>
      </c>
      <c r="I1894" s="94" t="s">
        <v>92</v>
      </c>
      <c r="J1894" s="88" t="s">
        <v>213</v>
      </c>
      <c r="K1894" s="102" t="s">
        <v>5226</v>
      </c>
      <c r="L1894" s="117">
        <f>IF(O1894="","",N1894*O1894*M1894)</f>
        <v>0</v>
      </c>
      <c r="M1894" s="108">
        <v>1</v>
      </c>
      <c r="N1894" s="95">
        <v>1</v>
      </c>
      <c r="O1894" s="109">
        <f>IF(Key!D$1="ON",P1894,IF(SUM(Q1894:DL1894)&lt;1,"",SUM(Q1894:DL1894)/COUNTIF(Q1894:DL1894,"&gt;0")))</f>
        <v>0</v>
      </c>
      <c r="P1894" s="109">
        <f>SUMIFS(Q1894:DK1894,Q$1:DK$1,Dashboard!$K$31)</f>
        <v>0</v>
      </c>
      <c r="U1894" s="95">
        <v>33</v>
      </c>
      <c r="AA1894" s="95">
        <v>25</v>
      </c>
      <c r="AH1894" s="95">
        <v>75</v>
      </c>
    </row>
    <row r="1895" spans="1:34" x14ac:dyDescent="0.3">
      <c r="A1895" s="89" t="str">
        <f>CONCATENATE(D1895,".",F1895,"-",G1895,".",H1895,"")</f>
        <v>2.3-2.1</v>
      </c>
      <c r="B1895" s="89" t="str">
        <f>IF(CONCATENATE(I1895,Key!F$2)=CONCATENATE(INDEX(Dashboard!J:J,MATCH(I1895,Dashboard!J:J,0),1),INDEX(Dashboard!J:K,MATCH(I1895,Dashboard!J:J,0),2)),"ON",IF(Dashboard!K$32="ALL","ON","-"))</f>
        <v>-</v>
      </c>
      <c r="C1895" s="88" t="s">
        <v>152</v>
      </c>
      <c r="D1895" s="89">
        <f>IF(C1895="ID",1,(IF(C1895="PR",2,(IF(C1895="DE",3,(IF(C1895="RS",4,(IF(C1895="RC",5,0)))))))))</f>
        <v>2</v>
      </c>
      <c r="E1895" s="89" t="s">
        <v>210</v>
      </c>
      <c r="F1895" s="89">
        <f>IF(E1895="AM",1,(IF(E1895="BE",2,(IF(E1895="GV",3,(IF(E1895="RA",4,(IF(E1895="RM",5,(IF(E1895="AC",1,(IF(E1895="AT",2,(IF(E1895="DS",3,(IF(E1895="IP",4,(IF(E1895="MA",5,(IF(E1895="PT",6,(IF(E1895="AE",1,(IF(E1895="CM",2,(IF(E1895="DP",3,(IF(E1895="AN",1,(IF(E1895="CO",2,(IF(E1895="IM",3,(IF(E1895="MI",4,(IF(E1895="RP",5,(IF(E1895="SC",6,0)))))))))))))))))))))))))))))))))))))))</f>
        <v>3</v>
      </c>
      <c r="G1895" s="52">
        <v>2</v>
      </c>
      <c r="H1895" s="90" t="s">
        <v>115</v>
      </c>
      <c r="I1895" s="94" t="s">
        <v>92</v>
      </c>
      <c r="J1895" s="88" t="s">
        <v>214</v>
      </c>
      <c r="K1895" s="102" t="s">
        <v>5226</v>
      </c>
      <c r="L1895" s="117">
        <f>IF(O1895="","",N1895*O1895*M1895)</f>
        <v>0</v>
      </c>
      <c r="M1895" s="108">
        <v>1</v>
      </c>
      <c r="N1895" s="95">
        <v>1</v>
      </c>
      <c r="O1895" s="109">
        <f>IF(Key!D$1="ON",P1895,IF(SUM(Q1895:DL1895)&lt;1,"",SUM(Q1895:DL1895)/COUNTIF(Q1895:DL1895,"&gt;0")))</f>
        <v>0</v>
      </c>
      <c r="P1895" s="109">
        <f>SUMIFS(Q1895:DK1895,Q$1:DK$1,Dashboard!$K$31)</f>
        <v>0</v>
      </c>
      <c r="U1895" s="95">
        <v>33</v>
      </c>
      <c r="AA1895" s="95">
        <v>25</v>
      </c>
      <c r="AH1895" s="95">
        <v>75</v>
      </c>
    </row>
    <row r="1896" spans="1:34" x14ac:dyDescent="0.3">
      <c r="A1896" s="89" t="str">
        <f>CONCATENATE(D1896,".",F1896,"-",G1896,".",H1896,"")</f>
        <v>2.3-2.1</v>
      </c>
      <c r="B1896" s="89" t="str">
        <f>IF(CONCATENATE(I1896,Key!F$2)=CONCATENATE(INDEX(Dashboard!J:J,MATCH(I1896,Dashboard!J:J,0),1),INDEX(Dashboard!J:K,MATCH(I1896,Dashboard!J:J,0),2)),"ON",IF(Dashboard!K$32="ALL","ON","-"))</f>
        <v>-</v>
      </c>
      <c r="C1896" s="96" t="s">
        <v>152</v>
      </c>
      <c r="D1896" s="89">
        <f>IF(C1896="ID",1,(IF(C1896="PR",2,(IF(C1896="DE",3,(IF(C1896="RS",4,(IF(C1896="RC",5,0)))))))))</f>
        <v>2</v>
      </c>
      <c r="E1896" s="89" t="s">
        <v>210</v>
      </c>
      <c r="F1896" s="89">
        <f>IF(E1896="AM",1,(IF(E1896="BE",2,(IF(E1896="GV",3,(IF(E1896="RA",4,(IF(E1896="RM",5,(IF(E1896="AC",1,(IF(E1896="AT",2,(IF(E1896="DS",3,(IF(E1896="IP",4,(IF(E1896="MA",5,(IF(E1896="PT",6,(IF(E1896="AE",1,(IF(E1896="CM",2,(IF(E1896="DP",3,(IF(E1896="AN",1,(IF(E1896="CO",2,(IF(E1896="IM",3,(IF(E1896="MI",4,(IF(E1896="RP",5,(IF(E1896="SC",6,0)))))))))))))))))))))))))))))))))))))))</f>
        <v>3</v>
      </c>
      <c r="G1896" s="52">
        <v>2</v>
      </c>
      <c r="H1896" s="90" t="s">
        <v>115</v>
      </c>
      <c r="I1896" s="94" t="s">
        <v>92</v>
      </c>
      <c r="J1896" s="88" t="s">
        <v>215</v>
      </c>
      <c r="K1896" s="102" t="s">
        <v>5226</v>
      </c>
      <c r="L1896" s="117">
        <f>IF(O1896="","",N1896*O1896*M1896)</f>
        <v>0</v>
      </c>
      <c r="M1896" s="108">
        <v>1</v>
      </c>
      <c r="N1896" s="95">
        <v>1</v>
      </c>
      <c r="O1896" s="109">
        <f>IF(Key!D$1="ON",P1896,IF(SUM(Q1896:DL1896)&lt;1,"",SUM(Q1896:DL1896)/COUNTIF(Q1896:DL1896,"&gt;0")))</f>
        <v>0</v>
      </c>
      <c r="P1896" s="109">
        <f>SUMIFS(Q1896:DK1896,Q$1:DK$1,Dashboard!$K$31)</f>
        <v>0</v>
      </c>
      <c r="U1896" s="95">
        <v>33</v>
      </c>
      <c r="AA1896" s="95">
        <v>25</v>
      </c>
      <c r="AH1896" s="95">
        <v>75</v>
      </c>
    </row>
    <row r="1897" spans="1:34" ht="15.6" x14ac:dyDescent="0.3">
      <c r="A1897" s="89" t="str">
        <f>CONCATENATE(D1897,".",F1897,"-",G1897,".",H1897,"")</f>
        <v>2.3-2.1</v>
      </c>
      <c r="B1897" s="89" t="str">
        <f>IF(CONCATENATE(I1897,Key!F$2)=CONCATENATE(INDEX(Dashboard!J:J,MATCH(I1897,Dashboard!J:J,0),1),INDEX(Dashboard!J:K,MATCH(I1897,Dashboard!J:J,0),2)),"ON",IF(Dashboard!K$32="ALL","ON","-"))</f>
        <v>-</v>
      </c>
      <c r="C1897" s="96" t="s">
        <v>152</v>
      </c>
      <c r="D1897" s="89">
        <f>IF(C1897="ID",1,(IF(C1897="PR",2,(IF(C1897="DE",3,(IF(C1897="RS",4,(IF(C1897="RC",5,0)))))))))</f>
        <v>2</v>
      </c>
      <c r="E1897" s="89" t="s">
        <v>210</v>
      </c>
      <c r="F1897" s="89">
        <f>IF(E1897="AM",1,(IF(E1897="BE",2,(IF(E1897="GV",3,(IF(E1897="RA",4,(IF(E1897="RM",5,(IF(E1897="AC",1,(IF(E1897="AT",2,(IF(E1897="DS",3,(IF(E1897="IP",4,(IF(E1897="MA",5,(IF(E1897="PT",6,(IF(E1897="AE",1,(IF(E1897="CM",2,(IF(E1897="DP",3,(IF(E1897="AN",1,(IF(E1897="CO",2,(IF(E1897="IM",3,(IF(E1897="MI",4,(IF(E1897="RP",5,(IF(E1897="SC",6,0)))))))))))))))))))))))))))))))))))))))</f>
        <v>3</v>
      </c>
      <c r="G1897" s="52">
        <v>2</v>
      </c>
      <c r="H1897" s="90" t="s">
        <v>115</v>
      </c>
      <c r="I1897" s="94" t="s">
        <v>92</v>
      </c>
      <c r="J1897" s="88" t="s">
        <v>216</v>
      </c>
      <c r="K1897" s="102" t="s">
        <v>5226</v>
      </c>
      <c r="L1897" s="117">
        <f>IF(O1897="","",N1897*O1897*M1897)</f>
        <v>0</v>
      </c>
      <c r="M1897" s="108">
        <v>1</v>
      </c>
      <c r="N1897" s="95">
        <v>1</v>
      </c>
      <c r="O1897" s="109">
        <f>IF(Key!D$1="ON",P1897,IF(SUM(Q1897:DL1897)&lt;1,"",SUM(Q1897:DL1897)/COUNTIF(Q1897:DL1897,"&gt;0")))</f>
        <v>0</v>
      </c>
      <c r="P1897" s="109">
        <f>SUMIFS(Q1897:DK1897,Q$1:DK$1,Dashboard!$K$31)</f>
        <v>0</v>
      </c>
      <c r="U1897" s="95">
        <v>33</v>
      </c>
      <c r="AA1897" s="95">
        <v>25</v>
      </c>
      <c r="AH1897" s="95">
        <v>75</v>
      </c>
    </row>
    <row r="1898" spans="1:34" x14ac:dyDescent="0.3">
      <c r="A1898" s="89" t="str">
        <f>CONCATENATE(D1898,".",F1898,"-",G1898,".",H1898,"")</f>
        <v>2.3-2.1</v>
      </c>
      <c r="B1898" s="89" t="str">
        <f>IF(CONCATENATE(I1898,Key!F$2)=CONCATENATE(INDEX(Dashboard!J:J,MATCH(I1898,Dashboard!J:J,0),1),INDEX(Dashboard!J:K,MATCH(I1898,Dashboard!J:J,0),2)),"ON",IF(Dashboard!K$32="ALL","ON","-"))</f>
        <v>-</v>
      </c>
      <c r="C1898" s="96" t="s">
        <v>152</v>
      </c>
      <c r="D1898" s="89">
        <f>IF(C1898="ID",1,(IF(C1898="PR",2,(IF(C1898="DE",3,(IF(C1898="RS",4,(IF(C1898="RC",5,0)))))))))</f>
        <v>2</v>
      </c>
      <c r="E1898" s="89" t="s">
        <v>210</v>
      </c>
      <c r="F1898" s="89">
        <f>IF(E1898="AM",1,(IF(E1898="BE",2,(IF(E1898="GV",3,(IF(E1898="RA",4,(IF(E1898="RM",5,(IF(E1898="AC",1,(IF(E1898="AT",2,(IF(E1898="DS",3,(IF(E1898="IP",4,(IF(E1898="MA",5,(IF(E1898="PT",6,(IF(E1898="AE",1,(IF(E1898="CM",2,(IF(E1898="DP",3,(IF(E1898="AN",1,(IF(E1898="CO",2,(IF(E1898="IM",3,(IF(E1898="MI",4,(IF(E1898="RP",5,(IF(E1898="SC",6,0)))))))))))))))))))))))))))))))))))))))</f>
        <v>3</v>
      </c>
      <c r="G1898" s="52">
        <v>2</v>
      </c>
      <c r="H1898" s="90" t="s">
        <v>115</v>
      </c>
      <c r="I1898" s="94" t="s">
        <v>92</v>
      </c>
      <c r="J1898" s="88" t="s">
        <v>217</v>
      </c>
      <c r="K1898" s="102" t="s">
        <v>5226</v>
      </c>
      <c r="L1898" s="117">
        <f>IF(O1898="","",N1898*O1898*M1898)</f>
        <v>0</v>
      </c>
      <c r="M1898" s="108">
        <v>1</v>
      </c>
      <c r="N1898" s="95">
        <v>1</v>
      </c>
      <c r="O1898" s="109">
        <f>IF(Key!D$1="ON",P1898,IF(SUM(Q1898:DL1898)&lt;1,"",SUM(Q1898:DL1898)/COUNTIF(Q1898:DL1898,"&gt;0")))</f>
        <v>0</v>
      </c>
      <c r="P1898" s="109">
        <f>SUMIFS(Q1898:DK1898,Q$1:DK$1,Dashboard!$K$31)</f>
        <v>0</v>
      </c>
      <c r="U1898" s="95">
        <v>33</v>
      </c>
      <c r="AA1898" s="95">
        <v>25</v>
      </c>
      <c r="AH1898" s="95">
        <v>75</v>
      </c>
    </row>
    <row r="1899" spans="1:34" x14ac:dyDescent="0.3">
      <c r="A1899" s="89" t="str">
        <f>CONCATENATE(D1899,".",F1899,"-",G1899,".",H1899,"")</f>
        <v>2.3-2.2</v>
      </c>
      <c r="B1899" s="89" t="str">
        <f>IF(CONCATENATE(I1899,Key!F$2)=CONCATENATE(INDEX(Dashboard!J:J,MATCH(I1899,Dashboard!J:J,0),1),INDEX(Dashboard!J:K,MATCH(I1899,Dashboard!J:J,0),2)),"ON",IF(Dashboard!K$32="ALL","ON","-"))</f>
        <v>-</v>
      </c>
      <c r="C1899" s="88" t="s">
        <v>152</v>
      </c>
      <c r="D1899" s="89">
        <f>IF(C1899="ID",1,(IF(C1899="PR",2,(IF(C1899="DE",3,(IF(C1899="RS",4,(IF(C1899="RC",5,0)))))))))</f>
        <v>2</v>
      </c>
      <c r="E1899" s="89" t="s">
        <v>210</v>
      </c>
      <c r="F1899" s="89">
        <f>IF(E1899="AM",1,(IF(E1899="BE",2,(IF(E1899="GV",3,(IF(E1899="RA",4,(IF(E1899="RM",5,(IF(E1899="AC",1,(IF(E1899="AT",2,(IF(E1899="DS",3,(IF(E1899="IP",4,(IF(E1899="MA",5,(IF(E1899="PT",6,(IF(E1899="AE",1,(IF(E1899="CM",2,(IF(E1899="DP",3,(IF(E1899="AN",1,(IF(E1899="CO",2,(IF(E1899="IM",3,(IF(E1899="MI",4,(IF(E1899="RP",5,(IF(E1899="SC",6,0)))))))))))))))))))))))))))))))))))))))</f>
        <v>3</v>
      </c>
      <c r="G1899" s="98">
        <v>2</v>
      </c>
      <c r="H1899" s="90" t="s">
        <v>112</v>
      </c>
      <c r="I1899" s="94" t="s">
        <v>64</v>
      </c>
      <c r="J1899" s="87" t="s">
        <v>1350</v>
      </c>
      <c r="K1899" s="102" t="s">
        <v>2350</v>
      </c>
      <c r="L1899" s="117">
        <f>IF(O1899="","",N1899*O1899*M1899)</f>
        <v>0</v>
      </c>
      <c r="M1899" s="108">
        <v>1</v>
      </c>
      <c r="N1899" s="95">
        <v>1</v>
      </c>
      <c r="O1899" s="109">
        <f>IF(Key!D$1="ON",P1899,IF(SUM(Q1899:DL1899)&lt;1,"",SUM(Q1899:DL1899)/COUNTIF(Q1899:DL1899,"&gt;0")))</f>
        <v>0</v>
      </c>
      <c r="P1899" s="109">
        <f>SUMIFS(Q1899:DK1899,Q$1:DK$1,Dashboard!$K$31)</f>
        <v>0</v>
      </c>
      <c r="U1899" s="95">
        <v>33</v>
      </c>
      <c r="AA1899" s="95">
        <v>25</v>
      </c>
      <c r="AH1899" s="95">
        <v>75</v>
      </c>
    </row>
    <row r="1900" spans="1:34" ht="15.6" x14ac:dyDescent="0.3">
      <c r="A1900" s="89" t="str">
        <f>CONCATENATE(D1900,".",F1900,"-",G1900,".",H1900,"")</f>
        <v>2.3-2.2</v>
      </c>
      <c r="B1900" s="89" t="str">
        <f>IF(CONCATENATE(I1900,Key!F$2)=CONCATENATE(INDEX(Dashboard!J:J,MATCH(I1900,Dashboard!J:J,0),1),INDEX(Dashboard!J:K,MATCH(I1900,Dashboard!J:J,0),2)),"ON",IF(Dashboard!K$32="ALL","ON","-"))</f>
        <v>-</v>
      </c>
      <c r="C1900" s="88" t="s">
        <v>152</v>
      </c>
      <c r="D1900" s="89">
        <f>IF(C1900="ID",1,(IF(C1900="PR",2,(IF(C1900="DE",3,(IF(C1900="RS",4,(IF(C1900="RC",5,0)))))))))</f>
        <v>2</v>
      </c>
      <c r="E1900" s="89" t="s">
        <v>210</v>
      </c>
      <c r="F1900" s="89">
        <f>IF(E1900="AM",1,(IF(E1900="BE",2,(IF(E1900="GV",3,(IF(E1900="RA",4,(IF(E1900="RM",5,(IF(E1900="AC",1,(IF(E1900="AT",2,(IF(E1900="DS",3,(IF(E1900="IP",4,(IF(E1900="MA",5,(IF(E1900="PT",6,(IF(E1900="AE",1,(IF(E1900="CM",2,(IF(E1900="DP",3,(IF(E1900="AN",1,(IF(E1900="CO",2,(IF(E1900="IM",3,(IF(E1900="MI",4,(IF(E1900="RP",5,(IF(E1900="SC",6,0)))))))))))))))))))))))))))))))))))))))</f>
        <v>3</v>
      </c>
      <c r="G1900" s="52">
        <v>2</v>
      </c>
      <c r="H1900" s="90" t="s">
        <v>112</v>
      </c>
      <c r="I1900" s="94" t="s">
        <v>64</v>
      </c>
      <c r="J1900" s="87" t="s">
        <v>936</v>
      </c>
      <c r="K1900" s="102" t="s">
        <v>2024</v>
      </c>
      <c r="L1900" s="117">
        <f>IF(O1900="","",N1900*O1900*M1900)</f>
        <v>0</v>
      </c>
      <c r="M1900" s="108">
        <v>1</v>
      </c>
      <c r="N1900" s="95">
        <v>1</v>
      </c>
      <c r="O1900" s="109">
        <f>IF(Key!D$1="ON",P1900,IF(SUM(Q1900:DL1900)&lt;1,"",SUM(Q1900:DL1900)/COUNTIF(Q1900:DL1900,"&gt;0")))</f>
        <v>0</v>
      </c>
      <c r="P1900" s="109">
        <f>SUMIFS(Q1900:DK1900,Q$1:DK$1,Dashboard!$K$31)</f>
        <v>0</v>
      </c>
      <c r="U1900" s="95">
        <v>33</v>
      </c>
      <c r="AA1900" s="95">
        <v>25</v>
      </c>
      <c r="AH1900" s="95">
        <v>75</v>
      </c>
    </row>
    <row r="1901" spans="1:34" x14ac:dyDescent="0.3">
      <c r="A1901" s="89" t="str">
        <f>CONCATENATE(D1901,".",F1901,"-",G1901,".",H1901,"")</f>
        <v>2.3-2.2</v>
      </c>
      <c r="B1901" s="89" t="str">
        <f>IF(CONCATENATE(I1901,Key!F$2)=CONCATENATE(INDEX(Dashboard!J:J,MATCH(I1901,Dashboard!J:J,0),1),INDEX(Dashboard!J:K,MATCH(I1901,Dashboard!J:J,0),2)),"ON",IF(Dashboard!K$32="ALL","ON","-"))</f>
        <v>-</v>
      </c>
      <c r="C1901" s="88" t="s">
        <v>152</v>
      </c>
      <c r="D1901" s="89">
        <f>IF(C1901="ID",1,(IF(C1901="PR",2,(IF(C1901="DE",3,(IF(C1901="RS",4,(IF(C1901="RC",5,0)))))))))</f>
        <v>2</v>
      </c>
      <c r="E1901" s="89" t="s">
        <v>210</v>
      </c>
      <c r="F1901" s="89">
        <f>IF(E1901="AM",1,(IF(E1901="BE",2,(IF(E1901="GV",3,(IF(E1901="RA",4,(IF(E1901="RM",5,(IF(E1901="AC",1,(IF(E1901="AT",2,(IF(E1901="DS",3,(IF(E1901="IP",4,(IF(E1901="MA",5,(IF(E1901="PT",6,(IF(E1901="AE",1,(IF(E1901="CM",2,(IF(E1901="DP",3,(IF(E1901="AN",1,(IF(E1901="CO",2,(IF(E1901="IM",3,(IF(E1901="MI",4,(IF(E1901="RP",5,(IF(E1901="SC",6,0)))))))))))))))))))))))))))))))))))))))</f>
        <v>3</v>
      </c>
      <c r="G1901" s="98">
        <v>2</v>
      </c>
      <c r="H1901" s="90" t="s">
        <v>112</v>
      </c>
      <c r="I1901" s="94" t="s">
        <v>77</v>
      </c>
      <c r="J1901" s="87" t="s">
        <v>1350</v>
      </c>
      <c r="K1901" s="102" t="s">
        <v>2350</v>
      </c>
      <c r="L1901" s="117">
        <f>IF(O1901="","",N1901*O1901*M1901)</f>
        <v>0</v>
      </c>
      <c r="M1901" s="108">
        <v>1</v>
      </c>
      <c r="N1901" s="95">
        <v>1</v>
      </c>
      <c r="O1901" s="109">
        <f>IF(Key!D$1="ON",P1901,IF(SUM(Q1901:DL1901)&lt;1,"",SUM(Q1901:DL1901)/COUNTIF(Q1901:DL1901,"&gt;0")))</f>
        <v>0</v>
      </c>
      <c r="P1901" s="109">
        <f>SUMIFS(Q1901:DK1901,Q$1:DK$1,Dashboard!$K$31)</f>
        <v>0</v>
      </c>
      <c r="U1901" s="95">
        <v>33</v>
      </c>
      <c r="AA1901" s="95">
        <v>25</v>
      </c>
      <c r="AH1901" s="95">
        <v>75</v>
      </c>
    </row>
    <row r="1902" spans="1:34" x14ac:dyDescent="0.3">
      <c r="A1902" s="89" t="str">
        <f>CONCATENATE(D1902,".",F1902,"-",G1902,".",H1902,"")</f>
        <v>2.3-2.2</v>
      </c>
      <c r="B1902" s="89" t="str">
        <f>IF(CONCATENATE(I1902,Key!F$2)=CONCATENATE(INDEX(Dashboard!J:J,MATCH(I1902,Dashboard!J:J,0),1),INDEX(Dashboard!J:K,MATCH(I1902,Dashboard!J:J,0),2)),"ON",IF(Dashboard!K$32="ALL","ON","-"))</f>
        <v>-</v>
      </c>
      <c r="C1902" s="88" t="s">
        <v>152</v>
      </c>
      <c r="D1902" s="89">
        <f>IF(C1902="ID",1,(IF(C1902="PR",2,(IF(C1902="DE",3,(IF(C1902="RS",4,(IF(C1902="RC",5,0)))))))))</f>
        <v>2</v>
      </c>
      <c r="E1902" s="89" t="s">
        <v>210</v>
      </c>
      <c r="F1902" s="89">
        <f>IF(E1902="AM",1,(IF(E1902="BE",2,(IF(E1902="GV",3,(IF(E1902="RA",4,(IF(E1902="RM",5,(IF(E1902="AC",1,(IF(E1902="AT",2,(IF(E1902="DS",3,(IF(E1902="IP",4,(IF(E1902="MA",5,(IF(E1902="PT",6,(IF(E1902="AE",1,(IF(E1902="CM",2,(IF(E1902="DP",3,(IF(E1902="AN",1,(IF(E1902="CO",2,(IF(E1902="IM",3,(IF(E1902="MI",4,(IF(E1902="RP",5,(IF(E1902="SC",6,0)))))))))))))))))))))))))))))))))))))))</f>
        <v>3</v>
      </c>
      <c r="G1902" s="52">
        <v>2</v>
      </c>
      <c r="H1902" s="90" t="s">
        <v>112</v>
      </c>
      <c r="I1902" s="94" t="s">
        <v>77</v>
      </c>
      <c r="J1902" s="87" t="s">
        <v>1351</v>
      </c>
      <c r="K1902" s="102" t="s">
        <v>2351</v>
      </c>
      <c r="L1902" s="117">
        <f>IF(O1902="","",N1902*O1902*M1902)</f>
        <v>0</v>
      </c>
      <c r="M1902" s="108">
        <v>1</v>
      </c>
      <c r="N1902" s="95">
        <v>1</v>
      </c>
      <c r="O1902" s="109">
        <f>IF(Key!D$1="ON",P1902,IF(SUM(Q1902:DL1902)&lt;1,"",SUM(Q1902:DL1902)/COUNTIF(Q1902:DL1902,"&gt;0")))</f>
        <v>0</v>
      </c>
      <c r="P1902" s="109">
        <f>SUMIFS(Q1902:DK1902,Q$1:DK$1,Dashboard!$K$31)</f>
        <v>0</v>
      </c>
      <c r="U1902" s="95">
        <v>33</v>
      </c>
      <c r="AA1902" s="95">
        <v>25</v>
      </c>
      <c r="AH1902" s="95">
        <v>75</v>
      </c>
    </row>
    <row r="1903" spans="1:34" x14ac:dyDescent="0.3">
      <c r="A1903" s="89" t="str">
        <f>CONCATENATE(D1903,".",F1903,"-",G1903,".",H1903,"")</f>
        <v>2.3-2.2</v>
      </c>
      <c r="B1903" s="89" t="str">
        <f>IF(CONCATENATE(I1903,Key!F$2)=CONCATENATE(INDEX(Dashboard!J:J,MATCH(I1903,Dashboard!J:J,0),1),INDEX(Dashboard!J:K,MATCH(I1903,Dashboard!J:J,0),2)),"ON",IF(Dashboard!K$32="ALL","ON","-"))</f>
        <v>-</v>
      </c>
      <c r="C1903" s="88" t="s">
        <v>152</v>
      </c>
      <c r="D1903" s="89">
        <f>IF(C1903="ID",1,(IF(C1903="PR",2,(IF(C1903="DE",3,(IF(C1903="RS",4,(IF(C1903="RC",5,0)))))))))</f>
        <v>2</v>
      </c>
      <c r="E1903" s="89" t="s">
        <v>210</v>
      </c>
      <c r="F1903" s="89">
        <f>IF(E1903="AM",1,(IF(E1903="BE",2,(IF(E1903="GV",3,(IF(E1903="RA",4,(IF(E1903="RM",5,(IF(E1903="AC",1,(IF(E1903="AT",2,(IF(E1903="DS",3,(IF(E1903="IP",4,(IF(E1903="MA",5,(IF(E1903="PT",6,(IF(E1903="AE",1,(IF(E1903="CM",2,(IF(E1903="DP",3,(IF(E1903="AN",1,(IF(E1903="CO",2,(IF(E1903="IM",3,(IF(E1903="MI",4,(IF(E1903="RP",5,(IF(E1903="SC",6,0)))))))))))))))))))))))))))))))))))))))</f>
        <v>3</v>
      </c>
      <c r="G1903" s="52">
        <v>2</v>
      </c>
      <c r="H1903" s="90" t="s">
        <v>112</v>
      </c>
      <c r="I1903" s="94" t="s">
        <v>77</v>
      </c>
      <c r="J1903" s="87" t="s">
        <v>936</v>
      </c>
      <c r="K1903" s="102" t="s">
        <v>2024</v>
      </c>
      <c r="L1903" s="117">
        <f>IF(O1903="","",N1903*O1903*M1903)</f>
        <v>0</v>
      </c>
      <c r="M1903" s="108">
        <v>1</v>
      </c>
      <c r="N1903" s="95">
        <v>1</v>
      </c>
      <c r="O1903" s="109">
        <f>IF(Key!D$1="ON",P1903,IF(SUM(Q1903:DL1903)&lt;1,"",SUM(Q1903:DL1903)/COUNTIF(Q1903:DL1903,"&gt;0")))</f>
        <v>0</v>
      </c>
      <c r="P1903" s="109">
        <f>SUMIFS(Q1903:DK1903,Q$1:DK$1,Dashboard!$K$31)</f>
        <v>0</v>
      </c>
      <c r="U1903" s="95">
        <v>33</v>
      </c>
      <c r="AA1903" s="95">
        <v>25</v>
      </c>
      <c r="AH1903" s="95">
        <v>75</v>
      </c>
    </row>
    <row r="1904" spans="1:34" ht="15.6" x14ac:dyDescent="0.3">
      <c r="A1904" s="89" t="str">
        <f>CONCATENATE(D1904,".",F1904,"-",G1904,".",H1904,"")</f>
        <v>2.3-2.2</v>
      </c>
      <c r="B1904" s="89" t="str">
        <f>IF(CONCATENATE(I1904,Key!F$2)=CONCATENATE(INDEX(Dashboard!J:J,MATCH(I1904,Dashboard!J:J,0),1),INDEX(Dashboard!J:K,MATCH(I1904,Dashboard!J:J,0),2)),"ON",IF(Dashboard!K$32="ALL","ON","-"))</f>
        <v>-</v>
      </c>
      <c r="C1904" s="88" t="s">
        <v>152</v>
      </c>
      <c r="D1904" s="89">
        <f>IF(C1904="ID",1,(IF(C1904="PR",2,(IF(C1904="DE",3,(IF(C1904="RS",4,(IF(C1904="RC",5,0)))))))))</f>
        <v>2</v>
      </c>
      <c r="E1904" s="89" t="s">
        <v>210</v>
      </c>
      <c r="F1904" s="89">
        <f>IF(E1904="AM",1,(IF(E1904="BE",2,(IF(E1904="GV",3,(IF(E1904="RA",4,(IF(E1904="RM",5,(IF(E1904="AC",1,(IF(E1904="AT",2,(IF(E1904="DS",3,(IF(E1904="IP",4,(IF(E1904="MA",5,(IF(E1904="PT",6,(IF(E1904="AE",1,(IF(E1904="CM",2,(IF(E1904="DP",3,(IF(E1904="AN",1,(IF(E1904="CO",2,(IF(E1904="IM",3,(IF(E1904="MI",4,(IF(E1904="RP",5,(IF(E1904="SC",6,0)))))))))))))))))))))))))))))))))))))))</f>
        <v>3</v>
      </c>
      <c r="G1904" s="52">
        <v>2</v>
      </c>
      <c r="H1904" s="90" t="s">
        <v>112</v>
      </c>
      <c r="I1904" s="94" t="s">
        <v>85</v>
      </c>
      <c r="J1904" s="87" t="s">
        <v>1351</v>
      </c>
      <c r="K1904" s="119" t="s">
        <v>4581</v>
      </c>
      <c r="L1904" s="117">
        <f>IF(O1904="","",N1904*O1904*M1904)</f>
        <v>0</v>
      </c>
      <c r="M1904" s="108">
        <v>1</v>
      </c>
      <c r="N1904" s="95">
        <v>1</v>
      </c>
      <c r="O1904" s="109">
        <f>IF(Key!D$1="ON",P1904,IF(SUM(Q1904:DL1904)&lt;1,"",SUM(Q1904:DL1904)/COUNTIF(Q1904:DL1904,"&gt;0")))</f>
        <v>0</v>
      </c>
      <c r="P1904" s="109">
        <f>SUMIFS(Q1904:DK1904,Q$1:DK$1,Dashboard!$K$31)</f>
        <v>0</v>
      </c>
      <c r="U1904" s="95">
        <v>33</v>
      </c>
      <c r="AA1904" s="95">
        <v>25</v>
      </c>
      <c r="AH1904" s="95">
        <v>75</v>
      </c>
    </row>
    <row r="1905" spans="1:34" ht="15.6" x14ac:dyDescent="0.3">
      <c r="A1905" s="89" t="str">
        <f>CONCATENATE(D1905,".",F1905,"-",G1905,".",H1905,"")</f>
        <v>2.3-2.2</v>
      </c>
      <c r="B1905" s="89" t="str">
        <f>IF(CONCATENATE(I1905,Key!F$2)=CONCATENATE(INDEX(Dashboard!J:J,MATCH(I1905,Dashboard!J:J,0),1),INDEX(Dashboard!J:K,MATCH(I1905,Dashboard!J:J,0),2)),"ON",IF(Dashboard!K$32="ALL","ON","-"))</f>
        <v>-</v>
      </c>
      <c r="C1905" s="88" t="s">
        <v>152</v>
      </c>
      <c r="D1905" s="89">
        <f>IF(C1905="ID",1,(IF(C1905="PR",2,(IF(C1905="DE",3,(IF(C1905="RS",4,(IF(C1905="RC",5,0)))))))))</f>
        <v>2</v>
      </c>
      <c r="E1905" s="89" t="s">
        <v>210</v>
      </c>
      <c r="F1905" s="89">
        <f>IF(E1905="AM",1,(IF(E1905="BE",2,(IF(E1905="GV",3,(IF(E1905="RA",4,(IF(E1905="RM",5,(IF(E1905="AC",1,(IF(E1905="AT",2,(IF(E1905="DS",3,(IF(E1905="IP",4,(IF(E1905="MA",5,(IF(E1905="PT",6,(IF(E1905="AE",1,(IF(E1905="CM",2,(IF(E1905="DP",3,(IF(E1905="AN",1,(IF(E1905="CO",2,(IF(E1905="IM",3,(IF(E1905="MI",4,(IF(E1905="RP",5,(IF(E1905="SC",6,0)))))))))))))))))))))))))))))))))))))))</f>
        <v>3</v>
      </c>
      <c r="G1905" s="98">
        <v>2</v>
      </c>
      <c r="H1905" s="90" t="s">
        <v>112</v>
      </c>
      <c r="I1905" s="94" t="s">
        <v>85</v>
      </c>
      <c r="J1905" s="87" t="s">
        <v>1350</v>
      </c>
      <c r="K1905" s="119" t="s">
        <v>4575</v>
      </c>
      <c r="L1905" s="117">
        <f>IF(O1905="","",N1905*O1905*M1905)</f>
        <v>0</v>
      </c>
      <c r="M1905" s="108">
        <v>1</v>
      </c>
      <c r="N1905" s="95">
        <v>1</v>
      </c>
      <c r="O1905" s="109">
        <f>IF(Key!D$1="ON",P1905,IF(SUM(Q1905:DL1905)&lt;1,"",SUM(Q1905:DL1905)/COUNTIF(Q1905:DL1905,"&gt;0")))</f>
        <v>0</v>
      </c>
      <c r="P1905" s="109">
        <f>SUMIFS(Q1905:DK1905,Q$1:DK$1,Dashboard!$K$31)</f>
        <v>0</v>
      </c>
      <c r="U1905" s="95">
        <v>33</v>
      </c>
      <c r="AA1905" s="95">
        <v>25</v>
      </c>
      <c r="AH1905" s="95">
        <v>75</v>
      </c>
    </row>
    <row r="1906" spans="1:34" ht="15.6" x14ac:dyDescent="0.3">
      <c r="A1906" s="89" t="str">
        <f>CONCATENATE(D1906,".",F1906,"-",G1906,".",H1906,"")</f>
        <v>2.3-2.2</v>
      </c>
      <c r="B1906" s="89" t="str">
        <f>IF(CONCATENATE(I1906,Key!F$2)=CONCATENATE(INDEX(Dashboard!J:J,MATCH(I1906,Dashboard!J:J,0),1),INDEX(Dashboard!J:K,MATCH(I1906,Dashboard!J:J,0),2)),"ON",IF(Dashboard!K$32="ALL","ON","-"))</f>
        <v>-</v>
      </c>
      <c r="C1906" s="88" t="s">
        <v>152</v>
      </c>
      <c r="D1906" s="89">
        <f>IF(C1906="ID",1,(IF(C1906="PR",2,(IF(C1906="DE",3,(IF(C1906="RS",4,(IF(C1906="RC",5,0)))))))))</f>
        <v>2</v>
      </c>
      <c r="E1906" s="89" t="s">
        <v>210</v>
      </c>
      <c r="F1906" s="89">
        <f>IF(E1906="AM",1,(IF(E1906="BE",2,(IF(E1906="GV",3,(IF(E1906="RA",4,(IF(E1906="RM",5,(IF(E1906="AC",1,(IF(E1906="AT",2,(IF(E1906="DS",3,(IF(E1906="IP",4,(IF(E1906="MA",5,(IF(E1906="PT",6,(IF(E1906="AE",1,(IF(E1906="CM",2,(IF(E1906="DP",3,(IF(E1906="AN",1,(IF(E1906="CO",2,(IF(E1906="IM",3,(IF(E1906="MI",4,(IF(E1906="RP",5,(IF(E1906="SC",6,0)))))))))))))))))))))))))))))))))))))))</f>
        <v>3</v>
      </c>
      <c r="G1906" s="52">
        <v>2</v>
      </c>
      <c r="H1906" s="90" t="s">
        <v>112</v>
      </c>
      <c r="I1906" s="94" t="s">
        <v>85</v>
      </c>
      <c r="J1906" s="87" t="s">
        <v>936</v>
      </c>
      <c r="K1906" s="119" t="s">
        <v>4585</v>
      </c>
      <c r="L1906" s="117">
        <f>IF(O1906="","",N1906*O1906*M1906)</f>
        <v>0</v>
      </c>
      <c r="M1906" s="108">
        <v>1</v>
      </c>
      <c r="N1906" s="95">
        <v>1</v>
      </c>
      <c r="O1906" s="109">
        <f>IF(Key!D$1="ON",P1906,IF(SUM(Q1906:DL1906)&lt;1,"",SUM(Q1906:DL1906)/COUNTIF(Q1906:DL1906,"&gt;0")))</f>
        <v>0</v>
      </c>
      <c r="P1906" s="109">
        <f>SUMIFS(Q1906:DK1906,Q$1:DK$1,Dashboard!$K$31)</f>
        <v>0</v>
      </c>
      <c r="U1906" s="95">
        <v>33</v>
      </c>
      <c r="AA1906" s="95">
        <v>25</v>
      </c>
      <c r="AH1906" s="95">
        <v>75</v>
      </c>
    </row>
    <row r="1907" spans="1:34" ht="15.6" x14ac:dyDescent="0.3">
      <c r="A1907" s="89" t="str">
        <f>CONCATENATE(D1907,".",F1907,"-",G1907,".",H1907,"")</f>
        <v>2.3-2.3</v>
      </c>
      <c r="B1907" s="89" t="str">
        <f>IF(CONCATENATE(I1907,Key!F$2)=CONCATENATE(INDEX(Dashboard!J:J,MATCH(I1907,Dashboard!J:J,0),1),INDEX(Dashboard!J:K,MATCH(I1907,Dashboard!J:J,0),2)),"ON",IF(Dashboard!K$32="ALL","ON","-"))</f>
        <v>-</v>
      </c>
      <c r="C1907" s="88" t="s">
        <v>152</v>
      </c>
      <c r="D1907" s="89">
        <f>IF(C1907="ID",1,(IF(C1907="PR",2,(IF(C1907="DE",3,(IF(C1907="RS",4,(IF(C1907="RC",5,0)))))))))</f>
        <v>2</v>
      </c>
      <c r="E1907" s="89" t="s">
        <v>210</v>
      </c>
      <c r="F1907" s="89">
        <f>IF(E1907="AM",1,(IF(E1907="BE",2,(IF(E1907="GV",3,(IF(E1907="RA",4,(IF(E1907="RM",5,(IF(E1907="AC",1,(IF(E1907="AT",2,(IF(E1907="DS",3,(IF(E1907="IP",4,(IF(E1907="MA",5,(IF(E1907="PT",6,(IF(E1907="AE",1,(IF(E1907="CM",2,(IF(E1907="DP",3,(IF(E1907="AN",1,(IF(E1907="CO",2,(IF(E1907="IM",3,(IF(E1907="MI",4,(IF(E1907="RP",5,(IF(E1907="SC",6,0)))))))))))))))))))))))))))))))))))))))</f>
        <v>3</v>
      </c>
      <c r="G1907" s="52">
        <v>2</v>
      </c>
      <c r="H1907" s="90" t="s">
        <v>280</v>
      </c>
      <c r="I1907" s="94" t="s">
        <v>77</v>
      </c>
      <c r="J1907" s="87" t="s">
        <v>1308</v>
      </c>
      <c r="K1907" s="102" t="s">
        <v>2318</v>
      </c>
      <c r="L1907" s="117">
        <f>IF(O1907="","",N1907*O1907*M1907)</f>
        <v>0</v>
      </c>
      <c r="M1907" s="108">
        <v>1</v>
      </c>
      <c r="N1907" s="95">
        <v>1</v>
      </c>
      <c r="O1907" s="109">
        <f>IF(Key!D$1="ON",P1907,IF(SUM(Q1907:DL1907)&lt;1,"",SUM(Q1907:DL1907)/COUNTIF(Q1907:DL1907,"&gt;0")))</f>
        <v>0</v>
      </c>
      <c r="P1907" s="109">
        <f>SUMIFS(Q1907:DK1907,Q$1:DK$1,Dashboard!$K$31)</f>
        <v>0</v>
      </c>
      <c r="U1907" s="95">
        <v>33</v>
      </c>
      <c r="AA1907" s="95">
        <v>25</v>
      </c>
      <c r="AH1907" s="95">
        <v>75</v>
      </c>
    </row>
    <row r="1908" spans="1:34" ht="15.6" x14ac:dyDescent="0.3">
      <c r="A1908" s="89" t="str">
        <f>CONCATENATE(D1908,".",F1908,"-",G1908,".",H1908,"")</f>
        <v>2.3-2.3</v>
      </c>
      <c r="B1908" s="89" t="str">
        <f>IF(CONCATENATE(I1908,Key!F$2)=CONCATENATE(INDEX(Dashboard!J:J,MATCH(I1908,Dashboard!J:J,0),1),INDEX(Dashboard!J:K,MATCH(I1908,Dashboard!J:J,0),2)),"ON",IF(Dashboard!K$32="ALL","ON","-"))</f>
        <v>-</v>
      </c>
      <c r="C1908" s="88" t="s">
        <v>152</v>
      </c>
      <c r="D1908" s="89">
        <f>IF(C1908="ID",1,(IF(C1908="PR",2,(IF(C1908="DE",3,(IF(C1908="RS",4,(IF(C1908="RC",5,0)))))))))</f>
        <v>2</v>
      </c>
      <c r="E1908" s="89" t="s">
        <v>210</v>
      </c>
      <c r="F1908" s="89">
        <f>IF(E1908="AM",1,(IF(E1908="BE",2,(IF(E1908="GV",3,(IF(E1908="RA",4,(IF(E1908="RM",5,(IF(E1908="AC",1,(IF(E1908="AT",2,(IF(E1908="DS",3,(IF(E1908="IP",4,(IF(E1908="MA",5,(IF(E1908="PT",6,(IF(E1908="AE",1,(IF(E1908="CM",2,(IF(E1908="DP",3,(IF(E1908="AN",1,(IF(E1908="CO",2,(IF(E1908="IM",3,(IF(E1908="MI",4,(IF(E1908="RP",5,(IF(E1908="SC",6,0)))))))))))))))))))))))))))))))))))))))</f>
        <v>3</v>
      </c>
      <c r="G1908" s="52">
        <v>2</v>
      </c>
      <c r="H1908" s="90" t="s">
        <v>280</v>
      </c>
      <c r="I1908" s="94" t="s">
        <v>85</v>
      </c>
      <c r="J1908" s="87" t="s">
        <v>1308</v>
      </c>
      <c r="K1908" s="119" t="s">
        <v>4594</v>
      </c>
      <c r="L1908" s="117">
        <f>IF(O1908="","",N1908*O1908*M1908)</f>
        <v>0</v>
      </c>
      <c r="M1908" s="108">
        <v>1</v>
      </c>
      <c r="N1908" s="95">
        <v>1</v>
      </c>
      <c r="O1908" s="109">
        <f>IF(Key!D$1="ON",P1908,IF(SUM(Q1908:DL1908)&lt;1,"",SUM(Q1908:DL1908)/COUNTIF(Q1908:DL1908,"&gt;0")))</f>
        <v>0</v>
      </c>
      <c r="P1908" s="109">
        <f>SUMIFS(Q1908:DK1908,Q$1:DK$1,Dashboard!$K$31)</f>
        <v>0</v>
      </c>
      <c r="U1908" s="95">
        <v>33</v>
      </c>
      <c r="AA1908" s="95">
        <v>25</v>
      </c>
      <c r="AH1908" s="95">
        <v>75</v>
      </c>
    </row>
    <row r="1909" spans="1:34" ht="15.6" x14ac:dyDescent="0.3">
      <c r="A1909" s="89" t="str">
        <f>CONCATENATE(D1909,".",F1909,"-",G1909,".",H1909,"")</f>
        <v>2.3-2.5</v>
      </c>
      <c r="B1909" s="89" t="str">
        <f>IF(CONCATENATE(I1909,Key!F$2)=CONCATENATE(INDEX(Dashboard!J:J,MATCH(I1909,Dashboard!J:J,0),1),INDEX(Dashboard!J:K,MATCH(I1909,Dashboard!J:J,0),2)),"ON",IF(Dashboard!K$32="ALL","ON","-"))</f>
        <v>-</v>
      </c>
      <c r="C1909" s="88" t="s">
        <v>152</v>
      </c>
      <c r="D1909" s="89">
        <f>IF(C1909="ID",1,(IF(C1909="PR",2,(IF(C1909="DE",3,(IF(C1909="RS",4,(IF(C1909="RC",5,0)))))))))</f>
        <v>2</v>
      </c>
      <c r="E1909" s="89" t="s">
        <v>210</v>
      </c>
      <c r="F1909" s="89">
        <f>IF(E1909="AM",1,(IF(E1909="BE",2,(IF(E1909="GV",3,(IF(E1909="RA",4,(IF(E1909="RM",5,(IF(E1909="AC",1,(IF(E1909="AT",2,(IF(E1909="DS",3,(IF(E1909="IP",4,(IF(E1909="MA",5,(IF(E1909="PT",6,(IF(E1909="AE",1,(IF(E1909="CM",2,(IF(E1909="DP",3,(IF(E1909="AN",1,(IF(E1909="CO",2,(IF(E1909="IM",3,(IF(E1909="MI",4,(IF(E1909="RP",5,(IF(E1909="SC",6,0)))))))))))))))))))))))))))))))))))))))</f>
        <v>3</v>
      </c>
      <c r="G1909" s="52">
        <v>2</v>
      </c>
      <c r="H1909" s="90" t="s">
        <v>123</v>
      </c>
      <c r="I1909" s="94" t="s">
        <v>77</v>
      </c>
      <c r="J1909" s="87" t="s">
        <v>1352</v>
      </c>
      <c r="K1909" s="102" t="s">
        <v>2352</v>
      </c>
      <c r="L1909" s="117">
        <f>IF(O1909="","",N1909*O1909*M1909)</f>
        <v>0</v>
      </c>
      <c r="M1909" s="108">
        <v>1</v>
      </c>
      <c r="N1909" s="95">
        <v>1</v>
      </c>
      <c r="O1909" s="109">
        <f>IF(Key!D$1="ON",P1909,IF(SUM(Q1909:DL1909)&lt;1,"",SUM(Q1909:DL1909)/COUNTIF(Q1909:DL1909,"&gt;0")))</f>
        <v>0</v>
      </c>
      <c r="P1909" s="109">
        <f>SUMIFS(Q1909:DK1909,Q$1:DK$1,Dashboard!$K$31)</f>
        <v>0</v>
      </c>
      <c r="U1909" s="95">
        <v>33</v>
      </c>
      <c r="AA1909" s="95">
        <v>25</v>
      </c>
      <c r="AH1909" s="95">
        <v>75</v>
      </c>
    </row>
    <row r="1910" spans="1:34" ht="15.6" x14ac:dyDescent="0.3">
      <c r="A1910" s="89" t="str">
        <f>CONCATENATE(D1910,".",F1910,"-",G1910,".",H1910,"")</f>
        <v>2.3-2.5</v>
      </c>
      <c r="B1910" s="89" t="str">
        <f>IF(CONCATENATE(I1910,Key!F$2)=CONCATENATE(INDEX(Dashboard!J:J,MATCH(I1910,Dashboard!J:J,0),1),INDEX(Dashboard!J:K,MATCH(I1910,Dashboard!J:J,0),2)),"ON",IF(Dashboard!K$32="ALL","ON","-"))</f>
        <v>-</v>
      </c>
      <c r="C1910" s="88" t="s">
        <v>152</v>
      </c>
      <c r="D1910" s="89">
        <f>IF(C1910="ID",1,(IF(C1910="PR",2,(IF(C1910="DE",3,(IF(C1910="RS",4,(IF(C1910="RC",5,0)))))))))</f>
        <v>2</v>
      </c>
      <c r="E1910" s="89" t="s">
        <v>210</v>
      </c>
      <c r="F1910" s="89">
        <f>IF(E1910="AM",1,(IF(E1910="BE",2,(IF(E1910="GV",3,(IF(E1910="RA",4,(IF(E1910="RM",5,(IF(E1910="AC",1,(IF(E1910="AT",2,(IF(E1910="DS",3,(IF(E1910="IP",4,(IF(E1910="MA",5,(IF(E1910="PT",6,(IF(E1910="AE",1,(IF(E1910="CM",2,(IF(E1910="DP",3,(IF(E1910="AN",1,(IF(E1910="CO",2,(IF(E1910="IM",3,(IF(E1910="MI",4,(IF(E1910="RP",5,(IF(E1910="SC",6,0)))))))))))))))))))))))))))))))))))))))</f>
        <v>3</v>
      </c>
      <c r="G1910" s="52">
        <v>2</v>
      </c>
      <c r="H1910" s="90" t="s">
        <v>123</v>
      </c>
      <c r="I1910" s="94" t="s">
        <v>77</v>
      </c>
      <c r="J1910" s="87" t="s">
        <v>1354</v>
      </c>
      <c r="K1910" s="102" t="s">
        <v>2353</v>
      </c>
      <c r="L1910" s="117">
        <f>IF(O1910="","",N1910*O1910*M1910)</f>
        <v>0</v>
      </c>
      <c r="M1910" s="108">
        <v>1</v>
      </c>
      <c r="N1910" s="95">
        <v>1</v>
      </c>
      <c r="O1910" s="109">
        <f>IF(Key!D$1="ON",P1910,IF(SUM(Q1910:DL1910)&lt;1,"",SUM(Q1910:DL1910)/COUNTIF(Q1910:DL1910,"&gt;0")))</f>
        <v>0</v>
      </c>
      <c r="P1910" s="109">
        <f>SUMIFS(Q1910:DK1910,Q$1:DK$1,Dashboard!$K$31)</f>
        <v>0</v>
      </c>
      <c r="U1910" s="95">
        <v>33</v>
      </c>
      <c r="AA1910" s="95">
        <v>25</v>
      </c>
      <c r="AH1910" s="95">
        <v>75</v>
      </c>
    </row>
    <row r="1911" spans="1:34" ht="15.6" x14ac:dyDescent="0.3">
      <c r="A1911" s="89" t="str">
        <f>CONCATENATE(D1911,".",F1911,"-",G1911,".",H1911,"")</f>
        <v>2.3-2.5</v>
      </c>
      <c r="B1911" s="89" t="str">
        <f>IF(CONCATENATE(I1911,Key!F$2)=CONCATENATE(INDEX(Dashboard!J:J,MATCH(I1911,Dashboard!J:J,0),1),INDEX(Dashboard!J:K,MATCH(I1911,Dashboard!J:J,0),2)),"ON",IF(Dashboard!K$32="ALL","ON","-"))</f>
        <v>-</v>
      </c>
      <c r="C1911" s="88" t="s">
        <v>152</v>
      </c>
      <c r="D1911" s="89">
        <f>IF(C1911="ID",1,(IF(C1911="PR",2,(IF(C1911="DE",3,(IF(C1911="RS",4,(IF(C1911="RC",5,0)))))))))</f>
        <v>2</v>
      </c>
      <c r="E1911" s="89" t="s">
        <v>210</v>
      </c>
      <c r="F1911" s="89">
        <f>IF(E1911="AM",1,(IF(E1911="BE",2,(IF(E1911="GV",3,(IF(E1911="RA",4,(IF(E1911="RM",5,(IF(E1911="AC",1,(IF(E1911="AT",2,(IF(E1911="DS",3,(IF(E1911="IP",4,(IF(E1911="MA",5,(IF(E1911="PT",6,(IF(E1911="AE",1,(IF(E1911="CM",2,(IF(E1911="DP",3,(IF(E1911="AN",1,(IF(E1911="CO",2,(IF(E1911="IM",3,(IF(E1911="MI",4,(IF(E1911="RP",5,(IF(E1911="SC",6,0)))))))))))))))))))))))))))))))))))))))</f>
        <v>3</v>
      </c>
      <c r="G1911" s="52">
        <v>2</v>
      </c>
      <c r="H1911" s="90" t="s">
        <v>123</v>
      </c>
      <c r="I1911" s="94" t="s">
        <v>77</v>
      </c>
      <c r="J1911" s="87" t="s">
        <v>1355</v>
      </c>
      <c r="K1911" s="102" t="s">
        <v>2354</v>
      </c>
      <c r="L1911" s="117">
        <f>IF(O1911="","",N1911*O1911*M1911)</f>
        <v>0</v>
      </c>
      <c r="M1911" s="108">
        <v>1</v>
      </c>
      <c r="N1911" s="95">
        <v>1</v>
      </c>
      <c r="O1911" s="109">
        <f>IF(Key!D$1="ON",P1911,IF(SUM(Q1911:DL1911)&lt;1,"",SUM(Q1911:DL1911)/COUNTIF(Q1911:DL1911,"&gt;0")))</f>
        <v>0</v>
      </c>
      <c r="P1911" s="109">
        <f>SUMIFS(Q1911:DK1911,Q$1:DK$1,Dashboard!$K$31)</f>
        <v>0</v>
      </c>
      <c r="U1911" s="95">
        <v>33</v>
      </c>
      <c r="AA1911" s="95">
        <v>25</v>
      </c>
      <c r="AH1911" s="95">
        <v>75</v>
      </c>
    </row>
    <row r="1912" spans="1:34" ht="15.6" x14ac:dyDescent="0.3">
      <c r="A1912" s="89" t="str">
        <f>CONCATENATE(D1912,".",F1912,"-",G1912,".",H1912,"")</f>
        <v>2.3-2.5</v>
      </c>
      <c r="B1912" s="89" t="str">
        <f>IF(CONCATENATE(I1912,Key!F$2)=CONCATENATE(INDEX(Dashboard!J:J,MATCH(I1912,Dashboard!J:J,0),1),INDEX(Dashboard!J:K,MATCH(I1912,Dashboard!J:J,0),2)),"ON",IF(Dashboard!K$32="ALL","ON","-"))</f>
        <v>-</v>
      </c>
      <c r="C1912" s="88" t="s">
        <v>152</v>
      </c>
      <c r="D1912" s="89">
        <f>IF(C1912="ID",1,(IF(C1912="PR",2,(IF(C1912="DE",3,(IF(C1912="RS",4,(IF(C1912="RC",5,0)))))))))</f>
        <v>2</v>
      </c>
      <c r="E1912" s="89" t="s">
        <v>210</v>
      </c>
      <c r="F1912" s="89">
        <f>IF(E1912="AM",1,(IF(E1912="BE",2,(IF(E1912="GV",3,(IF(E1912="RA",4,(IF(E1912="RM",5,(IF(E1912="AC",1,(IF(E1912="AT",2,(IF(E1912="DS",3,(IF(E1912="IP",4,(IF(E1912="MA",5,(IF(E1912="PT",6,(IF(E1912="AE",1,(IF(E1912="CM",2,(IF(E1912="DP",3,(IF(E1912="AN",1,(IF(E1912="CO",2,(IF(E1912="IM",3,(IF(E1912="MI",4,(IF(E1912="RP",5,(IF(E1912="SC",6,0)))))))))))))))))))))))))))))))))))))))</f>
        <v>3</v>
      </c>
      <c r="G1912" s="52">
        <v>2</v>
      </c>
      <c r="H1912" s="90" t="s">
        <v>123</v>
      </c>
      <c r="I1912" s="94" t="s">
        <v>77</v>
      </c>
      <c r="J1912" s="87" t="s">
        <v>1356</v>
      </c>
      <c r="K1912" s="102" t="s">
        <v>2355</v>
      </c>
      <c r="L1912" s="117">
        <f>IF(O1912="","",N1912*O1912*M1912)</f>
        <v>0</v>
      </c>
      <c r="M1912" s="108">
        <v>1</v>
      </c>
      <c r="N1912" s="95">
        <v>1</v>
      </c>
      <c r="O1912" s="109">
        <f>IF(Key!D$1="ON",P1912,IF(SUM(Q1912:DL1912)&lt;1,"",SUM(Q1912:DL1912)/COUNTIF(Q1912:DL1912,"&gt;0")))</f>
        <v>0</v>
      </c>
      <c r="P1912" s="109">
        <f>SUMIFS(Q1912:DK1912,Q$1:DK$1,Dashboard!$K$31)</f>
        <v>0</v>
      </c>
      <c r="U1912" s="95">
        <v>33</v>
      </c>
      <c r="AA1912" s="95">
        <v>25</v>
      </c>
      <c r="AH1912" s="95">
        <v>75</v>
      </c>
    </row>
    <row r="1913" spans="1:34" ht="15.6" x14ac:dyDescent="0.3">
      <c r="A1913" s="89" t="str">
        <f>CONCATENATE(D1913,".",F1913,"-",G1913,".",H1913,"")</f>
        <v>2.3-3.0</v>
      </c>
      <c r="B1913" s="89" t="str">
        <f>IF(CONCATENATE(I1913,Key!F$2)=CONCATENATE(INDEX(Dashboard!J:J,MATCH(I1913,Dashboard!J:J,0),1),INDEX(Dashboard!J:K,MATCH(I1913,Dashboard!J:J,0),2)),"ON",IF(Dashboard!K$32="ALL","ON","-"))</f>
        <v>-</v>
      </c>
      <c r="C1913" s="88" t="s">
        <v>152</v>
      </c>
      <c r="D1913" s="89">
        <f>IF(C1913="ID",1,(IF(C1913="PR",2,(IF(C1913="DE",3,(IF(C1913="RS",4,(IF(C1913="RC",5,0)))))))))</f>
        <v>2</v>
      </c>
      <c r="E1913" s="89" t="s">
        <v>210</v>
      </c>
      <c r="F1913" s="89">
        <f>IF(E1913="AM",1,(IF(E1913="BE",2,(IF(E1913="GV",3,(IF(E1913="RA",4,(IF(E1913="RM",5,(IF(E1913="AC",1,(IF(E1913="AT",2,(IF(E1913="DS",3,(IF(E1913="IP",4,(IF(E1913="MA",5,(IF(E1913="PT",6,(IF(E1913="AE",1,(IF(E1913="CM",2,(IF(E1913="DP",3,(IF(E1913="AN",1,(IF(E1913="CO",2,(IF(E1913="IM",3,(IF(E1913="MI",4,(IF(E1913="RP",5,(IF(E1913="SC",6,0)))))))))))))))))))))))))))))))))))))))</f>
        <v>3</v>
      </c>
      <c r="G1913" s="52">
        <v>3</v>
      </c>
      <c r="H1913" s="90" t="s">
        <v>347</v>
      </c>
      <c r="I1913" s="94" t="s">
        <v>2835</v>
      </c>
      <c r="J1913" s="53" t="s">
        <v>2947</v>
      </c>
      <c r="K1913" s="150" t="s">
        <v>2948</v>
      </c>
      <c r="L1913" s="117">
        <f>IF(O1913="","",N1913*O1913*M1913)</f>
        <v>0</v>
      </c>
      <c r="M1913" s="108">
        <v>1</v>
      </c>
      <c r="N1913" s="95">
        <v>1</v>
      </c>
      <c r="O1913" s="109">
        <f>IF(Key!D$1="ON",P1913,IF(SUM(Q1913:DL1913)&lt;1,"",SUM(Q1913:DL1913)/COUNTIF(Q1913:DL1913,"&gt;0")))</f>
        <v>0</v>
      </c>
      <c r="P1913" s="109">
        <f>SUMIFS(Q1913:DK1913,Q$1:DK$1,Dashboard!$K$31)</f>
        <v>0</v>
      </c>
      <c r="U1913" s="95">
        <v>33</v>
      </c>
    </row>
    <row r="1914" spans="1:34" ht="15.6" x14ac:dyDescent="0.3">
      <c r="A1914" s="89" t="str">
        <f>CONCATENATE(D1914,".",F1914,"-",G1914,".",H1914,"")</f>
        <v>2.3-3.1</v>
      </c>
      <c r="B1914" s="89" t="str">
        <f>IF(CONCATENATE(I1914,Key!F$2)=CONCATENATE(INDEX(Dashboard!J:J,MATCH(I1914,Dashboard!J:J,0),1),INDEX(Dashboard!J:K,MATCH(I1914,Dashboard!J:J,0),2)),"ON",IF(Dashboard!K$32="ALL","ON","-"))</f>
        <v>ON</v>
      </c>
      <c r="C1914" s="130" t="s">
        <v>152</v>
      </c>
      <c r="D1914" s="89">
        <f>IF(C1914="ID",1,(IF(C1914="PR",2,(IF(C1914="DE",3,(IF(C1914="RS",4,(IF(C1914="RC",5,0)))))))))</f>
        <v>2</v>
      </c>
      <c r="E1914" s="95" t="s">
        <v>210</v>
      </c>
      <c r="F1914" s="89">
        <f>IF(E1914="AM",1,(IF(E1914="BE",2,(IF(E1914="GV",3,(IF(E1914="RA",4,(IF(E1914="RM",5,(IF(E1914="AC",1,(IF(E1914="AT",2,(IF(E1914="DS",3,(IF(E1914="IP",4,(IF(E1914="MA",5,(IF(E1914="PT",6,(IF(E1914="AE",1,(IF(E1914="CM",2,(IF(E1914="DP",3,(IF(E1914="AN",1,(IF(E1914="CO",2,(IF(E1914="IM",3,(IF(E1914="MI",4,(IF(E1914="RP",5,(IF(E1914="SC",6,0)))))))))))))))))))))))))))))))))))))))</f>
        <v>3</v>
      </c>
      <c r="G1914" s="52">
        <v>3</v>
      </c>
      <c r="H1914" s="90" t="s">
        <v>115</v>
      </c>
      <c r="I1914" s="94" t="s">
        <v>4107</v>
      </c>
      <c r="J1914" s="86" t="s">
        <v>3983</v>
      </c>
      <c r="K1914" s="101" t="s">
        <v>4438</v>
      </c>
      <c r="L1914" s="117">
        <f>IF(O1914="","",N1914*O1914*M1914)</f>
        <v>0</v>
      </c>
      <c r="M1914" s="108">
        <v>1</v>
      </c>
      <c r="N1914" s="95">
        <v>1</v>
      </c>
      <c r="O1914" s="109">
        <f>IF(Key!D$1="ON",P1914,IF(SUM(Q1914:DL1914)&lt;1,"",SUM(Q1914:DL1914)/COUNTIF(Q1914:DL1914,"&gt;0")))</f>
        <v>0</v>
      </c>
      <c r="P1914" s="109">
        <f>SUMIFS(Q1914:DK1914,Q$1:DK$1,Dashboard!$K$31)</f>
        <v>0</v>
      </c>
      <c r="U1914" s="95">
        <v>33</v>
      </c>
      <c r="AA1914" s="95">
        <v>25</v>
      </c>
      <c r="AH1914" s="95">
        <v>75</v>
      </c>
    </row>
    <row r="1915" spans="1:34" ht="15.6" x14ac:dyDescent="0.3">
      <c r="A1915" s="89" t="str">
        <f>CONCATENATE(D1915,".",F1915,"-",G1915,".",H1915,"")</f>
        <v>2.3-3.1</v>
      </c>
      <c r="B1915" s="89" t="str">
        <f>IF(CONCATENATE(I1915,Key!F$2)=CONCATENATE(INDEX(Dashboard!J:J,MATCH(I1915,Dashboard!J:J,0),1),INDEX(Dashboard!J:K,MATCH(I1915,Dashboard!J:J,0),2)),"ON",IF(Dashboard!K$32="ALL","ON","-"))</f>
        <v>ON</v>
      </c>
      <c r="C1915" s="130" t="s">
        <v>152</v>
      </c>
      <c r="D1915" s="89">
        <f>IF(C1915="ID",1,(IF(C1915="PR",2,(IF(C1915="DE",3,(IF(C1915="RS",4,(IF(C1915="RC",5,0)))))))))</f>
        <v>2</v>
      </c>
      <c r="E1915" s="95" t="s">
        <v>210</v>
      </c>
      <c r="F1915" s="89">
        <f>IF(E1915="AM",1,(IF(E1915="BE",2,(IF(E1915="GV",3,(IF(E1915="RA",4,(IF(E1915="RM",5,(IF(E1915="AC",1,(IF(E1915="AT",2,(IF(E1915="DS",3,(IF(E1915="IP",4,(IF(E1915="MA",5,(IF(E1915="PT",6,(IF(E1915="AE",1,(IF(E1915="CM",2,(IF(E1915="DP",3,(IF(E1915="AN",1,(IF(E1915="CO",2,(IF(E1915="IM",3,(IF(E1915="MI",4,(IF(E1915="RP",5,(IF(E1915="SC",6,0)))))))))))))))))))))))))))))))))))))))</f>
        <v>3</v>
      </c>
      <c r="G1915" s="52">
        <v>3</v>
      </c>
      <c r="H1915" s="90" t="s">
        <v>115</v>
      </c>
      <c r="I1915" s="94" t="s">
        <v>4107</v>
      </c>
      <c r="J1915" s="86" t="s">
        <v>3986</v>
      </c>
      <c r="K1915" s="101" t="s">
        <v>4374</v>
      </c>
      <c r="L1915" s="117">
        <f>IF(O1915="","",N1915*O1915*M1915)</f>
        <v>0</v>
      </c>
      <c r="M1915" s="108">
        <v>1</v>
      </c>
      <c r="N1915" s="95">
        <v>1</v>
      </c>
      <c r="O1915" s="109">
        <f>IF(Key!D$1="ON",P1915,IF(SUM(Q1915:DL1915)&lt;1,"",SUM(Q1915:DL1915)/COUNTIF(Q1915:DL1915,"&gt;0")))</f>
        <v>0</v>
      </c>
      <c r="P1915" s="109">
        <f>SUMIFS(Q1915:DK1915,Q$1:DK$1,Dashboard!$K$31)</f>
        <v>0</v>
      </c>
      <c r="U1915" s="95">
        <v>33</v>
      </c>
      <c r="AA1915" s="95">
        <v>25</v>
      </c>
      <c r="AH1915" s="95">
        <v>75</v>
      </c>
    </row>
    <row r="1916" spans="1:34" x14ac:dyDescent="0.3">
      <c r="A1916" s="89" t="str">
        <f>CONCATENATE(D1916,".",F1916,"-",G1916,".",H1916,"")</f>
        <v>2.3-3.1</v>
      </c>
      <c r="B1916" s="89" t="str">
        <f>IF(CONCATENATE(I1916,Key!F$2)=CONCATENATE(INDEX(Dashboard!J:J,MATCH(I1916,Dashboard!J:J,0),1),INDEX(Dashboard!J:K,MATCH(I1916,Dashboard!J:J,0),2)),"ON",IF(Dashboard!K$32="ALL","ON","-"))</f>
        <v>ON</v>
      </c>
      <c r="C1916" s="88" t="s">
        <v>152</v>
      </c>
      <c r="D1916" s="89">
        <f>IF(C1916="ID",1,(IF(C1916="PR",2,(IF(C1916="DE",3,(IF(C1916="RS",4,(IF(C1916="RC",5,0)))))))))</f>
        <v>2</v>
      </c>
      <c r="E1916" s="89" t="s">
        <v>210</v>
      </c>
      <c r="F1916" s="89">
        <f>IF(E1916="AM",1,(IF(E1916="BE",2,(IF(E1916="GV",3,(IF(E1916="RA",4,(IF(E1916="RM",5,(IF(E1916="AC",1,(IF(E1916="AT",2,(IF(E1916="DS",3,(IF(E1916="IP",4,(IF(E1916="MA",5,(IF(E1916="PT",6,(IF(E1916="AE",1,(IF(E1916="CM",2,(IF(E1916="DP",3,(IF(E1916="AN",1,(IF(E1916="CO",2,(IF(E1916="IM",3,(IF(E1916="MI",4,(IF(E1916="RP",5,(IF(E1916="SC",6,0)))))))))))))))))))))))))))))))))))))))</f>
        <v>3</v>
      </c>
      <c r="G1916" s="52">
        <v>3</v>
      </c>
      <c r="H1916" s="90" t="s">
        <v>115</v>
      </c>
      <c r="I1916" s="94" t="s">
        <v>4107</v>
      </c>
      <c r="J1916" s="86" t="s">
        <v>4022</v>
      </c>
      <c r="K1916" s="101" t="s">
        <v>4455</v>
      </c>
      <c r="L1916" s="117">
        <f>IF(O1916="","",N1916*O1916*M1916)</f>
        <v>0</v>
      </c>
      <c r="M1916" s="108">
        <v>1</v>
      </c>
      <c r="N1916" s="95">
        <v>1</v>
      </c>
      <c r="O1916" s="109">
        <f>IF(Key!D$1="ON",P1916,IF(SUM(Q1916:DL1916)&lt;1,"",SUM(Q1916:DL1916)/COUNTIF(Q1916:DL1916,"&gt;0")))</f>
        <v>0</v>
      </c>
      <c r="P1916" s="109">
        <f>SUMIFS(Q1916:DK1916,Q$1:DK$1,Dashboard!$K$31)</f>
        <v>0</v>
      </c>
      <c r="U1916" s="95">
        <v>33</v>
      </c>
      <c r="AA1916" s="95">
        <v>25</v>
      </c>
      <c r="AH1916" s="95">
        <v>75</v>
      </c>
    </row>
    <row r="1917" spans="1:34" x14ac:dyDescent="0.3">
      <c r="A1917" s="89" t="str">
        <f>CONCATENATE(D1917,".",F1917,"-",G1917,".",H1917,"")</f>
        <v>2.3-3.1</v>
      </c>
      <c r="B1917" s="89" t="str">
        <f>IF(CONCATENATE(I1917,Key!F$2)=CONCATENATE(INDEX(Dashboard!J:J,MATCH(I1917,Dashboard!J:J,0),1),INDEX(Dashboard!J:K,MATCH(I1917,Dashboard!J:J,0),2)),"ON",IF(Dashboard!K$32="ALL","ON","-"))</f>
        <v>ON</v>
      </c>
      <c r="C1917" s="130" t="s">
        <v>152</v>
      </c>
      <c r="D1917" s="89">
        <f>IF(C1917="ID",1,(IF(C1917="PR",2,(IF(C1917="DE",3,(IF(C1917="RS",4,(IF(C1917="RC",5,0)))))))))</f>
        <v>2</v>
      </c>
      <c r="E1917" s="95" t="s">
        <v>210</v>
      </c>
      <c r="F1917" s="89">
        <f>IF(E1917="AM",1,(IF(E1917="BE",2,(IF(E1917="GV",3,(IF(E1917="RA",4,(IF(E1917="RM",5,(IF(E1917="AC",1,(IF(E1917="AT",2,(IF(E1917="DS",3,(IF(E1917="IP",4,(IF(E1917="MA",5,(IF(E1917="PT",6,(IF(E1917="AE",1,(IF(E1917="CM",2,(IF(E1917="DP",3,(IF(E1917="AN",1,(IF(E1917="CO",2,(IF(E1917="IM",3,(IF(E1917="MI",4,(IF(E1917="RP",5,(IF(E1917="SC",6,0)))))))))))))))))))))))))))))))))))))))</f>
        <v>3</v>
      </c>
      <c r="G1917" s="52">
        <v>3</v>
      </c>
      <c r="H1917" s="90" t="s">
        <v>115</v>
      </c>
      <c r="I1917" s="94" t="s">
        <v>4107</v>
      </c>
      <c r="J1917" s="86" t="s">
        <v>4024</v>
      </c>
      <c r="K1917" s="101" t="s">
        <v>4387</v>
      </c>
      <c r="L1917" s="117">
        <f>IF(O1917="","",N1917*O1917*M1917)</f>
        <v>0</v>
      </c>
      <c r="M1917" s="108">
        <v>1</v>
      </c>
      <c r="N1917" s="95">
        <v>1</v>
      </c>
      <c r="O1917" s="109">
        <f>IF(Key!D$1="ON",P1917,IF(SUM(Q1917:DL1917)&lt;1,"",SUM(Q1917:DL1917)/COUNTIF(Q1917:DL1917,"&gt;0")))</f>
        <v>0</v>
      </c>
      <c r="P1917" s="109">
        <f>SUMIFS(Q1917:DK1917,Q$1:DK$1,Dashboard!$K$31)</f>
        <v>0</v>
      </c>
      <c r="U1917" s="95">
        <v>33</v>
      </c>
      <c r="AA1917" s="95">
        <v>25</v>
      </c>
      <c r="AH1917" s="95">
        <v>75</v>
      </c>
    </row>
    <row r="1918" spans="1:34" x14ac:dyDescent="0.3">
      <c r="A1918" s="89" t="str">
        <f>CONCATENATE(D1918,".",F1918,"-",G1918,".",H1918,"")</f>
        <v>2.3-3.1</v>
      </c>
      <c r="B1918" s="89" t="str">
        <f>IF(CONCATENATE(I1918,Key!F$2)=CONCATENATE(INDEX(Dashboard!J:J,MATCH(I1918,Dashboard!J:J,0),1),INDEX(Dashboard!J:K,MATCH(I1918,Dashboard!J:J,0),2)),"ON",IF(Dashboard!K$32="ALL","ON","-"))</f>
        <v>ON</v>
      </c>
      <c r="C1918" s="88" t="s">
        <v>152</v>
      </c>
      <c r="D1918" s="89">
        <f>IF(C1918="ID",1,(IF(C1918="PR",2,(IF(C1918="DE",3,(IF(C1918="RS",4,(IF(C1918="RC",5,0)))))))))</f>
        <v>2</v>
      </c>
      <c r="E1918" s="89" t="s">
        <v>210</v>
      </c>
      <c r="F1918" s="89">
        <f>IF(E1918="AM",1,(IF(E1918="BE",2,(IF(E1918="GV",3,(IF(E1918="RA",4,(IF(E1918="RM",5,(IF(E1918="AC",1,(IF(E1918="AT",2,(IF(E1918="DS",3,(IF(E1918="IP",4,(IF(E1918="MA",5,(IF(E1918="PT",6,(IF(E1918="AE",1,(IF(E1918="CM",2,(IF(E1918="DP",3,(IF(E1918="AN",1,(IF(E1918="CO",2,(IF(E1918="IM",3,(IF(E1918="MI",4,(IF(E1918="RP",5,(IF(E1918="SC",6,0)))))))))))))))))))))))))))))))))))))))</f>
        <v>3</v>
      </c>
      <c r="G1918" s="52">
        <v>3</v>
      </c>
      <c r="H1918" s="90" t="s">
        <v>115</v>
      </c>
      <c r="I1918" s="94" t="s">
        <v>4107</v>
      </c>
      <c r="J1918" s="86" t="s">
        <v>4079</v>
      </c>
      <c r="K1918" s="101" t="s">
        <v>4407</v>
      </c>
      <c r="L1918" s="117">
        <f>IF(O1918="","",N1918*O1918*M1918)</f>
        <v>0</v>
      </c>
      <c r="M1918" s="108">
        <v>1</v>
      </c>
      <c r="N1918" s="95">
        <v>1</v>
      </c>
      <c r="O1918" s="109">
        <f>IF(Key!D$1="ON",P1918,IF(SUM(Q1918:DL1918)&lt;1,"",SUM(Q1918:DL1918)/COUNTIF(Q1918:DL1918,"&gt;0")))</f>
        <v>0</v>
      </c>
      <c r="P1918" s="109">
        <f>SUMIFS(Q1918:DK1918,Q$1:DK$1,Dashboard!$K$31)</f>
        <v>0</v>
      </c>
      <c r="U1918" s="95">
        <v>33</v>
      </c>
      <c r="AA1918" s="95">
        <v>25</v>
      </c>
      <c r="AH1918" s="95">
        <v>75</v>
      </c>
    </row>
    <row r="1919" spans="1:34" x14ac:dyDescent="0.3">
      <c r="A1919" s="89" t="str">
        <f>CONCATENATE(D1919,".",F1919,"-",G1919,".",H1919,"")</f>
        <v>2.3-3.1</v>
      </c>
      <c r="B1919" s="89" t="str">
        <f>IF(CONCATENATE(I1919,Key!F$2)=CONCATENATE(INDEX(Dashboard!J:J,MATCH(I1919,Dashboard!J:J,0),1),INDEX(Dashboard!J:K,MATCH(I1919,Dashboard!J:J,0),2)),"ON",IF(Dashboard!K$32="ALL","ON","-"))</f>
        <v>-</v>
      </c>
      <c r="C1919" s="96" t="s">
        <v>152</v>
      </c>
      <c r="D1919" s="89">
        <f>IF(C1919="ID",1,(IF(C1919="PR",2,(IF(C1919="DE",3,(IF(C1919="RS",4,(IF(C1919="RC",5,0)))))))))</f>
        <v>2</v>
      </c>
      <c r="E1919" s="89" t="s">
        <v>210</v>
      </c>
      <c r="F1919" s="89">
        <f>IF(E1919="AM",1,(IF(E1919="BE",2,(IF(E1919="GV",3,(IF(E1919="RA",4,(IF(E1919="RM",5,(IF(E1919="AC",1,(IF(E1919="AT",2,(IF(E1919="DS",3,(IF(E1919="IP",4,(IF(E1919="MA",5,(IF(E1919="PT",6,(IF(E1919="AE",1,(IF(E1919="CM",2,(IF(E1919="DP",3,(IF(E1919="AN",1,(IF(E1919="CO",2,(IF(E1919="IM",3,(IF(E1919="MI",4,(IF(E1919="RP",5,(IF(E1919="SC",6,0)))))))))))))))))))))))))))))))))))))))</f>
        <v>3</v>
      </c>
      <c r="G1919" s="98">
        <v>3</v>
      </c>
      <c r="H1919" s="90" t="s">
        <v>115</v>
      </c>
      <c r="I1919" s="94" t="s">
        <v>52</v>
      </c>
      <c r="J1919" s="88" t="s">
        <v>3371</v>
      </c>
      <c r="K1919" s="103" t="s">
        <v>3372</v>
      </c>
      <c r="L1919" s="117">
        <f>IF(O1919="","",N1919*O1919*M1919)</f>
        <v>0</v>
      </c>
      <c r="M1919" s="108">
        <v>1</v>
      </c>
      <c r="N1919" s="95">
        <v>1</v>
      </c>
      <c r="O1919" s="109">
        <f>IF(Key!D$1="ON",P1919,IF(SUM(Q1919:DL1919)&lt;1,"",SUM(Q1919:DL1919)/COUNTIF(Q1919:DL1919,"&gt;0")))</f>
        <v>0</v>
      </c>
      <c r="P1919" s="109">
        <f>SUMIFS(Q1919:DK1919,Q$1:DK$1,Dashboard!$K$31)</f>
        <v>0</v>
      </c>
      <c r="U1919" s="95">
        <v>33</v>
      </c>
      <c r="AA1919" s="95">
        <v>25</v>
      </c>
      <c r="AH1919" s="95">
        <v>75</v>
      </c>
    </row>
    <row r="1920" spans="1:34" x14ac:dyDescent="0.3">
      <c r="A1920" s="89" t="str">
        <f>CONCATENATE(D1920,".",F1920,"-",G1920,".",H1920,"")</f>
        <v>2.3-3.1</v>
      </c>
      <c r="B1920" s="89" t="str">
        <f>IF(CONCATENATE(I1920,Key!F$2)=CONCATENATE(INDEX(Dashboard!J:J,MATCH(I1920,Dashboard!J:J,0),1),INDEX(Dashboard!J:K,MATCH(I1920,Dashboard!J:J,0),2)),"ON",IF(Dashboard!K$32="ALL","ON","-"))</f>
        <v>-</v>
      </c>
      <c r="C1920" s="96" t="s">
        <v>152</v>
      </c>
      <c r="D1920" s="89">
        <f>IF(C1920="ID",1,(IF(C1920="PR",2,(IF(C1920="DE",3,(IF(C1920="RS",4,(IF(C1920="RC",5,0)))))))))</f>
        <v>2</v>
      </c>
      <c r="E1920" s="89" t="s">
        <v>210</v>
      </c>
      <c r="F1920" s="89">
        <f>IF(E1920="AM",1,(IF(E1920="BE",2,(IF(E1920="GV",3,(IF(E1920="RA",4,(IF(E1920="RM",5,(IF(E1920="AC",1,(IF(E1920="AT",2,(IF(E1920="DS",3,(IF(E1920="IP",4,(IF(E1920="MA",5,(IF(E1920="PT",6,(IF(E1920="AE",1,(IF(E1920="CM",2,(IF(E1920="DP",3,(IF(E1920="AN",1,(IF(E1920="CO",2,(IF(E1920="IM",3,(IF(E1920="MI",4,(IF(E1920="RP",5,(IF(E1920="SC",6,0)))))))))))))))))))))))))))))))))))))))</f>
        <v>3</v>
      </c>
      <c r="G1920" s="98">
        <v>3</v>
      </c>
      <c r="H1920" s="90" t="s">
        <v>115</v>
      </c>
      <c r="I1920" s="94" t="s">
        <v>52</v>
      </c>
      <c r="J1920" s="88" t="s">
        <v>3379</v>
      </c>
      <c r="K1920" s="103" t="s">
        <v>3380</v>
      </c>
      <c r="L1920" s="117">
        <f>IF(O1920="","",N1920*O1920*M1920)</f>
        <v>0</v>
      </c>
      <c r="M1920" s="108">
        <v>1</v>
      </c>
      <c r="N1920" s="95">
        <v>1</v>
      </c>
      <c r="O1920" s="109">
        <f>IF(Key!D$1="ON",P1920,IF(SUM(Q1920:DL1920)&lt;1,"",SUM(Q1920:DL1920)/COUNTIF(Q1920:DL1920,"&gt;0")))</f>
        <v>0</v>
      </c>
      <c r="P1920" s="109">
        <f>SUMIFS(Q1920:DK1920,Q$1:DK$1,Dashboard!$K$31)</f>
        <v>0</v>
      </c>
      <c r="U1920" s="95">
        <v>33</v>
      </c>
      <c r="AA1920" s="95">
        <v>25</v>
      </c>
      <c r="AH1920" s="95">
        <v>75</v>
      </c>
    </row>
    <row r="1921" spans="1:34" x14ac:dyDescent="0.3">
      <c r="A1921" s="89" t="str">
        <f>CONCATENATE(D1921,".",F1921,"-",G1921,".",H1921,"")</f>
        <v>2.3-3.1</v>
      </c>
      <c r="B1921" s="89" t="str">
        <f>IF(CONCATENATE(I1921,Key!F$2)=CONCATENATE(INDEX(Dashboard!J:J,MATCH(I1921,Dashboard!J:J,0),1),INDEX(Dashboard!J:K,MATCH(I1921,Dashboard!J:J,0),2)),"ON",IF(Dashboard!K$32="ALL","ON","-"))</f>
        <v>-</v>
      </c>
      <c r="C1921" s="88" t="s">
        <v>152</v>
      </c>
      <c r="D1921" s="89">
        <f>IF(C1921="ID",1,(IF(C1921="PR",2,(IF(C1921="DE",3,(IF(C1921="RS",4,(IF(C1921="RC",5,0)))))))))</f>
        <v>2</v>
      </c>
      <c r="E1921" s="89" t="s">
        <v>210</v>
      </c>
      <c r="F1921" s="89">
        <f>IF(E1921="AM",1,(IF(E1921="BE",2,(IF(E1921="GV",3,(IF(E1921="RA",4,(IF(E1921="RM",5,(IF(E1921="AC",1,(IF(E1921="AT",2,(IF(E1921="DS",3,(IF(E1921="IP",4,(IF(E1921="MA",5,(IF(E1921="PT",6,(IF(E1921="AE",1,(IF(E1921="CM",2,(IF(E1921="DP",3,(IF(E1921="AN",1,(IF(E1921="CO",2,(IF(E1921="IM",3,(IF(E1921="MI",4,(IF(E1921="RP",5,(IF(E1921="SC",6,0)))))))))))))))))))))))))))))))))))))))</f>
        <v>3</v>
      </c>
      <c r="G1921" s="52">
        <v>3</v>
      </c>
      <c r="H1921" s="90" t="s">
        <v>115</v>
      </c>
      <c r="I1921" s="94" t="s">
        <v>60</v>
      </c>
      <c r="J1921" s="88" t="s">
        <v>3210</v>
      </c>
      <c r="K1921" s="51" t="s">
        <v>5323</v>
      </c>
      <c r="L1921" s="117">
        <f>IF(O1921="","",N1921*O1921*M1921)</f>
        <v>0</v>
      </c>
      <c r="M1921" s="108">
        <v>1</v>
      </c>
      <c r="N1921" s="95">
        <v>1</v>
      </c>
      <c r="O1921" s="109">
        <f>IF(Key!D$1="ON",P1921,IF(SUM(Q1921:DL1921)&lt;1,"",SUM(Q1921:DL1921)/COUNTIF(Q1921:DL1921,"&gt;0")))</f>
        <v>0</v>
      </c>
      <c r="P1921" s="109">
        <f>SUMIFS(Q1921:DK1921,Q$1:DK$1,Dashboard!$K$31)</f>
        <v>0</v>
      </c>
      <c r="U1921" s="95">
        <v>33</v>
      </c>
      <c r="AA1921" s="95">
        <v>25</v>
      </c>
      <c r="AH1921" s="95">
        <v>75</v>
      </c>
    </row>
    <row r="1922" spans="1:34" x14ac:dyDescent="0.3">
      <c r="A1922" s="89" t="str">
        <f>CONCATENATE(D1922,".",F1922,"-",G1922,".",H1922,"")</f>
        <v>2.3-3.1</v>
      </c>
      <c r="B1922" s="89" t="str">
        <f>IF(CONCATENATE(I1922,Key!F$2)=CONCATENATE(INDEX(Dashboard!J:J,MATCH(I1922,Dashboard!J:J,0),1),INDEX(Dashboard!J:K,MATCH(I1922,Dashboard!J:J,0),2)),"ON",IF(Dashboard!K$32="ALL","ON","-"))</f>
        <v>-</v>
      </c>
      <c r="C1922" s="88" t="s">
        <v>152</v>
      </c>
      <c r="D1922" s="89">
        <f>IF(C1922="ID",1,(IF(C1922="PR",2,(IF(C1922="DE",3,(IF(C1922="RS",4,(IF(C1922="RC",5,0)))))))))</f>
        <v>2</v>
      </c>
      <c r="E1922" s="89" t="s">
        <v>210</v>
      </c>
      <c r="F1922" s="89">
        <f>IF(E1922="AM",1,(IF(E1922="BE",2,(IF(E1922="GV",3,(IF(E1922="RA",4,(IF(E1922="RM",5,(IF(E1922="AC",1,(IF(E1922="AT",2,(IF(E1922="DS",3,(IF(E1922="IP",4,(IF(E1922="MA",5,(IF(E1922="PT",6,(IF(E1922="AE",1,(IF(E1922="CM",2,(IF(E1922="DP",3,(IF(E1922="AN",1,(IF(E1922="CO",2,(IF(E1922="IM",3,(IF(E1922="MI",4,(IF(E1922="RP",5,(IF(E1922="SC",6,0)))))))))))))))))))))))))))))))))))))))</f>
        <v>3</v>
      </c>
      <c r="G1922" s="52">
        <v>3</v>
      </c>
      <c r="H1922" s="90" t="s">
        <v>115</v>
      </c>
      <c r="I1922" s="94" t="s">
        <v>60</v>
      </c>
      <c r="J1922" s="87" t="s">
        <v>3211</v>
      </c>
      <c r="K1922" s="51" t="s">
        <v>5324</v>
      </c>
      <c r="L1922" s="117">
        <f>IF(O1922="","",N1922*O1922*M1922)</f>
        <v>0</v>
      </c>
      <c r="M1922" s="108">
        <v>1</v>
      </c>
      <c r="N1922" s="95">
        <v>1</v>
      </c>
      <c r="O1922" s="109">
        <f>IF(Key!D$1="ON",P1922,IF(SUM(Q1922:DL1922)&lt;1,"",SUM(Q1922:DL1922)/COUNTIF(Q1922:DL1922,"&gt;0")))</f>
        <v>0</v>
      </c>
      <c r="P1922" s="109">
        <f>SUMIFS(Q1922:DK1922,Q$1:DK$1,Dashboard!$K$31)</f>
        <v>0</v>
      </c>
      <c r="U1922" s="95">
        <v>33</v>
      </c>
      <c r="AA1922" s="95">
        <v>25</v>
      </c>
      <c r="AH1922" s="95">
        <v>75</v>
      </c>
    </row>
    <row r="1923" spans="1:34" ht="15.6" x14ac:dyDescent="0.3">
      <c r="A1923" s="89" t="str">
        <f>CONCATENATE(D1923,".",F1923,"-",G1923,".",H1923,"")</f>
        <v>2.3-3.1</v>
      </c>
      <c r="B1923" s="89" t="str">
        <f>IF(CONCATENATE(I1923,Key!F$2)=CONCATENATE(INDEX(Dashboard!J:J,MATCH(I1923,Dashboard!J:J,0),1),INDEX(Dashboard!J:K,MATCH(I1923,Dashboard!J:J,0),2)),"ON",IF(Dashboard!K$32="ALL","ON","-"))</f>
        <v>-</v>
      </c>
      <c r="C1923" s="88" t="s">
        <v>152</v>
      </c>
      <c r="D1923" s="89">
        <f>IF(C1923="ID",1,(IF(C1923="PR",2,(IF(C1923="DE",3,(IF(C1923="RS",4,(IF(C1923="RC",5,0)))))))))</f>
        <v>2</v>
      </c>
      <c r="E1923" s="89" t="s">
        <v>210</v>
      </c>
      <c r="F1923" s="89">
        <f>IF(E1923="AM",1,(IF(E1923="BE",2,(IF(E1923="GV",3,(IF(E1923="RA",4,(IF(E1923="RM",5,(IF(E1923="AC",1,(IF(E1923="AT",2,(IF(E1923="DS",3,(IF(E1923="IP",4,(IF(E1923="MA",5,(IF(E1923="PT",6,(IF(E1923="AE",1,(IF(E1923="CM",2,(IF(E1923="DP",3,(IF(E1923="AN",1,(IF(E1923="CO",2,(IF(E1923="IM",3,(IF(E1923="MI",4,(IF(E1923="RP",5,(IF(E1923="SC",6,0)))))))))))))))))))))))))))))))))))))))</f>
        <v>3</v>
      </c>
      <c r="G1923" s="52">
        <v>3</v>
      </c>
      <c r="H1923" s="89">
        <v>1</v>
      </c>
      <c r="I1923" s="94" t="s">
        <v>60</v>
      </c>
      <c r="J1923" s="88" t="s">
        <v>3123</v>
      </c>
      <c r="K1923" s="51" t="s">
        <v>5236</v>
      </c>
      <c r="L1923" s="117">
        <f>IF(O1923="","",N1923*O1923*M1923)</f>
        <v>0</v>
      </c>
      <c r="M1923" s="108">
        <v>1</v>
      </c>
      <c r="N1923" s="95">
        <v>1</v>
      </c>
      <c r="O1923" s="109">
        <f>IF(Key!D$1="ON",P1923,IF(SUM(Q1923:DL1923)&lt;1,"",SUM(Q1923:DL1923)/COUNTIF(Q1923:DL1923,"&gt;0")))</f>
        <v>0</v>
      </c>
      <c r="P1923" s="109">
        <f>SUMIFS(Q1923:DK1923,Q$1:DK$1,Dashboard!$K$31)</f>
        <v>0</v>
      </c>
      <c r="U1923" s="95">
        <v>33</v>
      </c>
      <c r="AA1923" s="95">
        <v>25</v>
      </c>
      <c r="AH1923" s="95">
        <v>75</v>
      </c>
    </row>
    <row r="1924" spans="1:34" ht="15.6" x14ac:dyDescent="0.3">
      <c r="A1924" s="89" t="str">
        <f>CONCATENATE(D1924,".",F1924,"-",G1924,".",H1924,"")</f>
        <v>2.3-3.1</v>
      </c>
      <c r="B1924" s="89" t="str">
        <f>IF(CONCATENATE(I1924,Key!F$2)=CONCATENATE(INDEX(Dashboard!J:J,MATCH(I1924,Dashboard!J:J,0),1),INDEX(Dashboard!J:K,MATCH(I1924,Dashboard!J:J,0),2)),"ON",IF(Dashboard!K$32="ALL","ON","-"))</f>
        <v>-</v>
      </c>
      <c r="C1924" s="88" t="s">
        <v>152</v>
      </c>
      <c r="D1924" s="89">
        <f>IF(C1924="ID",1,(IF(C1924="PR",2,(IF(C1924="DE",3,(IF(C1924="RS",4,(IF(C1924="RC",5,0)))))))))</f>
        <v>2</v>
      </c>
      <c r="E1924" s="89" t="s">
        <v>210</v>
      </c>
      <c r="F1924" s="89">
        <f>IF(E1924="AM",1,(IF(E1924="BE",2,(IF(E1924="GV",3,(IF(E1924="RA",4,(IF(E1924="RM",5,(IF(E1924="AC",1,(IF(E1924="AT",2,(IF(E1924="DS",3,(IF(E1924="IP",4,(IF(E1924="MA",5,(IF(E1924="PT",6,(IF(E1924="AE",1,(IF(E1924="CM",2,(IF(E1924="DP",3,(IF(E1924="AN",1,(IF(E1924="CO",2,(IF(E1924="IM",3,(IF(E1924="MI",4,(IF(E1924="RP",5,(IF(E1924="SC",6,0)))))))))))))))))))))))))))))))))))))))</f>
        <v>3</v>
      </c>
      <c r="G1924" s="52">
        <v>3</v>
      </c>
      <c r="H1924" s="90" t="s">
        <v>115</v>
      </c>
      <c r="I1924" s="94" t="s">
        <v>60</v>
      </c>
      <c r="J1924" s="87" t="s">
        <v>3212</v>
      </c>
      <c r="K1924" s="51" t="s">
        <v>5325</v>
      </c>
      <c r="L1924" s="117">
        <f>IF(O1924="","",N1924*O1924*M1924)</f>
        <v>0</v>
      </c>
      <c r="M1924" s="108">
        <v>1</v>
      </c>
      <c r="N1924" s="95">
        <v>1</v>
      </c>
      <c r="O1924" s="109">
        <f>IF(Key!D$1="ON",P1924,IF(SUM(Q1924:DL1924)&lt;1,"",SUM(Q1924:DL1924)/COUNTIF(Q1924:DL1924,"&gt;0")))</f>
        <v>0</v>
      </c>
      <c r="P1924" s="109">
        <f>SUMIFS(Q1924:DK1924,Q$1:DK$1,Dashboard!$K$31)</f>
        <v>0</v>
      </c>
      <c r="U1924" s="95">
        <v>33</v>
      </c>
      <c r="AA1924" s="95">
        <v>25</v>
      </c>
      <c r="AH1924" s="95">
        <v>75</v>
      </c>
    </row>
    <row r="1925" spans="1:34" ht="15.6" x14ac:dyDescent="0.3">
      <c r="A1925" s="89" t="str">
        <f>CONCATENATE(D1925,".",F1925,"-",G1925,".",H1925,"")</f>
        <v>2.3-3.1</v>
      </c>
      <c r="B1925" s="89" t="str">
        <f>IF(CONCATENATE(I1925,Key!F$2)=CONCATENATE(INDEX(Dashboard!J:J,MATCH(I1925,Dashboard!J:J,0),1),INDEX(Dashboard!J:K,MATCH(I1925,Dashboard!J:J,0),2)),"ON",IF(Dashboard!K$32="ALL","ON","-"))</f>
        <v>-</v>
      </c>
      <c r="C1925" s="88" t="s">
        <v>152</v>
      </c>
      <c r="D1925" s="89">
        <f>IF(C1925="ID",1,(IF(C1925="PR",2,(IF(C1925="DE",3,(IF(C1925="RS",4,(IF(C1925="RC",5,0)))))))))</f>
        <v>2</v>
      </c>
      <c r="E1925" s="89" t="s">
        <v>210</v>
      </c>
      <c r="F1925" s="89">
        <f>IF(E1925="AM",1,(IF(E1925="BE",2,(IF(E1925="GV",3,(IF(E1925="RA",4,(IF(E1925="RM",5,(IF(E1925="AC",1,(IF(E1925="AT",2,(IF(E1925="DS",3,(IF(E1925="IP",4,(IF(E1925="MA",5,(IF(E1925="PT",6,(IF(E1925="AE",1,(IF(E1925="CM",2,(IF(E1925="DP",3,(IF(E1925="AN",1,(IF(E1925="CO",2,(IF(E1925="IM",3,(IF(E1925="MI",4,(IF(E1925="RP",5,(IF(E1925="SC",6,0)))))))))))))))))))))))))))))))))))))))</f>
        <v>3</v>
      </c>
      <c r="G1925" s="52">
        <v>3</v>
      </c>
      <c r="H1925" s="90" t="s">
        <v>115</v>
      </c>
      <c r="I1925" s="94" t="s">
        <v>60</v>
      </c>
      <c r="J1925" s="87" t="s">
        <v>3127</v>
      </c>
      <c r="K1925" s="51" t="s">
        <v>5240</v>
      </c>
      <c r="L1925" s="117">
        <f>IF(O1925="","",N1925*O1925*M1925)</f>
        <v>0</v>
      </c>
      <c r="M1925" s="108">
        <v>1</v>
      </c>
      <c r="N1925" s="95">
        <v>1</v>
      </c>
      <c r="O1925" s="109">
        <f>IF(Key!D$1="ON",P1925,IF(SUM(Q1925:DL1925)&lt;1,"",SUM(Q1925:DL1925)/COUNTIF(Q1925:DL1925,"&gt;0")))</f>
        <v>0</v>
      </c>
      <c r="P1925" s="109">
        <f>SUMIFS(Q1925:DK1925,Q$1:DK$1,Dashboard!$K$31)</f>
        <v>0</v>
      </c>
      <c r="U1925" s="95">
        <v>33</v>
      </c>
      <c r="AA1925" s="95">
        <v>25</v>
      </c>
      <c r="AH1925" s="95">
        <v>75</v>
      </c>
    </row>
    <row r="1926" spans="1:34" ht="15.6" x14ac:dyDescent="0.3">
      <c r="A1926" s="89" t="str">
        <f>CONCATENATE(D1926,".",F1926,"-",G1926,".",H1926,"")</f>
        <v>2.3-3.1</v>
      </c>
      <c r="B1926" s="89" t="str">
        <f>IF(CONCATENATE(I1926,Key!F$2)=CONCATENATE(INDEX(Dashboard!J:J,MATCH(I1926,Dashboard!J:J,0),1),INDEX(Dashboard!J:K,MATCH(I1926,Dashboard!J:J,0),2)),"ON",IF(Dashboard!K$32="ALL","ON","-"))</f>
        <v>-</v>
      </c>
      <c r="C1926" s="88" t="s">
        <v>152</v>
      </c>
      <c r="D1926" s="89">
        <f>IF(C1926="ID",1,(IF(C1926="PR",2,(IF(C1926="DE",3,(IF(C1926="RS",4,(IF(C1926="RC",5,0)))))))))</f>
        <v>2</v>
      </c>
      <c r="E1926" s="89" t="s">
        <v>210</v>
      </c>
      <c r="F1926" s="89">
        <f>IF(E1926="AM",1,(IF(E1926="BE",2,(IF(E1926="GV",3,(IF(E1926="RA",4,(IF(E1926="RM",5,(IF(E1926="AC",1,(IF(E1926="AT",2,(IF(E1926="DS",3,(IF(E1926="IP",4,(IF(E1926="MA",5,(IF(E1926="PT",6,(IF(E1926="AE",1,(IF(E1926="CM",2,(IF(E1926="DP",3,(IF(E1926="AN",1,(IF(E1926="CO",2,(IF(E1926="IM",3,(IF(E1926="MI",4,(IF(E1926="RP",5,(IF(E1926="SC",6,0)))))))))))))))))))))))))))))))))))))))</f>
        <v>3</v>
      </c>
      <c r="G1926" s="52">
        <v>3</v>
      </c>
      <c r="H1926" s="90" t="s">
        <v>115</v>
      </c>
      <c r="I1926" s="94" t="s">
        <v>60</v>
      </c>
      <c r="J1926" s="87" t="s">
        <v>3213</v>
      </c>
      <c r="K1926" s="51" t="s">
        <v>5326</v>
      </c>
      <c r="L1926" s="117">
        <f>IF(O1926="","",N1926*O1926*M1926)</f>
        <v>0</v>
      </c>
      <c r="M1926" s="108">
        <v>1</v>
      </c>
      <c r="N1926" s="95">
        <v>1</v>
      </c>
      <c r="O1926" s="109">
        <f>IF(Key!D$1="ON",P1926,IF(SUM(Q1926:DL1926)&lt;1,"",SUM(Q1926:DL1926)/COUNTIF(Q1926:DL1926,"&gt;0")))</f>
        <v>0</v>
      </c>
      <c r="P1926" s="109">
        <f>SUMIFS(Q1926:DK1926,Q$1:DK$1,Dashboard!$K$31)</f>
        <v>0</v>
      </c>
      <c r="U1926" s="95">
        <v>33</v>
      </c>
      <c r="AA1926" s="95">
        <v>25</v>
      </c>
      <c r="AH1926" s="95">
        <v>75</v>
      </c>
    </row>
    <row r="1927" spans="1:34" x14ac:dyDescent="0.3">
      <c r="A1927" s="89" t="str">
        <f>CONCATENATE(D1927,".",F1927,"-",G1927,".",H1927,"")</f>
        <v>2.3-3.1</v>
      </c>
      <c r="B1927" s="89" t="str">
        <f>IF(CONCATENATE(I1927,Key!F$2)=CONCATENATE(INDEX(Dashboard!J:J,MATCH(I1927,Dashboard!J:J,0),1),INDEX(Dashboard!J:K,MATCH(I1927,Dashboard!J:J,0),2)),"ON",IF(Dashboard!K$32="ALL","ON","-"))</f>
        <v>-</v>
      </c>
      <c r="C1927" s="88" t="s">
        <v>152</v>
      </c>
      <c r="D1927" s="89">
        <f>IF(C1927="ID",1,(IF(C1927="PR",2,(IF(C1927="DE",3,(IF(C1927="RS",4,(IF(C1927="RC",5,0)))))))))</f>
        <v>2</v>
      </c>
      <c r="E1927" s="89" t="s">
        <v>210</v>
      </c>
      <c r="F1927" s="89">
        <f>IF(E1927="AM",1,(IF(E1927="BE",2,(IF(E1927="GV",3,(IF(E1927="RA",4,(IF(E1927="RM",5,(IF(E1927="AC",1,(IF(E1927="AT",2,(IF(E1927="DS",3,(IF(E1927="IP",4,(IF(E1927="MA",5,(IF(E1927="PT",6,(IF(E1927="AE",1,(IF(E1927="CM",2,(IF(E1927="DP",3,(IF(E1927="AN",1,(IF(E1927="CO",2,(IF(E1927="IM",3,(IF(E1927="MI",4,(IF(E1927="RP",5,(IF(E1927="SC",6,0)))))))))))))))))))))))))))))))))))))))</f>
        <v>3</v>
      </c>
      <c r="G1927" s="52">
        <v>3</v>
      </c>
      <c r="H1927" s="90" t="s">
        <v>115</v>
      </c>
      <c r="I1927" s="94" t="s">
        <v>60</v>
      </c>
      <c r="J1927" s="87" t="s">
        <v>3214</v>
      </c>
      <c r="K1927" s="51" t="s">
        <v>5327</v>
      </c>
      <c r="L1927" s="117">
        <f>IF(O1927="","",N1927*O1927*M1927)</f>
        <v>0</v>
      </c>
      <c r="M1927" s="108">
        <v>1</v>
      </c>
      <c r="N1927" s="95">
        <v>1</v>
      </c>
      <c r="O1927" s="109">
        <f>IF(Key!D$1="ON",P1927,IF(SUM(Q1927:DL1927)&lt;1,"",SUM(Q1927:DL1927)/COUNTIF(Q1927:DL1927,"&gt;0")))</f>
        <v>0</v>
      </c>
      <c r="P1927" s="109">
        <f>SUMIFS(Q1927:DK1927,Q$1:DK$1,Dashboard!$K$31)</f>
        <v>0</v>
      </c>
      <c r="U1927" s="95">
        <v>33</v>
      </c>
      <c r="AA1927" s="95">
        <v>25</v>
      </c>
      <c r="AH1927" s="95">
        <v>75</v>
      </c>
    </row>
    <row r="1928" spans="1:34" x14ac:dyDescent="0.3">
      <c r="A1928" s="89" t="str">
        <f>CONCATENATE(D1928,".",F1928,"-",G1928,".",H1928,"")</f>
        <v>2.3-3.1</v>
      </c>
      <c r="B1928" s="89" t="str">
        <f>IF(CONCATENATE(I1928,Key!F$2)=CONCATENATE(INDEX(Dashboard!J:J,MATCH(I1928,Dashboard!J:J,0),1),INDEX(Dashboard!J:K,MATCH(I1928,Dashboard!J:J,0),2)),"ON",IF(Dashboard!K$32="ALL","ON","-"))</f>
        <v>-</v>
      </c>
      <c r="C1928" s="88" t="s">
        <v>152</v>
      </c>
      <c r="D1928" s="89">
        <f>IF(C1928="ID",1,(IF(C1928="PR",2,(IF(C1928="DE",3,(IF(C1928="RS",4,(IF(C1928="RC",5,0)))))))))</f>
        <v>2</v>
      </c>
      <c r="E1928" s="89" t="s">
        <v>210</v>
      </c>
      <c r="F1928" s="89">
        <f>IF(E1928="AM",1,(IF(E1928="BE",2,(IF(E1928="GV",3,(IF(E1928="RA",4,(IF(E1928="RM",5,(IF(E1928="AC",1,(IF(E1928="AT",2,(IF(E1928="DS",3,(IF(E1928="IP",4,(IF(E1928="MA",5,(IF(E1928="PT",6,(IF(E1928="AE",1,(IF(E1928="CM",2,(IF(E1928="DP",3,(IF(E1928="AN",1,(IF(E1928="CO",2,(IF(E1928="IM",3,(IF(E1928="MI",4,(IF(E1928="RP",5,(IF(E1928="SC",6,0)))))))))))))))))))))))))))))))))))))))</f>
        <v>3</v>
      </c>
      <c r="G1928" s="52">
        <v>3</v>
      </c>
      <c r="H1928" s="90" t="s">
        <v>115</v>
      </c>
      <c r="I1928" s="94" t="s">
        <v>60</v>
      </c>
      <c r="J1928" s="87" t="s">
        <v>3215</v>
      </c>
      <c r="K1928" s="51" t="s">
        <v>5328</v>
      </c>
      <c r="L1928" s="117">
        <f>IF(O1928="","",N1928*O1928*M1928)</f>
        <v>0</v>
      </c>
      <c r="M1928" s="108">
        <v>1</v>
      </c>
      <c r="N1928" s="95">
        <v>1</v>
      </c>
      <c r="O1928" s="109">
        <f>IF(Key!D$1="ON",P1928,IF(SUM(Q1928:DL1928)&lt;1,"",SUM(Q1928:DL1928)/COUNTIF(Q1928:DL1928,"&gt;0")))</f>
        <v>0</v>
      </c>
      <c r="P1928" s="109">
        <f>SUMIFS(Q1928:DK1928,Q$1:DK$1,Dashboard!$K$31)</f>
        <v>0</v>
      </c>
      <c r="U1928" s="95">
        <v>33</v>
      </c>
      <c r="AA1928" s="95">
        <v>25</v>
      </c>
      <c r="AH1928" s="95">
        <v>75</v>
      </c>
    </row>
    <row r="1929" spans="1:34" x14ac:dyDescent="0.3">
      <c r="A1929" s="89" t="str">
        <f>CONCATENATE(D1929,".",F1929,"-",G1929,".",H1929,"")</f>
        <v>2.3-3.1</v>
      </c>
      <c r="B1929" s="89" t="str">
        <f>IF(CONCATENATE(I1929,Key!F$2)=CONCATENATE(INDEX(Dashboard!J:J,MATCH(I1929,Dashboard!J:J,0),1),INDEX(Dashboard!J:K,MATCH(I1929,Dashboard!J:J,0),2)),"ON",IF(Dashboard!K$32="ALL","ON","-"))</f>
        <v>-</v>
      </c>
      <c r="C1929" s="88" t="s">
        <v>152</v>
      </c>
      <c r="D1929" s="89">
        <f>IF(C1929="ID",1,(IF(C1929="PR",2,(IF(C1929="DE",3,(IF(C1929="RS",4,(IF(C1929="RC",5,0)))))))))</f>
        <v>2</v>
      </c>
      <c r="E1929" s="89" t="s">
        <v>210</v>
      </c>
      <c r="F1929" s="89">
        <f>IF(E1929="AM",1,(IF(E1929="BE",2,(IF(E1929="GV",3,(IF(E1929="RA",4,(IF(E1929="RM",5,(IF(E1929="AC",1,(IF(E1929="AT",2,(IF(E1929="DS",3,(IF(E1929="IP",4,(IF(E1929="MA",5,(IF(E1929="PT",6,(IF(E1929="AE",1,(IF(E1929="CM",2,(IF(E1929="DP",3,(IF(E1929="AN",1,(IF(E1929="CO",2,(IF(E1929="IM",3,(IF(E1929="MI",4,(IF(E1929="RP",5,(IF(E1929="SC",6,0)))))))))))))))))))))))))))))))))))))))</f>
        <v>3</v>
      </c>
      <c r="G1929" s="52">
        <v>3</v>
      </c>
      <c r="H1929" s="90" t="s">
        <v>115</v>
      </c>
      <c r="I1929" s="94" t="s">
        <v>64</v>
      </c>
      <c r="J1929" s="87" t="s">
        <v>1372</v>
      </c>
      <c r="K1929" s="102" t="s">
        <v>2369</v>
      </c>
      <c r="L1929" s="117">
        <f>IF(O1929="","",N1929*O1929*M1929)</f>
        <v>0</v>
      </c>
      <c r="M1929" s="108">
        <v>1</v>
      </c>
      <c r="N1929" s="95">
        <v>1</v>
      </c>
      <c r="O1929" s="109">
        <f>IF(Key!D$1="ON",P1929,IF(SUM(Q1929:DL1929)&lt;1,"",SUM(Q1929:DL1929)/COUNTIF(Q1929:DL1929,"&gt;0")))</f>
        <v>0</v>
      </c>
      <c r="P1929" s="109">
        <f>SUMIFS(Q1929:DK1929,Q$1:DK$1,Dashboard!$K$31)</f>
        <v>0</v>
      </c>
      <c r="U1929" s="95">
        <v>33</v>
      </c>
      <c r="AA1929" s="95">
        <v>25</v>
      </c>
      <c r="AH1929" s="95">
        <v>75</v>
      </c>
    </row>
    <row r="1930" spans="1:34" x14ac:dyDescent="0.3">
      <c r="A1930" s="89" t="str">
        <f>CONCATENATE(D1930,".",F1930,"-",G1930,".",H1930,"")</f>
        <v>2.3-3.1</v>
      </c>
      <c r="B1930" s="89" t="str">
        <f>IF(CONCATENATE(I1930,Key!F$2)=CONCATENATE(INDEX(Dashboard!J:J,MATCH(I1930,Dashboard!J:J,0),1),INDEX(Dashboard!J:K,MATCH(I1930,Dashboard!J:J,0),2)),"ON",IF(Dashboard!K$32="ALL","ON","-"))</f>
        <v>-</v>
      </c>
      <c r="C1930" s="88" t="s">
        <v>152</v>
      </c>
      <c r="D1930" s="89">
        <f>IF(C1930="ID",1,(IF(C1930="PR",2,(IF(C1930="DE",3,(IF(C1930="RS",4,(IF(C1930="RC",5,0)))))))))</f>
        <v>2</v>
      </c>
      <c r="E1930" s="89" t="s">
        <v>210</v>
      </c>
      <c r="F1930" s="89">
        <f>IF(E1930="AM",1,(IF(E1930="BE",2,(IF(E1930="GV",3,(IF(E1930="RA",4,(IF(E1930="RM",5,(IF(E1930="AC",1,(IF(E1930="AT",2,(IF(E1930="DS",3,(IF(E1930="IP",4,(IF(E1930="MA",5,(IF(E1930="PT",6,(IF(E1930="AE",1,(IF(E1930="CM",2,(IF(E1930="DP",3,(IF(E1930="AN",1,(IF(E1930="CO",2,(IF(E1930="IM",3,(IF(E1930="MI",4,(IF(E1930="RP",5,(IF(E1930="SC",6,0)))))))))))))))))))))))))))))))))))))))</f>
        <v>3</v>
      </c>
      <c r="G1930" s="52">
        <v>3</v>
      </c>
      <c r="H1930" s="90" t="s">
        <v>115</v>
      </c>
      <c r="I1930" s="94" t="s">
        <v>73</v>
      </c>
      <c r="J1930" s="86" t="s">
        <v>211</v>
      </c>
      <c r="K1930" s="101" t="s">
        <v>5178</v>
      </c>
      <c r="L1930" s="117">
        <f>IF(O1930="","",N1930*O1930*M1930)</f>
        <v>0</v>
      </c>
      <c r="M1930" s="108">
        <v>1</v>
      </c>
      <c r="N1930" s="95">
        <v>1</v>
      </c>
      <c r="O1930" s="109">
        <f>IF(Key!D$1="ON",P1930,IF(SUM(Q1930:DL1930)&lt;1,"",SUM(Q1930:DL1930)/COUNTIF(Q1930:DL1930,"&gt;0")))</f>
        <v>0</v>
      </c>
      <c r="P1930" s="109">
        <f>SUMIFS(Q1930:DK1930,Q$1:DK$1,Dashboard!$K$31)</f>
        <v>0</v>
      </c>
      <c r="U1930" s="95">
        <v>33</v>
      </c>
      <c r="AA1930" s="95">
        <v>25</v>
      </c>
      <c r="AH1930" s="95">
        <v>75</v>
      </c>
    </row>
    <row r="1931" spans="1:34" x14ac:dyDescent="0.3">
      <c r="A1931" s="89" t="str">
        <f>CONCATENATE(D1931,".",F1931,"-",G1931,".",H1931,"")</f>
        <v>2.3-3.1</v>
      </c>
      <c r="B1931" s="89" t="str">
        <f>IF(CONCATENATE(I1931,Key!F$2)=CONCATENATE(INDEX(Dashboard!J:J,MATCH(I1931,Dashboard!J:J,0),1),INDEX(Dashboard!J:K,MATCH(I1931,Dashboard!J:J,0),2)),"ON",IF(Dashboard!K$32="ALL","ON","-"))</f>
        <v>-</v>
      </c>
      <c r="C1931" s="88" t="s">
        <v>152</v>
      </c>
      <c r="D1931" s="89">
        <f>IF(C1931="ID",1,(IF(C1931="PR",2,(IF(C1931="DE",3,(IF(C1931="RS",4,(IF(C1931="RC",5,0)))))))))</f>
        <v>2</v>
      </c>
      <c r="E1931" s="89" t="s">
        <v>210</v>
      </c>
      <c r="F1931" s="89">
        <f>IF(E1931="AM",1,(IF(E1931="BE",2,(IF(E1931="GV",3,(IF(E1931="RA",4,(IF(E1931="RM",5,(IF(E1931="AC",1,(IF(E1931="AT",2,(IF(E1931="DS",3,(IF(E1931="IP",4,(IF(E1931="MA",5,(IF(E1931="PT",6,(IF(E1931="AE",1,(IF(E1931="CM",2,(IF(E1931="DP",3,(IF(E1931="AN",1,(IF(E1931="CO",2,(IF(E1931="IM",3,(IF(E1931="MI",4,(IF(E1931="RP",5,(IF(E1931="SC",6,0)))))))))))))))))))))))))))))))))))))))</f>
        <v>3</v>
      </c>
      <c r="G1931" s="52">
        <v>3</v>
      </c>
      <c r="H1931" s="90" t="s">
        <v>115</v>
      </c>
      <c r="I1931" s="94" t="s">
        <v>73</v>
      </c>
      <c r="J1931" s="86" t="s">
        <v>4185</v>
      </c>
      <c r="K1931" s="101" t="s">
        <v>5195</v>
      </c>
      <c r="L1931" s="117">
        <f>IF(O1931="","",N1931*O1931*M1931)</f>
        <v>0</v>
      </c>
      <c r="M1931" s="108">
        <v>1</v>
      </c>
      <c r="N1931" s="95">
        <v>1</v>
      </c>
      <c r="O1931" s="109">
        <f>IF(Key!D$1="ON",P1931,IF(SUM(Q1931:DL1931)&lt;1,"",SUM(Q1931:DL1931)/COUNTIF(Q1931:DL1931,"&gt;0")))</f>
        <v>0</v>
      </c>
      <c r="P1931" s="109">
        <f>SUMIFS(Q1931:DK1931,Q$1:DK$1,Dashboard!$K$31)</f>
        <v>0</v>
      </c>
      <c r="U1931" s="95">
        <v>33</v>
      </c>
      <c r="AA1931" s="95">
        <v>25</v>
      </c>
      <c r="AH1931" s="95">
        <v>75</v>
      </c>
    </row>
    <row r="1932" spans="1:34" x14ac:dyDescent="0.3">
      <c r="A1932" s="89" t="str">
        <f>CONCATENATE(D1932,".",F1932,"-",G1932,".",H1932,"")</f>
        <v>2.3-3.1</v>
      </c>
      <c r="B1932" s="89" t="str">
        <f>IF(CONCATENATE(I1932,Key!F$2)=CONCATENATE(INDEX(Dashboard!J:J,MATCH(I1932,Dashboard!J:J,0),1),INDEX(Dashboard!J:K,MATCH(I1932,Dashboard!J:J,0),2)),"ON",IF(Dashboard!K$32="ALL","ON","-"))</f>
        <v>-</v>
      </c>
      <c r="C1932" s="88" t="s">
        <v>152</v>
      </c>
      <c r="D1932" s="89">
        <f>IF(C1932="ID",1,(IF(C1932="PR",2,(IF(C1932="DE",3,(IF(C1932="RS",4,(IF(C1932="RC",5,0)))))))))</f>
        <v>2</v>
      </c>
      <c r="E1932" s="89" t="s">
        <v>210</v>
      </c>
      <c r="F1932" s="89">
        <f>IF(E1932="AM",1,(IF(E1932="BE",2,(IF(E1932="GV",3,(IF(E1932="RA",4,(IF(E1932="RM",5,(IF(E1932="AC",1,(IF(E1932="AT",2,(IF(E1932="DS",3,(IF(E1932="IP",4,(IF(E1932="MA",5,(IF(E1932="PT",6,(IF(E1932="AE",1,(IF(E1932="CM",2,(IF(E1932="DP",3,(IF(E1932="AN",1,(IF(E1932="CO",2,(IF(E1932="IM",3,(IF(E1932="MI",4,(IF(E1932="RP",5,(IF(E1932="SC",6,0)))))))))))))))))))))))))))))))))))))))</f>
        <v>3</v>
      </c>
      <c r="G1932" s="98">
        <v>3</v>
      </c>
      <c r="H1932" s="99">
        <v>1</v>
      </c>
      <c r="I1932" s="94" t="s">
        <v>73</v>
      </c>
      <c r="J1932" s="86" t="s">
        <v>4186</v>
      </c>
      <c r="K1932" s="107" t="s">
        <v>4312</v>
      </c>
      <c r="L1932" s="117">
        <f>IF(O1932="","",N1932*O1932*M1932)</f>
        <v>0</v>
      </c>
      <c r="M1932" s="108">
        <v>1</v>
      </c>
      <c r="N1932" s="95">
        <v>1</v>
      </c>
      <c r="O1932" s="109">
        <f>IF(Key!D$1="ON",P1932,IF(SUM(Q1932:DL1932)&lt;1,"",SUM(Q1932:DL1932)/COUNTIF(Q1932:DL1932,"&gt;0")))</f>
        <v>0</v>
      </c>
      <c r="P1932" s="109">
        <f>SUMIFS(Q1932:DK1932,Q$1:DK$1,Dashboard!$K$31)</f>
        <v>0</v>
      </c>
      <c r="U1932" s="95">
        <v>33</v>
      </c>
      <c r="AA1932" s="95">
        <v>25</v>
      </c>
      <c r="AH1932" s="95">
        <v>75</v>
      </c>
    </row>
    <row r="1933" spans="1:34" ht="15.6" x14ac:dyDescent="0.3">
      <c r="A1933" s="89" t="str">
        <f>CONCATENATE(D1933,".",F1933,"-",G1933,".",H1933,"")</f>
        <v>2.3-3.1</v>
      </c>
      <c r="B1933" s="89" t="str">
        <f>IF(CONCATENATE(I1933,Key!F$2)=CONCATENATE(INDEX(Dashboard!J:J,MATCH(I1933,Dashboard!J:J,0),1),INDEX(Dashboard!J:K,MATCH(I1933,Dashboard!J:J,0),2)),"ON",IF(Dashboard!K$32="ALL","ON","-"))</f>
        <v>-</v>
      </c>
      <c r="C1933" s="88" t="s">
        <v>152</v>
      </c>
      <c r="D1933" s="89">
        <f>IF(C1933="ID",1,(IF(C1933="PR",2,(IF(C1933="DE",3,(IF(C1933="RS",4,(IF(C1933="RC",5,0)))))))))</f>
        <v>2</v>
      </c>
      <c r="E1933" s="89" t="s">
        <v>210</v>
      </c>
      <c r="F1933" s="89">
        <f>IF(E1933="AM",1,(IF(E1933="BE",2,(IF(E1933="GV",3,(IF(E1933="RA",4,(IF(E1933="RM",5,(IF(E1933="AC",1,(IF(E1933="AT",2,(IF(E1933="DS",3,(IF(E1933="IP",4,(IF(E1933="MA",5,(IF(E1933="PT",6,(IF(E1933="AE",1,(IF(E1933="CM",2,(IF(E1933="DP",3,(IF(E1933="AN",1,(IF(E1933="CO",2,(IF(E1933="IM",3,(IF(E1933="MI",4,(IF(E1933="RP",5,(IF(E1933="SC",6,0)))))))))))))))))))))))))))))))))))))))</f>
        <v>3</v>
      </c>
      <c r="G1933" s="98">
        <v>3</v>
      </c>
      <c r="H1933" s="99">
        <v>1</v>
      </c>
      <c r="I1933" s="94" t="s">
        <v>73</v>
      </c>
      <c r="J1933" s="86" t="s">
        <v>4187</v>
      </c>
      <c r="K1933" s="107" t="s">
        <v>4313</v>
      </c>
      <c r="L1933" s="117">
        <f>IF(O1933="","",N1933*O1933*M1933)</f>
        <v>0</v>
      </c>
      <c r="M1933" s="108">
        <v>1</v>
      </c>
      <c r="N1933" s="95">
        <v>1</v>
      </c>
      <c r="O1933" s="109">
        <f>IF(Key!D$1="ON",P1933,IF(SUM(Q1933:DL1933)&lt;1,"",SUM(Q1933:DL1933)/COUNTIF(Q1933:DL1933,"&gt;0")))</f>
        <v>0</v>
      </c>
      <c r="P1933" s="109">
        <f>SUMIFS(Q1933:DK1933,Q$1:DK$1,Dashboard!$K$31)</f>
        <v>0</v>
      </c>
      <c r="U1933" s="95">
        <v>33</v>
      </c>
      <c r="AA1933" s="95">
        <v>25</v>
      </c>
      <c r="AH1933" s="95">
        <v>75</v>
      </c>
    </row>
    <row r="1934" spans="1:34" x14ac:dyDescent="0.3">
      <c r="A1934" s="89" t="str">
        <f>CONCATENATE(D1934,".",F1934,"-",G1934,".",H1934,"")</f>
        <v>2.3-3.1</v>
      </c>
      <c r="B1934" s="89" t="str">
        <f>IF(CONCATENATE(I1934,Key!F$2)=CONCATENATE(INDEX(Dashboard!J:J,MATCH(I1934,Dashboard!J:J,0),1),INDEX(Dashboard!J:K,MATCH(I1934,Dashboard!J:J,0),2)),"ON",IF(Dashboard!K$32="ALL","ON","-"))</f>
        <v>-</v>
      </c>
      <c r="C1934" s="88" t="s">
        <v>152</v>
      </c>
      <c r="D1934" s="89">
        <f>IF(C1934="ID",1,(IF(C1934="PR",2,(IF(C1934="DE",3,(IF(C1934="RS",4,(IF(C1934="RC",5,0)))))))))</f>
        <v>2</v>
      </c>
      <c r="E1934" s="89" t="s">
        <v>210</v>
      </c>
      <c r="F1934" s="89">
        <f>IF(E1934="AM",1,(IF(E1934="BE",2,(IF(E1934="GV",3,(IF(E1934="RA",4,(IF(E1934="RM",5,(IF(E1934="AC",1,(IF(E1934="AT",2,(IF(E1934="DS",3,(IF(E1934="IP",4,(IF(E1934="MA",5,(IF(E1934="PT",6,(IF(E1934="AE",1,(IF(E1934="CM",2,(IF(E1934="DP",3,(IF(E1934="AN",1,(IF(E1934="CO",2,(IF(E1934="IM",3,(IF(E1934="MI",4,(IF(E1934="RP",5,(IF(E1934="SC",6,0)))))))))))))))))))))))))))))))))))))))</f>
        <v>3</v>
      </c>
      <c r="G1934" s="52">
        <v>3</v>
      </c>
      <c r="H1934" s="90" t="s">
        <v>115</v>
      </c>
      <c r="I1934" s="94" t="s">
        <v>73</v>
      </c>
      <c r="J1934" s="86" t="s">
        <v>4190</v>
      </c>
      <c r="K1934" s="101" t="s">
        <v>4191</v>
      </c>
      <c r="L1934" s="117">
        <f>IF(O1934="","",N1934*O1934*M1934)</f>
        <v>0</v>
      </c>
      <c r="M1934" s="108">
        <v>1</v>
      </c>
      <c r="N1934" s="95">
        <v>1</v>
      </c>
      <c r="O1934" s="109">
        <f>IF(Key!D$1="ON",P1934,IF(SUM(Q1934:DL1934)&lt;1,"",SUM(Q1934:DL1934)/COUNTIF(Q1934:DL1934,"&gt;0")))</f>
        <v>0</v>
      </c>
      <c r="P1934" s="109">
        <f>SUMIFS(Q1934:DK1934,Q$1:DK$1,Dashboard!$K$31)</f>
        <v>0</v>
      </c>
      <c r="U1934" s="95">
        <v>33</v>
      </c>
      <c r="AA1934" s="95">
        <v>25</v>
      </c>
      <c r="AH1934" s="95">
        <v>75</v>
      </c>
    </row>
    <row r="1935" spans="1:34" ht="15.6" x14ac:dyDescent="0.3">
      <c r="A1935" s="89" t="str">
        <f>CONCATENATE(D1935,".",F1935,"-",G1935,".",H1935,"")</f>
        <v>2.3-3.1</v>
      </c>
      <c r="B1935" s="89" t="str">
        <f>IF(CONCATENATE(I1935,Key!F$2)=CONCATENATE(INDEX(Dashboard!J:J,MATCH(I1935,Dashboard!J:J,0),1),INDEX(Dashboard!J:K,MATCH(I1935,Dashboard!J:J,0),2)),"ON",IF(Dashboard!K$32="ALL","ON","-"))</f>
        <v>-</v>
      </c>
      <c r="C1935" s="88" t="s">
        <v>152</v>
      </c>
      <c r="D1935" s="89">
        <f>IF(C1935="ID",1,(IF(C1935="PR",2,(IF(C1935="DE",3,(IF(C1935="RS",4,(IF(C1935="RC",5,0)))))))))</f>
        <v>2</v>
      </c>
      <c r="E1935" s="89" t="s">
        <v>210</v>
      </c>
      <c r="F1935" s="89">
        <f>IF(E1935="AM",1,(IF(E1935="BE",2,(IF(E1935="GV",3,(IF(E1935="RA",4,(IF(E1935="RM",5,(IF(E1935="AC",1,(IF(E1935="AT",2,(IF(E1935="DS",3,(IF(E1935="IP",4,(IF(E1935="MA",5,(IF(E1935="PT",6,(IF(E1935="AE",1,(IF(E1935="CM",2,(IF(E1935="DP",3,(IF(E1935="AN",1,(IF(E1935="CO",2,(IF(E1935="IM",3,(IF(E1935="MI",4,(IF(E1935="RP",5,(IF(E1935="SC",6,0)))))))))))))))))))))))))))))))))))))))</f>
        <v>3</v>
      </c>
      <c r="G1935" s="52">
        <v>3</v>
      </c>
      <c r="H1935" s="90" t="s">
        <v>115</v>
      </c>
      <c r="I1935" s="94" t="s">
        <v>77</v>
      </c>
      <c r="J1935" s="87" t="s">
        <v>1357</v>
      </c>
      <c r="K1935" s="102" t="s">
        <v>2356</v>
      </c>
      <c r="L1935" s="117">
        <f>IF(O1935="","",N1935*O1935*M1935)</f>
        <v>0</v>
      </c>
      <c r="M1935" s="108">
        <v>1</v>
      </c>
      <c r="N1935" s="95">
        <v>1</v>
      </c>
      <c r="O1935" s="109">
        <f>IF(Key!D$1="ON",P1935,IF(SUM(Q1935:DL1935)&lt;1,"",SUM(Q1935:DL1935)/COUNTIF(Q1935:DL1935,"&gt;0")))</f>
        <v>0</v>
      </c>
      <c r="P1935" s="109">
        <f>SUMIFS(Q1935:DK1935,Q$1:DK$1,Dashboard!$K$31)</f>
        <v>0</v>
      </c>
      <c r="U1935" s="95">
        <v>33</v>
      </c>
      <c r="AA1935" s="95">
        <v>25</v>
      </c>
      <c r="AH1935" s="95">
        <v>75</v>
      </c>
    </row>
    <row r="1936" spans="1:34" x14ac:dyDescent="0.3">
      <c r="A1936" s="89" t="str">
        <f>CONCATENATE(D1936,".",F1936,"-",G1936,".",H1936,"")</f>
        <v>2.3-3.1</v>
      </c>
      <c r="B1936" s="89" t="str">
        <f>IF(CONCATENATE(I1936,Key!F$2)=CONCATENATE(INDEX(Dashboard!J:J,MATCH(I1936,Dashboard!J:J,0),1),INDEX(Dashboard!J:K,MATCH(I1936,Dashboard!J:J,0),2)),"ON",IF(Dashboard!K$32="ALL","ON","-"))</f>
        <v>-</v>
      </c>
      <c r="C1936" s="88" t="s">
        <v>152</v>
      </c>
      <c r="D1936" s="89">
        <f>IF(C1936="ID",1,(IF(C1936="PR",2,(IF(C1936="DE",3,(IF(C1936="RS",4,(IF(C1936="RC",5,0)))))))))</f>
        <v>2</v>
      </c>
      <c r="E1936" s="89" t="s">
        <v>210</v>
      </c>
      <c r="F1936" s="89">
        <f>IF(E1936="AM",1,(IF(E1936="BE",2,(IF(E1936="GV",3,(IF(E1936="RA",4,(IF(E1936="RM",5,(IF(E1936="AC",1,(IF(E1936="AT",2,(IF(E1936="DS",3,(IF(E1936="IP",4,(IF(E1936="MA",5,(IF(E1936="PT",6,(IF(E1936="AE",1,(IF(E1936="CM",2,(IF(E1936="DP",3,(IF(E1936="AN",1,(IF(E1936="CO",2,(IF(E1936="IM",3,(IF(E1936="MI",4,(IF(E1936="RP",5,(IF(E1936="SC",6,0)))))))))))))))))))))))))))))))))))))))</f>
        <v>3</v>
      </c>
      <c r="G1936" s="52">
        <v>3</v>
      </c>
      <c r="H1936" s="90" t="s">
        <v>115</v>
      </c>
      <c r="I1936" s="94" t="s">
        <v>77</v>
      </c>
      <c r="J1936" s="87" t="s">
        <v>1358</v>
      </c>
      <c r="K1936" s="102" t="s">
        <v>2357</v>
      </c>
      <c r="L1936" s="117">
        <f>IF(O1936="","",N1936*O1936*M1936)</f>
        <v>0</v>
      </c>
      <c r="M1936" s="108">
        <v>1</v>
      </c>
      <c r="N1936" s="95">
        <v>1</v>
      </c>
      <c r="O1936" s="109">
        <f>IF(Key!D$1="ON",P1936,IF(SUM(Q1936:DL1936)&lt;1,"",SUM(Q1936:DL1936)/COUNTIF(Q1936:DL1936,"&gt;0")))</f>
        <v>0</v>
      </c>
      <c r="P1936" s="109">
        <f>SUMIFS(Q1936:DK1936,Q$1:DK$1,Dashboard!$K$31)</f>
        <v>0</v>
      </c>
      <c r="U1936" s="95">
        <v>33</v>
      </c>
      <c r="AA1936" s="95">
        <v>25</v>
      </c>
      <c r="AH1936" s="95">
        <v>75</v>
      </c>
    </row>
    <row r="1937" spans="1:34" x14ac:dyDescent="0.3">
      <c r="A1937" s="89" t="str">
        <f>CONCATENATE(D1937,".",F1937,"-",G1937,".",H1937,"")</f>
        <v>2.3-3.1</v>
      </c>
      <c r="B1937" s="89" t="str">
        <f>IF(CONCATENATE(I1937,Key!F$2)=CONCATENATE(INDEX(Dashboard!J:J,MATCH(I1937,Dashboard!J:J,0),1),INDEX(Dashboard!J:K,MATCH(I1937,Dashboard!J:J,0),2)),"ON",IF(Dashboard!K$32="ALL","ON","-"))</f>
        <v>-</v>
      </c>
      <c r="C1937" s="96" t="s">
        <v>152</v>
      </c>
      <c r="D1937" s="89">
        <f>IF(C1937="ID",1,(IF(C1937="PR",2,(IF(C1937="DE",3,(IF(C1937="RS",4,(IF(C1937="RC",5,0)))))))))</f>
        <v>2</v>
      </c>
      <c r="E1937" s="89" t="s">
        <v>210</v>
      </c>
      <c r="F1937" s="89">
        <f>IF(E1937="AM",1,(IF(E1937="BE",2,(IF(E1937="GV",3,(IF(E1937="RA",4,(IF(E1937="RM",5,(IF(E1937="AC",1,(IF(E1937="AT",2,(IF(E1937="DS",3,(IF(E1937="IP",4,(IF(E1937="MA",5,(IF(E1937="PT",6,(IF(E1937="AE",1,(IF(E1937="CM",2,(IF(E1937="DP",3,(IF(E1937="AN",1,(IF(E1937="CO",2,(IF(E1937="IM",3,(IF(E1937="MI",4,(IF(E1937="RP",5,(IF(E1937="SC",6,0)))))))))))))))))))))))))))))))))))))))</f>
        <v>3</v>
      </c>
      <c r="G1937" s="98">
        <v>3</v>
      </c>
      <c r="H1937" s="90" t="s">
        <v>115</v>
      </c>
      <c r="I1937" s="94" t="s">
        <v>77</v>
      </c>
      <c r="J1937" s="87" t="s">
        <v>918</v>
      </c>
      <c r="K1937" s="102" t="s">
        <v>2008</v>
      </c>
      <c r="L1937" s="117">
        <f>IF(O1937="","",N1937*O1937*M1937)</f>
        <v>0</v>
      </c>
      <c r="M1937" s="108">
        <v>1</v>
      </c>
      <c r="N1937" s="95">
        <v>1</v>
      </c>
      <c r="O1937" s="109">
        <f>IF(Key!D$1="ON",P1937,IF(SUM(Q1937:DL1937)&lt;1,"",SUM(Q1937:DL1937)/COUNTIF(Q1937:DL1937,"&gt;0")))</f>
        <v>0</v>
      </c>
      <c r="P1937" s="109">
        <f>SUMIFS(Q1937:DK1937,Q$1:DK$1,Dashboard!$K$31)</f>
        <v>0</v>
      </c>
      <c r="U1937" s="95">
        <v>33</v>
      </c>
      <c r="AA1937" s="95">
        <v>25</v>
      </c>
      <c r="AH1937" s="95">
        <v>75</v>
      </c>
    </row>
    <row r="1938" spans="1:34" x14ac:dyDescent="0.3">
      <c r="A1938" s="89" t="str">
        <f>CONCATENATE(D1938,".",F1938,"-",G1938,".",H1938,"")</f>
        <v>2.3-3.1</v>
      </c>
      <c r="B1938" s="89" t="str">
        <f>IF(CONCATENATE(I1938,Key!F$2)=CONCATENATE(INDEX(Dashboard!J:J,MATCH(I1938,Dashboard!J:J,0),1),INDEX(Dashboard!J:K,MATCH(I1938,Dashboard!J:J,0),2)),"ON",IF(Dashboard!K$32="ALL","ON","-"))</f>
        <v>-</v>
      </c>
      <c r="C1938" s="88" t="s">
        <v>152</v>
      </c>
      <c r="D1938" s="89">
        <f>IF(C1938="ID",1,(IF(C1938="PR",2,(IF(C1938="DE",3,(IF(C1938="RS",4,(IF(C1938="RC",5,0)))))))))</f>
        <v>2</v>
      </c>
      <c r="E1938" s="89" t="s">
        <v>210</v>
      </c>
      <c r="F1938" s="89">
        <f>IF(E1938="AM",1,(IF(E1938="BE",2,(IF(E1938="GV",3,(IF(E1938="RA",4,(IF(E1938="RM",5,(IF(E1938="AC",1,(IF(E1938="AT",2,(IF(E1938="DS",3,(IF(E1938="IP",4,(IF(E1938="MA",5,(IF(E1938="PT",6,(IF(E1938="AE",1,(IF(E1938="CM",2,(IF(E1938="DP",3,(IF(E1938="AN",1,(IF(E1938="CO",2,(IF(E1938="IM",3,(IF(E1938="MI",4,(IF(E1938="RP",5,(IF(E1938="SC",6,0)))))))))))))))))))))))))))))))))))))))</f>
        <v>3</v>
      </c>
      <c r="G1938" s="52">
        <v>3</v>
      </c>
      <c r="H1938" s="90" t="s">
        <v>115</v>
      </c>
      <c r="I1938" s="94" t="s">
        <v>77</v>
      </c>
      <c r="J1938" s="87" t="s">
        <v>925</v>
      </c>
      <c r="K1938" s="102" t="s">
        <v>2013</v>
      </c>
      <c r="L1938" s="117">
        <f>IF(O1938="","",N1938*O1938*M1938)</f>
        <v>0</v>
      </c>
      <c r="M1938" s="108">
        <v>1</v>
      </c>
      <c r="N1938" s="95">
        <v>1</v>
      </c>
      <c r="O1938" s="109">
        <f>IF(Key!D$1="ON",P1938,IF(SUM(Q1938:DL1938)&lt;1,"",SUM(Q1938:DL1938)/COUNTIF(Q1938:DL1938,"&gt;0")))</f>
        <v>0</v>
      </c>
      <c r="P1938" s="109">
        <f>SUMIFS(Q1938:DK1938,Q$1:DK$1,Dashboard!$K$31)</f>
        <v>0</v>
      </c>
      <c r="U1938" s="95">
        <v>33</v>
      </c>
      <c r="AA1938" s="95">
        <v>25</v>
      </c>
      <c r="AH1938" s="95">
        <v>75</v>
      </c>
    </row>
    <row r="1939" spans="1:34" x14ac:dyDescent="0.3">
      <c r="A1939" s="89" t="str">
        <f>CONCATENATE(D1939,".",F1939,"-",G1939,".",H1939,"")</f>
        <v>2.3-3.1</v>
      </c>
      <c r="B1939" s="89" t="str">
        <f>IF(CONCATENATE(I1939,Key!F$2)=CONCATENATE(INDEX(Dashboard!J:J,MATCH(I1939,Dashboard!J:J,0),1),INDEX(Dashboard!J:K,MATCH(I1939,Dashboard!J:J,0),2)),"ON",IF(Dashboard!K$32="ALL","ON","-"))</f>
        <v>-</v>
      </c>
      <c r="C1939" s="88" t="s">
        <v>152</v>
      </c>
      <c r="D1939" s="89">
        <f>IF(C1939="ID",1,(IF(C1939="PR",2,(IF(C1939="DE",3,(IF(C1939="RS",4,(IF(C1939="RC",5,0)))))))))</f>
        <v>2</v>
      </c>
      <c r="E1939" s="89" t="s">
        <v>210</v>
      </c>
      <c r="F1939" s="89">
        <f>IF(E1939="AM",1,(IF(E1939="BE",2,(IF(E1939="GV",3,(IF(E1939="RA",4,(IF(E1939="RM",5,(IF(E1939="AC",1,(IF(E1939="AT",2,(IF(E1939="DS",3,(IF(E1939="IP",4,(IF(E1939="MA",5,(IF(E1939="PT",6,(IF(E1939="AE",1,(IF(E1939="CM",2,(IF(E1939="DP",3,(IF(E1939="AN",1,(IF(E1939="CO",2,(IF(E1939="IM",3,(IF(E1939="MI",4,(IF(E1939="RP",5,(IF(E1939="SC",6,0)))))))))))))))))))))))))))))))))))))))</f>
        <v>3</v>
      </c>
      <c r="G1939" s="52">
        <v>3</v>
      </c>
      <c r="H1939" s="90" t="s">
        <v>115</v>
      </c>
      <c r="I1939" s="94" t="s">
        <v>77</v>
      </c>
      <c r="J1939" s="87" t="s">
        <v>1359</v>
      </c>
      <c r="K1939" s="102" t="s">
        <v>2358</v>
      </c>
      <c r="L1939" s="117">
        <f>IF(O1939="","",N1939*O1939*M1939)</f>
        <v>0</v>
      </c>
      <c r="M1939" s="108">
        <v>1</v>
      </c>
      <c r="N1939" s="95">
        <v>1</v>
      </c>
      <c r="O1939" s="109">
        <f>IF(Key!D$1="ON",P1939,IF(SUM(Q1939:DL1939)&lt;1,"",SUM(Q1939:DL1939)/COUNTIF(Q1939:DL1939,"&gt;0")))</f>
        <v>0</v>
      </c>
      <c r="P1939" s="109">
        <f>SUMIFS(Q1939:DK1939,Q$1:DK$1,Dashboard!$K$31)</f>
        <v>0</v>
      </c>
      <c r="U1939" s="95">
        <v>33</v>
      </c>
      <c r="AA1939" s="95">
        <v>25</v>
      </c>
      <c r="AH1939" s="95">
        <v>75</v>
      </c>
    </row>
    <row r="1940" spans="1:34" x14ac:dyDescent="0.3">
      <c r="A1940" s="89" t="str">
        <f>CONCATENATE(D1940,".",F1940,"-",G1940,".",H1940,"")</f>
        <v>2.3-3.1</v>
      </c>
      <c r="B1940" s="89" t="str">
        <f>IF(CONCATENATE(I1940,Key!F$2)=CONCATENATE(INDEX(Dashboard!J:J,MATCH(I1940,Dashboard!J:J,0),1),INDEX(Dashboard!J:K,MATCH(I1940,Dashboard!J:J,0),2)),"ON",IF(Dashboard!K$32="ALL","ON","-"))</f>
        <v>-</v>
      </c>
      <c r="C1940" s="88" t="s">
        <v>152</v>
      </c>
      <c r="D1940" s="89">
        <f>IF(C1940="ID",1,(IF(C1940="PR",2,(IF(C1940="DE",3,(IF(C1940="RS",4,(IF(C1940="RC",5,0)))))))))</f>
        <v>2</v>
      </c>
      <c r="E1940" s="89" t="s">
        <v>210</v>
      </c>
      <c r="F1940" s="89">
        <f>IF(E1940="AM",1,(IF(E1940="BE",2,(IF(E1940="GV",3,(IF(E1940="RA",4,(IF(E1940="RM",5,(IF(E1940="AC",1,(IF(E1940="AT",2,(IF(E1940="DS",3,(IF(E1940="IP",4,(IF(E1940="MA",5,(IF(E1940="PT",6,(IF(E1940="AE",1,(IF(E1940="CM",2,(IF(E1940="DP",3,(IF(E1940="AN",1,(IF(E1940="CO",2,(IF(E1940="IM",3,(IF(E1940="MI",4,(IF(E1940="RP",5,(IF(E1940="SC",6,0)))))))))))))))))))))))))))))))))))))))</f>
        <v>3</v>
      </c>
      <c r="G1940" s="52">
        <v>3</v>
      </c>
      <c r="H1940" s="90" t="s">
        <v>115</v>
      </c>
      <c r="I1940" s="94" t="s">
        <v>77</v>
      </c>
      <c r="J1940" s="87" t="s">
        <v>949</v>
      </c>
      <c r="K1940" s="102" t="s">
        <v>2032</v>
      </c>
      <c r="L1940" s="117">
        <f>IF(O1940="","",N1940*O1940*M1940)</f>
        <v>0</v>
      </c>
      <c r="M1940" s="108">
        <v>1</v>
      </c>
      <c r="N1940" s="95">
        <v>1</v>
      </c>
      <c r="O1940" s="109">
        <f>IF(Key!D$1="ON",P1940,IF(SUM(Q1940:DL1940)&lt;1,"",SUM(Q1940:DL1940)/COUNTIF(Q1940:DL1940,"&gt;0")))</f>
        <v>0</v>
      </c>
      <c r="P1940" s="109">
        <f>SUMIFS(Q1940:DK1940,Q$1:DK$1,Dashboard!$K$31)</f>
        <v>0</v>
      </c>
      <c r="U1940" s="95">
        <v>33</v>
      </c>
      <c r="AA1940" s="95">
        <v>25</v>
      </c>
      <c r="AH1940" s="95">
        <v>75</v>
      </c>
    </row>
    <row r="1941" spans="1:34" x14ac:dyDescent="0.3">
      <c r="A1941" s="89" t="str">
        <f>CONCATENATE(D1941,".",F1941,"-",G1941,".",H1941,"")</f>
        <v>2.3-3.1</v>
      </c>
      <c r="B1941" s="89" t="str">
        <f>IF(CONCATENATE(I1941,Key!F$2)=CONCATENATE(INDEX(Dashboard!J:J,MATCH(I1941,Dashboard!J:J,0),1),INDEX(Dashboard!J:K,MATCH(I1941,Dashboard!J:J,0),2)),"ON",IF(Dashboard!K$32="ALL","ON","-"))</f>
        <v>-</v>
      </c>
      <c r="C1941" s="88" t="s">
        <v>152</v>
      </c>
      <c r="D1941" s="89">
        <f>IF(C1941="ID",1,(IF(C1941="PR",2,(IF(C1941="DE",3,(IF(C1941="RS",4,(IF(C1941="RC",5,0)))))))))</f>
        <v>2</v>
      </c>
      <c r="E1941" s="89" t="s">
        <v>210</v>
      </c>
      <c r="F1941" s="89">
        <f>IF(E1941="AM",1,(IF(E1941="BE",2,(IF(E1941="GV",3,(IF(E1941="RA",4,(IF(E1941="RM",5,(IF(E1941="AC",1,(IF(E1941="AT",2,(IF(E1941="DS",3,(IF(E1941="IP",4,(IF(E1941="MA",5,(IF(E1941="PT",6,(IF(E1941="AE",1,(IF(E1941="CM",2,(IF(E1941="DP",3,(IF(E1941="AN",1,(IF(E1941="CO",2,(IF(E1941="IM",3,(IF(E1941="MI",4,(IF(E1941="RP",5,(IF(E1941="SC",6,0)))))))))))))))))))))))))))))))))))))))</f>
        <v>3</v>
      </c>
      <c r="G1941" s="52">
        <v>3</v>
      </c>
      <c r="H1941" s="90" t="s">
        <v>115</v>
      </c>
      <c r="I1941" s="94" t="s">
        <v>77</v>
      </c>
      <c r="J1941" s="87" t="s">
        <v>1360</v>
      </c>
      <c r="K1941" s="102" t="s">
        <v>2359</v>
      </c>
      <c r="L1941" s="117">
        <f>IF(O1941="","",N1941*O1941*M1941)</f>
        <v>0</v>
      </c>
      <c r="M1941" s="108">
        <v>1</v>
      </c>
      <c r="N1941" s="95">
        <v>1</v>
      </c>
      <c r="O1941" s="109">
        <f>IF(Key!D$1="ON",P1941,IF(SUM(Q1941:DL1941)&lt;1,"",SUM(Q1941:DL1941)/COUNTIF(Q1941:DL1941,"&gt;0")))</f>
        <v>0</v>
      </c>
      <c r="P1941" s="109">
        <f>SUMIFS(Q1941:DK1941,Q$1:DK$1,Dashboard!$K$31)</f>
        <v>0</v>
      </c>
      <c r="U1941" s="95">
        <v>33</v>
      </c>
      <c r="AA1941" s="95">
        <v>25</v>
      </c>
      <c r="AH1941" s="95">
        <v>75</v>
      </c>
    </row>
    <row r="1942" spans="1:34" ht="15.6" x14ac:dyDescent="0.3">
      <c r="A1942" s="89" t="str">
        <f>CONCATENATE(D1942,".",F1942,"-",G1942,".",H1942,"")</f>
        <v>2.3-3.1</v>
      </c>
      <c r="B1942" s="89" t="str">
        <f>IF(CONCATENATE(I1942,Key!F$2)=CONCATENATE(INDEX(Dashboard!J:J,MATCH(I1942,Dashboard!J:J,0),1),INDEX(Dashboard!J:K,MATCH(I1942,Dashboard!J:J,0),2)),"ON",IF(Dashboard!K$32="ALL","ON","-"))</f>
        <v>-</v>
      </c>
      <c r="C1942" s="88" t="s">
        <v>152</v>
      </c>
      <c r="D1942" s="89">
        <f>IF(C1942="ID",1,(IF(C1942="PR",2,(IF(C1942="DE",3,(IF(C1942="RS",4,(IF(C1942="RC",5,0)))))))))</f>
        <v>2</v>
      </c>
      <c r="E1942" s="89" t="s">
        <v>210</v>
      </c>
      <c r="F1942" s="89">
        <f>IF(E1942="AM",1,(IF(E1942="BE",2,(IF(E1942="GV",3,(IF(E1942="RA",4,(IF(E1942="RM",5,(IF(E1942="AC",1,(IF(E1942="AT",2,(IF(E1942="DS",3,(IF(E1942="IP",4,(IF(E1942="MA",5,(IF(E1942="PT",6,(IF(E1942="AE",1,(IF(E1942="CM",2,(IF(E1942="DP",3,(IF(E1942="AN",1,(IF(E1942="CO",2,(IF(E1942="IM",3,(IF(E1942="MI",4,(IF(E1942="RP",5,(IF(E1942="SC",6,0)))))))))))))))))))))))))))))))))))))))</f>
        <v>3</v>
      </c>
      <c r="G1942" s="52">
        <v>3</v>
      </c>
      <c r="H1942" s="90" t="s">
        <v>115</v>
      </c>
      <c r="I1942" s="94" t="s">
        <v>77</v>
      </c>
      <c r="J1942" s="87" t="s">
        <v>1361</v>
      </c>
      <c r="K1942" s="102" t="s">
        <v>2360</v>
      </c>
      <c r="L1942" s="117">
        <f>IF(O1942="","",N1942*O1942*M1942)</f>
        <v>0</v>
      </c>
      <c r="M1942" s="108">
        <v>1</v>
      </c>
      <c r="N1942" s="95">
        <v>1</v>
      </c>
      <c r="O1942" s="109">
        <f>IF(Key!D$1="ON",P1942,IF(SUM(Q1942:DL1942)&lt;1,"",SUM(Q1942:DL1942)/COUNTIF(Q1942:DL1942,"&gt;0")))</f>
        <v>0</v>
      </c>
      <c r="P1942" s="109">
        <f>SUMIFS(Q1942:DK1942,Q$1:DK$1,Dashboard!$K$31)</f>
        <v>0</v>
      </c>
      <c r="U1942" s="95">
        <v>33</v>
      </c>
      <c r="AA1942" s="95">
        <v>25</v>
      </c>
      <c r="AH1942" s="95">
        <v>75</v>
      </c>
    </row>
    <row r="1943" spans="1:34" x14ac:dyDescent="0.3">
      <c r="A1943" s="89" t="str">
        <f>CONCATENATE(D1943,".",F1943,"-",G1943,".",H1943,"")</f>
        <v>2.3-3.1</v>
      </c>
      <c r="B1943" s="89" t="str">
        <f>IF(CONCATENATE(I1943,Key!F$2)=CONCATENATE(INDEX(Dashboard!J:J,MATCH(I1943,Dashboard!J:J,0),1),INDEX(Dashboard!J:K,MATCH(I1943,Dashboard!J:J,0),2)),"ON",IF(Dashboard!K$32="ALL","ON","-"))</f>
        <v>-</v>
      </c>
      <c r="C1943" s="88" t="s">
        <v>152</v>
      </c>
      <c r="D1943" s="89">
        <f>IF(C1943="ID",1,(IF(C1943="PR",2,(IF(C1943="DE",3,(IF(C1943="RS",4,(IF(C1943="RC",5,0)))))))))</f>
        <v>2</v>
      </c>
      <c r="E1943" s="89" t="s">
        <v>210</v>
      </c>
      <c r="F1943" s="89">
        <f>IF(E1943="AM",1,(IF(E1943="BE",2,(IF(E1943="GV",3,(IF(E1943="RA",4,(IF(E1943="RM",5,(IF(E1943="AC",1,(IF(E1943="AT",2,(IF(E1943="DS",3,(IF(E1943="IP",4,(IF(E1943="MA",5,(IF(E1943="PT",6,(IF(E1943="AE",1,(IF(E1943="CM",2,(IF(E1943="DP",3,(IF(E1943="AN",1,(IF(E1943="CO",2,(IF(E1943="IM",3,(IF(E1943="MI",4,(IF(E1943="RP",5,(IF(E1943="SC",6,0)))))))))))))))))))))))))))))))))))))))</f>
        <v>3</v>
      </c>
      <c r="G1943" s="52">
        <v>3</v>
      </c>
      <c r="H1943" s="90" t="s">
        <v>115</v>
      </c>
      <c r="I1943" s="94" t="s">
        <v>77</v>
      </c>
      <c r="J1943" s="87" t="s">
        <v>921</v>
      </c>
      <c r="K1943" s="102" t="s">
        <v>2010</v>
      </c>
      <c r="L1943" s="117">
        <f>IF(O1943="","",N1943*O1943*M1943)</f>
        <v>0</v>
      </c>
      <c r="M1943" s="108">
        <v>1</v>
      </c>
      <c r="N1943" s="95">
        <v>1</v>
      </c>
      <c r="O1943" s="109">
        <f>IF(Key!D$1="ON",P1943,IF(SUM(Q1943:DL1943)&lt;1,"",SUM(Q1943:DL1943)/COUNTIF(Q1943:DL1943,"&gt;0")))</f>
        <v>0</v>
      </c>
      <c r="P1943" s="109">
        <f>SUMIFS(Q1943:DK1943,Q$1:DK$1,Dashboard!$K$31)</f>
        <v>0</v>
      </c>
      <c r="U1943" s="95">
        <v>33</v>
      </c>
      <c r="AA1943" s="95">
        <v>25</v>
      </c>
      <c r="AH1943" s="95">
        <v>75</v>
      </c>
    </row>
    <row r="1944" spans="1:34" x14ac:dyDescent="0.3">
      <c r="A1944" s="89" t="str">
        <f>CONCATENATE(D1944,".",F1944,"-",G1944,".",H1944,"")</f>
        <v>2.3-3.1</v>
      </c>
      <c r="B1944" s="89" t="str">
        <f>IF(CONCATENATE(I1944,Key!F$2)=CONCATENATE(INDEX(Dashboard!J:J,MATCH(I1944,Dashboard!J:J,0),1),INDEX(Dashboard!J:K,MATCH(I1944,Dashboard!J:J,0),2)),"ON",IF(Dashboard!K$32="ALL","ON","-"))</f>
        <v>-</v>
      </c>
      <c r="C1944" s="88" t="s">
        <v>152</v>
      </c>
      <c r="D1944" s="89">
        <f>IF(C1944="ID",1,(IF(C1944="PR",2,(IF(C1944="DE",3,(IF(C1944="RS",4,(IF(C1944="RC",5,0)))))))))</f>
        <v>2</v>
      </c>
      <c r="E1944" s="89" t="s">
        <v>210</v>
      </c>
      <c r="F1944" s="89">
        <f>IF(E1944="AM",1,(IF(E1944="BE",2,(IF(E1944="GV",3,(IF(E1944="RA",4,(IF(E1944="RM",5,(IF(E1944="AC",1,(IF(E1944="AT",2,(IF(E1944="DS",3,(IF(E1944="IP",4,(IF(E1944="MA",5,(IF(E1944="PT",6,(IF(E1944="AE",1,(IF(E1944="CM",2,(IF(E1944="DP",3,(IF(E1944="AN",1,(IF(E1944="CO",2,(IF(E1944="IM",3,(IF(E1944="MI",4,(IF(E1944="RP",5,(IF(E1944="SC",6,0)))))))))))))))))))))))))))))))))))))))</f>
        <v>3</v>
      </c>
      <c r="G1944" s="52">
        <v>3</v>
      </c>
      <c r="H1944" s="90" t="s">
        <v>115</v>
      </c>
      <c r="I1944" s="94" t="s">
        <v>77</v>
      </c>
      <c r="J1944" s="87" t="s">
        <v>1362</v>
      </c>
      <c r="K1944" s="102" t="s">
        <v>2361</v>
      </c>
      <c r="L1944" s="117">
        <f>IF(O1944="","",N1944*O1944*M1944)</f>
        <v>0</v>
      </c>
      <c r="M1944" s="108">
        <v>1</v>
      </c>
      <c r="N1944" s="95">
        <v>1</v>
      </c>
      <c r="O1944" s="109">
        <f>IF(Key!D$1="ON",P1944,IF(SUM(Q1944:DL1944)&lt;1,"",SUM(Q1944:DL1944)/COUNTIF(Q1944:DL1944,"&gt;0")))</f>
        <v>0</v>
      </c>
      <c r="P1944" s="109">
        <f>SUMIFS(Q1944:DK1944,Q$1:DK$1,Dashboard!$K$31)</f>
        <v>0</v>
      </c>
      <c r="U1944" s="95">
        <v>33</v>
      </c>
      <c r="AA1944" s="95">
        <v>25</v>
      </c>
      <c r="AH1944" s="95">
        <v>75</v>
      </c>
    </row>
    <row r="1945" spans="1:34" ht="15.6" x14ac:dyDescent="0.3">
      <c r="A1945" s="89" t="str">
        <f>CONCATENATE(D1945,".",F1945,"-",G1945,".",H1945,"")</f>
        <v>2.3-3.1</v>
      </c>
      <c r="B1945" s="89" t="str">
        <f>IF(CONCATENATE(I1945,Key!F$2)=CONCATENATE(INDEX(Dashboard!J:J,MATCH(I1945,Dashboard!J:J,0),1),INDEX(Dashboard!J:K,MATCH(I1945,Dashboard!J:J,0),2)),"ON",IF(Dashboard!K$32="ALL","ON","-"))</f>
        <v>-</v>
      </c>
      <c r="C1945" s="88" t="s">
        <v>152</v>
      </c>
      <c r="D1945" s="89">
        <f>IF(C1945="ID",1,(IF(C1945="PR",2,(IF(C1945="DE",3,(IF(C1945="RS",4,(IF(C1945="RC",5,0)))))))))</f>
        <v>2</v>
      </c>
      <c r="E1945" s="89" t="s">
        <v>210</v>
      </c>
      <c r="F1945" s="89">
        <f>IF(E1945="AM",1,(IF(E1945="BE",2,(IF(E1945="GV",3,(IF(E1945="RA",4,(IF(E1945="RM",5,(IF(E1945="AC",1,(IF(E1945="AT",2,(IF(E1945="DS",3,(IF(E1945="IP",4,(IF(E1945="MA",5,(IF(E1945="PT",6,(IF(E1945="AE",1,(IF(E1945="CM",2,(IF(E1945="DP",3,(IF(E1945="AN",1,(IF(E1945="CO",2,(IF(E1945="IM",3,(IF(E1945="MI",4,(IF(E1945="RP",5,(IF(E1945="SC",6,0)))))))))))))))))))))))))))))))))))))))</f>
        <v>3</v>
      </c>
      <c r="G1945" s="52">
        <v>3</v>
      </c>
      <c r="H1945" s="90" t="s">
        <v>115</v>
      </c>
      <c r="I1945" s="94" t="s">
        <v>77</v>
      </c>
      <c r="J1945" s="87" t="s">
        <v>922</v>
      </c>
      <c r="K1945" s="102" t="s">
        <v>2011</v>
      </c>
      <c r="L1945" s="117">
        <f>IF(O1945="","",N1945*O1945*M1945)</f>
        <v>0</v>
      </c>
      <c r="M1945" s="108">
        <v>1</v>
      </c>
      <c r="N1945" s="95">
        <v>1</v>
      </c>
      <c r="O1945" s="109">
        <f>IF(Key!D$1="ON",P1945,IF(SUM(Q1945:DL1945)&lt;1,"",SUM(Q1945:DL1945)/COUNTIF(Q1945:DL1945,"&gt;0")))</f>
        <v>0</v>
      </c>
      <c r="P1945" s="109">
        <f>SUMIFS(Q1945:DK1945,Q$1:DK$1,Dashboard!$K$31)</f>
        <v>0</v>
      </c>
      <c r="U1945" s="95">
        <v>33</v>
      </c>
      <c r="AA1945" s="95">
        <v>25</v>
      </c>
      <c r="AH1945" s="95">
        <v>75</v>
      </c>
    </row>
    <row r="1946" spans="1:34" x14ac:dyDescent="0.3">
      <c r="A1946" s="89" t="str">
        <f>CONCATENATE(D1946,".",F1946,"-",G1946,".",H1946,"")</f>
        <v>2.3-3.1</v>
      </c>
      <c r="B1946" s="89" t="str">
        <f>IF(CONCATENATE(I1946,Key!F$2)=CONCATENATE(INDEX(Dashboard!J:J,MATCH(I1946,Dashboard!J:J,0),1),INDEX(Dashboard!J:K,MATCH(I1946,Dashboard!J:J,0),2)),"ON",IF(Dashboard!K$32="ALL","ON","-"))</f>
        <v>-</v>
      </c>
      <c r="C1946" s="96" t="s">
        <v>152</v>
      </c>
      <c r="D1946" s="89">
        <f>IF(C1946="ID",1,(IF(C1946="PR",2,(IF(C1946="DE",3,(IF(C1946="RS",4,(IF(C1946="RC",5,0)))))))))</f>
        <v>2</v>
      </c>
      <c r="E1946" s="89" t="s">
        <v>210</v>
      </c>
      <c r="F1946" s="89">
        <f>IF(E1946="AM",1,(IF(E1946="BE",2,(IF(E1946="GV",3,(IF(E1946="RA",4,(IF(E1946="RM",5,(IF(E1946="AC",1,(IF(E1946="AT",2,(IF(E1946="DS",3,(IF(E1946="IP",4,(IF(E1946="MA",5,(IF(E1946="PT",6,(IF(E1946="AE",1,(IF(E1946="CM",2,(IF(E1946="DP",3,(IF(E1946="AN",1,(IF(E1946="CO",2,(IF(E1946="IM",3,(IF(E1946="MI",4,(IF(E1946="RP",5,(IF(E1946="SC",6,0)))))))))))))))))))))))))))))))))))))))</f>
        <v>3</v>
      </c>
      <c r="G1946" s="98">
        <v>3</v>
      </c>
      <c r="H1946" s="90" t="s">
        <v>115</v>
      </c>
      <c r="I1946" s="94" t="s">
        <v>77</v>
      </c>
      <c r="J1946" s="87" t="s">
        <v>1363</v>
      </c>
      <c r="K1946" s="102" t="s">
        <v>2362</v>
      </c>
      <c r="L1946" s="117">
        <f>IF(O1946="","",N1946*O1946*M1946)</f>
        <v>0</v>
      </c>
      <c r="M1946" s="108">
        <v>1</v>
      </c>
      <c r="N1946" s="95">
        <v>1</v>
      </c>
      <c r="O1946" s="109">
        <f>IF(Key!D$1="ON",P1946,IF(SUM(Q1946:DL1946)&lt;1,"",SUM(Q1946:DL1946)/COUNTIF(Q1946:DL1946,"&gt;0")))</f>
        <v>0</v>
      </c>
      <c r="P1946" s="109">
        <f>SUMIFS(Q1946:DK1946,Q$1:DK$1,Dashboard!$K$31)</f>
        <v>0</v>
      </c>
      <c r="U1946" s="95">
        <v>33</v>
      </c>
      <c r="AA1946" s="95">
        <v>25</v>
      </c>
      <c r="AH1946" s="95">
        <v>75</v>
      </c>
    </row>
    <row r="1947" spans="1:34" x14ac:dyDescent="0.3">
      <c r="A1947" s="89" t="str">
        <f>CONCATENATE(D1947,".",F1947,"-",G1947,".",H1947,"")</f>
        <v>2.3-3.1</v>
      </c>
      <c r="B1947" s="89" t="str">
        <f>IF(CONCATENATE(I1947,Key!F$2)=CONCATENATE(INDEX(Dashboard!J:J,MATCH(I1947,Dashboard!J:J,0),1),INDEX(Dashboard!J:K,MATCH(I1947,Dashboard!J:J,0),2)),"ON",IF(Dashboard!K$32="ALL","ON","-"))</f>
        <v>-</v>
      </c>
      <c r="C1947" s="88" t="s">
        <v>152</v>
      </c>
      <c r="D1947" s="89">
        <f>IF(C1947="ID",1,(IF(C1947="PR",2,(IF(C1947="DE",3,(IF(C1947="RS",4,(IF(C1947="RC",5,0)))))))))</f>
        <v>2</v>
      </c>
      <c r="E1947" s="89" t="s">
        <v>210</v>
      </c>
      <c r="F1947" s="89">
        <f>IF(E1947="AM",1,(IF(E1947="BE",2,(IF(E1947="GV",3,(IF(E1947="RA",4,(IF(E1947="RM",5,(IF(E1947="AC",1,(IF(E1947="AT",2,(IF(E1947="DS",3,(IF(E1947="IP",4,(IF(E1947="MA",5,(IF(E1947="PT",6,(IF(E1947="AE",1,(IF(E1947="CM",2,(IF(E1947="DP",3,(IF(E1947="AN",1,(IF(E1947="CO",2,(IF(E1947="IM",3,(IF(E1947="MI",4,(IF(E1947="RP",5,(IF(E1947="SC",6,0)))))))))))))))))))))))))))))))))))))))</f>
        <v>3</v>
      </c>
      <c r="G1947" s="52">
        <v>3</v>
      </c>
      <c r="H1947" s="90" t="s">
        <v>115</v>
      </c>
      <c r="I1947" s="94" t="s">
        <v>77</v>
      </c>
      <c r="J1947" s="87" t="s">
        <v>1365</v>
      </c>
      <c r="K1947" s="102" t="s">
        <v>2363</v>
      </c>
      <c r="L1947" s="117">
        <f>IF(O1947="","",N1947*O1947*M1947)</f>
        <v>0</v>
      </c>
      <c r="M1947" s="108">
        <v>1</v>
      </c>
      <c r="N1947" s="95">
        <v>1</v>
      </c>
      <c r="O1947" s="109">
        <f>IF(Key!D$1="ON",P1947,IF(SUM(Q1947:DL1947)&lt;1,"",SUM(Q1947:DL1947)/COUNTIF(Q1947:DL1947,"&gt;0")))</f>
        <v>0</v>
      </c>
      <c r="P1947" s="109">
        <f>SUMIFS(Q1947:DK1947,Q$1:DK$1,Dashboard!$K$31)</f>
        <v>0</v>
      </c>
      <c r="U1947" s="95">
        <v>33</v>
      </c>
      <c r="AA1947" s="95">
        <v>25</v>
      </c>
      <c r="AH1947" s="95">
        <v>75</v>
      </c>
    </row>
    <row r="1948" spans="1:34" x14ac:dyDescent="0.3">
      <c r="A1948" s="89" t="str">
        <f>CONCATENATE(D1948,".",F1948,"-",G1948,".",H1948,"")</f>
        <v>2.3-3.1</v>
      </c>
      <c r="B1948" s="89" t="str">
        <f>IF(CONCATENATE(I1948,Key!F$2)=CONCATENATE(INDEX(Dashboard!J:J,MATCH(I1948,Dashboard!J:J,0),1),INDEX(Dashboard!J:K,MATCH(I1948,Dashboard!J:J,0),2)),"ON",IF(Dashboard!K$32="ALL","ON","-"))</f>
        <v>-</v>
      </c>
      <c r="C1948" s="88" t="s">
        <v>152</v>
      </c>
      <c r="D1948" s="89">
        <f>IF(C1948="ID",1,(IF(C1948="PR",2,(IF(C1948="DE",3,(IF(C1948="RS",4,(IF(C1948="RC",5,0)))))))))</f>
        <v>2</v>
      </c>
      <c r="E1948" s="89" t="s">
        <v>210</v>
      </c>
      <c r="F1948" s="89">
        <f>IF(E1948="AM",1,(IF(E1948="BE",2,(IF(E1948="GV",3,(IF(E1948="RA",4,(IF(E1948="RM",5,(IF(E1948="AC",1,(IF(E1948="AT",2,(IF(E1948="DS",3,(IF(E1948="IP",4,(IF(E1948="MA",5,(IF(E1948="PT",6,(IF(E1948="AE",1,(IF(E1948="CM",2,(IF(E1948="DP",3,(IF(E1948="AN",1,(IF(E1948="CO",2,(IF(E1948="IM",3,(IF(E1948="MI",4,(IF(E1948="RP",5,(IF(E1948="SC",6,0)))))))))))))))))))))))))))))))))))))))</f>
        <v>3</v>
      </c>
      <c r="G1948" s="52">
        <v>3</v>
      </c>
      <c r="H1948" s="90" t="s">
        <v>115</v>
      </c>
      <c r="I1948" s="94" t="s">
        <v>77</v>
      </c>
      <c r="J1948" s="87" t="s">
        <v>1366</v>
      </c>
      <c r="K1948" s="102" t="s">
        <v>2364</v>
      </c>
      <c r="L1948" s="117">
        <f>IF(O1948="","",N1948*O1948*M1948)</f>
        <v>0</v>
      </c>
      <c r="M1948" s="108">
        <v>1</v>
      </c>
      <c r="N1948" s="95">
        <v>1</v>
      </c>
      <c r="O1948" s="109">
        <f>IF(Key!D$1="ON",P1948,IF(SUM(Q1948:DL1948)&lt;1,"",SUM(Q1948:DL1948)/COUNTIF(Q1948:DL1948,"&gt;0")))</f>
        <v>0</v>
      </c>
      <c r="P1948" s="109">
        <f>SUMIFS(Q1948:DK1948,Q$1:DK$1,Dashboard!$K$31)</f>
        <v>0</v>
      </c>
      <c r="U1948" s="95">
        <v>33</v>
      </c>
      <c r="AA1948" s="95">
        <v>25</v>
      </c>
      <c r="AH1948" s="95">
        <v>75</v>
      </c>
    </row>
    <row r="1949" spans="1:34" x14ac:dyDescent="0.3">
      <c r="A1949" s="89" t="str">
        <f>CONCATENATE(D1949,".",F1949,"-",G1949,".",H1949,"")</f>
        <v>2.3-3.1</v>
      </c>
      <c r="B1949" s="89" t="str">
        <f>IF(CONCATENATE(I1949,Key!F$2)=CONCATENATE(INDEX(Dashboard!J:J,MATCH(I1949,Dashboard!J:J,0),1),INDEX(Dashboard!J:K,MATCH(I1949,Dashboard!J:J,0),2)),"ON",IF(Dashboard!K$32="ALL","ON","-"))</f>
        <v>-</v>
      </c>
      <c r="C1949" s="88" t="s">
        <v>152</v>
      </c>
      <c r="D1949" s="89">
        <f>IF(C1949="ID",1,(IF(C1949="PR",2,(IF(C1949="DE",3,(IF(C1949="RS",4,(IF(C1949="RC",5,0)))))))))</f>
        <v>2</v>
      </c>
      <c r="E1949" s="89" t="s">
        <v>210</v>
      </c>
      <c r="F1949" s="89">
        <f>IF(E1949="AM",1,(IF(E1949="BE",2,(IF(E1949="GV",3,(IF(E1949="RA",4,(IF(E1949="RM",5,(IF(E1949="AC",1,(IF(E1949="AT",2,(IF(E1949="DS",3,(IF(E1949="IP",4,(IF(E1949="MA",5,(IF(E1949="PT",6,(IF(E1949="AE",1,(IF(E1949="CM",2,(IF(E1949="DP",3,(IF(E1949="AN",1,(IF(E1949="CO",2,(IF(E1949="IM",3,(IF(E1949="MI",4,(IF(E1949="RP",5,(IF(E1949="SC",6,0)))))))))))))))))))))))))))))))))))))))</f>
        <v>3</v>
      </c>
      <c r="G1949" s="52">
        <v>3</v>
      </c>
      <c r="H1949" s="90" t="s">
        <v>115</v>
      </c>
      <c r="I1949" s="94" t="s">
        <v>77</v>
      </c>
      <c r="J1949" s="87" t="s">
        <v>1367</v>
      </c>
      <c r="K1949" s="102" t="s">
        <v>2365</v>
      </c>
      <c r="L1949" s="117">
        <f>IF(O1949="","",N1949*O1949*M1949)</f>
        <v>0</v>
      </c>
      <c r="M1949" s="108">
        <v>1</v>
      </c>
      <c r="N1949" s="95">
        <v>1</v>
      </c>
      <c r="O1949" s="109">
        <f>IF(Key!D$1="ON",P1949,IF(SUM(Q1949:DL1949)&lt;1,"",SUM(Q1949:DL1949)/COUNTIF(Q1949:DL1949,"&gt;0")))</f>
        <v>0</v>
      </c>
      <c r="P1949" s="109">
        <f>SUMIFS(Q1949:DK1949,Q$1:DK$1,Dashboard!$K$31)</f>
        <v>0</v>
      </c>
      <c r="U1949" s="95">
        <v>33</v>
      </c>
      <c r="AA1949" s="95">
        <v>25</v>
      </c>
      <c r="AH1949" s="95">
        <v>75</v>
      </c>
    </row>
    <row r="1950" spans="1:34" ht="15.6" x14ac:dyDescent="0.3">
      <c r="A1950" s="89" t="str">
        <f>CONCATENATE(D1950,".",F1950,"-",G1950,".",H1950,"")</f>
        <v>2.3-3.1</v>
      </c>
      <c r="B1950" s="89" t="str">
        <f>IF(CONCATENATE(I1950,Key!F$2)=CONCATENATE(INDEX(Dashboard!J:J,MATCH(I1950,Dashboard!J:J,0),1),INDEX(Dashboard!J:K,MATCH(I1950,Dashboard!J:J,0),2)),"ON",IF(Dashboard!K$32="ALL","ON","-"))</f>
        <v>-</v>
      </c>
      <c r="C1950" s="88" t="s">
        <v>152</v>
      </c>
      <c r="D1950" s="89">
        <f>IF(C1950="ID",1,(IF(C1950="PR",2,(IF(C1950="DE",3,(IF(C1950="RS",4,(IF(C1950="RC",5,0)))))))))</f>
        <v>2</v>
      </c>
      <c r="E1950" s="89" t="s">
        <v>210</v>
      </c>
      <c r="F1950" s="89">
        <f>IF(E1950="AM",1,(IF(E1950="BE",2,(IF(E1950="GV",3,(IF(E1950="RA",4,(IF(E1950="RM",5,(IF(E1950="AC",1,(IF(E1950="AT",2,(IF(E1950="DS",3,(IF(E1950="IP",4,(IF(E1950="MA",5,(IF(E1950="PT",6,(IF(E1950="AE",1,(IF(E1950="CM",2,(IF(E1950="DP",3,(IF(E1950="AN",1,(IF(E1950="CO",2,(IF(E1950="IM",3,(IF(E1950="MI",4,(IF(E1950="RP",5,(IF(E1950="SC",6,0)))))))))))))))))))))))))))))))))))))))</f>
        <v>3</v>
      </c>
      <c r="G1950" s="52">
        <v>3</v>
      </c>
      <c r="H1950" s="90" t="s">
        <v>115</v>
      </c>
      <c r="I1950" s="94" t="s">
        <v>77</v>
      </c>
      <c r="J1950" s="87" t="s">
        <v>1368</v>
      </c>
      <c r="K1950" s="102" t="s">
        <v>2366</v>
      </c>
      <c r="L1950" s="117">
        <f>IF(O1950="","",N1950*O1950*M1950)</f>
        <v>0</v>
      </c>
      <c r="M1950" s="108">
        <v>1</v>
      </c>
      <c r="N1950" s="95">
        <v>1</v>
      </c>
      <c r="O1950" s="109">
        <f>IF(Key!D$1="ON",P1950,IF(SUM(Q1950:DL1950)&lt;1,"",SUM(Q1950:DL1950)/COUNTIF(Q1950:DL1950,"&gt;0")))</f>
        <v>0</v>
      </c>
      <c r="P1950" s="109">
        <f>SUMIFS(Q1950:DK1950,Q$1:DK$1,Dashboard!$K$31)</f>
        <v>0</v>
      </c>
      <c r="U1950" s="95">
        <v>33</v>
      </c>
      <c r="AA1950" s="95">
        <v>25</v>
      </c>
      <c r="AH1950" s="95">
        <v>75</v>
      </c>
    </row>
    <row r="1951" spans="1:34" x14ac:dyDescent="0.3">
      <c r="A1951" s="89" t="str">
        <f>CONCATENATE(D1951,".",F1951,"-",G1951,".",H1951,"")</f>
        <v>2.3-3.1</v>
      </c>
      <c r="B1951" s="89" t="str">
        <f>IF(CONCATENATE(I1951,Key!F$2)=CONCATENATE(INDEX(Dashboard!J:J,MATCH(I1951,Dashboard!J:J,0),1),INDEX(Dashboard!J:K,MATCH(I1951,Dashboard!J:J,0),2)),"ON",IF(Dashboard!K$32="ALL","ON","-"))</f>
        <v>-</v>
      </c>
      <c r="C1951" s="88" t="s">
        <v>152</v>
      </c>
      <c r="D1951" s="89">
        <f>IF(C1951="ID",1,(IF(C1951="PR",2,(IF(C1951="DE",3,(IF(C1951="RS",4,(IF(C1951="RC",5,0)))))))))</f>
        <v>2</v>
      </c>
      <c r="E1951" s="89" t="s">
        <v>210</v>
      </c>
      <c r="F1951" s="89">
        <f>IF(E1951="AM",1,(IF(E1951="BE",2,(IF(E1951="GV",3,(IF(E1951="RA",4,(IF(E1951="RM",5,(IF(E1951="AC",1,(IF(E1951="AT",2,(IF(E1951="DS",3,(IF(E1951="IP",4,(IF(E1951="MA",5,(IF(E1951="PT",6,(IF(E1951="AE",1,(IF(E1951="CM",2,(IF(E1951="DP",3,(IF(E1951="AN",1,(IF(E1951="CO",2,(IF(E1951="IM",3,(IF(E1951="MI",4,(IF(E1951="RP",5,(IF(E1951="SC",6,0)))))))))))))))))))))))))))))))))))))))</f>
        <v>3</v>
      </c>
      <c r="G1951" s="52">
        <v>3</v>
      </c>
      <c r="H1951" s="90" t="s">
        <v>115</v>
      </c>
      <c r="I1951" s="94" t="s">
        <v>77</v>
      </c>
      <c r="J1951" s="87" t="s">
        <v>1369</v>
      </c>
      <c r="K1951" s="102" t="s">
        <v>2367</v>
      </c>
      <c r="L1951" s="117">
        <f>IF(O1951="","",N1951*O1951*M1951)</f>
        <v>0</v>
      </c>
      <c r="M1951" s="108">
        <v>1</v>
      </c>
      <c r="N1951" s="95">
        <v>1</v>
      </c>
      <c r="O1951" s="109">
        <f>IF(Key!D$1="ON",P1951,IF(SUM(Q1951:DL1951)&lt;1,"",SUM(Q1951:DL1951)/COUNTIF(Q1951:DL1951,"&gt;0")))</f>
        <v>0</v>
      </c>
      <c r="P1951" s="109">
        <f>SUMIFS(Q1951:DK1951,Q$1:DK$1,Dashboard!$K$31)</f>
        <v>0</v>
      </c>
      <c r="U1951" s="95">
        <v>33</v>
      </c>
      <c r="AA1951" s="95">
        <v>25</v>
      </c>
      <c r="AH1951" s="95">
        <v>75</v>
      </c>
    </row>
    <row r="1952" spans="1:34" x14ac:dyDescent="0.3">
      <c r="A1952" s="89" t="str">
        <f>CONCATENATE(D1952,".",F1952,"-",G1952,".",H1952,"")</f>
        <v>2.3-3.1</v>
      </c>
      <c r="B1952" s="89" t="str">
        <f>IF(CONCATENATE(I1952,Key!F$2)=CONCATENATE(INDEX(Dashboard!J:J,MATCH(I1952,Dashboard!J:J,0),1),INDEX(Dashboard!J:K,MATCH(I1952,Dashboard!J:J,0),2)),"ON",IF(Dashboard!K$32="ALL","ON","-"))</f>
        <v>-</v>
      </c>
      <c r="C1952" s="96" t="s">
        <v>152</v>
      </c>
      <c r="D1952" s="89">
        <f>IF(C1952="ID",1,(IF(C1952="PR",2,(IF(C1952="DE",3,(IF(C1952="RS",4,(IF(C1952="RC",5,0)))))))))</f>
        <v>2</v>
      </c>
      <c r="E1952" s="89" t="s">
        <v>210</v>
      </c>
      <c r="F1952" s="89">
        <f>IF(E1952="AM",1,(IF(E1952="BE",2,(IF(E1952="GV",3,(IF(E1952="RA",4,(IF(E1952="RM",5,(IF(E1952="AC",1,(IF(E1952="AT",2,(IF(E1952="DS",3,(IF(E1952="IP",4,(IF(E1952="MA",5,(IF(E1952="PT",6,(IF(E1952="AE",1,(IF(E1952="CM",2,(IF(E1952="DP",3,(IF(E1952="AN",1,(IF(E1952="CO",2,(IF(E1952="IM",3,(IF(E1952="MI",4,(IF(E1952="RP",5,(IF(E1952="SC",6,0)))))))))))))))))))))))))))))))))))))))</f>
        <v>3</v>
      </c>
      <c r="G1952" s="98">
        <v>3</v>
      </c>
      <c r="H1952" s="90" t="s">
        <v>115</v>
      </c>
      <c r="I1952" s="94" t="s">
        <v>77</v>
      </c>
      <c r="J1952" s="87" t="s">
        <v>1370</v>
      </c>
      <c r="K1952" s="102" t="s">
        <v>2368</v>
      </c>
      <c r="L1952" s="117">
        <f>IF(O1952="","",N1952*O1952*M1952)</f>
        <v>0</v>
      </c>
      <c r="M1952" s="108">
        <v>1</v>
      </c>
      <c r="N1952" s="95">
        <v>1</v>
      </c>
      <c r="O1952" s="109">
        <f>IF(Key!D$1="ON",P1952,IF(SUM(Q1952:DL1952)&lt;1,"",SUM(Q1952:DL1952)/COUNTIF(Q1952:DL1952,"&gt;0")))</f>
        <v>0</v>
      </c>
      <c r="P1952" s="109">
        <f>SUMIFS(Q1952:DK1952,Q$1:DK$1,Dashboard!$K$31)</f>
        <v>0</v>
      </c>
      <c r="U1952" s="95">
        <v>33</v>
      </c>
      <c r="AA1952" s="95">
        <v>25</v>
      </c>
      <c r="AH1952" s="95">
        <v>75</v>
      </c>
    </row>
    <row r="1953" spans="1:34" ht="15.6" x14ac:dyDescent="0.3">
      <c r="A1953" s="89" t="str">
        <f>CONCATENATE(D1953,".",F1953,"-",G1953,".",H1953,"")</f>
        <v>2.3-3.1</v>
      </c>
      <c r="B1953" s="89" t="str">
        <f>IF(CONCATENATE(I1953,Key!F$2)=CONCATENATE(INDEX(Dashboard!J:J,MATCH(I1953,Dashboard!J:J,0),1),INDEX(Dashboard!J:K,MATCH(I1953,Dashboard!J:J,0),2)),"ON",IF(Dashboard!K$32="ALL","ON","-"))</f>
        <v>-</v>
      </c>
      <c r="C1953" s="88" t="s">
        <v>152</v>
      </c>
      <c r="D1953" s="89">
        <f>IF(C1953="ID",1,(IF(C1953="PR",2,(IF(C1953="DE",3,(IF(C1953="RS",4,(IF(C1953="RC",5,0)))))))))</f>
        <v>2</v>
      </c>
      <c r="E1953" s="89" t="s">
        <v>210</v>
      </c>
      <c r="F1953" s="89">
        <f>IF(E1953="AM",1,(IF(E1953="BE",2,(IF(E1953="GV",3,(IF(E1953="RA",4,(IF(E1953="RM",5,(IF(E1953="AC",1,(IF(E1953="AT",2,(IF(E1953="DS",3,(IF(E1953="IP",4,(IF(E1953="MA",5,(IF(E1953="PT",6,(IF(E1953="AE",1,(IF(E1953="CM",2,(IF(E1953="DP",3,(IF(E1953="AN",1,(IF(E1953="CO",2,(IF(E1953="IM",3,(IF(E1953="MI",4,(IF(E1953="RP",5,(IF(E1953="SC",6,0)))))))))))))))))))))))))))))))))))))))</f>
        <v>3</v>
      </c>
      <c r="G1953" s="52">
        <v>3</v>
      </c>
      <c r="H1953" s="90" t="s">
        <v>115</v>
      </c>
      <c r="I1953" s="94" t="s">
        <v>77</v>
      </c>
      <c r="J1953" s="87" t="s">
        <v>1372</v>
      </c>
      <c r="K1953" s="102" t="s">
        <v>2369</v>
      </c>
      <c r="L1953" s="117">
        <f>IF(O1953="","",N1953*O1953*M1953)</f>
        <v>0</v>
      </c>
      <c r="M1953" s="108">
        <v>1</v>
      </c>
      <c r="N1953" s="95">
        <v>1</v>
      </c>
      <c r="O1953" s="109">
        <f>IF(Key!D$1="ON",P1953,IF(SUM(Q1953:DL1953)&lt;1,"",SUM(Q1953:DL1953)/COUNTIF(Q1953:DL1953,"&gt;0")))</f>
        <v>0</v>
      </c>
      <c r="P1953" s="109">
        <f>SUMIFS(Q1953:DK1953,Q$1:DK$1,Dashboard!$K$31)</f>
        <v>0</v>
      </c>
      <c r="U1953" s="95">
        <v>33</v>
      </c>
      <c r="AA1953" s="95">
        <v>25</v>
      </c>
      <c r="AH1953" s="95">
        <v>75</v>
      </c>
    </row>
    <row r="1954" spans="1:34" x14ac:dyDescent="0.3">
      <c r="A1954" s="89" t="str">
        <f>CONCATENATE(D1954,".",F1954,"-",G1954,".",H1954,"")</f>
        <v>2.3-3.1</v>
      </c>
      <c r="B1954" s="89" t="str">
        <f>IF(CONCATENATE(I1954,Key!F$2)=CONCATENATE(INDEX(Dashboard!J:J,MATCH(I1954,Dashboard!J:J,0),1),INDEX(Dashboard!J:K,MATCH(I1954,Dashboard!J:J,0),2)),"ON",IF(Dashboard!K$32="ALL","ON","-"))</f>
        <v>-</v>
      </c>
      <c r="C1954" s="88" t="s">
        <v>152</v>
      </c>
      <c r="D1954" s="89">
        <f>IF(C1954="ID",1,(IF(C1954="PR",2,(IF(C1954="DE",3,(IF(C1954="RS",4,(IF(C1954="RC",5,0)))))))))</f>
        <v>2</v>
      </c>
      <c r="E1954" s="89" t="s">
        <v>210</v>
      </c>
      <c r="F1954" s="89">
        <f>IF(E1954="AM",1,(IF(E1954="BE",2,(IF(E1954="GV",3,(IF(E1954="RA",4,(IF(E1954="RM",5,(IF(E1954="AC",1,(IF(E1954="AT",2,(IF(E1954="DS",3,(IF(E1954="IP",4,(IF(E1954="MA",5,(IF(E1954="PT",6,(IF(E1954="AE",1,(IF(E1954="CM",2,(IF(E1954="DP",3,(IF(E1954="AN",1,(IF(E1954="CO",2,(IF(E1954="IM",3,(IF(E1954="MI",4,(IF(E1954="RP",5,(IF(E1954="SC",6,0)))))))))))))))))))))))))))))))))))))))</f>
        <v>3</v>
      </c>
      <c r="G1954" s="98">
        <v>3</v>
      </c>
      <c r="H1954" s="90" t="s">
        <v>115</v>
      </c>
      <c r="I1954" s="94" t="s">
        <v>81</v>
      </c>
      <c r="J1954" s="129" t="s">
        <v>1974</v>
      </c>
      <c r="K1954" s="103" t="s">
        <v>1975</v>
      </c>
      <c r="L1954" s="117">
        <f>IF(O1954="","",N1954*O1954*M1954)</f>
        <v>0</v>
      </c>
      <c r="M1954" s="108">
        <v>1</v>
      </c>
      <c r="N1954" s="95">
        <v>1</v>
      </c>
      <c r="O1954" s="109">
        <f>IF(Key!D$1="ON",P1954,IF(SUM(Q1954:DL1954)&lt;1,"",SUM(Q1954:DL1954)/COUNTIF(Q1954:DL1954,"&gt;0")))</f>
        <v>0</v>
      </c>
      <c r="P1954" s="109">
        <f>SUMIFS(Q1954:DK1954,Q$1:DK$1,Dashboard!$K$31)</f>
        <v>0</v>
      </c>
      <c r="U1954" s="95">
        <v>33</v>
      </c>
      <c r="AA1954" s="95">
        <v>25</v>
      </c>
      <c r="AH1954" s="95">
        <v>75</v>
      </c>
    </row>
    <row r="1955" spans="1:34" x14ac:dyDescent="0.3">
      <c r="A1955" s="89" t="str">
        <f>CONCATENATE(D1955,".",F1955,"-",G1955,".",H1955,"")</f>
        <v>2.3-3.1</v>
      </c>
      <c r="B1955" s="89" t="str">
        <f>IF(CONCATENATE(I1955,Key!F$2)=CONCATENATE(INDEX(Dashboard!J:J,MATCH(I1955,Dashboard!J:J,0),1),INDEX(Dashboard!J:K,MATCH(I1955,Dashboard!J:J,0),2)),"ON",IF(Dashboard!K$32="ALL","ON","-"))</f>
        <v>-</v>
      </c>
      <c r="C1955" s="88" t="s">
        <v>152</v>
      </c>
      <c r="D1955" s="89">
        <f>IF(C1955="ID",1,(IF(C1955="PR",2,(IF(C1955="DE",3,(IF(C1955="RS",4,(IF(C1955="RC",5,0)))))))))</f>
        <v>2</v>
      </c>
      <c r="E1955" s="89" t="s">
        <v>210</v>
      </c>
      <c r="F1955" s="89">
        <f>IF(E1955="AM",1,(IF(E1955="BE",2,(IF(E1955="GV",3,(IF(E1955="RA",4,(IF(E1955="RM",5,(IF(E1955="AC",1,(IF(E1955="AT",2,(IF(E1955="DS",3,(IF(E1955="IP",4,(IF(E1955="MA",5,(IF(E1955="PT",6,(IF(E1955="AE",1,(IF(E1955="CM",2,(IF(E1955="DP",3,(IF(E1955="AN",1,(IF(E1955="CO",2,(IF(E1955="IM",3,(IF(E1955="MI",4,(IF(E1955="RP",5,(IF(E1955="SC",6,0)))))))))))))))))))))))))))))))))))))))</f>
        <v>3</v>
      </c>
      <c r="G1955" s="52">
        <v>3</v>
      </c>
      <c r="H1955" s="90" t="s">
        <v>115</v>
      </c>
      <c r="I1955" s="94" t="s">
        <v>85</v>
      </c>
      <c r="J1955" s="135" t="s">
        <v>3933</v>
      </c>
      <c r="K1955" s="143" t="s">
        <v>3934</v>
      </c>
      <c r="L1955" s="117">
        <f>IF(O1955="","",N1955*O1955*M1955)</f>
        <v>0</v>
      </c>
      <c r="M1955" s="108">
        <v>1</v>
      </c>
      <c r="N1955" s="95">
        <v>1</v>
      </c>
      <c r="O1955" s="109">
        <f>IF(Key!D$1="ON",P1955,IF(SUM(Q1955:DL1955)&lt;1,"",SUM(Q1955:DL1955)/COUNTIF(Q1955:DL1955,"&gt;0")))</f>
        <v>0</v>
      </c>
      <c r="P1955" s="109">
        <f>SUMIFS(Q1955:DK1955,Q$1:DK$1,Dashboard!$K$31)</f>
        <v>0</v>
      </c>
      <c r="U1955" s="95">
        <v>33</v>
      </c>
      <c r="AA1955" s="95">
        <v>25</v>
      </c>
      <c r="AH1955" s="95">
        <v>75</v>
      </c>
    </row>
    <row r="1956" spans="1:34" x14ac:dyDescent="0.3">
      <c r="A1956" s="89" t="str">
        <f>CONCATENATE(D1956,".",F1956,"-",G1956,".",H1956,"")</f>
        <v>2.3-3.1</v>
      </c>
      <c r="B1956" s="89" t="str">
        <f>IF(CONCATENATE(I1956,Key!F$2)=CONCATENATE(INDEX(Dashboard!J:J,MATCH(I1956,Dashboard!J:J,0),1),INDEX(Dashboard!J:K,MATCH(I1956,Dashboard!J:J,0),2)),"ON",IF(Dashboard!K$32="ALL","ON","-"))</f>
        <v>-</v>
      </c>
      <c r="C1956" s="88" t="s">
        <v>152</v>
      </c>
      <c r="D1956" s="89">
        <f>IF(C1956="ID",1,(IF(C1956="PR",2,(IF(C1956="DE",3,(IF(C1956="RS",4,(IF(C1956="RC",5,0)))))))))</f>
        <v>2</v>
      </c>
      <c r="E1956" s="89" t="s">
        <v>210</v>
      </c>
      <c r="F1956" s="89">
        <f>IF(E1956="AM",1,(IF(E1956="BE",2,(IF(E1956="GV",3,(IF(E1956="RA",4,(IF(E1956="RM",5,(IF(E1956="AC",1,(IF(E1956="AT",2,(IF(E1956="DS",3,(IF(E1956="IP",4,(IF(E1956="MA",5,(IF(E1956="PT",6,(IF(E1956="AE",1,(IF(E1956="CM",2,(IF(E1956="DP",3,(IF(E1956="AN",1,(IF(E1956="CO",2,(IF(E1956="IM",3,(IF(E1956="MI",4,(IF(E1956="RP",5,(IF(E1956="SC",6,0)))))))))))))))))))))))))))))))))))))))</f>
        <v>3</v>
      </c>
      <c r="G1956" s="52">
        <v>3</v>
      </c>
      <c r="H1956" s="90" t="s">
        <v>115</v>
      </c>
      <c r="I1956" s="94" t="s">
        <v>85</v>
      </c>
      <c r="J1956" s="87" t="s">
        <v>949</v>
      </c>
      <c r="K1956" s="119" t="s">
        <v>4698</v>
      </c>
      <c r="L1956" s="117">
        <f>IF(O1956="","",N1956*O1956*M1956)</f>
        <v>0</v>
      </c>
      <c r="M1956" s="108">
        <v>1</v>
      </c>
      <c r="N1956" s="95">
        <v>1</v>
      </c>
      <c r="O1956" s="109">
        <f>IF(Key!D$1="ON",P1956,IF(SUM(Q1956:DL1956)&lt;1,"",SUM(Q1956:DL1956)/COUNTIF(Q1956:DL1956,"&gt;0")))</f>
        <v>0</v>
      </c>
      <c r="P1956" s="109">
        <f>SUMIFS(Q1956:DK1956,Q$1:DK$1,Dashboard!$K$31)</f>
        <v>0</v>
      </c>
      <c r="U1956" s="95">
        <v>33</v>
      </c>
      <c r="AA1956" s="95">
        <v>25</v>
      </c>
      <c r="AH1956" s="95">
        <v>75</v>
      </c>
    </row>
    <row r="1957" spans="1:34" x14ac:dyDescent="0.3">
      <c r="A1957" s="89" t="str">
        <f>CONCATENATE(D1957,".",F1957,"-",G1957,".",H1957,"")</f>
        <v>2.3-3.1</v>
      </c>
      <c r="B1957" s="89" t="str">
        <f>IF(CONCATENATE(I1957,Key!F$2)=CONCATENATE(INDEX(Dashboard!J:J,MATCH(I1957,Dashboard!J:J,0),1),INDEX(Dashboard!J:K,MATCH(I1957,Dashboard!J:J,0),2)),"ON",IF(Dashboard!K$32="ALL","ON","-"))</f>
        <v>-</v>
      </c>
      <c r="C1957" s="88" t="s">
        <v>152</v>
      </c>
      <c r="D1957" s="89">
        <f>IF(C1957="ID",1,(IF(C1957="PR",2,(IF(C1957="DE",3,(IF(C1957="RS",4,(IF(C1957="RC",5,0)))))))))</f>
        <v>2</v>
      </c>
      <c r="E1957" s="89" t="s">
        <v>210</v>
      </c>
      <c r="F1957" s="89">
        <f>IF(E1957="AM",1,(IF(E1957="BE",2,(IF(E1957="GV",3,(IF(E1957="RA",4,(IF(E1957="RM",5,(IF(E1957="AC",1,(IF(E1957="AT",2,(IF(E1957="DS",3,(IF(E1957="IP",4,(IF(E1957="MA",5,(IF(E1957="PT",6,(IF(E1957="AE",1,(IF(E1957="CM",2,(IF(E1957="DP",3,(IF(E1957="AN",1,(IF(E1957="CO",2,(IF(E1957="IM",3,(IF(E1957="MI",4,(IF(E1957="RP",5,(IF(E1957="SC",6,0)))))))))))))))))))))))))))))))))))))))</f>
        <v>3</v>
      </c>
      <c r="G1957" s="98">
        <v>3</v>
      </c>
      <c r="H1957" s="90" t="s">
        <v>115</v>
      </c>
      <c r="I1957" s="94" t="s">
        <v>85</v>
      </c>
      <c r="J1957" s="86" t="s">
        <v>905</v>
      </c>
      <c r="K1957" s="119" t="s">
        <v>906</v>
      </c>
      <c r="L1957" s="117">
        <f>IF(O1957="","",N1957*O1957*M1957)</f>
        <v>0</v>
      </c>
      <c r="M1957" s="108">
        <v>1</v>
      </c>
      <c r="N1957" s="95">
        <v>1</v>
      </c>
      <c r="O1957" s="109">
        <f>IF(Key!D$1="ON",P1957,IF(SUM(Q1957:DL1957)&lt;1,"",SUM(Q1957:DL1957)/COUNTIF(Q1957:DL1957,"&gt;0")))</f>
        <v>0</v>
      </c>
      <c r="P1957" s="109">
        <f>SUMIFS(Q1957:DK1957,Q$1:DK$1,Dashboard!$K$31)</f>
        <v>0</v>
      </c>
      <c r="U1957" s="95">
        <v>33</v>
      </c>
      <c r="AA1957" s="95">
        <v>25</v>
      </c>
      <c r="AH1957" s="95">
        <v>75</v>
      </c>
    </row>
    <row r="1958" spans="1:34" x14ac:dyDescent="0.3">
      <c r="A1958" s="89" t="str">
        <f>CONCATENATE(D1958,".",F1958,"-",G1958,".",H1958,"")</f>
        <v>2.3-3.1</v>
      </c>
      <c r="B1958" s="89" t="str">
        <f>IF(CONCATENATE(I1958,Key!F$2)=CONCATENATE(INDEX(Dashboard!J:J,MATCH(I1958,Dashboard!J:J,0),1),INDEX(Dashboard!J:K,MATCH(I1958,Dashboard!J:J,0),2)),"ON",IF(Dashboard!K$32="ALL","ON","-"))</f>
        <v>-</v>
      </c>
      <c r="C1958" s="88" t="s">
        <v>152</v>
      </c>
      <c r="D1958" s="89">
        <f>IF(C1958="ID",1,(IF(C1958="PR",2,(IF(C1958="DE",3,(IF(C1958="RS",4,(IF(C1958="RC",5,0)))))))))</f>
        <v>2</v>
      </c>
      <c r="E1958" s="89" t="s">
        <v>210</v>
      </c>
      <c r="F1958" s="89">
        <f>IF(E1958="AM",1,(IF(E1958="BE",2,(IF(E1958="GV",3,(IF(E1958="RA",4,(IF(E1958="RM",5,(IF(E1958="AC",1,(IF(E1958="AT",2,(IF(E1958="DS",3,(IF(E1958="IP",4,(IF(E1958="MA",5,(IF(E1958="PT",6,(IF(E1958="AE",1,(IF(E1958="CM",2,(IF(E1958="DP",3,(IF(E1958="AN",1,(IF(E1958="CO",2,(IF(E1958="IM",3,(IF(E1958="MI",4,(IF(E1958="RP",5,(IF(E1958="SC",6,0)))))))))))))))))))))))))))))))))))))))</f>
        <v>3</v>
      </c>
      <c r="G1958" s="52">
        <v>3</v>
      </c>
      <c r="H1958" s="89">
        <v>1</v>
      </c>
      <c r="I1958" s="94" t="s">
        <v>85</v>
      </c>
      <c r="J1958" s="86" t="s">
        <v>867</v>
      </c>
      <c r="K1958" s="119" t="s">
        <v>5158</v>
      </c>
      <c r="L1958" s="117">
        <f>IF(O1958="","",N1958*O1958*M1958)</f>
        <v>0</v>
      </c>
      <c r="M1958" s="108">
        <v>1</v>
      </c>
      <c r="N1958" s="95">
        <v>1</v>
      </c>
      <c r="O1958" s="109">
        <f>IF(Key!D$1="ON",P1958,IF(SUM(Q1958:DL1958)&lt;1,"",SUM(Q1958:DL1958)/COUNTIF(Q1958:DL1958,"&gt;0")))</f>
        <v>0</v>
      </c>
      <c r="P1958" s="109">
        <f>SUMIFS(Q1958:DK1958,Q$1:DK$1,Dashboard!$K$31)</f>
        <v>0</v>
      </c>
      <c r="U1958" s="95">
        <v>33</v>
      </c>
      <c r="AA1958" s="95">
        <v>25</v>
      </c>
      <c r="AH1958" s="95">
        <v>75</v>
      </c>
    </row>
    <row r="1959" spans="1:34" x14ac:dyDescent="0.3">
      <c r="A1959" s="89" t="str">
        <f>CONCATENATE(D1959,".",F1959,"-",G1959,".",H1959,"")</f>
        <v>2.3-3.1</v>
      </c>
      <c r="B1959" s="89" t="str">
        <f>IF(CONCATENATE(I1959,Key!F$2)=CONCATENATE(INDEX(Dashboard!J:J,MATCH(I1959,Dashboard!J:J,0),1),INDEX(Dashboard!J:K,MATCH(I1959,Dashboard!J:J,0),2)),"ON",IF(Dashboard!K$32="ALL","ON","-"))</f>
        <v>-</v>
      </c>
      <c r="C1959" s="88" t="s">
        <v>152</v>
      </c>
      <c r="D1959" s="89">
        <f>IF(C1959="ID",1,(IF(C1959="PR",2,(IF(C1959="DE",3,(IF(C1959="RS",4,(IF(C1959="RC",5,0)))))))))</f>
        <v>2</v>
      </c>
      <c r="E1959" s="89" t="s">
        <v>210</v>
      </c>
      <c r="F1959" s="89">
        <f>IF(E1959="AM",1,(IF(E1959="BE",2,(IF(E1959="GV",3,(IF(E1959="RA",4,(IF(E1959="RM",5,(IF(E1959="AC",1,(IF(E1959="AT",2,(IF(E1959="DS",3,(IF(E1959="IP",4,(IF(E1959="MA",5,(IF(E1959="PT",6,(IF(E1959="AE",1,(IF(E1959="CM",2,(IF(E1959="DP",3,(IF(E1959="AN",1,(IF(E1959="CO",2,(IF(E1959="IM",3,(IF(E1959="MI",4,(IF(E1959="RP",5,(IF(E1959="SC",6,0)))))))))))))))))))))))))))))))))))))))</f>
        <v>3</v>
      </c>
      <c r="G1959" s="52">
        <v>3</v>
      </c>
      <c r="H1959" s="90" t="s">
        <v>115</v>
      </c>
      <c r="I1959" s="94" t="s">
        <v>85</v>
      </c>
      <c r="J1959" s="87" t="s">
        <v>1361</v>
      </c>
      <c r="K1959" s="119" t="s">
        <v>4699</v>
      </c>
      <c r="L1959" s="117">
        <f>IF(O1959="","",N1959*O1959*M1959)</f>
        <v>0</v>
      </c>
      <c r="M1959" s="108">
        <v>1</v>
      </c>
      <c r="N1959" s="95">
        <v>1</v>
      </c>
      <c r="O1959" s="109">
        <f>IF(Key!D$1="ON",P1959,IF(SUM(Q1959:DL1959)&lt;1,"",SUM(Q1959:DL1959)/COUNTIF(Q1959:DL1959,"&gt;0")))</f>
        <v>0</v>
      </c>
      <c r="P1959" s="109">
        <f>SUMIFS(Q1959:DK1959,Q$1:DK$1,Dashboard!$K$31)</f>
        <v>0</v>
      </c>
      <c r="U1959" s="95">
        <v>33</v>
      </c>
      <c r="AA1959" s="95">
        <v>25</v>
      </c>
      <c r="AH1959" s="95">
        <v>75</v>
      </c>
    </row>
    <row r="1960" spans="1:34" ht="15.6" x14ac:dyDescent="0.3">
      <c r="A1960" s="89" t="str">
        <f>CONCATENATE(D1960,".",F1960,"-",G1960,".",H1960,"")</f>
        <v>2.3-3.1</v>
      </c>
      <c r="B1960" s="89" t="str">
        <f>IF(CONCATENATE(I1960,Key!F$2)=CONCATENATE(INDEX(Dashboard!J:J,MATCH(I1960,Dashboard!J:J,0),1),INDEX(Dashboard!J:K,MATCH(I1960,Dashboard!J:J,0),2)),"ON",IF(Dashboard!K$32="ALL","ON","-"))</f>
        <v>-</v>
      </c>
      <c r="C1960" s="88" t="s">
        <v>152</v>
      </c>
      <c r="D1960" s="89">
        <f>IF(C1960="ID",1,(IF(C1960="PR",2,(IF(C1960="DE",3,(IF(C1960="RS",4,(IF(C1960="RC",5,0)))))))))</f>
        <v>2</v>
      </c>
      <c r="E1960" s="89" t="s">
        <v>210</v>
      </c>
      <c r="F1960" s="89">
        <f>IF(E1960="AM",1,(IF(E1960="BE",2,(IF(E1960="GV",3,(IF(E1960="RA",4,(IF(E1960="RM",5,(IF(E1960="AC",1,(IF(E1960="AT",2,(IF(E1960="DS",3,(IF(E1960="IP",4,(IF(E1960="MA",5,(IF(E1960="PT",6,(IF(E1960="AE",1,(IF(E1960="CM",2,(IF(E1960="DP",3,(IF(E1960="AN",1,(IF(E1960="CO",2,(IF(E1960="IM",3,(IF(E1960="MI",4,(IF(E1960="RP",5,(IF(E1960="SC",6,0)))))))))))))))))))))))))))))))))))))))</f>
        <v>3</v>
      </c>
      <c r="G1960" s="52">
        <v>3</v>
      </c>
      <c r="H1960" s="90" t="s">
        <v>115</v>
      </c>
      <c r="I1960" s="94" t="s">
        <v>85</v>
      </c>
      <c r="J1960" s="87" t="s">
        <v>922</v>
      </c>
      <c r="K1960" s="119" t="s">
        <v>4702</v>
      </c>
      <c r="L1960" s="117">
        <f>IF(O1960="","",N1960*O1960*M1960)</f>
        <v>0</v>
      </c>
      <c r="M1960" s="108">
        <v>1</v>
      </c>
      <c r="N1960" s="95">
        <v>1</v>
      </c>
      <c r="O1960" s="109">
        <f>IF(Key!D$1="ON",P1960,IF(SUM(Q1960:DL1960)&lt;1,"",SUM(Q1960:DL1960)/COUNTIF(Q1960:DL1960,"&gt;0")))</f>
        <v>0</v>
      </c>
      <c r="P1960" s="109">
        <f>SUMIFS(Q1960:DK1960,Q$1:DK$1,Dashboard!$K$31)</f>
        <v>0</v>
      </c>
      <c r="U1960" s="95">
        <v>33</v>
      </c>
      <c r="AA1960" s="95">
        <v>25</v>
      </c>
      <c r="AH1960" s="95">
        <v>75</v>
      </c>
    </row>
    <row r="1961" spans="1:34" x14ac:dyDescent="0.3">
      <c r="A1961" s="89" t="str">
        <f>CONCATENATE(D1961,".",F1961,"-",G1961,".",H1961,"")</f>
        <v>2.3-3.1</v>
      </c>
      <c r="B1961" s="89" t="str">
        <f>IF(CONCATENATE(I1961,Key!F$2)=CONCATENATE(INDEX(Dashboard!J:J,MATCH(I1961,Dashboard!J:J,0),1),INDEX(Dashboard!J:K,MATCH(I1961,Dashboard!J:J,0),2)),"ON",IF(Dashboard!K$32="ALL","ON","-"))</f>
        <v>-</v>
      </c>
      <c r="C1961" s="88" t="s">
        <v>152</v>
      </c>
      <c r="D1961" s="89">
        <f>IF(C1961="ID",1,(IF(C1961="PR",2,(IF(C1961="DE",3,(IF(C1961="RS",4,(IF(C1961="RC",5,0)))))))))</f>
        <v>2</v>
      </c>
      <c r="E1961" s="89" t="s">
        <v>210</v>
      </c>
      <c r="F1961" s="89">
        <f>IF(E1961="AM",1,(IF(E1961="BE",2,(IF(E1961="GV",3,(IF(E1961="RA",4,(IF(E1961="RM",5,(IF(E1961="AC",1,(IF(E1961="AT",2,(IF(E1961="DS",3,(IF(E1961="IP",4,(IF(E1961="MA",5,(IF(E1961="PT",6,(IF(E1961="AE",1,(IF(E1961="CM",2,(IF(E1961="DP",3,(IF(E1961="AN",1,(IF(E1961="CO",2,(IF(E1961="IM",3,(IF(E1961="MI",4,(IF(E1961="RP",5,(IF(E1961="SC",6,0)))))))))))))))))))))))))))))))))))))))</f>
        <v>3</v>
      </c>
      <c r="G1961" s="52">
        <v>3</v>
      </c>
      <c r="H1961" s="90" t="s">
        <v>115</v>
      </c>
      <c r="I1961" s="94" t="s">
        <v>85</v>
      </c>
      <c r="J1961" s="87" t="s">
        <v>1357</v>
      </c>
      <c r="K1961" s="119" t="s">
        <v>4630</v>
      </c>
      <c r="L1961" s="117">
        <f>IF(O1961="","",N1961*O1961*M1961)</f>
        <v>0</v>
      </c>
      <c r="M1961" s="108">
        <v>1</v>
      </c>
      <c r="N1961" s="95">
        <v>1</v>
      </c>
      <c r="O1961" s="109">
        <f>IF(Key!D$1="ON",P1961,IF(SUM(Q1961:DL1961)&lt;1,"",SUM(Q1961:DL1961)/COUNTIF(Q1961:DL1961,"&gt;0")))</f>
        <v>0</v>
      </c>
      <c r="P1961" s="109">
        <f>SUMIFS(Q1961:DK1961,Q$1:DK$1,Dashboard!$K$31)</f>
        <v>0</v>
      </c>
      <c r="U1961" s="95">
        <v>33</v>
      </c>
      <c r="AA1961" s="95">
        <v>25</v>
      </c>
      <c r="AH1961" s="95">
        <v>75</v>
      </c>
    </row>
    <row r="1962" spans="1:34" ht="15.6" x14ac:dyDescent="0.3">
      <c r="A1962" s="89" t="str">
        <f>CONCATENATE(D1962,".",F1962,"-",G1962,".",H1962,"")</f>
        <v>2.3-3.1</v>
      </c>
      <c r="B1962" s="89" t="str">
        <f>IF(CONCATENATE(I1962,Key!F$2)=CONCATENATE(INDEX(Dashboard!J:J,MATCH(I1962,Dashboard!J:J,0),1),INDEX(Dashboard!J:K,MATCH(I1962,Dashboard!J:J,0),2)),"ON",IF(Dashboard!K$32="ALL","ON","-"))</f>
        <v>-</v>
      </c>
      <c r="C1962" s="88" t="s">
        <v>152</v>
      </c>
      <c r="D1962" s="89">
        <f>IF(C1962="ID",1,(IF(C1962="PR",2,(IF(C1962="DE",3,(IF(C1962="RS",4,(IF(C1962="RC",5,0)))))))))</f>
        <v>2</v>
      </c>
      <c r="E1962" s="89" t="s">
        <v>210</v>
      </c>
      <c r="F1962" s="89">
        <f>IF(E1962="AM",1,(IF(E1962="BE",2,(IF(E1962="GV",3,(IF(E1962="RA",4,(IF(E1962="RM",5,(IF(E1962="AC",1,(IF(E1962="AT",2,(IF(E1962="DS",3,(IF(E1962="IP",4,(IF(E1962="MA",5,(IF(E1962="PT",6,(IF(E1962="AE",1,(IF(E1962="CM",2,(IF(E1962="DP",3,(IF(E1962="AN",1,(IF(E1962="CO",2,(IF(E1962="IM",3,(IF(E1962="MI",4,(IF(E1962="RP",5,(IF(E1962="SC",6,0)))))))))))))))))))))))))))))))))))))))</f>
        <v>3</v>
      </c>
      <c r="G1962" s="52">
        <v>3</v>
      </c>
      <c r="H1962" s="90" t="s">
        <v>115</v>
      </c>
      <c r="I1962" s="94" t="s">
        <v>85</v>
      </c>
      <c r="J1962" s="87" t="s">
        <v>1362</v>
      </c>
      <c r="K1962" s="119" t="s">
        <v>4701</v>
      </c>
      <c r="L1962" s="117">
        <f>IF(O1962="","",N1962*O1962*M1962)</f>
        <v>0</v>
      </c>
      <c r="M1962" s="108">
        <v>1</v>
      </c>
      <c r="N1962" s="95">
        <v>1</v>
      </c>
      <c r="O1962" s="109">
        <f>IF(Key!D$1="ON",P1962,IF(SUM(Q1962:DL1962)&lt;1,"",SUM(Q1962:DL1962)/COUNTIF(Q1962:DL1962,"&gt;0")))</f>
        <v>0</v>
      </c>
      <c r="P1962" s="109">
        <f>SUMIFS(Q1962:DK1962,Q$1:DK$1,Dashboard!$K$31)</f>
        <v>0</v>
      </c>
      <c r="U1962" s="95">
        <v>33</v>
      </c>
      <c r="AA1962" s="95">
        <v>25</v>
      </c>
      <c r="AH1962" s="95">
        <v>75</v>
      </c>
    </row>
    <row r="1963" spans="1:34" x14ac:dyDescent="0.3">
      <c r="A1963" s="89" t="str">
        <f>CONCATENATE(D1963,".",F1963,"-",G1963,".",H1963,"")</f>
        <v>2.3-3.1</v>
      </c>
      <c r="B1963" s="89" t="str">
        <f>IF(CONCATENATE(I1963,Key!F$2)=CONCATENATE(INDEX(Dashboard!J:J,MATCH(I1963,Dashboard!J:J,0),1),INDEX(Dashboard!J:K,MATCH(I1963,Dashboard!J:J,0),2)),"ON",IF(Dashboard!K$32="ALL","ON","-"))</f>
        <v>-</v>
      </c>
      <c r="C1963" s="88" t="s">
        <v>152</v>
      </c>
      <c r="D1963" s="89">
        <f>IF(C1963="ID",1,(IF(C1963="PR",2,(IF(C1963="DE",3,(IF(C1963="RS",4,(IF(C1963="RC",5,0)))))))))</f>
        <v>2</v>
      </c>
      <c r="E1963" s="89" t="s">
        <v>210</v>
      </c>
      <c r="F1963" s="89">
        <f>IF(E1963="AM",1,(IF(E1963="BE",2,(IF(E1963="GV",3,(IF(E1963="RA",4,(IF(E1963="RM",5,(IF(E1963="AC",1,(IF(E1963="AT",2,(IF(E1963="DS",3,(IF(E1963="IP",4,(IF(E1963="MA",5,(IF(E1963="PT",6,(IF(E1963="AE",1,(IF(E1963="CM",2,(IF(E1963="DP",3,(IF(E1963="AN",1,(IF(E1963="CO",2,(IF(E1963="IM",3,(IF(E1963="MI",4,(IF(E1963="RP",5,(IF(E1963="SC",6,0)))))))))))))))))))))))))))))))))))))))</f>
        <v>3</v>
      </c>
      <c r="G1963" s="52">
        <v>3</v>
      </c>
      <c r="H1963" s="90" t="s">
        <v>115</v>
      </c>
      <c r="I1963" s="94" t="s">
        <v>85</v>
      </c>
      <c r="J1963" s="87" t="s">
        <v>1359</v>
      </c>
      <c r="K1963" s="119" t="s">
        <v>4697</v>
      </c>
      <c r="L1963" s="117">
        <f>IF(O1963="","",N1963*O1963*M1963)</f>
        <v>0</v>
      </c>
      <c r="M1963" s="108">
        <v>1</v>
      </c>
      <c r="N1963" s="95">
        <v>1</v>
      </c>
      <c r="O1963" s="109">
        <f>IF(Key!D$1="ON",P1963,IF(SUM(Q1963:DL1963)&lt;1,"",SUM(Q1963:DL1963)/COUNTIF(Q1963:DL1963,"&gt;0")))</f>
        <v>0</v>
      </c>
      <c r="P1963" s="109">
        <f>SUMIFS(Q1963:DK1963,Q$1:DK$1,Dashboard!$K$31)</f>
        <v>0</v>
      </c>
      <c r="U1963" s="95">
        <v>33</v>
      </c>
      <c r="AA1963" s="95">
        <v>25</v>
      </c>
      <c r="AH1963" s="95">
        <v>75</v>
      </c>
    </row>
    <row r="1964" spans="1:34" ht="15.6" x14ac:dyDescent="0.3">
      <c r="A1964" s="89" t="str">
        <f>CONCATENATE(D1964,".",F1964,"-",G1964,".",H1964,"")</f>
        <v>2.3-3.1</v>
      </c>
      <c r="B1964" s="89" t="str">
        <f>IF(CONCATENATE(I1964,Key!F$2)=CONCATENATE(INDEX(Dashboard!J:J,MATCH(I1964,Dashboard!J:J,0),1),INDEX(Dashboard!J:K,MATCH(I1964,Dashboard!J:J,0),2)),"ON",IF(Dashboard!K$32="ALL","ON","-"))</f>
        <v>-</v>
      </c>
      <c r="C1964" s="88" t="s">
        <v>152</v>
      </c>
      <c r="D1964" s="89">
        <f>IF(C1964="ID",1,(IF(C1964="PR",2,(IF(C1964="DE",3,(IF(C1964="RS",4,(IF(C1964="RC",5,0)))))))))</f>
        <v>2</v>
      </c>
      <c r="E1964" s="89" t="s">
        <v>210</v>
      </c>
      <c r="F1964" s="89">
        <f>IF(E1964="AM",1,(IF(E1964="BE",2,(IF(E1964="GV",3,(IF(E1964="RA",4,(IF(E1964="RM",5,(IF(E1964="AC",1,(IF(E1964="AT",2,(IF(E1964="DS",3,(IF(E1964="IP",4,(IF(E1964="MA",5,(IF(E1964="PT",6,(IF(E1964="AE",1,(IF(E1964="CM",2,(IF(E1964="DP",3,(IF(E1964="AN",1,(IF(E1964="CO",2,(IF(E1964="IM",3,(IF(E1964="MI",4,(IF(E1964="RP",5,(IF(E1964="SC",6,0)))))))))))))))))))))))))))))))))))))))</f>
        <v>3</v>
      </c>
      <c r="G1964" s="52">
        <v>3</v>
      </c>
      <c r="H1964" s="90" t="s">
        <v>115</v>
      </c>
      <c r="I1964" s="94" t="s">
        <v>85</v>
      </c>
      <c r="J1964" s="87" t="s">
        <v>921</v>
      </c>
      <c r="K1964" s="119" t="s">
        <v>4700</v>
      </c>
      <c r="L1964" s="117">
        <f>IF(O1964="","",N1964*O1964*M1964)</f>
        <v>0</v>
      </c>
      <c r="M1964" s="108">
        <v>1</v>
      </c>
      <c r="N1964" s="95">
        <v>1</v>
      </c>
      <c r="O1964" s="109">
        <f>IF(Key!D$1="ON",P1964,IF(SUM(Q1964:DL1964)&lt;1,"",SUM(Q1964:DL1964)/COUNTIF(Q1964:DL1964,"&gt;0")))</f>
        <v>0</v>
      </c>
      <c r="P1964" s="109">
        <f>SUMIFS(Q1964:DK1964,Q$1:DK$1,Dashboard!$K$31)</f>
        <v>0</v>
      </c>
      <c r="U1964" s="95">
        <v>33</v>
      </c>
      <c r="AA1964" s="95">
        <v>25</v>
      </c>
      <c r="AH1964" s="95">
        <v>75</v>
      </c>
    </row>
    <row r="1965" spans="1:34" x14ac:dyDescent="0.3">
      <c r="A1965" s="89" t="str">
        <f>CONCATENATE(D1965,".",F1965,"-",G1965,".",H1965,"")</f>
        <v>2.3-3.1</v>
      </c>
      <c r="B1965" s="89" t="str">
        <f>IF(CONCATENATE(I1965,Key!F$2)=CONCATENATE(INDEX(Dashboard!J:J,MATCH(I1965,Dashboard!J:J,0),1),INDEX(Dashboard!J:K,MATCH(I1965,Dashboard!J:J,0),2)),"ON",IF(Dashboard!K$32="ALL","ON","-"))</f>
        <v>-</v>
      </c>
      <c r="C1965" s="88" t="s">
        <v>152</v>
      </c>
      <c r="D1965" s="89">
        <f>IF(C1965="ID",1,(IF(C1965="PR",2,(IF(C1965="DE",3,(IF(C1965="RS",4,(IF(C1965="RC",5,0)))))))))</f>
        <v>2</v>
      </c>
      <c r="E1965" s="89" t="s">
        <v>210</v>
      </c>
      <c r="F1965" s="89">
        <f>IF(E1965="AM",1,(IF(E1965="BE",2,(IF(E1965="GV",3,(IF(E1965="RA",4,(IF(E1965="RM",5,(IF(E1965="AC",1,(IF(E1965="AT",2,(IF(E1965="DS",3,(IF(E1965="IP",4,(IF(E1965="MA",5,(IF(E1965="PT",6,(IF(E1965="AE",1,(IF(E1965="CM",2,(IF(E1965="DP",3,(IF(E1965="AN",1,(IF(E1965="CO",2,(IF(E1965="IM",3,(IF(E1965="MI",4,(IF(E1965="RP",5,(IF(E1965="SC",6,0)))))))))))))))))))))))))))))))))))))))</f>
        <v>3</v>
      </c>
      <c r="G1965" s="52">
        <v>3</v>
      </c>
      <c r="H1965" s="90" t="s">
        <v>115</v>
      </c>
      <c r="I1965" s="94" t="s">
        <v>85</v>
      </c>
      <c r="J1965" s="87" t="s">
        <v>1358</v>
      </c>
      <c r="K1965" s="119" t="s">
        <v>4632</v>
      </c>
      <c r="L1965" s="117">
        <f>IF(O1965="","",N1965*O1965*M1965)</f>
        <v>0</v>
      </c>
      <c r="M1965" s="108">
        <v>1</v>
      </c>
      <c r="N1965" s="95">
        <v>1</v>
      </c>
      <c r="O1965" s="109">
        <f>IF(Key!D$1="ON",P1965,IF(SUM(Q1965:DL1965)&lt;1,"",SUM(Q1965:DL1965)/COUNTIF(Q1965:DL1965,"&gt;0")))</f>
        <v>0</v>
      </c>
      <c r="P1965" s="109">
        <f>SUMIFS(Q1965:DK1965,Q$1:DK$1,Dashboard!$K$31)</f>
        <v>0</v>
      </c>
      <c r="U1965" s="95">
        <v>33</v>
      </c>
      <c r="AA1965" s="95">
        <v>25</v>
      </c>
      <c r="AH1965" s="95">
        <v>75</v>
      </c>
    </row>
    <row r="1966" spans="1:34" x14ac:dyDescent="0.3">
      <c r="A1966" s="89" t="str">
        <f>CONCATENATE(D1966,".",F1966,"-",G1966,".",H1966,"")</f>
        <v>2.3-3.1</v>
      </c>
      <c r="B1966" s="89" t="str">
        <f>IF(CONCATENATE(I1966,Key!F$2)=CONCATENATE(INDEX(Dashboard!J:J,MATCH(I1966,Dashboard!J:J,0),1),INDEX(Dashboard!J:K,MATCH(I1966,Dashboard!J:J,0),2)),"ON",IF(Dashboard!K$32="ALL","ON","-"))</f>
        <v>-</v>
      </c>
      <c r="C1966" s="88" t="s">
        <v>152</v>
      </c>
      <c r="D1966" s="89">
        <f>IF(C1966="ID",1,(IF(C1966="PR",2,(IF(C1966="DE",3,(IF(C1966="RS",4,(IF(C1966="RC",5,0)))))))))</f>
        <v>2</v>
      </c>
      <c r="E1966" s="89" t="s">
        <v>210</v>
      </c>
      <c r="F1966" s="89">
        <f>IF(E1966="AM",1,(IF(E1966="BE",2,(IF(E1966="GV",3,(IF(E1966="RA",4,(IF(E1966="RM",5,(IF(E1966="AC",1,(IF(E1966="AT",2,(IF(E1966="DS",3,(IF(E1966="IP",4,(IF(E1966="MA",5,(IF(E1966="PT",6,(IF(E1966="AE",1,(IF(E1966="CM",2,(IF(E1966="DP",3,(IF(E1966="AN",1,(IF(E1966="CO",2,(IF(E1966="IM",3,(IF(E1966="MI",4,(IF(E1966="RP",5,(IF(E1966="SC",6,0)))))))))))))))))))))))))))))))))))))))</f>
        <v>3</v>
      </c>
      <c r="G1966" s="52">
        <v>3</v>
      </c>
      <c r="H1966" s="89">
        <v>1</v>
      </c>
      <c r="I1966" s="94" t="s">
        <v>85</v>
      </c>
      <c r="J1966" s="86" t="s">
        <v>866</v>
      </c>
      <c r="K1966" s="119" t="s">
        <v>5154</v>
      </c>
      <c r="L1966" s="117">
        <f>IF(O1966="","",N1966*O1966*M1966)</f>
        <v>0</v>
      </c>
      <c r="M1966" s="108">
        <v>1</v>
      </c>
      <c r="N1966" s="95">
        <v>1</v>
      </c>
      <c r="O1966" s="109">
        <f>IF(Key!D$1="ON",P1966,IF(SUM(Q1966:DL1966)&lt;1,"",SUM(Q1966:DL1966)/COUNTIF(Q1966:DL1966,"&gt;0")))</f>
        <v>0</v>
      </c>
      <c r="P1966" s="109">
        <f>SUMIFS(Q1966:DK1966,Q$1:DK$1,Dashboard!$K$31)</f>
        <v>0</v>
      </c>
      <c r="U1966" s="95">
        <v>33</v>
      </c>
      <c r="AA1966" s="95">
        <v>25</v>
      </c>
      <c r="AH1966" s="95">
        <v>75</v>
      </c>
    </row>
    <row r="1967" spans="1:34" x14ac:dyDescent="0.3">
      <c r="A1967" s="89" t="str">
        <f>CONCATENATE(D1967,".",F1967,"-",G1967,".",H1967,"")</f>
        <v>2.3-3.1</v>
      </c>
      <c r="B1967" s="89" t="str">
        <f>IF(CONCATENATE(I1967,Key!F$2)=CONCATENATE(INDEX(Dashboard!J:J,MATCH(I1967,Dashboard!J:J,0),1),INDEX(Dashboard!J:K,MATCH(I1967,Dashboard!J:J,0),2)),"ON",IF(Dashboard!K$32="ALL","ON","-"))</f>
        <v>-</v>
      </c>
      <c r="C1967" s="88" t="s">
        <v>152</v>
      </c>
      <c r="D1967" s="89">
        <f>IF(C1967="ID",1,(IF(C1967="PR",2,(IF(C1967="DE",3,(IF(C1967="RS",4,(IF(C1967="RC",5,0)))))))))</f>
        <v>2</v>
      </c>
      <c r="E1967" s="89" t="s">
        <v>210</v>
      </c>
      <c r="F1967" s="89">
        <f>IF(E1967="AM",1,(IF(E1967="BE",2,(IF(E1967="GV",3,(IF(E1967="RA",4,(IF(E1967="RM",5,(IF(E1967="AC",1,(IF(E1967="AT",2,(IF(E1967="DS",3,(IF(E1967="IP",4,(IF(E1967="MA",5,(IF(E1967="PT",6,(IF(E1967="AE",1,(IF(E1967="CM",2,(IF(E1967="DP",3,(IF(E1967="AN",1,(IF(E1967="CO",2,(IF(E1967="IM",3,(IF(E1967="MI",4,(IF(E1967="RP",5,(IF(E1967="SC",6,0)))))))))))))))))))))))))))))))))))))))</f>
        <v>3</v>
      </c>
      <c r="G1967" s="52">
        <v>3</v>
      </c>
      <c r="H1967" s="89">
        <v>1</v>
      </c>
      <c r="I1967" s="94" t="s">
        <v>85</v>
      </c>
      <c r="J1967" s="86" t="s">
        <v>865</v>
      </c>
      <c r="K1967" s="119" t="s">
        <v>5157</v>
      </c>
      <c r="L1967" s="117">
        <f>IF(O1967="","",N1967*O1967*M1967)</f>
        <v>0</v>
      </c>
      <c r="M1967" s="108">
        <v>1</v>
      </c>
      <c r="N1967" s="95">
        <v>1</v>
      </c>
      <c r="O1967" s="109">
        <f>IF(Key!D$1="ON",P1967,IF(SUM(Q1967:DL1967)&lt;1,"",SUM(Q1967:DL1967)/COUNTIF(Q1967:DL1967,"&gt;0")))</f>
        <v>0</v>
      </c>
      <c r="P1967" s="109">
        <f>SUMIFS(Q1967:DK1967,Q$1:DK$1,Dashboard!$K$31)</f>
        <v>0</v>
      </c>
      <c r="U1967" s="95">
        <v>33</v>
      </c>
      <c r="AA1967" s="95">
        <v>25</v>
      </c>
      <c r="AH1967" s="95">
        <v>75</v>
      </c>
    </row>
    <row r="1968" spans="1:34" x14ac:dyDescent="0.3">
      <c r="A1968" s="89" t="str">
        <f>CONCATENATE(D1968,".",F1968,"-",G1968,".",H1968,"")</f>
        <v>2.3-3.1</v>
      </c>
      <c r="B1968" s="89" t="str">
        <f>IF(CONCATENATE(I1968,Key!F$2)=CONCATENATE(INDEX(Dashboard!J:J,MATCH(I1968,Dashboard!J:J,0),1),INDEX(Dashboard!J:K,MATCH(I1968,Dashboard!J:J,0),2)),"ON",IF(Dashboard!K$32="ALL","ON","-"))</f>
        <v>-</v>
      </c>
      <c r="C1968" s="96" t="s">
        <v>152</v>
      </c>
      <c r="D1968" s="89">
        <f>IF(C1968="ID",1,(IF(C1968="PR",2,(IF(C1968="DE",3,(IF(C1968="RS",4,(IF(C1968="RC",5,0)))))))))</f>
        <v>2</v>
      </c>
      <c r="E1968" s="89" t="s">
        <v>210</v>
      </c>
      <c r="F1968" s="89">
        <f>IF(E1968="AM",1,(IF(E1968="BE",2,(IF(E1968="GV",3,(IF(E1968="RA",4,(IF(E1968="RM",5,(IF(E1968="AC",1,(IF(E1968="AT",2,(IF(E1968="DS",3,(IF(E1968="IP",4,(IF(E1968="MA",5,(IF(E1968="PT",6,(IF(E1968="AE",1,(IF(E1968="CM",2,(IF(E1968="DP",3,(IF(E1968="AN",1,(IF(E1968="CO",2,(IF(E1968="IM",3,(IF(E1968="MI",4,(IF(E1968="RP",5,(IF(E1968="SC",6,0)))))))))))))))))))))))))))))))))))))))</f>
        <v>3</v>
      </c>
      <c r="G1968" s="98">
        <v>3</v>
      </c>
      <c r="H1968" s="90" t="s">
        <v>115</v>
      </c>
      <c r="I1968" s="94" t="s">
        <v>85</v>
      </c>
      <c r="J1968" s="87" t="s">
        <v>1370</v>
      </c>
      <c r="K1968" s="119" t="s">
        <v>1371</v>
      </c>
      <c r="L1968" s="117">
        <f>IF(O1968="","",N1968*O1968*M1968)</f>
        <v>0</v>
      </c>
      <c r="M1968" s="108">
        <v>1</v>
      </c>
      <c r="N1968" s="95">
        <v>1</v>
      </c>
      <c r="O1968" s="109">
        <f>IF(Key!D$1="ON",P1968,IF(SUM(Q1968:DL1968)&lt;1,"",SUM(Q1968:DL1968)/COUNTIF(Q1968:DL1968,"&gt;0")))</f>
        <v>0</v>
      </c>
      <c r="P1968" s="109">
        <f>SUMIFS(Q1968:DK1968,Q$1:DK$1,Dashboard!$K$31)</f>
        <v>0</v>
      </c>
      <c r="U1968" s="95">
        <v>33</v>
      </c>
      <c r="AA1968" s="95">
        <v>25</v>
      </c>
      <c r="AH1968" s="95">
        <v>75</v>
      </c>
    </row>
    <row r="1969" spans="1:34" x14ac:dyDescent="0.3">
      <c r="A1969" s="89" t="str">
        <f>CONCATENATE(D1969,".",F1969,"-",G1969,".",H1969,"")</f>
        <v>2.3-3.1</v>
      </c>
      <c r="B1969" s="89" t="str">
        <f>IF(CONCATENATE(I1969,Key!F$2)=CONCATENATE(INDEX(Dashboard!J:J,MATCH(I1969,Dashboard!J:J,0),1),INDEX(Dashboard!J:K,MATCH(I1969,Dashboard!J:J,0),2)),"ON",IF(Dashboard!K$32="ALL","ON","-"))</f>
        <v>-</v>
      </c>
      <c r="C1969" s="88" t="s">
        <v>152</v>
      </c>
      <c r="D1969" s="89">
        <f>IF(C1969="ID",1,(IF(C1969="PR",2,(IF(C1969="DE",3,(IF(C1969="RS",4,(IF(C1969="RC",5,0)))))))))</f>
        <v>2</v>
      </c>
      <c r="E1969" s="89" t="s">
        <v>210</v>
      </c>
      <c r="F1969" s="89">
        <f>IF(E1969="AM",1,(IF(E1969="BE",2,(IF(E1969="GV",3,(IF(E1969="RA",4,(IF(E1969="RM",5,(IF(E1969="AC",1,(IF(E1969="AT",2,(IF(E1969="DS",3,(IF(E1969="IP",4,(IF(E1969="MA",5,(IF(E1969="PT",6,(IF(E1969="AE",1,(IF(E1969="CM",2,(IF(E1969="DP",3,(IF(E1969="AN",1,(IF(E1969="CO",2,(IF(E1969="IM",3,(IF(E1969="MI",4,(IF(E1969="RP",5,(IF(E1969="SC",6,0)))))))))))))))))))))))))))))))))))))))</f>
        <v>3</v>
      </c>
      <c r="G1969" s="52">
        <v>3</v>
      </c>
      <c r="H1969" s="89">
        <v>1</v>
      </c>
      <c r="I1969" s="94" t="s">
        <v>85</v>
      </c>
      <c r="J1969" s="86" t="s">
        <v>871</v>
      </c>
      <c r="K1969" s="119" t="s">
        <v>5162</v>
      </c>
      <c r="L1969" s="117">
        <f>IF(O1969="","",N1969*O1969*M1969)</f>
        <v>0</v>
      </c>
      <c r="M1969" s="108">
        <v>1</v>
      </c>
      <c r="N1969" s="95">
        <v>1</v>
      </c>
      <c r="O1969" s="109">
        <f>IF(Key!D$1="ON",P1969,IF(SUM(Q1969:DL1969)&lt;1,"",SUM(Q1969:DL1969)/COUNTIF(Q1969:DL1969,"&gt;0")))</f>
        <v>0</v>
      </c>
      <c r="P1969" s="109">
        <f>SUMIFS(Q1969:DK1969,Q$1:DK$1,Dashboard!$K$31)</f>
        <v>0</v>
      </c>
      <c r="U1969" s="95">
        <v>33</v>
      </c>
      <c r="AA1969" s="95">
        <v>25</v>
      </c>
      <c r="AH1969" s="95">
        <v>75</v>
      </c>
    </row>
    <row r="1970" spans="1:34" x14ac:dyDescent="0.3">
      <c r="A1970" s="89" t="str">
        <f>CONCATENATE(D1970,".",F1970,"-",G1970,".",H1970,"")</f>
        <v>2.3-3.1</v>
      </c>
      <c r="B1970" s="89" t="str">
        <f>IF(CONCATENATE(I1970,Key!F$2)=CONCATENATE(INDEX(Dashboard!J:J,MATCH(I1970,Dashboard!J:J,0),1),INDEX(Dashboard!J:K,MATCH(I1970,Dashboard!J:J,0),2)),"ON",IF(Dashboard!K$32="ALL","ON","-"))</f>
        <v>-</v>
      </c>
      <c r="C1970" s="88" t="s">
        <v>152</v>
      </c>
      <c r="D1970" s="89">
        <f>IF(C1970="ID",1,(IF(C1970="PR",2,(IF(C1970="DE",3,(IF(C1970="RS",4,(IF(C1970="RC",5,0)))))))))</f>
        <v>2</v>
      </c>
      <c r="E1970" s="89" t="s">
        <v>210</v>
      </c>
      <c r="F1970" s="89">
        <f>IF(E1970="AM",1,(IF(E1970="BE",2,(IF(E1970="GV",3,(IF(E1970="RA",4,(IF(E1970="RM",5,(IF(E1970="AC",1,(IF(E1970="AT",2,(IF(E1970="DS",3,(IF(E1970="IP",4,(IF(E1970="MA",5,(IF(E1970="PT",6,(IF(E1970="AE",1,(IF(E1970="CM",2,(IF(E1970="DP",3,(IF(E1970="AN",1,(IF(E1970="CO",2,(IF(E1970="IM",3,(IF(E1970="MI",4,(IF(E1970="RP",5,(IF(E1970="SC",6,0)))))))))))))))))))))))))))))))))))))))</f>
        <v>3</v>
      </c>
      <c r="G1970" s="52">
        <v>3</v>
      </c>
      <c r="H1970" s="90" t="s">
        <v>115</v>
      </c>
      <c r="I1970" s="94" t="s">
        <v>85</v>
      </c>
      <c r="J1970" s="87" t="s">
        <v>1368</v>
      </c>
      <c r="K1970" s="119" t="s">
        <v>4500</v>
      </c>
      <c r="L1970" s="117">
        <f>IF(O1970="","",N1970*O1970*M1970)</f>
        <v>0</v>
      </c>
      <c r="M1970" s="108">
        <v>1</v>
      </c>
      <c r="N1970" s="95">
        <v>1</v>
      </c>
      <c r="O1970" s="109">
        <f>IF(Key!D$1="ON",P1970,IF(SUM(Q1970:DL1970)&lt;1,"",SUM(Q1970:DL1970)/COUNTIF(Q1970:DL1970,"&gt;0")))</f>
        <v>0</v>
      </c>
      <c r="P1970" s="109">
        <f>SUMIFS(Q1970:DK1970,Q$1:DK$1,Dashboard!$K$31)</f>
        <v>0</v>
      </c>
      <c r="U1970" s="95">
        <v>33</v>
      </c>
      <c r="AA1970" s="95">
        <v>25</v>
      </c>
      <c r="AH1970" s="95">
        <v>75</v>
      </c>
    </row>
    <row r="1971" spans="1:34" x14ac:dyDescent="0.3">
      <c r="A1971" s="89" t="str">
        <f>CONCATENATE(D1971,".",F1971,"-",G1971,".",H1971,"")</f>
        <v>2.3-3.1</v>
      </c>
      <c r="B1971" s="89" t="str">
        <f>IF(CONCATENATE(I1971,Key!F$2)=CONCATENATE(INDEX(Dashboard!J:J,MATCH(I1971,Dashboard!J:J,0),1),INDEX(Dashboard!J:K,MATCH(I1971,Dashboard!J:J,0),2)),"ON",IF(Dashboard!K$32="ALL","ON","-"))</f>
        <v>-</v>
      </c>
      <c r="C1971" s="88" t="s">
        <v>152</v>
      </c>
      <c r="D1971" s="89">
        <f>IF(C1971="ID",1,(IF(C1971="PR",2,(IF(C1971="DE",3,(IF(C1971="RS",4,(IF(C1971="RC",5,0)))))))))</f>
        <v>2</v>
      </c>
      <c r="E1971" s="89" t="s">
        <v>210</v>
      </c>
      <c r="F1971" s="89">
        <f>IF(E1971="AM",1,(IF(E1971="BE",2,(IF(E1971="GV",3,(IF(E1971="RA",4,(IF(E1971="RM",5,(IF(E1971="AC",1,(IF(E1971="AT",2,(IF(E1971="DS",3,(IF(E1971="IP",4,(IF(E1971="MA",5,(IF(E1971="PT",6,(IF(E1971="AE",1,(IF(E1971="CM",2,(IF(E1971="DP",3,(IF(E1971="AN",1,(IF(E1971="CO",2,(IF(E1971="IM",3,(IF(E1971="MI",4,(IF(E1971="RP",5,(IF(E1971="SC",6,0)))))))))))))))))))))))))))))))))))))))</f>
        <v>3</v>
      </c>
      <c r="G1971" s="52">
        <v>3</v>
      </c>
      <c r="H1971" s="90" t="s">
        <v>115</v>
      </c>
      <c r="I1971" s="94" t="s">
        <v>85</v>
      </c>
      <c r="J1971" s="87" t="s">
        <v>1366</v>
      </c>
      <c r="K1971" s="119" t="s">
        <v>4837</v>
      </c>
      <c r="L1971" s="117">
        <f>IF(O1971="","",N1971*O1971*M1971)</f>
        <v>0</v>
      </c>
      <c r="M1971" s="108">
        <v>1</v>
      </c>
      <c r="N1971" s="95">
        <v>1</v>
      </c>
      <c r="O1971" s="109">
        <f>IF(Key!D$1="ON",P1971,IF(SUM(Q1971:DL1971)&lt;1,"",SUM(Q1971:DL1971)/COUNTIF(Q1971:DL1971,"&gt;0")))</f>
        <v>0</v>
      </c>
      <c r="P1971" s="109">
        <f>SUMIFS(Q1971:DK1971,Q$1:DK$1,Dashboard!$K$31)</f>
        <v>0</v>
      </c>
      <c r="U1971" s="95">
        <v>33</v>
      </c>
      <c r="AA1971" s="95">
        <v>25</v>
      </c>
      <c r="AH1971" s="95">
        <v>75</v>
      </c>
    </row>
    <row r="1972" spans="1:34" x14ac:dyDescent="0.3">
      <c r="A1972" s="89" t="str">
        <f>CONCATENATE(D1972,".",F1972,"-",G1972,".",H1972,"")</f>
        <v>2.3-3.1</v>
      </c>
      <c r="B1972" s="89" t="str">
        <f>IF(CONCATENATE(I1972,Key!F$2)=CONCATENATE(INDEX(Dashboard!J:J,MATCH(I1972,Dashboard!J:J,0),1),INDEX(Dashboard!J:K,MATCH(I1972,Dashboard!J:J,0),2)),"ON",IF(Dashboard!K$32="ALL","ON","-"))</f>
        <v>-</v>
      </c>
      <c r="C1972" s="88" t="s">
        <v>152</v>
      </c>
      <c r="D1972" s="89">
        <f>IF(C1972="ID",1,(IF(C1972="PR",2,(IF(C1972="DE",3,(IF(C1972="RS",4,(IF(C1972="RC",5,0)))))))))</f>
        <v>2</v>
      </c>
      <c r="E1972" s="89" t="s">
        <v>210</v>
      </c>
      <c r="F1972" s="89">
        <f>IF(E1972="AM",1,(IF(E1972="BE",2,(IF(E1972="GV",3,(IF(E1972="RA",4,(IF(E1972="RM",5,(IF(E1972="AC",1,(IF(E1972="AT",2,(IF(E1972="DS",3,(IF(E1972="IP",4,(IF(E1972="MA",5,(IF(E1972="PT",6,(IF(E1972="AE",1,(IF(E1972="CM",2,(IF(E1972="DP",3,(IF(E1972="AN",1,(IF(E1972="CO",2,(IF(E1972="IM",3,(IF(E1972="MI",4,(IF(E1972="RP",5,(IF(E1972="SC",6,0)))))))))))))))))))))))))))))))))))))))</f>
        <v>3</v>
      </c>
      <c r="G1972" s="52">
        <v>3</v>
      </c>
      <c r="H1972" s="90" t="s">
        <v>115</v>
      </c>
      <c r="I1972" s="94" t="s">
        <v>85</v>
      </c>
      <c r="J1972" s="87" t="s">
        <v>1373</v>
      </c>
      <c r="K1972" s="119" t="s">
        <v>1374</v>
      </c>
      <c r="L1972" s="117">
        <f>IF(O1972="","",N1972*O1972*M1972)</f>
        <v>0</v>
      </c>
      <c r="M1972" s="108">
        <v>1</v>
      </c>
      <c r="N1972" s="95">
        <v>1</v>
      </c>
      <c r="O1972" s="109">
        <f>IF(Key!D$1="ON",P1972,IF(SUM(Q1972:DL1972)&lt;1,"",SUM(Q1972:DL1972)/COUNTIF(Q1972:DL1972,"&gt;0")))</f>
        <v>0</v>
      </c>
      <c r="P1972" s="109">
        <f>SUMIFS(Q1972:DK1972,Q$1:DK$1,Dashboard!$K$31)</f>
        <v>0</v>
      </c>
      <c r="U1972" s="95">
        <v>33</v>
      </c>
      <c r="AA1972" s="95">
        <v>25</v>
      </c>
      <c r="AH1972" s="95">
        <v>75</v>
      </c>
    </row>
    <row r="1973" spans="1:34" x14ac:dyDescent="0.3">
      <c r="A1973" s="89" t="str">
        <f>CONCATENATE(D1973,".",F1973,"-",G1973,".",H1973,"")</f>
        <v>2.3-3.1</v>
      </c>
      <c r="B1973" s="89" t="str">
        <f>IF(CONCATENATE(I1973,Key!F$2)=CONCATENATE(INDEX(Dashboard!J:J,MATCH(I1973,Dashboard!J:J,0),1),INDEX(Dashboard!J:K,MATCH(I1973,Dashboard!J:J,0),2)),"ON",IF(Dashboard!K$32="ALL","ON","-"))</f>
        <v>-</v>
      </c>
      <c r="C1973" s="96" t="s">
        <v>152</v>
      </c>
      <c r="D1973" s="89">
        <f>IF(C1973="ID",1,(IF(C1973="PR",2,(IF(C1973="DE",3,(IF(C1973="RS",4,(IF(C1973="RC",5,0)))))))))</f>
        <v>2</v>
      </c>
      <c r="E1973" s="89" t="s">
        <v>210</v>
      </c>
      <c r="F1973" s="89">
        <f>IF(E1973="AM",1,(IF(E1973="BE",2,(IF(E1973="GV",3,(IF(E1973="RA",4,(IF(E1973="RM",5,(IF(E1973="AC",1,(IF(E1973="AT",2,(IF(E1973="DS",3,(IF(E1973="IP",4,(IF(E1973="MA",5,(IF(E1973="PT",6,(IF(E1973="AE",1,(IF(E1973="CM",2,(IF(E1973="DP",3,(IF(E1973="AN",1,(IF(E1973="CO",2,(IF(E1973="IM",3,(IF(E1973="MI",4,(IF(E1973="RP",5,(IF(E1973="SC",6,0)))))))))))))))))))))))))))))))))))))))</f>
        <v>3</v>
      </c>
      <c r="G1973" s="98">
        <v>3</v>
      </c>
      <c r="H1973" s="90" t="s">
        <v>115</v>
      </c>
      <c r="I1973" s="94" t="s">
        <v>85</v>
      </c>
      <c r="J1973" s="87" t="s">
        <v>1363</v>
      </c>
      <c r="K1973" s="119" t="s">
        <v>1364</v>
      </c>
      <c r="L1973" s="117">
        <f>IF(O1973="","",N1973*O1973*M1973)</f>
        <v>0</v>
      </c>
      <c r="M1973" s="108">
        <v>1</v>
      </c>
      <c r="N1973" s="95">
        <v>1</v>
      </c>
      <c r="O1973" s="109">
        <f>IF(Key!D$1="ON",P1973,IF(SUM(Q1973:DL1973)&lt;1,"",SUM(Q1973:DL1973)/COUNTIF(Q1973:DL1973,"&gt;0")))</f>
        <v>0</v>
      </c>
      <c r="P1973" s="109">
        <f>SUMIFS(Q1973:DK1973,Q$1:DK$1,Dashboard!$K$31)</f>
        <v>0</v>
      </c>
      <c r="U1973" s="95">
        <v>33</v>
      </c>
      <c r="AA1973" s="95">
        <v>25</v>
      </c>
      <c r="AH1973" s="95">
        <v>75</v>
      </c>
    </row>
    <row r="1974" spans="1:34" x14ac:dyDescent="0.3">
      <c r="A1974" s="89" t="str">
        <f>CONCATENATE(D1974,".",F1974,"-",G1974,".",H1974,"")</f>
        <v>2.3-3.1</v>
      </c>
      <c r="B1974" s="89" t="str">
        <f>IF(CONCATENATE(I1974,Key!F$2)=CONCATENATE(INDEX(Dashboard!J:J,MATCH(I1974,Dashboard!J:J,0),1),INDEX(Dashboard!J:K,MATCH(I1974,Dashboard!J:J,0),2)),"ON",IF(Dashboard!K$32="ALL","ON","-"))</f>
        <v>-</v>
      </c>
      <c r="C1974" s="88" t="s">
        <v>152</v>
      </c>
      <c r="D1974" s="89">
        <f>IF(C1974="ID",1,(IF(C1974="PR",2,(IF(C1974="DE",3,(IF(C1974="RS",4,(IF(C1974="RC",5,0)))))))))</f>
        <v>2</v>
      </c>
      <c r="E1974" s="89" t="s">
        <v>210</v>
      </c>
      <c r="F1974" s="89">
        <f>IF(E1974="AM",1,(IF(E1974="BE",2,(IF(E1974="GV",3,(IF(E1974="RA",4,(IF(E1974="RM",5,(IF(E1974="AC",1,(IF(E1974="AT",2,(IF(E1974="DS",3,(IF(E1974="IP",4,(IF(E1974="MA",5,(IF(E1974="PT",6,(IF(E1974="AE",1,(IF(E1974="CM",2,(IF(E1974="DP",3,(IF(E1974="AN",1,(IF(E1974="CO",2,(IF(E1974="IM",3,(IF(E1974="MI",4,(IF(E1974="RP",5,(IF(E1974="SC",6,0)))))))))))))))))))))))))))))))))))))))</f>
        <v>3</v>
      </c>
      <c r="G1974" s="52">
        <v>3</v>
      </c>
      <c r="H1974" s="90" t="s">
        <v>115</v>
      </c>
      <c r="I1974" s="94" t="s">
        <v>85</v>
      </c>
      <c r="J1974" s="87" t="s">
        <v>1367</v>
      </c>
      <c r="K1974" s="119" t="s">
        <v>4838</v>
      </c>
      <c r="L1974" s="117">
        <f>IF(O1974="","",N1974*O1974*M1974)</f>
        <v>0</v>
      </c>
      <c r="M1974" s="108">
        <v>1</v>
      </c>
      <c r="N1974" s="95">
        <v>1</v>
      </c>
      <c r="O1974" s="109">
        <f>IF(Key!D$1="ON",P1974,IF(SUM(Q1974:DL1974)&lt;1,"",SUM(Q1974:DL1974)/COUNTIF(Q1974:DL1974,"&gt;0")))</f>
        <v>0</v>
      </c>
      <c r="P1974" s="109">
        <f>SUMIFS(Q1974:DK1974,Q$1:DK$1,Dashboard!$K$31)</f>
        <v>0</v>
      </c>
      <c r="U1974" s="95">
        <v>33</v>
      </c>
      <c r="AA1974" s="95">
        <v>25</v>
      </c>
      <c r="AH1974" s="95">
        <v>75</v>
      </c>
    </row>
    <row r="1975" spans="1:34" ht="15.6" x14ac:dyDescent="0.3">
      <c r="A1975" s="89" t="str">
        <f>CONCATENATE(D1975,".",F1975,"-",G1975,".",H1975,"")</f>
        <v>2.3-3.1</v>
      </c>
      <c r="B1975" s="89" t="str">
        <f>IF(CONCATENATE(I1975,Key!F$2)=CONCATENATE(INDEX(Dashboard!J:J,MATCH(I1975,Dashboard!J:J,0),1),INDEX(Dashboard!J:K,MATCH(I1975,Dashboard!J:J,0),2)),"ON",IF(Dashboard!K$32="ALL","ON","-"))</f>
        <v>-</v>
      </c>
      <c r="C1975" s="88" t="s">
        <v>152</v>
      </c>
      <c r="D1975" s="89">
        <f>IF(C1975="ID",1,(IF(C1975="PR",2,(IF(C1975="DE",3,(IF(C1975="RS",4,(IF(C1975="RC",5,0)))))))))</f>
        <v>2</v>
      </c>
      <c r="E1975" s="89" t="s">
        <v>136</v>
      </c>
      <c r="F1975" s="89">
        <f>IF(E1975="AM",1,(IF(E1975="BE",2,(IF(E1975="GV",3,(IF(E1975="RA",4,(IF(E1975="RM",5,(IF(E1975="AC",1,(IF(E1975="AT",2,(IF(E1975="DS",3,(IF(E1975="IP",4,(IF(E1975="MA",5,(IF(E1975="PT",6,(IF(E1975="AE",1,(IF(E1975="CM",2,(IF(E1975="DP",3,(IF(E1975="AN",1,(IF(E1975="CO",2,(IF(E1975="IM",3,(IF(E1975="MI",4,(IF(E1975="RP",5,(IF(E1975="SC",6,0)))))))))))))))))))))))))))))))))))))))</f>
        <v>3</v>
      </c>
      <c r="G1975" s="52">
        <v>3</v>
      </c>
      <c r="H1975" s="89">
        <v>1</v>
      </c>
      <c r="I1975" s="94" t="s">
        <v>85</v>
      </c>
      <c r="J1975" s="86" t="s">
        <v>1012</v>
      </c>
      <c r="K1975" s="119" t="s">
        <v>1015</v>
      </c>
      <c r="L1975" s="117">
        <f>IF(O1975="","",N1975*O1975*M1975)</f>
        <v>0</v>
      </c>
      <c r="M1975" s="108">
        <v>1</v>
      </c>
      <c r="N1975" s="95">
        <v>1</v>
      </c>
      <c r="O1975" s="109">
        <f>IF(Key!D$1="ON",P1975,IF(SUM(Q1975:DL1975)&lt;1,"",SUM(Q1975:DL1975)/COUNTIF(Q1975:DL1975,"&gt;0")))</f>
        <v>0</v>
      </c>
      <c r="P1975" s="109">
        <f>SUMIFS(Q1975:DK1975,Q$1:DK$1,Dashboard!$K$31)</f>
        <v>0</v>
      </c>
      <c r="U1975" s="95">
        <v>33</v>
      </c>
      <c r="AA1975" s="95">
        <v>25</v>
      </c>
      <c r="AH1975" s="95">
        <v>75</v>
      </c>
    </row>
    <row r="1976" spans="1:34" x14ac:dyDescent="0.3">
      <c r="A1976" s="89" t="str">
        <f>CONCATENATE(D1976,".",F1976,"-",G1976,".",H1976,"")</f>
        <v>2.3-3.1</v>
      </c>
      <c r="B1976" s="89" t="str">
        <f>IF(CONCATENATE(I1976,Key!F$2)=CONCATENATE(INDEX(Dashboard!J:J,MATCH(I1976,Dashboard!J:J,0),1),INDEX(Dashboard!J:K,MATCH(I1976,Dashboard!J:J,0),2)),"ON",IF(Dashboard!K$32="ALL","ON","-"))</f>
        <v>-</v>
      </c>
      <c r="C1976" s="88" t="s">
        <v>152</v>
      </c>
      <c r="D1976" s="89">
        <f>IF(C1976="ID",1,(IF(C1976="PR",2,(IF(C1976="DE",3,(IF(C1976="RS",4,(IF(C1976="RC",5,0)))))))))</f>
        <v>2</v>
      </c>
      <c r="E1976" s="89" t="s">
        <v>210</v>
      </c>
      <c r="F1976" s="89">
        <f>IF(E1976="AM",1,(IF(E1976="BE",2,(IF(E1976="GV",3,(IF(E1976="RA",4,(IF(E1976="RM",5,(IF(E1976="AC",1,(IF(E1976="AT",2,(IF(E1976="DS",3,(IF(E1976="IP",4,(IF(E1976="MA",5,(IF(E1976="PT",6,(IF(E1976="AE",1,(IF(E1976="CM",2,(IF(E1976="DP",3,(IF(E1976="AN",1,(IF(E1976="CO",2,(IF(E1976="IM",3,(IF(E1976="MI",4,(IF(E1976="RP",5,(IF(E1976="SC",6,0)))))))))))))))))))))))))))))))))))))))</f>
        <v>3</v>
      </c>
      <c r="G1976" s="98">
        <v>3</v>
      </c>
      <c r="H1976" s="90" t="s">
        <v>115</v>
      </c>
      <c r="I1976" s="94" t="s">
        <v>85</v>
      </c>
      <c r="J1976" s="86" t="s">
        <v>900</v>
      </c>
      <c r="K1976" s="119" t="s">
        <v>901</v>
      </c>
      <c r="L1976" s="117">
        <f>IF(O1976="","",N1976*O1976*M1976)</f>
        <v>0</v>
      </c>
      <c r="M1976" s="108">
        <v>1</v>
      </c>
      <c r="N1976" s="95">
        <v>1</v>
      </c>
      <c r="O1976" s="109">
        <f>IF(Key!D$1="ON",P1976,IF(SUM(Q1976:DL1976)&lt;1,"",SUM(Q1976:DL1976)/COUNTIF(Q1976:DL1976,"&gt;0")))</f>
        <v>0</v>
      </c>
      <c r="P1976" s="109">
        <f>SUMIFS(Q1976:DK1976,Q$1:DK$1,Dashboard!$K$31)</f>
        <v>0</v>
      </c>
      <c r="U1976" s="95">
        <v>33</v>
      </c>
      <c r="AA1976" s="95">
        <v>25</v>
      </c>
      <c r="AH1976" s="95">
        <v>75</v>
      </c>
    </row>
    <row r="1977" spans="1:34" ht="15.6" x14ac:dyDescent="0.3">
      <c r="A1977" s="89" t="str">
        <f>CONCATENATE(D1977,".",F1977,"-",G1977,".",H1977,"")</f>
        <v>2.3-3.1</v>
      </c>
      <c r="B1977" s="89" t="str">
        <f>IF(CONCATENATE(I1977,Key!F$2)=CONCATENATE(INDEX(Dashboard!J:J,MATCH(I1977,Dashboard!J:J,0),1),INDEX(Dashboard!J:K,MATCH(I1977,Dashboard!J:J,0),2)),"ON",IF(Dashboard!K$32="ALL","ON","-"))</f>
        <v>-</v>
      </c>
      <c r="C1977" s="88" t="s">
        <v>152</v>
      </c>
      <c r="D1977" s="89">
        <f>IF(C1977="ID",1,(IF(C1977="PR",2,(IF(C1977="DE",3,(IF(C1977="RS",4,(IF(C1977="RC",5,0)))))))))</f>
        <v>2</v>
      </c>
      <c r="E1977" s="89" t="s">
        <v>210</v>
      </c>
      <c r="F1977" s="89">
        <f>IF(E1977="AM",1,(IF(E1977="BE",2,(IF(E1977="GV",3,(IF(E1977="RA",4,(IF(E1977="RM",5,(IF(E1977="AC",1,(IF(E1977="AT",2,(IF(E1977="DS",3,(IF(E1977="IP",4,(IF(E1977="MA",5,(IF(E1977="PT",6,(IF(E1977="AE",1,(IF(E1977="CM",2,(IF(E1977="DP",3,(IF(E1977="AN",1,(IF(E1977="CO",2,(IF(E1977="IM",3,(IF(E1977="MI",4,(IF(E1977="RP",5,(IF(E1977="SC",6,0)))))))))))))))))))))))))))))))))))))))</f>
        <v>3</v>
      </c>
      <c r="G1977" s="52">
        <v>3</v>
      </c>
      <c r="H1977" s="89">
        <v>1</v>
      </c>
      <c r="I1977" s="94" t="s">
        <v>85</v>
      </c>
      <c r="J1977" s="86" t="s">
        <v>868</v>
      </c>
      <c r="K1977" s="119" t="s">
        <v>5159</v>
      </c>
      <c r="L1977" s="117">
        <f>IF(O1977="","",N1977*O1977*M1977)</f>
        <v>0</v>
      </c>
      <c r="M1977" s="108">
        <v>1</v>
      </c>
      <c r="N1977" s="95">
        <v>1</v>
      </c>
      <c r="O1977" s="109">
        <f>IF(Key!D$1="ON",P1977,IF(SUM(Q1977:DL1977)&lt;1,"",SUM(Q1977:DL1977)/COUNTIF(Q1977:DL1977,"&gt;0")))</f>
        <v>0</v>
      </c>
      <c r="P1977" s="109">
        <f>SUMIFS(Q1977:DK1977,Q$1:DK$1,Dashboard!$K$31)</f>
        <v>0</v>
      </c>
      <c r="U1977" s="95">
        <v>33</v>
      </c>
      <c r="AA1977" s="95">
        <v>25</v>
      </c>
      <c r="AH1977" s="95">
        <v>75</v>
      </c>
    </row>
    <row r="1978" spans="1:34" x14ac:dyDescent="0.3">
      <c r="A1978" s="89" t="str">
        <f>CONCATENATE(D1978,".",F1978,"-",G1978,".",H1978,"")</f>
        <v>2.3-3.1</v>
      </c>
      <c r="B1978" s="89" t="str">
        <f>IF(CONCATENATE(I1978,Key!F$2)=CONCATENATE(INDEX(Dashboard!J:J,MATCH(I1978,Dashboard!J:J,0),1),INDEX(Dashboard!J:K,MATCH(I1978,Dashboard!J:J,0),2)),"ON",IF(Dashboard!K$32="ALL","ON","-"))</f>
        <v>-</v>
      </c>
      <c r="C1978" s="88" t="s">
        <v>152</v>
      </c>
      <c r="D1978" s="89">
        <f>IF(C1978="ID",1,(IF(C1978="PR",2,(IF(C1978="DE",3,(IF(C1978="RS",4,(IF(C1978="RC",5,0)))))))))</f>
        <v>2</v>
      </c>
      <c r="E1978" s="89" t="s">
        <v>210</v>
      </c>
      <c r="F1978" s="89">
        <f>IF(E1978="AM",1,(IF(E1978="BE",2,(IF(E1978="GV",3,(IF(E1978="RA",4,(IF(E1978="RM",5,(IF(E1978="AC",1,(IF(E1978="AT",2,(IF(E1978="DS",3,(IF(E1978="IP",4,(IF(E1978="MA",5,(IF(E1978="PT",6,(IF(E1978="AE",1,(IF(E1978="CM",2,(IF(E1978="DP",3,(IF(E1978="AN",1,(IF(E1978="CO",2,(IF(E1978="IM",3,(IF(E1978="MI",4,(IF(E1978="RP",5,(IF(E1978="SC",6,0)))))))))))))))))))))))))))))))))))))))</f>
        <v>3</v>
      </c>
      <c r="G1978" s="52">
        <v>3</v>
      </c>
      <c r="H1978" s="90" t="s">
        <v>115</v>
      </c>
      <c r="I1978" s="94" t="s">
        <v>85</v>
      </c>
      <c r="J1978" s="87" t="s">
        <v>1369</v>
      </c>
      <c r="K1978" s="119" t="s">
        <v>4841</v>
      </c>
      <c r="L1978" s="117">
        <f>IF(O1978="","",N1978*O1978*M1978)</f>
        <v>0</v>
      </c>
      <c r="M1978" s="108">
        <v>1</v>
      </c>
      <c r="N1978" s="95">
        <v>1</v>
      </c>
      <c r="O1978" s="109">
        <f>IF(Key!D$1="ON",P1978,IF(SUM(Q1978:DL1978)&lt;1,"",SUM(Q1978:DL1978)/COUNTIF(Q1978:DL1978,"&gt;0")))</f>
        <v>0</v>
      </c>
      <c r="P1978" s="109">
        <f>SUMIFS(Q1978:DK1978,Q$1:DK$1,Dashboard!$K$31)</f>
        <v>0</v>
      </c>
      <c r="U1978" s="95">
        <v>33</v>
      </c>
      <c r="AA1978" s="95">
        <v>25</v>
      </c>
      <c r="AH1978" s="95">
        <v>75</v>
      </c>
    </row>
    <row r="1979" spans="1:34" x14ac:dyDescent="0.3">
      <c r="A1979" s="89" t="str">
        <f>CONCATENATE(D1979,".",F1979,"-",G1979,".",H1979,"")</f>
        <v>2.3-3.1</v>
      </c>
      <c r="B1979" s="89" t="str">
        <f>IF(CONCATENATE(I1979,Key!F$2)=CONCATENATE(INDEX(Dashboard!J:J,MATCH(I1979,Dashboard!J:J,0),1),INDEX(Dashboard!J:K,MATCH(I1979,Dashboard!J:J,0),2)),"ON",IF(Dashboard!K$32="ALL","ON","-"))</f>
        <v>-</v>
      </c>
      <c r="C1979" s="88" t="s">
        <v>152</v>
      </c>
      <c r="D1979" s="89">
        <f>IF(C1979="ID",1,(IF(C1979="PR",2,(IF(C1979="DE",3,(IF(C1979="RS",4,(IF(C1979="RC",5,0)))))))))</f>
        <v>2</v>
      </c>
      <c r="E1979" s="89" t="s">
        <v>210</v>
      </c>
      <c r="F1979" s="89">
        <f>IF(E1979="AM",1,(IF(E1979="BE",2,(IF(E1979="GV",3,(IF(E1979="RA",4,(IF(E1979="RM",5,(IF(E1979="AC",1,(IF(E1979="AT",2,(IF(E1979="DS",3,(IF(E1979="IP",4,(IF(E1979="MA",5,(IF(E1979="PT",6,(IF(E1979="AE",1,(IF(E1979="CM",2,(IF(E1979="DP",3,(IF(E1979="AN",1,(IF(E1979="CO",2,(IF(E1979="IM",3,(IF(E1979="MI",4,(IF(E1979="RP",5,(IF(E1979="SC",6,0)))))))))))))))))))))))))))))))))))))))</f>
        <v>3</v>
      </c>
      <c r="G1979" s="52">
        <v>3</v>
      </c>
      <c r="H1979" s="89">
        <v>1</v>
      </c>
      <c r="I1979" s="94" t="s">
        <v>85</v>
      </c>
      <c r="J1979" s="86" t="s">
        <v>869</v>
      </c>
      <c r="K1979" s="119" t="s">
        <v>5160</v>
      </c>
      <c r="L1979" s="117">
        <f>IF(O1979="","",N1979*O1979*M1979)</f>
        <v>0</v>
      </c>
      <c r="M1979" s="108">
        <v>1</v>
      </c>
      <c r="N1979" s="95">
        <v>1</v>
      </c>
      <c r="O1979" s="109">
        <f>IF(Key!D$1="ON",P1979,IF(SUM(Q1979:DL1979)&lt;1,"",SUM(Q1979:DL1979)/COUNTIF(Q1979:DL1979,"&gt;0")))</f>
        <v>0</v>
      </c>
      <c r="P1979" s="109">
        <f>SUMIFS(Q1979:DK1979,Q$1:DK$1,Dashboard!$K$31)</f>
        <v>0</v>
      </c>
      <c r="U1979" s="95">
        <v>33</v>
      </c>
      <c r="AA1979" s="95">
        <v>25</v>
      </c>
      <c r="AH1979" s="95">
        <v>75</v>
      </c>
    </row>
    <row r="1980" spans="1:34" x14ac:dyDescent="0.3">
      <c r="A1980" s="89" t="str">
        <f>CONCATENATE(D1980,".",F1980,"-",G1980,".",H1980,"")</f>
        <v>2.3-3.1</v>
      </c>
      <c r="B1980" s="89" t="str">
        <f>IF(CONCATENATE(I1980,Key!F$2)=CONCATENATE(INDEX(Dashboard!J:J,MATCH(I1980,Dashboard!J:J,0),1),INDEX(Dashboard!J:K,MATCH(I1980,Dashboard!J:J,0),2)),"ON",IF(Dashboard!K$32="ALL","ON","-"))</f>
        <v>-</v>
      </c>
      <c r="C1980" s="88" t="s">
        <v>152</v>
      </c>
      <c r="D1980" s="89">
        <f>IF(C1980="ID",1,(IF(C1980="PR",2,(IF(C1980="DE",3,(IF(C1980="RS",4,(IF(C1980="RC",5,0)))))))))</f>
        <v>2</v>
      </c>
      <c r="E1980" s="89" t="s">
        <v>210</v>
      </c>
      <c r="F1980" s="89">
        <f>IF(E1980="AM",1,(IF(E1980="BE",2,(IF(E1980="GV",3,(IF(E1980="RA",4,(IF(E1980="RM",5,(IF(E1980="AC",1,(IF(E1980="AT",2,(IF(E1980="DS",3,(IF(E1980="IP",4,(IF(E1980="MA",5,(IF(E1980="PT",6,(IF(E1980="AE",1,(IF(E1980="CM",2,(IF(E1980="DP",3,(IF(E1980="AN",1,(IF(E1980="CO",2,(IF(E1980="IM",3,(IF(E1980="MI",4,(IF(E1980="RP",5,(IF(E1980="SC",6,0)))))))))))))))))))))))))))))))))))))))</f>
        <v>3</v>
      </c>
      <c r="G1980" s="52">
        <v>3</v>
      </c>
      <c r="H1980" s="90" t="s">
        <v>115</v>
      </c>
      <c r="I1980" s="94" t="s">
        <v>85</v>
      </c>
      <c r="J1980" s="87" t="s">
        <v>1365</v>
      </c>
      <c r="K1980" s="119" t="s">
        <v>4836</v>
      </c>
      <c r="L1980" s="117">
        <f>IF(O1980="","",N1980*O1980*M1980)</f>
        <v>0</v>
      </c>
      <c r="M1980" s="108">
        <v>1</v>
      </c>
      <c r="N1980" s="95">
        <v>1</v>
      </c>
      <c r="O1980" s="109">
        <f>IF(Key!D$1="ON",P1980,IF(SUM(Q1980:DL1980)&lt;1,"",SUM(Q1980:DL1980)/COUNTIF(Q1980:DL1980,"&gt;0")))</f>
        <v>0</v>
      </c>
      <c r="P1980" s="109">
        <f>SUMIFS(Q1980:DK1980,Q$1:DK$1,Dashboard!$K$31)</f>
        <v>0</v>
      </c>
      <c r="U1980" s="95">
        <v>33</v>
      </c>
      <c r="AA1980" s="95">
        <v>25</v>
      </c>
      <c r="AH1980" s="95">
        <v>75</v>
      </c>
    </row>
    <row r="1981" spans="1:34" x14ac:dyDescent="0.3">
      <c r="A1981" s="89" t="str">
        <f>CONCATENATE(D1981,".",F1981,"-",G1981,".",H1981,"")</f>
        <v>2.3-3.1</v>
      </c>
      <c r="B1981" s="89" t="str">
        <f>IF(CONCATENATE(I1981,Key!F$2)=CONCATENATE(INDEX(Dashboard!J:J,MATCH(I1981,Dashboard!J:J,0),1),INDEX(Dashboard!J:K,MATCH(I1981,Dashboard!J:J,0),2)),"ON",IF(Dashboard!K$32="ALL","ON","-"))</f>
        <v>-</v>
      </c>
      <c r="C1981" s="88" t="s">
        <v>152</v>
      </c>
      <c r="D1981" s="89">
        <f>IF(C1981="ID",1,(IF(C1981="PR",2,(IF(C1981="DE",3,(IF(C1981="RS",4,(IF(C1981="RC",5,0)))))))))</f>
        <v>2</v>
      </c>
      <c r="E1981" s="89" t="s">
        <v>210</v>
      </c>
      <c r="F1981" s="89">
        <f>IF(E1981="AM",1,(IF(E1981="BE",2,(IF(E1981="GV",3,(IF(E1981="RA",4,(IF(E1981="RM",5,(IF(E1981="AC",1,(IF(E1981="AT",2,(IF(E1981="DS",3,(IF(E1981="IP",4,(IF(E1981="MA",5,(IF(E1981="PT",6,(IF(E1981="AE",1,(IF(E1981="CM",2,(IF(E1981="DP",3,(IF(E1981="AN",1,(IF(E1981="CO",2,(IF(E1981="IM",3,(IF(E1981="MI",4,(IF(E1981="RP",5,(IF(E1981="SC",6,0)))))))))))))))))))))))))))))))))))))))</f>
        <v>3</v>
      </c>
      <c r="G1981" s="52">
        <v>3</v>
      </c>
      <c r="H1981" s="89">
        <v>1</v>
      </c>
      <c r="I1981" s="94" t="s">
        <v>85</v>
      </c>
      <c r="J1981" s="86" t="s">
        <v>870</v>
      </c>
      <c r="K1981" s="119" t="s">
        <v>5161</v>
      </c>
      <c r="L1981" s="117">
        <f>IF(O1981="","",N1981*O1981*M1981)</f>
        <v>0</v>
      </c>
      <c r="M1981" s="108">
        <v>1</v>
      </c>
      <c r="N1981" s="95">
        <v>1</v>
      </c>
      <c r="O1981" s="109">
        <f>IF(Key!D$1="ON",P1981,IF(SUM(Q1981:DL1981)&lt;1,"",SUM(Q1981:DL1981)/COUNTIF(Q1981:DL1981,"&gt;0")))</f>
        <v>0</v>
      </c>
      <c r="P1981" s="109">
        <f>SUMIFS(Q1981:DK1981,Q$1:DK$1,Dashboard!$K$31)</f>
        <v>0</v>
      </c>
      <c r="U1981" s="95">
        <v>33</v>
      </c>
      <c r="AA1981" s="95">
        <v>25</v>
      </c>
      <c r="AH1981" s="95">
        <v>75</v>
      </c>
    </row>
    <row r="1982" spans="1:34" x14ac:dyDescent="0.3">
      <c r="A1982" s="89" t="str">
        <f>CONCATENATE(D1982,".",F1982,"-",G1982,".",H1982,"")</f>
        <v>2.3-3.1</v>
      </c>
      <c r="B1982" s="89" t="str">
        <f>IF(CONCATENATE(I1982,Key!F$2)=CONCATENATE(INDEX(Dashboard!J:J,MATCH(I1982,Dashboard!J:J,0),1),INDEX(Dashboard!J:K,MATCH(I1982,Dashboard!J:J,0),2)),"ON",IF(Dashboard!K$32="ALL","ON","-"))</f>
        <v>-</v>
      </c>
      <c r="C1982" s="88" t="s">
        <v>152</v>
      </c>
      <c r="D1982" s="89">
        <f>IF(C1982="ID",1,(IF(C1982="PR",2,(IF(C1982="DE",3,(IF(C1982="RS",4,(IF(C1982="RC",5,0)))))))))</f>
        <v>2</v>
      </c>
      <c r="E1982" s="89" t="s">
        <v>210</v>
      </c>
      <c r="F1982" s="89">
        <f>IF(E1982="AM",1,(IF(E1982="BE",2,(IF(E1982="GV",3,(IF(E1982="RA",4,(IF(E1982="RM",5,(IF(E1982="AC",1,(IF(E1982="AT",2,(IF(E1982="DS",3,(IF(E1982="IP",4,(IF(E1982="MA",5,(IF(E1982="PT",6,(IF(E1982="AE",1,(IF(E1982="CM",2,(IF(E1982="DP",3,(IF(E1982="AN",1,(IF(E1982="CO",2,(IF(E1982="IM",3,(IF(E1982="MI",4,(IF(E1982="RP",5,(IF(E1982="SC",6,0)))))))))))))))))))))))))))))))))))))))</f>
        <v>3</v>
      </c>
      <c r="G1982" s="52">
        <v>3</v>
      </c>
      <c r="H1982" s="90" t="s">
        <v>115</v>
      </c>
      <c r="I1982" s="94" t="s">
        <v>85</v>
      </c>
      <c r="J1982" s="128" t="s">
        <v>918</v>
      </c>
      <c r="K1982" s="119" t="s">
        <v>919</v>
      </c>
      <c r="L1982" s="117">
        <f>IF(O1982="","",N1982*O1982*M1982)</f>
        <v>0</v>
      </c>
      <c r="M1982" s="108">
        <v>1</v>
      </c>
      <c r="N1982" s="95">
        <v>1</v>
      </c>
      <c r="O1982" s="109">
        <f>IF(Key!D$1="ON",P1982,IF(SUM(Q1982:DL1982)&lt;1,"",SUM(Q1982:DL1982)/COUNTIF(Q1982:DL1982,"&gt;0")))</f>
        <v>0</v>
      </c>
      <c r="P1982" s="109">
        <f>SUMIFS(Q1982:DK1982,Q$1:DK$1,Dashboard!$K$31)</f>
        <v>0</v>
      </c>
      <c r="U1982" s="95">
        <v>33</v>
      </c>
      <c r="AA1982" s="95">
        <v>25</v>
      </c>
      <c r="AH1982" s="95">
        <v>75</v>
      </c>
    </row>
    <row r="1983" spans="1:34" x14ac:dyDescent="0.3">
      <c r="A1983" s="89" t="str">
        <f>CONCATENATE(D1983,".",F1983,"-",G1983,".",H1983,"")</f>
        <v>2.3-3.1</v>
      </c>
      <c r="B1983" s="89" t="str">
        <f>IF(CONCATENATE(I1983,Key!F$2)=CONCATENATE(INDEX(Dashboard!J:J,MATCH(I1983,Dashboard!J:J,0),1),INDEX(Dashboard!J:K,MATCH(I1983,Dashboard!J:J,0),2)),"ON",IF(Dashboard!K$32="ALL","ON","-"))</f>
        <v>-</v>
      </c>
      <c r="C1983" s="88" t="s">
        <v>152</v>
      </c>
      <c r="D1983" s="89">
        <f>IF(C1983="ID",1,(IF(C1983="PR",2,(IF(C1983="DE",3,(IF(C1983="RS",4,(IF(C1983="RC",5,0)))))))))</f>
        <v>2</v>
      </c>
      <c r="E1983" s="89" t="s">
        <v>210</v>
      </c>
      <c r="F1983" s="89">
        <f>IF(E1983="AM",1,(IF(E1983="BE",2,(IF(E1983="GV",3,(IF(E1983="RA",4,(IF(E1983="RM",5,(IF(E1983="AC",1,(IF(E1983="AT",2,(IF(E1983="DS",3,(IF(E1983="IP",4,(IF(E1983="MA",5,(IF(E1983="PT",6,(IF(E1983="AE",1,(IF(E1983="CM",2,(IF(E1983="DP",3,(IF(E1983="AN",1,(IF(E1983="CO",2,(IF(E1983="IM",3,(IF(E1983="MI",4,(IF(E1983="RP",5,(IF(E1983="SC",6,0)))))))))))))))))))))))))))))))))))))))</f>
        <v>3</v>
      </c>
      <c r="G1983" s="52">
        <v>3</v>
      </c>
      <c r="H1983" s="90" t="s">
        <v>115</v>
      </c>
      <c r="I1983" s="94" t="s">
        <v>85</v>
      </c>
      <c r="J1983" s="128" t="s">
        <v>1691</v>
      </c>
      <c r="K1983" s="119" t="s">
        <v>1692</v>
      </c>
      <c r="L1983" s="117">
        <f>IF(O1983="","",N1983*O1983*M1983)</f>
        <v>0</v>
      </c>
      <c r="M1983" s="108">
        <v>1</v>
      </c>
      <c r="N1983" s="95">
        <v>1</v>
      </c>
      <c r="O1983" s="109">
        <f>IF(Key!D$1="ON",P1983,IF(SUM(Q1983:DL1983)&lt;1,"",SUM(Q1983:DL1983)/COUNTIF(Q1983:DL1983,"&gt;0")))</f>
        <v>0</v>
      </c>
      <c r="P1983" s="109">
        <f>SUMIFS(Q1983:DK1983,Q$1:DK$1,Dashboard!$K$31)</f>
        <v>0</v>
      </c>
      <c r="U1983" s="95">
        <v>33</v>
      </c>
      <c r="AA1983" s="95">
        <v>25</v>
      </c>
      <c r="AH1983" s="95">
        <v>75</v>
      </c>
    </row>
    <row r="1984" spans="1:34" x14ac:dyDescent="0.3">
      <c r="A1984" s="89" t="str">
        <f>CONCATENATE(D1984,".",F1984,"-",G1984,".",H1984,"")</f>
        <v>2.3-3.1</v>
      </c>
      <c r="B1984" s="89" t="str">
        <f>IF(CONCATENATE(I1984,Key!F$2)=CONCATENATE(INDEX(Dashboard!J:J,MATCH(I1984,Dashboard!J:J,0),1),INDEX(Dashboard!J:K,MATCH(I1984,Dashboard!J:J,0),2)),"ON",IF(Dashboard!K$32="ALL","ON","-"))</f>
        <v>-</v>
      </c>
      <c r="C1984" s="88" t="s">
        <v>152</v>
      </c>
      <c r="D1984" s="89">
        <f>IF(C1984="ID",1,(IF(C1984="PR",2,(IF(C1984="DE",3,(IF(C1984="RS",4,(IF(C1984="RC",5,0)))))))))</f>
        <v>2</v>
      </c>
      <c r="E1984" s="89" t="s">
        <v>210</v>
      </c>
      <c r="F1984" s="89">
        <f>IF(E1984="AM",1,(IF(E1984="BE",2,(IF(E1984="GV",3,(IF(E1984="RA",4,(IF(E1984="RM",5,(IF(E1984="AC",1,(IF(E1984="AT",2,(IF(E1984="DS",3,(IF(E1984="IP",4,(IF(E1984="MA",5,(IF(E1984="PT",6,(IF(E1984="AE",1,(IF(E1984="CM",2,(IF(E1984="DP",3,(IF(E1984="AN",1,(IF(E1984="CO",2,(IF(E1984="IM",3,(IF(E1984="MI",4,(IF(E1984="RP",5,(IF(E1984="SC",6,0)))))))))))))))))))))))))))))))))))))))</f>
        <v>3</v>
      </c>
      <c r="G1984" s="52">
        <v>3</v>
      </c>
      <c r="H1984" s="90" t="s">
        <v>115</v>
      </c>
      <c r="I1984" s="94" t="s">
        <v>85</v>
      </c>
      <c r="J1984" s="128" t="s">
        <v>925</v>
      </c>
      <c r="K1984" s="119" t="s">
        <v>4695</v>
      </c>
      <c r="L1984" s="117">
        <f>IF(O1984="","",N1984*O1984*M1984)</f>
        <v>0</v>
      </c>
      <c r="M1984" s="108">
        <v>1</v>
      </c>
      <c r="N1984" s="95">
        <v>1</v>
      </c>
      <c r="O1984" s="109">
        <f>IF(Key!D$1="ON",P1984,IF(SUM(Q1984:DL1984)&lt;1,"",SUM(Q1984:DL1984)/COUNTIF(Q1984:DL1984,"&gt;0")))</f>
        <v>0</v>
      </c>
      <c r="P1984" s="109">
        <f>SUMIFS(Q1984:DK1984,Q$1:DK$1,Dashboard!$K$31)</f>
        <v>0</v>
      </c>
      <c r="U1984" s="95">
        <v>33</v>
      </c>
      <c r="AA1984" s="95">
        <v>25</v>
      </c>
      <c r="AH1984" s="95">
        <v>75</v>
      </c>
    </row>
    <row r="1985" spans="1:34" x14ac:dyDescent="0.3">
      <c r="A1985" s="89" t="str">
        <f>CONCATENATE(D1985,".",F1985,"-",G1985,".",H1985,"")</f>
        <v>2.3-3.1</v>
      </c>
      <c r="B1985" s="89" t="str">
        <f>IF(CONCATENATE(I1985,Key!F$2)=CONCATENATE(INDEX(Dashboard!J:J,MATCH(I1985,Dashboard!J:J,0),1),INDEX(Dashboard!J:K,MATCH(I1985,Dashboard!J:J,0),2)),"ON",IF(Dashboard!K$32="ALL","ON","-"))</f>
        <v>-</v>
      </c>
      <c r="C1985" s="88" t="s">
        <v>152</v>
      </c>
      <c r="D1985" s="89">
        <f>IF(C1985="ID",1,(IF(C1985="PR",2,(IF(C1985="DE",3,(IF(C1985="RS",4,(IF(C1985="RC",5,0)))))))))</f>
        <v>2</v>
      </c>
      <c r="E1985" s="89" t="s">
        <v>210</v>
      </c>
      <c r="F1985" s="89">
        <f>IF(E1985="AM",1,(IF(E1985="BE",2,(IF(E1985="GV",3,(IF(E1985="RA",4,(IF(E1985="RM",5,(IF(E1985="AC",1,(IF(E1985="AT",2,(IF(E1985="DS",3,(IF(E1985="IP",4,(IF(E1985="MA",5,(IF(E1985="PT",6,(IF(E1985="AE",1,(IF(E1985="CM",2,(IF(E1985="DP",3,(IF(E1985="AN",1,(IF(E1985="CO",2,(IF(E1985="IM",3,(IF(E1985="MI",4,(IF(E1985="RP",5,(IF(E1985="SC",6,0)))))))))))))))))))))))))))))))))))))))</f>
        <v>3</v>
      </c>
      <c r="G1985" s="52">
        <v>3</v>
      </c>
      <c r="H1985" s="89">
        <v>1</v>
      </c>
      <c r="I1985" s="94" t="s">
        <v>85</v>
      </c>
      <c r="J1985" s="118" t="s">
        <v>873</v>
      </c>
      <c r="K1985" s="119" t="s">
        <v>5164</v>
      </c>
      <c r="L1985" s="117">
        <f>IF(O1985="","",N1985*O1985*M1985)</f>
        <v>0</v>
      </c>
      <c r="M1985" s="108">
        <v>1</v>
      </c>
      <c r="N1985" s="95">
        <v>1</v>
      </c>
      <c r="O1985" s="109">
        <f>IF(Key!D$1="ON",P1985,IF(SUM(Q1985:DL1985)&lt;1,"",SUM(Q1985:DL1985)/COUNTIF(Q1985:DL1985,"&gt;0")))</f>
        <v>0</v>
      </c>
      <c r="P1985" s="109">
        <f>SUMIFS(Q1985:DK1985,Q$1:DK$1,Dashboard!$K$31)</f>
        <v>0</v>
      </c>
      <c r="U1985" s="95">
        <v>33</v>
      </c>
      <c r="AA1985" s="95">
        <v>25</v>
      </c>
      <c r="AH1985" s="95">
        <v>75</v>
      </c>
    </row>
    <row r="1986" spans="1:34" x14ac:dyDescent="0.3">
      <c r="A1986" s="89" t="str">
        <f>CONCATENATE(D1986,".",F1986,"-",G1986,".",H1986,"")</f>
        <v>2.3-3.1</v>
      </c>
      <c r="B1986" s="89" t="str">
        <f>IF(CONCATENATE(I1986,Key!F$2)=CONCATENATE(INDEX(Dashboard!J:J,MATCH(I1986,Dashboard!J:J,0),1),INDEX(Dashboard!J:K,MATCH(I1986,Dashboard!J:J,0),2)),"ON",IF(Dashboard!K$32="ALL","ON","-"))</f>
        <v>-</v>
      </c>
      <c r="C1986" s="88" t="s">
        <v>152</v>
      </c>
      <c r="D1986" s="89">
        <f>IF(C1986="ID",1,(IF(C1986="PR",2,(IF(C1986="DE",3,(IF(C1986="RS",4,(IF(C1986="RC",5,0)))))))))</f>
        <v>2</v>
      </c>
      <c r="E1986" s="89" t="s">
        <v>210</v>
      </c>
      <c r="F1986" s="89">
        <f>IF(E1986="AM",1,(IF(E1986="BE",2,(IF(E1986="GV",3,(IF(E1986="RA",4,(IF(E1986="RM",5,(IF(E1986="AC",1,(IF(E1986="AT",2,(IF(E1986="DS",3,(IF(E1986="IP",4,(IF(E1986="MA",5,(IF(E1986="PT",6,(IF(E1986="AE",1,(IF(E1986="CM",2,(IF(E1986="DP",3,(IF(E1986="AN",1,(IF(E1986="CO",2,(IF(E1986="IM",3,(IF(E1986="MI",4,(IF(E1986="RP",5,(IF(E1986="SC",6,0)))))))))))))))))))))))))))))))))))))))</f>
        <v>3</v>
      </c>
      <c r="G1986" s="52">
        <v>3</v>
      </c>
      <c r="H1986" s="89">
        <v>1</v>
      </c>
      <c r="I1986" s="94" t="s">
        <v>85</v>
      </c>
      <c r="J1986" s="118" t="s">
        <v>872</v>
      </c>
      <c r="K1986" s="119" t="s">
        <v>5163</v>
      </c>
      <c r="L1986" s="117">
        <f>IF(O1986="","",N1986*O1986*M1986)</f>
        <v>0</v>
      </c>
      <c r="M1986" s="108">
        <v>1</v>
      </c>
      <c r="N1986" s="95">
        <v>1</v>
      </c>
      <c r="O1986" s="109">
        <f>IF(Key!D$1="ON",P1986,IF(SUM(Q1986:DL1986)&lt;1,"",SUM(Q1986:DL1986)/COUNTIF(Q1986:DL1986,"&gt;0")))</f>
        <v>0</v>
      </c>
      <c r="P1986" s="109">
        <f>SUMIFS(Q1986:DK1986,Q$1:DK$1,Dashboard!$K$31)</f>
        <v>0</v>
      </c>
      <c r="U1986" s="95">
        <v>33</v>
      </c>
      <c r="AA1986" s="95">
        <v>25</v>
      </c>
      <c r="AH1986" s="95">
        <v>75</v>
      </c>
    </row>
    <row r="1987" spans="1:34" x14ac:dyDescent="0.3">
      <c r="A1987" s="89" t="str">
        <f>CONCATENATE(D1987,".",F1987,"-",G1987,".",H1987,"")</f>
        <v>2.3-3.1</v>
      </c>
      <c r="B1987" s="89" t="str">
        <f>IF(CONCATENATE(I1987,Key!F$2)=CONCATENATE(INDEX(Dashboard!J:J,MATCH(I1987,Dashboard!J:J,0),1),INDEX(Dashboard!J:K,MATCH(I1987,Dashboard!J:J,0),2)),"ON",IF(Dashboard!K$32="ALL","ON","-"))</f>
        <v>-</v>
      </c>
      <c r="C1987" s="88" t="s">
        <v>152</v>
      </c>
      <c r="D1987" s="89">
        <f>IF(C1987="ID",1,(IF(C1987="PR",2,(IF(C1987="DE",3,(IF(C1987="RS",4,(IF(C1987="RC",5,0)))))))))</f>
        <v>2</v>
      </c>
      <c r="E1987" s="89" t="s">
        <v>210</v>
      </c>
      <c r="F1987" s="89">
        <f>IF(E1987="AM",1,(IF(E1987="BE",2,(IF(E1987="GV",3,(IF(E1987="RA",4,(IF(E1987="RM",5,(IF(E1987="AC",1,(IF(E1987="AT",2,(IF(E1987="DS",3,(IF(E1987="IP",4,(IF(E1987="MA",5,(IF(E1987="PT",6,(IF(E1987="AE",1,(IF(E1987="CM",2,(IF(E1987="DP",3,(IF(E1987="AN",1,(IF(E1987="CO",2,(IF(E1987="IM",3,(IF(E1987="MI",4,(IF(E1987="RP",5,(IF(E1987="SC",6,0)))))))))))))))))))))))))))))))))))))))</f>
        <v>3</v>
      </c>
      <c r="G1987" s="52">
        <v>3</v>
      </c>
      <c r="H1987" s="89">
        <v>1</v>
      </c>
      <c r="I1987" s="94" t="s">
        <v>85</v>
      </c>
      <c r="J1987" s="155" t="s">
        <v>675</v>
      </c>
      <c r="K1987" s="143" t="s">
        <v>676</v>
      </c>
      <c r="L1987" s="117">
        <f>IF(O1987="","",N1987*O1987*M1987)</f>
        <v>0</v>
      </c>
      <c r="M1987" s="108">
        <v>1</v>
      </c>
      <c r="N1987" s="95">
        <v>1</v>
      </c>
      <c r="O1987" s="109">
        <f>IF(Key!D$1="ON",P1987,IF(SUM(Q1987:DL1987)&lt;1,"",SUM(Q1987:DL1987)/COUNTIF(Q1987:DL1987,"&gt;0")))</f>
        <v>0</v>
      </c>
      <c r="P1987" s="109">
        <f>SUMIFS(Q1987:DK1987,Q$1:DK$1,Dashboard!$K$31)</f>
        <v>0</v>
      </c>
      <c r="U1987" s="95">
        <v>33</v>
      </c>
      <c r="AA1987" s="95">
        <v>25</v>
      </c>
      <c r="AH1987" s="95">
        <v>75</v>
      </c>
    </row>
    <row r="1988" spans="1:34" x14ac:dyDescent="0.3">
      <c r="A1988" s="89" t="str">
        <f>CONCATENATE(D1988,".",F1988,"-",G1988,".",H1988,"")</f>
        <v>2.3-3.1</v>
      </c>
      <c r="B1988" s="89" t="str">
        <f>IF(CONCATENATE(I1988,Key!F$2)=CONCATENATE(INDEX(Dashboard!J:J,MATCH(I1988,Dashboard!J:J,0),1),INDEX(Dashboard!J:K,MATCH(I1988,Dashboard!J:J,0),2)),"ON",IF(Dashboard!K$32="ALL","ON","-"))</f>
        <v>-</v>
      </c>
      <c r="C1988" s="88" t="s">
        <v>152</v>
      </c>
      <c r="D1988" s="89">
        <f>IF(C1988="ID",1,(IF(C1988="PR",2,(IF(C1988="DE",3,(IF(C1988="RS",4,(IF(C1988="RC",5,0)))))))))</f>
        <v>2</v>
      </c>
      <c r="E1988" s="89" t="s">
        <v>136</v>
      </c>
      <c r="F1988" s="89">
        <f>IF(E1988="AM",1,(IF(E1988="BE",2,(IF(E1988="GV",3,(IF(E1988="RA",4,(IF(E1988="RM",5,(IF(E1988="AC",1,(IF(E1988="AT",2,(IF(E1988="DS",3,(IF(E1988="IP",4,(IF(E1988="MA",5,(IF(E1988="PT",6,(IF(E1988="AE",1,(IF(E1988="CM",2,(IF(E1988="DP",3,(IF(E1988="AN",1,(IF(E1988="CO",2,(IF(E1988="IM",3,(IF(E1988="MI",4,(IF(E1988="RP",5,(IF(E1988="SC",6,0)))))))))))))))))))))))))))))))))))))))</f>
        <v>3</v>
      </c>
      <c r="G1988" s="52">
        <v>3</v>
      </c>
      <c r="H1988" s="89">
        <v>1</v>
      </c>
      <c r="I1988" s="94" t="s">
        <v>85</v>
      </c>
      <c r="J1988" s="155" t="s">
        <v>753</v>
      </c>
      <c r="K1988" s="143" t="s">
        <v>3922</v>
      </c>
      <c r="L1988" s="117">
        <f>IF(O1988="","",N1988*O1988*M1988)</f>
        <v>0</v>
      </c>
      <c r="M1988" s="108">
        <v>1</v>
      </c>
      <c r="N1988" s="95">
        <v>1</v>
      </c>
      <c r="O1988" s="109">
        <f>IF(Key!D$1="ON",P1988,IF(SUM(Q1988:DL1988)&lt;1,"",SUM(Q1988:DL1988)/COUNTIF(Q1988:DL1988,"&gt;0")))</f>
        <v>0</v>
      </c>
      <c r="P1988" s="109">
        <f>SUMIFS(Q1988:DK1988,Q$1:DK$1,Dashboard!$K$31)</f>
        <v>0</v>
      </c>
      <c r="U1988" s="95">
        <v>33</v>
      </c>
      <c r="AA1988" s="95">
        <v>25</v>
      </c>
      <c r="AH1988" s="95">
        <v>75</v>
      </c>
    </row>
    <row r="1989" spans="1:34" ht="15.6" x14ac:dyDescent="0.3">
      <c r="A1989" s="89" t="str">
        <f>CONCATENATE(D1989,".",F1989,"-",G1989,".",H1989,"")</f>
        <v>2.3-3.1</v>
      </c>
      <c r="B1989" s="89" t="str">
        <f>IF(CONCATENATE(I1989,Key!F$2)=CONCATENATE(INDEX(Dashboard!J:J,MATCH(I1989,Dashboard!J:J,0),1),INDEX(Dashboard!J:K,MATCH(I1989,Dashboard!J:J,0),2)),"ON",IF(Dashboard!K$32="ALL","ON","-"))</f>
        <v>-</v>
      </c>
      <c r="C1989" s="88" t="s">
        <v>152</v>
      </c>
      <c r="D1989" s="89">
        <f>IF(C1989="ID",1,(IF(C1989="PR",2,(IF(C1989="DE",3,(IF(C1989="RS",4,(IF(C1989="RC",5,0)))))))))</f>
        <v>2</v>
      </c>
      <c r="E1989" s="89" t="s">
        <v>136</v>
      </c>
      <c r="F1989" s="89">
        <f>IF(E1989="AM",1,(IF(E1989="BE",2,(IF(E1989="GV",3,(IF(E1989="RA",4,(IF(E1989="RM",5,(IF(E1989="AC",1,(IF(E1989="AT",2,(IF(E1989="DS",3,(IF(E1989="IP",4,(IF(E1989="MA",5,(IF(E1989="PT",6,(IF(E1989="AE",1,(IF(E1989="CM",2,(IF(E1989="DP",3,(IF(E1989="AN",1,(IF(E1989="CO",2,(IF(E1989="IM",3,(IF(E1989="MI",4,(IF(E1989="RP",5,(IF(E1989="SC",6,0)))))))))))))))))))))))))))))))))))))))</f>
        <v>3</v>
      </c>
      <c r="G1989" s="52">
        <v>3</v>
      </c>
      <c r="H1989" s="89">
        <v>1</v>
      </c>
      <c r="I1989" s="94" t="s">
        <v>85</v>
      </c>
      <c r="J1989" s="155" t="s">
        <v>755</v>
      </c>
      <c r="K1989" s="143" t="s">
        <v>4895</v>
      </c>
      <c r="L1989" s="117">
        <f>IF(O1989="","",N1989*O1989*M1989)</f>
        <v>0</v>
      </c>
      <c r="M1989" s="108">
        <v>1</v>
      </c>
      <c r="N1989" s="95">
        <v>1</v>
      </c>
      <c r="O1989" s="109">
        <f>IF(Key!D$1="ON",P1989,IF(SUM(Q1989:DL1989)&lt;1,"",SUM(Q1989:DL1989)/COUNTIF(Q1989:DL1989,"&gt;0")))</f>
        <v>0</v>
      </c>
      <c r="P1989" s="109">
        <f>SUMIFS(Q1989:DK1989,Q$1:DK$1,Dashboard!$K$31)</f>
        <v>0</v>
      </c>
      <c r="U1989" s="95">
        <v>33</v>
      </c>
      <c r="AA1989" s="95">
        <v>25</v>
      </c>
      <c r="AH1989" s="95">
        <v>75</v>
      </c>
    </row>
    <row r="1990" spans="1:34" ht="15.6" x14ac:dyDescent="0.3">
      <c r="A1990" s="89" t="str">
        <f>CONCATENATE(D1990,".",F1990,"-",G1990,".",H1990,"")</f>
        <v>2.3-3.1</v>
      </c>
      <c r="B1990" s="89" t="str">
        <f>IF(CONCATENATE(I1990,Key!F$2)=CONCATENATE(INDEX(Dashboard!J:J,MATCH(I1990,Dashboard!J:J,0),1),INDEX(Dashboard!J:K,MATCH(I1990,Dashboard!J:J,0),2)),"ON",IF(Dashboard!K$32="ALL","ON","-"))</f>
        <v>-</v>
      </c>
      <c r="C1990" s="88" t="s">
        <v>152</v>
      </c>
      <c r="D1990" s="89">
        <f>IF(C1990="ID",1,(IF(C1990="PR",2,(IF(C1990="DE",3,(IF(C1990="RS",4,(IF(C1990="RC",5,0)))))))))</f>
        <v>2</v>
      </c>
      <c r="E1990" s="89" t="s">
        <v>136</v>
      </c>
      <c r="F1990" s="89">
        <f>IF(E1990="AM",1,(IF(E1990="BE",2,(IF(E1990="GV",3,(IF(E1990="RA",4,(IF(E1990="RM",5,(IF(E1990="AC",1,(IF(E1990="AT",2,(IF(E1990="DS",3,(IF(E1990="IP",4,(IF(E1990="MA",5,(IF(E1990="PT",6,(IF(E1990="AE",1,(IF(E1990="CM",2,(IF(E1990="DP",3,(IF(E1990="AN",1,(IF(E1990="CO",2,(IF(E1990="IM",3,(IF(E1990="MI",4,(IF(E1990="RP",5,(IF(E1990="SC",6,0)))))))))))))))))))))))))))))))))))))))</f>
        <v>3</v>
      </c>
      <c r="G1990" s="52">
        <v>3</v>
      </c>
      <c r="H1990" s="89">
        <v>1</v>
      </c>
      <c r="I1990" s="94" t="s">
        <v>85</v>
      </c>
      <c r="J1990" s="155" t="s">
        <v>756</v>
      </c>
      <c r="K1990" s="143" t="s">
        <v>4896</v>
      </c>
      <c r="L1990" s="117">
        <f>IF(O1990="","",N1990*O1990*M1990)</f>
        <v>0</v>
      </c>
      <c r="M1990" s="108">
        <v>1</v>
      </c>
      <c r="N1990" s="95">
        <v>1</v>
      </c>
      <c r="O1990" s="109">
        <f>IF(Key!D$1="ON",P1990,IF(SUM(Q1990:DL1990)&lt;1,"",SUM(Q1990:DL1990)/COUNTIF(Q1990:DL1990,"&gt;0")))</f>
        <v>0</v>
      </c>
      <c r="P1990" s="109">
        <f>SUMIFS(Q1990:DK1990,Q$1:DK$1,Dashboard!$K$31)</f>
        <v>0</v>
      </c>
      <c r="U1990" s="95">
        <v>33</v>
      </c>
      <c r="AA1990" s="95">
        <v>25</v>
      </c>
      <c r="AH1990" s="95">
        <v>75</v>
      </c>
    </row>
    <row r="1991" spans="1:34" x14ac:dyDescent="0.3">
      <c r="A1991" s="89" t="str">
        <f>CONCATENATE(D1991,".",F1991,"-",G1991,".",H1991,"")</f>
        <v>2.3-3.1</v>
      </c>
      <c r="B1991" s="89" t="str">
        <f>IF(CONCATENATE(I1991,Key!F$2)=CONCATENATE(INDEX(Dashboard!J:J,MATCH(I1991,Dashboard!J:J,0),1),INDEX(Dashboard!J:K,MATCH(I1991,Dashboard!J:J,0),2)),"ON",IF(Dashboard!K$32="ALL","ON","-"))</f>
        <v>-</v>
      </c>
      <c r="C1991" s="88" t="s">
        <v>152</v>
      </c>
      <c r="D1991" s="89">
        <f>IF(C1991="ID",1,(IF(C1991="PR",2,(IF(C1991="DE",3,(IF(C1991="RS",4,(IF(C1991="RC",5,0)))))))))</f>
        <v>2</v>
      </c>
      <c r="E1991" s="89" t="s">
        <v>136</v>
      </c>
      <c r="F1991" s="89">
        <f>IF(E1991="AM",1,(IF(E1991="BE",2,(IF(E1991="GV",3,(IF(E1991="RA",4,(IF(E1991="RM",5,(IF(E1991="AC",1,(IF(E1991="AT",2,(IF(E1991="DS",3,(IF(E1991="IP",4,(IF(E1991="MA",5,(IF(E1991="PT",6,(IF(E1991="AE",1,(IF(E1991="CM",2,(IF(E1991="DP",3,(IF(E1991="AN",1,(IF(E1991="CO",2,(IF(E1991="IM",3,(IF(E1991="MI",4,(IF(E1991="RP",5,(IF(E1991="SC",6,0)))))))))))))))))))))))))))))))))))))))</f>
        <v>3</v>
      </c>
      <c r="G1991" s="52">
        <v>3</v>
      </c>
      <c r="H1991" s="89">
        <v>1</v>
      </c>
      <c r="I1991" s="94" t="s">
        <v>85</v>
      </c>
      <c r="J1991" s="155" t="s">
        <v>757</v>
      </c>
      <c r="K1991" s="143" t="s">
        <v>758</v>
      </c>
      <c r="L1991" s="117">
        <f>IF(O1991="","",N1991*O1991*M1991)</f>
        <v>0</v>
      </c>
      <c r="M1991" s="108">
        <v>1</v>
      </c>
      <c r="N1991" s="95">
        <v>1</v>
      </c>
      <c r="O1991" s="109">
        <f>IF(Key!D$1="ON",P1991,IF(SUM(Q1991:DL1991)&lt;1,"",SUM(Q1991:DL1991)/COUNTIF(Q1991:DL1991,"&gt;0")))</f>
        <v>0</v>
      </c>
      <c r="P1991" s="109">
        <f>SUMIFS(Q1991:DK1991,Q$1:DK$1,Dashboard!$K$31)</f>
        <v>0</v>
      </c>
      <c r="U1991" s="95">
        <v>33</v>
      </c>
      <c r="AA1991" s="95">
        <v>25</v>
      </c>
      <c r="AH1991" s="95">
        <v>75</v>
      </c>
    </row>
    <row r="1992" spans="1:34" x14ac:dyDescent="0.3">
      <c r="A1992" s="89" t="str">
        <f>CONCATENATE(D1992,".",F1992,"-",G1992,".",H1992,"")</f>
        <v>2.3-3.1</v>
      </c>
      <c r="B1992" s="89" t="str">
        <f>IF(CONCATENATE(I1992,Key!F$2)=CONCATENATE(INDEX(Dashboard!J:J,MATCH(I1992,Dashboard!J:J,0),1),INDEX(Dashboard!J:K,MATCH(I1992,Dashboard!J:J,0),2)),"ON",IF(Dashboard!K$32="ALL","ON","-"))</f>
        <v>-</v>
      </c>
      <c r="C1992" s="88" t="s">
        <v>152</v>
      </c>
      <c r="D1992" s="89">
        <f>IF(C1992="ID",1,(IF(C1992="PR",2,(IF(C1992="DE",3,(IF(C1992="RS",4,(IF(C1992="RC",5,0)))))))))</f>
        <v>2</v>
      </c>
      <c r="E1992" s="89" t="s">
        <v>210</v>
      </c>
      <c r="F1992" s="89">
        <f>IF(E1992="AM",1,(IF(E1992="BE",2,(IF(E1992="GV",3,(IF(E1992="RA",4,(IF(E1992="RM",5,(IF(E1992="AC",1,(IF(E1992="AT",2,(IF(E1992="DS",3,(IF(E1992="IP",4,(IF(E1992="MA",5,(IF(E1992="PT",6,(IF(E1992="AE",1,(IF(E1992="CM",2,(IF(E1992="DP",3,(IF(E1992="AN",1,(IF(E1992="CO",2,(IF(E1992="IM",3,(IF(E1992="MI",4,(IF(E1992="RP",5,(IF(E1992="SC",6,0)))))))))))))))))))))))))))))))))))))))</f>
        <v>3</v>
      </c>
      <c r="G1992" s="52">
        <v>3</v>
      </c>
      <c r="H1992" s="90" t="s">
        <v>115</v>
      </c>
      <c r="I1992" s="94" t="s">
        <v>85</v>
      </c>
      <c r="J1992" s="155" t="s">
        <v>855</v>
      </c>
      <c r="K1992" s="143" t="s">
        <v>5144</v>
      </c>
      <c r="L1992" s="117">
        <f>IF(O1992="","",N1992*O1992*M1992)</f>
        <v>0</v>
      </c>
      <c r="M1992" s="108">
        <v>1</v>
      </c>
      <c r="N1992" s="95">
        <v>1</v>
      </c>
      <c r="O1992" s="109">
        <f>IF(Key!D$1="ON",P1992,IF(SUM(Q1992:DL1992)&lt;1,"",SUM(Q1992:DL1992)/COUNTIF(Q1992:DL1992,"&gt;0")))</f>
        <v>0</v>
      </c>
      <c r="P1992" s="109">
        <f>SUMIFS(Q1992:DK1992,Q$1:DK$1,Dashboard!$K$31)</f>
        <v>0</v>
      </c>
      <c r="U1992" s="95">
        <v>33</v>
      </c>
      <c r="AA1992" s="95">
        <v>25</v>
      </c>
      <c r="AH1992" s="95">
        <v>75</v>
      </c>
    </row>
    <row r="1993" spans="1:34" x14ac:dyDescent="0.3">
      <c r="A1993" s="89" t="str">
        <f>CONCATENATE(D1993,".",F1993,"-",G1993,".",H1993,"")</f>
        <v>2.3-3.1</v>
      </c>
      <c r="B1993" s="89" t="str">
        <f>IF(CONCATENATE(I1993,Key!F$2)=CONCATENATE(INDEX(Dashboard!J:J,MATCH(I1993,Dashboard!J:J,0),1),INDEX(Dashboard!J:K,MATCH(I1993,Dashboard!J:J,0),2)),"ON",IF(Dashboard!K$32="ALL","ON","-"))</f>
        <v>-</v>
      </c>
      <c r="C1993" s="88" t="s">
        <v>152</v>
      </c>
      <c r="D1993" s="89">
        <f>IF(C1993="ID",1,(IF(C1993="PR",2,(IF(C1993="DE",3,(IF(C1993="RS",4,(IF(C1993="RC",5,0)))))))))</f>
        <v>2</v>
      </c>
      <c r="E1993" s="89" t="s">
        <v>210</v>
      </c>
      <c r="F1993" s="89">
        <f>IF(E1993="AM",1,(IF(E1993="BE",2,(IF(E1993="GV",3,(IF(E1993="RA",4,(IF(E1993="RM",5,(IF(E1993="AC",1,(IF(E1993="AT",2,(IF(E1993="DS",3,(IF(E1993="IP",4,(IF(E1993="MA",5,(IF(E1993="PT",6,(IF(E1993="AE",1,(IF(E1993="CM",2,(IF(E1993="DP",3,(IF(E1993="AN",1,(IF(E1993="CO",2,(IF(E1993="IM",3,(IF(E1993="MI",4,(IF(E1993="RP",5,(IF(E1993="SC",6,0)))))))))))))))))))))))))))))))))))))))</f>
        <v>3</v>
      </c>
      <c r="G1993" s="52">
        <v>3</v>
      </c>
      <c r="H1993" s="90" t="s">
        <v>115</v>
      </c>
      <c r="I1993" s="94" t="s">
        <v>92</v>
      </c>
      <c r="J1993" s="127">
        <v>3.1</v>
      </c>
      <c r="K1993" s="102" t="s">
        <v>5226</v>
      </c>
      <c r="L1993" s="117">
        <f>IF(O1993="","",N1993*O1993*M1993)</f>
        <v>0</v>
      </c>
      <c r="M1993" s="108">
        <v>1</v>
      </c>
      <c r="N1993" s="95">
        <v>1</v>
      </c>
      <c r="O1993" s="109">
        <f>IF(Key!D$1="ON",P1993,IF(SUM(Q1993:DL1993)&lt;1,"",SUM(Q1993:DL1993)/COUNTIF(Q1993:DL1993,"&gt;0")))</f>
        <v>0</v>
      </c>
      <c r="P1993" s="109">
        <f>SUMIFS(Q1993:DK1993,Q$1:DK$1,Dashboard!$K$31)</f>
        <v>0</v>
      </c>
      <c r="U1993" s="95">
        <v>33</v>
      </c>
      <c r="AA1993" s="95">
        <v>25</v>
      </c>
      <c r="AH1993" s="95">
        <v>75</v>
      </c>
    </row>
    <row r="1994" spans="1:34" x14ac:dyDescent="0.3">
      <c r="A1994" s="89" t="str">
        <f>CONCATENATE(D1994,".",F1994,"-",G1994,".",H1994,"")</f>
        <v>2.3-3.1</v>
      </c>
      <c r="B1994" s="89" t="str">
        <f>IF(CONCATENATE(I1994,Key!F$2)=CONCATENATE(INDEX(Dashboard!J:J,MATCH(I1994,Dashboard!J:J,0),1),INDEX(Dashboard!J:K,MATCH(I1994,Dashboard!J:J,0),2)),"ON",IF(Dashboard!K$32="ALL","ON","-"))</f>
        <v>-</v>
      </c>
      <c r="C1994" s="88" t="s">
        <v>152</v>
      </c>
      <c r="D1994" s="89">
        <f>IF(C1994="ID",1,(IF(C1994="PR",2,(IF(C1994="DE",3,(IF(C1994="RS",4,(IF(C1994="RC",5,0)))))))))</f>
        <v>2</v>
      </c>
      <c r="E1994" s="89" t="s">
        <v>210</v>
      </c>
      <c r="F1994" s="89">
        <f>IF(E1994="AM",1,(IF(E1994="BE",2,(IF(E1994="GV",3,(IF(E1994="RA",4,(IF(E1994="RM",5,(IF(E1994="AC",1,(IF(E1994="AT",2,(IF(E1994="DS",3,(IF(E1994="IP",4,(IF(E1994="MA",5,(IF(E1994="PT",6,(IF(E1994="AE",1,(IF(E1994="CM",2,(IF(E1994="DP",3,(IF(E1994="AN",1,(IF(E1994="CO",2,(IF(E1994="IM",3,(IF(E1994="MI",4,(IF(E1994="RP",5,(IF(E1994="SC",6,0)))))))))))))))))))))))))))))))))))))))</f>
        <v>3</v>
      </c>
      <c r="G1994" s="52">
        <v>3</v>
      </c>
      <c r="H1994" s="90" t="s">
        <v>115</v>
      </c>
      <c r="I1994" s="94" t="s">
        <v>92</v>
      </c>
      <c r="J1994" s="127">
        <v>9.6999999999999993</v>
      </c>
      <c r="K1994" s="102" t="s">
        <v>5226</v>
      </c>
      <c r="L1994" s="117">
        <f>IF(O1994="","",N1994*O1994*M1994)</f>
        <v>0</v>
      </c>
      <c r="M1994" s="108">
        <v>1</v>
      </c>
      <c r="N1994" s="95">
        <v>1</v>
      </c>
      <c r="O1994" s="109">
        <f>IF(Key!D$1="ON",P1994,IF(SUM(Q1994:DL1994)&lt;1,"",SUM(Q1994:DL1994)/COUNTIF(Q1994:DL1994,"&gt;0")))</f>
        <v>0</v>
      </c>
      <c r="P1994" s="109">
        <f>SUMIFS(Q1994:DK1994,Q$1:DK$1,Dashboard!$K$31)</f>
        <v>0</v>
      </c>
      <c r="U1994" s="95">
        <v>33</v>
      </c>
      <c r="AA1994" s="95">
        <v>25</v>
      </c>
      <c r="AH1994" s="95">
        <v>75</v>
      </c>
    </row>
    <row r="1995" spans="1:34" x14ac:dyDescent="0.3">
      <c r="A1995" s="89" t="str">
        <f>CONCATENATE(D1995,".",F1995,"-",G1995,".",H1995,"")</f>
        <v>2.3-3.1</v>
      </c>
      <c r="B1995" s="89" t="str">
        <f>IF(CONCATENATE(I1995,Key!F$2)=CONCATENATE(INDEX(Dashboard!J:J,MATCH(I1995,Dashboard!J:J,0),1),INDEX(Dashboard!J:K,MATCH(I1995,Dashboard!J:J,0),2)),"ON",IF(Dashboard!K$32="ALL","ON","-"))</f>
        <v>-</v>
      </c>
      <c r="C1995" s="96" t="s">
        <v>152</v>
      </c>
      <c r="D1995" s="89">
        <f>IF(C1995="ID",1,(IF(C1995="PR",2,(IF(C1995="DE",3,(IF(C1995="RS",4,(IF(C1995="RC",5,0)))))))))</f>
        <v>2</v>
      </c>
      <c r="E1995" s="89" t="s">
        <v>210</v>
      </c>
      <c r="F1995" s="89">
        <f>IF(E1995="AM",1,(IF(E1995="BE",2,(IF(E1995="GV",3,(IF(E1995="RA",4,(IF(E1995="RM",5,(IF(E1995="AC",1,(IF(E1995="AT",2,(IF(E1995="DS",3,(IF(E1995="IP",4,(IF(E1995="MA",5,(IF(E1995="PT",6,(IF(E1995="AE",1,(IF(E1995="CM",2,(IF(E1995="DP",3,(IF(E1995="AN",1,(IF(E1995="CO",2,(IF(E1995="IM",3,(IF(E1995="MI",4,(IF(E1995="RP",5,(IF(E1995="SC",6,0)))))))))))))))))))))))))))))))))))))))</f>
        <v>3</v>
      </c>
      <c r="G1995" s="98">
        <v>3</v>
      </c>
      <c r="H1995" s="90" t="s">
        <v>115</v>
      </c>
      <c r="I1995" s="94" t="s">
        <v>92</v>
      </c>
      <c r="J1995" s="127">
        <v>9.8000000000000007</v>
      </c>
      <c r="K1995" s="102" t="s">
        <v>5226</v>
      </c>
      <c r="L1995" s="117">
        <f>IF(O1995="","",N1995*O1995*M1995)</f>
        <v>0</v>
      </c>
      <c r="M1995" s="108">
        <v>1</v>
      </c>
      <c r="N1995" s="95">
        <v>1</v>
      </c>
      <c r="O1995" s="109">
        <f>IF(Key!D$1="ON",P1995,IF(SUM(Q1995:DL1995)&lt;1,"",SUM(Q1995:DL1995)/COUNTIF(Q1995:DL1995,"&gt;0")))</f>
        <v>0</v>
      </c>
      <c r="P1995" s="109">
        <f>SUMIFS(Q1995:DK1995,Q$1:DK$1,Dashboard!$K$31)</f>
        <v>0</v>
      </c>
      <c r="U1995" s="95">
        <v>33</v>
      </c>
      <c r="AA1995" s="95">
        <v>25</v>
      </c>
      <c r="AH1995" s="95">
        <v>75</v>
      </c>
    </row>
    <row r="1996" spans="1:34" x14ac:dyDescent="0.3">
      <c r="A1996" s="89" t="str">
        <f>CONCATENATE(D1996,".",F1996,"-",G1996,".",H1996,"")</f>
        <v>2.3-3.1</v>
      </c>
      <c r="B1996" s="89" t="str">
        <f>IF(CONCATENATE(I1996,Key!F$2)=CONCATENATE(INDEX(Dashboard!J:J,MATCH(I1996,Dashboard!J:J,0),1),INDEX(Dashboard!J:K,MATCH(I1996,Dashboard!J:J,0),2)),"ON",IF(Dashboard!K$32="ALL","ON","-"))</f>
        <v>-</v>
      </c>
      <c r="C1996" s="88" t="s">
        <v>152</v>
      </c>
      <c r="D1996" s="89">
        <f>IF(C1996="ID",1,(IF(C1996="PR",2,(IF(C1996="DE",3,(IF(C1996="RS",4,(IF(C1996="RC",5,0)))))))))</f>
        <v>2</v>
      </c>
      <c r="E1996" s="89" t="s">
        <v>210</v>
      </c>
      <c r="F1996" s="89">
        <f>IF(E1996="AM",1,(IF(E1996="BE",2,(IF(E1996="GV",3,(IF(E1996="RA",4,(IF(E1996="RM",5,(IF(E1996="AC",1,(IF(E1996="AT",2,(IF(E1996="DS",3,(IF(E1996="IP",4,(IF(E1996="MA",5,(IF(E1996="PT",6,(IF(E1996="AE",1,(IF(E1996="CM",2,(IF(E1996="DP",3,(IF(E1996="AN",1,(IF(E1996="CO",2,(IF(E1996="IM",3,(IF(E1996="MI",4,(IF(E1996="RP",5,(IF(E1996="SC",6,0)))))))))))))))))))))))))))))))))))))))</f>
        <v>3</v>
      </c>
      <c r="G1996" s="52">
        <v>3</v>
      </c>
      <c r="H1996" s="90" t="s">
        <v>115</v>
      </c>
      <c r="I1996" s="94" t="s">
        <v>92</v>
      </c>
      <c r="J1996" s="127" t="s">
        <v>218</v>
      </c>
      <c r="K1996" s="102" t="s">
        <v>5226</v>
      </c>
      <c r="L1996" s="117">
        <f>IF(O1996="","",N1996*O1996*M1996)</f>
        <v>0</v>
      </c>
      <c r="M1996" s="108">
        <v>1</v>
      </c>
      <c r="N1996" s="95">
        <v>1</v>
      </c>
      <c r="O1996" s="109">
        <f>IF(Key!D$1="ON",P1996,IF(SUM(Q1996:DL1996)&lt;1,"",SUM(Q1996:DL1996)/COUNTIF(Q1996:DL1996,"&gt;0")))</f>
        <v>0</v>
      </c>
      <c r="P1996" s="109">
        <f>SUMIFS(Q1996:DK1996,Q$1:DK$1,Dashboard!$K$31)</f>
        <v>0</v>
      </c>
      <c r="U1996" s="95">
        <v>33</v>
      </c>
      <c r="AA1996" s="95">
        <v>25</v>
      </c>
      <c r="AH1996" s="95">
        <v>75</v>
      </c>
    </row>
    <row r="1997" spans="1:34" x14ac:dyDescent="0.3">
      <c r="A1997" s="89" t="str">
        <f>CONCATENATE(D1997,".",F1997,"-",G1997,".",H1997,"")</f>
        <v>2.3-3.1</v>
      </c>
      <c r="B1997" s="89" t="str">
        <f>IF(CONCATENATE(I1997,Key!F$2)=CONCATENATE(INDEX(Dashboard!J:J,MATCH(I1997,Dashboard!J:J,0),1),INDEX(Dashboard!J:K,MATCH(I1997,Dashboard!J:J,0),2)),"ON",IF(Dashboard!K$32="ALL","ON","-"))</f>
        <v>-</v>
      </c>
      <c r="C1997" s="88" t="s">
        <v>152</v>
      </c>
      <c r="D1997" s="89">
        <f>IF(C1997="ID",1,(IF(C1997="PR",2,(IF(C1997="DE",3,(IF(C1997="RS",4,(IF(C1997="RC",5,0)))))))))</f>
        <v>2</v>
      </c>
      <c r="E1997" s="89" t="s">
        <v>210</v>
      </c>
      <c r="F1997" s="89">
        <f>IF(E1997="AM",1,(IF(E1997="BE",2,(IF(E1997="GV",3,(IF(E1997="RA",4,(IF(E1997="RM",5,(IF(E1997="AC",1,(IF(E1997="AT",2,(IF(E1997="DS",3,(IF(E1997="IP",4,(IF(E1997="MA",5,(IF(E1997="PT",6,(IF(E1997="AE",1,(IF(E1997="CM",2,(IF(E1997="DP",3,(IF(E1997="AN",1,(IF(E1997="CO",2,(IF(E1997="IM",3,(IF(E1997="MI",4,(IF(E1997="RP",5,(IF(E1997="SC",6,0)))))))))))))))))))))))))))))))))))))))</f>
        <v>3</v>
      </c>
      <c r="G1997" s="52">
        <v>3</v>
      </c>
      <c r="H1997" s="90" t="s">
        <v>115</v>
      </c>
      <c r="I1997" s="94" t="s">
        <v>92</v>
      </c>
      <c r="J1997" s="127" t="s">
        <v>219</v>
      </c>
      <c r="K1997" s="102" t="s">
        <v>5226</v>
      </c>
      <c r="L1997" s="117">
        <f>IF(O1997="","",N1997*O1997*M1997)</f>
        <v>0</v>
      </c>
      <c r="M1997" s="108">
        <v>1</v>
      </c>
      <c r="N1997" s="95">
        <v>1</v>
      </c>
      <c r="O1997" s="109">
        <f>IF(Key!D$1="ON",P1997,IF(SUM(Q1997:DL1997)&lt;1,"",SUM(Q1997:DL1997)/COUNTIF(Q1997:DL1997,"&gt;0")))</f>
        <v>0</v>
      </c>
      <c r="P1997" s="109">
        <f>SUMIFS(Q1997:DK1997,Q$1:DK$1,Dashboard!$K$31)</f>
        <v>0</v>
      </c>
      <c r="U1997" s="95">
        <v>33</v>
      </c>
      <c r="AA1997" s="95">
        <v>25</v>
      </c>
      <c r="AH1997" s="95">
        <v>75</v>
      </c>
    </row>
    <row r="1998" spans="1:34" x14ac:dyDescent="0.3">
      <c r="A1998" s="89" t="str">
        <f>CONCATENATE(D1998,".",F1998,"-",G1998,".",H1998,"")</f>
        <v>2.3-3.1</v>
      </c>
      <c r="B1998" s="89" t="str">
        <f>IF(CONCATENATE(I1998,Key!F$2)=CONCATENATE(INDEX(Dashboard!J:J,MATCH(I1998,Dashboard!J:J,0),1),INDEX(Dashboard!J:K,MATCH(I1998,Dashboard!J:J,0),2)),"ON",IF(Dashboard!K$32="ALL","ON","-"))</f>
        <v>-</v>
      </c>
      <c r="C1998" s="88" t="s">
        <v>152</v>
      </c>
      <c r="D1998" s="89">
        <f>IF(C1998="ID",1,(IF(C1998="PR",2,(IF(C1998="DE",3,(IF(C1998="RS",4,(IF(C1998="RC",5,0)))))))))</f>
        <v>2</v>
      </c>
      <c r="E1998" s="89" t="s">
        <v>210</v>
      </c>
      <c r="F1998" s="89">
        <f>IF(E1998="AM",1,(IF(E1998="BE",2,(IF(E1998="GV",3,(IF(E1998="RA",4,(IF(E1998="RM",5,(IF(E1998="AC",1,(IF(E1998="AT",2,(IF(E1998="DS",3,(IF(E1998="IP",4,(IF(E1998="MA",5,(IF(E1998="PT",6,(IF(E1998="AE",1,(IF(E1998="CM",2,(IF(E1998="DP",3,(IF(E1998="AN",1,(IF(E1998="CO",2,(IF(E1998="IM",3,(IF(E1998="MI",4,(IF(E1998="RP",5,(IF(E1998="SC",6,0)))))))))))))))))))))))))))))))))))))))</f>
        <v>3</v>
      </c>
      <c r="G1998" s="52">
        <v>3</v>
      </c>
      <c r="H1998" s="90" t="s">
        <v>115</v>
      </c>
      <c r="I1998" s="94" t="s">
        <v>92</v>
      </c>
      <c r="J1998" s="127" t="s">
        <v>220</v>
      </c>
      <c r="K1998" s="102" t="s">
        <v>5226</v>
      </c>
      <c r="L1998" s="117">
        <f>IF(O1998="","",N1998*O1998*M1998)</f>
        <v>0</v>
      </c>
      <c r="M1998" s="108">
        <v>1</v>
      </c>
      <c r="N1998" s="95">
        <v>1</v>
      </c>
      <c r="O1998" s="109">
        <f>IF(Key!D$1="ON",P1998,IF(SUM(Q1998:DL1998)&lt;1,"",SUM(Q1998:DL1998)/COUNTIF(Q1998:DL1998,"&gt;0")))</f>
        <v>0</v>
      </c>
      <c r="P1998" s="109">
        <f>SUMIFS(Q1998:DK1998,Q$1:DK$1,Dashboard!$K$31)</f>
        <v>0</v>
      </c>
      <c r="U1998" s="95">
        <v>33</v>
      </c>
      <c r="AA1998" s="95">
        <v>25</v>
      </c>
      <c r="AH1998" s="95">
        <v>75</v>
      </c>
    </row>
    <row r="1999" spans="1:34" x14ac:dyDescent="0.3">
      <c r="A1999" s="89" t="str">
        <f>CONCATENATE(D1999,".",F1999,"-",G1999,".",H1999,"")</f>
        <v>2.3-3.1</v>
      </c>
      <c r="B1999" s="89" t="str">
        <f>IF(CONCATENATE(I1999,Key!F$2)=CONCATENATE(INDEX(Dashboard!J:J,MATCH(I1999,Dashboard!J:J,0),1),INDEX(Dashboard!J:K,MATCH(I1999,Dashboard!J:J,0),2)),"ON",IF(Dashboard!K$32="ALL","ON","-"))</f>
        <v>-</v>
      </c>
      <c r="C1999" s="88" t="s">
        <v>152</v>
      </c>
      <c r="D1999" s="89">
        <f>IF(C1999="ID",1,(IF(C1999="PR",2,(IF(C1999="DE",3,(IF(C1999="RS",4,(IF(C1999="RC",5,0)))))))))</f>
        <v>2</v>
      </c>
      <c r="E1999" s="89" t="s">
        <v>210</v>
      </c>
      <c r="F1999" s="89">
        <f>IF(E1999="AM",1,(IF(E1999="BE",2,(IF(E1999="GV",3,(IF(E1999="RA",4,(IF(E1999="RM",5,(IF(E1999="AC",1,(IF(E1999="AT",2,(IF(E1999="DS",3,(IF(E1999="IP",4,(IF(E1999="MA",5,(IF(E1999="PT",6,(IF(E1999="AE",1,(IF(E1999="CM",2,(IF(E1999="DP",3,(IF(E1999="AN",1,(IF(E1999="CO",2,(IF(E1999="IM",3,(IF(E1999="MI",4,(IF(E1999="RP",5,(IF(E1999="SC",6,0)))))))))))))))))))))))))))))))))))))))</f>
        <v>3</v>
      </c>
      <c r="G1999" s="52">
        <v>3</v>
      </c>
      <c r="H1999" s="90" t="s">
        <v>115</v>
      </c>
      <c r="I1999" s="94" t="s">
        <v>92</v>
      </c>
      <c r="J1999" s="127" t="s">
        <v>221</v>
      </c>
      <c r="K1999" s="102" t="s">
        <v>5226</v>
      </c>
      <c r="L1999" s="117">
        <f>IF(O1999="","",N1999*O1999*M1999)</f>
        <v>0</v>
      </c>
      <c r="M1999" s="108">
        <v>1</v>
      </c>
      <c r="N1999" s="95">
        <v>1</v>
      </c>
      <c r="O1999" s="109">
        <f>IF(Key!D$1="ON",P1999,IF(SUM(Q1999:DL1999)&lt;1,"",SUM(Q1999:DL1999)/COUNTIF(Q1999:DL1999,"&gt;0")))</f>
        <v>0</v>
      </c>
      <c r="P1999" s="109">
        <f>SUMIFS(Q1999:DK1999,Q$1:DK$1,Dashboard!$K$31)</f>
        <v>0</v>
      </c>
      <c r="U1999" s="95">
        <v>33</v>
      </c>
      <c r="AA1999" s="95">
        <v>25</v>
      </c>
      <c r="AH1999" s="95">
        <v>75</v>
      </c>
    </row>
    <row r="2000" spans="1:34" x14ac:dyDescent="0.3">
      <c r="A2000" s="89" t="str">
        <f>CONCATENATE(D2000,".",F2000,"-",G2000,".",H2000,"")</f>
        <v>2.3-3.2</v>
      </c>
      <c r="B2000" s="89" t="str">
        <f>IF(CONCATENATE(I2000,Key!F$2)=CONCATENATE(INDEX(Dashboard!J:J,MATCH(I2000,Dashboard!J:J,0),1),INDEX(Dashboard!J:K,MATCH(I2000,Dashboard!J:J,0),2)),"ON",IF(Dashboard!K$32="ALL","ON","-"))</f>
        <v>-</v>
      </c>
      <c r="C2000" s="96" t="s">
        <v>152</v>
      </c>
      <c r="D2000" s="89">
        <f>IF(C2000="ID",1,(IF(C2000="PR",2,(IF(C2000="DE",3,(IF(C2000="RS",4,(IF(C2000="RC",5,0)))))))))</f>
        <v>2</v>
      </c>
      <c r="E2000" s="89" t="s">
        <v>210</v>
      </c>
      <c r="F2000" s="89">
        <f>IF(E2000="AM",1,(IF(E2000="BE",2,(IF(E2000="GV",3,(IF(E2000="RA",4,(IF(E2000="RM",5,(IF(E2000="AC",1,(IF(E2000="AT",2,(IF(E2000="DS",3,(IF(E2000="IP",4,(IF(E2000="MA",5,(IF(E2000="PT",6,(IF(E2000="AE",1,(IF(E2000="CM",2,(IF(E2000="DP",3,(IF(E2000="AN",1,(IF(E2000="CO",2,(IF(E2000="IM",3,(IF(E2000="MI",4,(IF(E2000="RP",5,(IF(E2000="SC",6,0)))))))))))))))))))))))))))))))))))))))</f>
        <v>3</v>
      </c>
      <c r="G2000" s="98">
        <v>3</v>
      </c>
      <c r="H2000" s="90" t="s">
        <v>112</v>
      </c>
      <c r="I2000" s="94" t="s">
        <v>64</v>
      </c>
      <c r="J2000" s="118" t="s">
        <v>1344</v>
      </c>
      <c r="K2000" s="103" t="s">
        <v>2345</v>
      </c>
      <c r="L2000" s="117">
        <f>IF(O2000="","",N2000*O2000*M2000)</f>
        <v>0</v>
      </c>
      <c r="M2000" s="108">
        <v>1</v>
      </c>
      <c r="N2000" s="95">
        <v>1</v>
      </c>
      <c r="O2000" s="109">
        <f>IF(Key!D$1="ON",P2000,IF(SUM(Q2000:DL2000)&lt;1,"",SUM(Q2000:DL2000)/COUNTIF(Q2000:DL2000,"&gt;0")))</f>
        <v>0</v>
      </c>
      <c r="P2000" s="109">
        <f>SUMIFS(Q2000:DK2000,Q$1:DK$1,Dashboard!$K$31)</f>
        <v>0</v>
      </c>
      <c r="U2000" s="95">
        <v>33</v>
      </c>
      <c r="AA2000" s="95">
        <v>25</v>
      </c>
      <c r="AH2000" s="95">
        <v>75</v>
      </c>
    </row>
    <row r="2001" spans="1:34" x14ac:dyDescent="0.3">
      <c r="A2001" s="89" t="str">
        <f>CONCATENATE(D2001,".",F2001,"-",G2001,".",H2001,"")</f>
        <v>2.3-3.2</v>
      </c>
      <c r="B2001" s="89" t="str">
        <f>IF(CONCATENATE(I2001,Key!F$2)=CONCATENATE(INDEX(Dashboard!J:J,MATCH(I2001,Dashboard!J:J,0),1),INDEX(Dashboard!J:K,MATCH(I2001,Dashboard!J:J,0),2)),"ON",IF(Dashboard!K$32="ALL","ON","-"))</f>
        <v>-</v>
      </c>
      <c r="C2001" s="96" t="s">
        <v>152</v>
      </c>
      <c r="D2001" s="89">
        <f>IF(C2001="ID",1,(IF(C2001="PR",2,(IF(C2001="DE",3,(IF(C2001="RS",4,(IF(C2001="RC",5,0)))))))))</f>
        <v>2</v>
      </c>
      <c r="E2001" s="89" t="s">
        <v>210</v>
      </c>
      <c r="F2001" s="89">
        <f>IF(E2001="AM",1,(IF(E2001="BE",2,(IF(E2001="GV",3,(IF(E2001="RA",4,(IF(E2001="RM",5,(IF(E2001="AC",1,(IF(E2001="AT",2,(IF(E2001="DS",3,(IF(E2001="IP",4,(IF(E2001="MA",5,(IF(E2001="PT",6,(IF(E2001="AE",1,(IF(E2001="CM",2,(IF(E2001="DP",3,(IF(E2001="AN",1,(IF(E2001="CO",2,(IF(E2001="IM",3,(IF(E2001="MI",4,(IF(E2001="RP",5,(IF(E2001="SC",6,0)))))))))))))))))))))))))))))))))))))))</f>
        <v>3</v>
      </c>
      <c r="G2001" s="98">
        <v>3</v>
      </c>
      <c r="H2001" s="90" t="s">
        <v>112</v>
      </c>
      <c r="I2001" s="94" t="s">
        <v>92</v>
      </c>
      <c r="J2001" s="128" t="s">
        <v>128</v>
      </c>
      <c r="K2001" s="102" t="s">
        <v>5226</v>
      </c>
      <c r="L2001" s="117">
        <f>IF(O2001="","",N2001*O2001*M2001)</f>
        <v>0</v>
      </c>
      <c r="M2001" s="108">
        <v>1</v>
      </c>
      <c r="N2001" s="95">
        <v>1</v>
      </c>
      <c r="O2001" s="109">
        <f>IF(Key!D$1="ON",P2001,IF(SUM(Q2001:DL2001)&lt;1,"",SUM(Q2001:DL2001)/COUNTIF(Q2001:DL2001,"&gt;0")))</f>
        <v>0</v>
      </c>
      <c r="P2001" s="109">
        <f>SUMIFS(Q2001:DK2001,Q$1:DK$1,Dashboard!$K$31)</f>
        <v>0</v>
      </c>
      <c r="U2001" s="95">
        <v>33</v>
      </c>
      <c r="AA2001" s="95">
        <v>25</v>
      </c>
      <c r="AH2001" s="95">
        <v>75</v>
      </c>
    </row>
    <row r="2002" spans="1:34" x14ac:dyDescent="0.3">
      <c r="A2002" s="89" t="str">
        <f>CONCATENATE(D2002,".",F2002,"-",G2002,".",H2002,"")</f>
        <v>2.3-3.3</v>
      </c>
      <c r="B2002" s="89" t="str">
        <f>IF(CONCATENATE(I2002,Key!F$2)=CONCATENATE(INDEX(Dashboard!J:J,MATCH(I2002,Dashboard!J:J,0),1),INDEX(Dashboard!J:K,MATCH(I2002,Dashboard!J:J,0),2)),"ON",IF(Dashboard!K$32="ALL","ON","-"))</f>
        <v>-</v>
      </c>
      <c r="C2002" s="88" t="s">
        <v>152</v>
      </c>
      <c r="D2002" s="89">
        <f>IF(C2002="ID",1,(IF(C2002="PR",2,(IF(C2002="DE",3,(IF(C2002="RS",4,(IF(C2002="RC",5,0)))))))))</f>
        <v>2</v>
      </c>
      <c r="E2002" s="89" t="s">
        <v>210</v>
      </c>
      <c r="F2002" s="89">
        <f>IF(E2002="AM",1,(IF(E2002="BE",2,(IF(E2002="GV",3,(IF(E2002="RA",4,(IF(E2002="RM",5,(IF(E2002="AC",1,(IF(E2002="AT",2,(IF(E2002="DS",3,(IF(E2002="IP",4,(IF(E2002="MA",5,(IF(E2002="PT",6,(IF(E2002="AE",1,(IF(E2002="CM",2,(IF(E2002="DP",3,(IF(E2002="AN",1,(IF(E2002="CO",2,(IF(E2002="IM",3,(IF(E2002="MI",4,(IF(E2002="RP",5,(IF(E2002="SC",6,0)))))))))))))))))))))))))))))))))))))))</f>
        <v>3</v>
      </c>
      <c r="G2002" s="52">
        <v>3</v>
      </c>
      <c r="H2002" s="90" t="s">
        <v>280</v>
      </c>
      <c r="I2002" s="94" t="s">
        <v>60</v>
      </c>
      <c r="J2002" s="128" t="s">
        <v>3216</v>
      </c>
      <c r="K2002" s="51" t="s">
        <v>5329</v>
      </c>
      <c r="L2002" s="117">
        <f>IF(O2002="","",N2002*O2002*M2002)</f>
        <v>0</v>
      </c>
      <c r="M2002" s="108">
        <v>1</v>
      </c>
      <c r="N2002" s="95">
        <v>1</v>
      </c>
      <c r="O2002" s="109">
        <f>IF(Key!D$1="ON",P2002,IF(SUM(Q2002:DL2002)&lt;1,"",SUM(Q2002:DL2002)/COUNTIF(Q2002:DL2002,"&gt;0")))</f>
        <v>0</v>
      </c>
      <c r="P2002" s="109">
        <f>SUMIFS(Q2002:DK2002,Q$1:DK$1,Dashboard!$K$31)</f>
        <v>0</v>
      </c>
      <c r="U2002" s="95">
        <v>33</v>
      </c>
      <c r="AA2002" s="95">
        <v>25</v>
      </c>
      <c r="AH2002" s="95">
        <v>75</v>
      </c>
    </row>
    <row r="2003" spans="1:34" x14ac:dyDescent="0.3">
      <c r="A2003" s="89" t="str">
        <f>CONCATENATE(D2003,".",F2003,"-",G2003,".",H2003,"")</f>
        <v>2.3-3.5</v>
      </c>
      <c r="B2003" s="89" t="str">
        <f>IF(CONCATENATE(I2003,Key!F$2)=CONCATENATE(INDEX(Dashboard!J:J,MATCH(I2003,Dashboard!J:J,0),1),INDEX(Dashboard!J:K,MATCH(I2003,Dashboard!J:J,0),2)),"ON",IF(Dashboard!K$32="ALL","ON","-"))</f>
        <v>-</v>
      </c>
      <c r="C2003" s="88" t="s">
        <v>152</v>
      </c>
      <c r="D2003" s="89">
        <f>IF(C2003="ID",1,(IF(C2003="PR",2,(IF(C2003="DE",3,(IF(C2003="RS",4,(IF(C2003="RC",5,0)))))))))</f>
        <v>2</v>
      </c>
      <c r="E2003" s="89" t="s">
        <v>210</v>
      </c>
      <c r="F2003" s="89">
        <f>IF(E2003="AM",1,(IF(E2003="BE",2,(IF(E2003="GV",3,(IF(E2003="RA",4,(IF(E2003="RM",5,(IF(E2003="AC",1,(IF(E2003="AT",2,(IF(E2003="DS",3,(IF(E2003="IP",4,(IF(E2003="MA",5,(IF(E2003="PT",6,(IF(E2003="AE",1,(IF(E2003="CM",2,(IF(E2003="DP",3,(IF(E2003="AN",1,(IF(E2003="CO",2,(IF(E2003="IM",3,(IF(E2003="MI",4,(IF(E2003="RP",5,(IF(E2003="SC",6,0)))))))))))))))))))))))))))))))))))))))</f>
        <v>3</v>
      </c>
      <c r="G2003" s="52">
        <v>3</v>
      </c>
      <c r="H2003" s="90" t="s">
        <v>123</v>
      </c>
      <c r="I2003" s="94" t="s">
        <v>77</v>
      </c>
      <c r="J2003" s="128" t="s">
        <v>1373</v>
      </c>
      <c r="K2003" s="102" t="s">
        <v>2370</v>
      </c>
      <c r="L2003" s="117">
        <f>IF(O2003="","",N2003*O2003*M2003)</f>
        <v>0</v>
      </c>
      <c r="M2003" s="108">
        <v>1</v>
      </c>
      <c r="N2003" s="95">
        <v>1</v>
      </c>
      <c r="O2003" s="109">
        <f>IF(Key!D$1="ON",P2003,IF(SUM(Q2003:DL2003)&lt;1,"",SUM(Q2003:DL2003)/COUNTIF(Q2003:DL2003,"&gt;0")))</f>
        <v>0</v>
      </c>
      <c r="P2003" s="109">
        <f>SUMIFS(Q2003:DK2003,Q$1:DK$1,Dashboard!$K$31)</f>
        <v>0</v>
      </c>
      <c r="U2003" s="95">
        <v>33</v>
      </c>
      <c r="AA2003" s="95">
        <v>25</v>
      </c>
      <c r="AH2003" s="95">
        <v>75</v>
      </c>
    </row>
    <row r="2004" spans="1:34" ht="15.6" x14ac:dyDescent="0.3">
      <c r="A2004" s="89" t="str">
        <f>CONCATENATE(D2004,".",F2004,"-",G2004,".",H2004,"")</f>
        <v>2.3-4.0</v>
      </c>
      <c r="B2004" s="89" t="str">
        <f>IF(CONCATENATE(I2004,Key!F$2)=CONCATENATE(INDEX(Dashboard!J:J,MATCH(I2004,Dashboard!J:J,0),1),INDEX(Dashboard!J:K,MATCH(I2004,Dashboard!J:J,0),2)),"ON",IF(Dashboard!K$32="ALL","ON","-"))</f>
        <v>-</v>
      </c>
      <c r="C2004" s="88" t="s">
        <v>152</v>
      </c>
      <c r="D2004" s="89">
        <f>IF(C2004="ID",1,(IF(C2004="PR",2,(IF(C2004="DE",3,(IF(C2004="RS",4,(IF(C2004="RC",5,0)))))))))</f>
        <v>2</v>
      </c>
      <c r="E2004" s="89" t="s">
        <v>210</v>
      </c>
      <c r="F2004" s="89">
        <f>IF(E2004="AM",1,(IF(E2004="BE",2,(IF(E2004="GV",3,(IF(E2004="RA",4,(IF(E2004="RM",5,(IF(E2004="AC",1,(IF(E2004="AT",2,(IF(E2004="DS",3,(IF(E2004="IP",4,(IF(E2004="MA",5,(IF(E2004="PT",6,(IF(E2004="AE",1,(IF(E2004="CM",2,(IF(E2004="DP",3,(IF(E2004="AN",1,(IF(E2004="CO",2,(IF(E2004="IM",3,(IF(E2004="MI",4,(IF(E2004="RP",5,(IF(E2004="SC",6,0)))))))))))))))))))))))))))))))))))))))</f>
        <v>3</v>
      </c>
      <c r="G2004" s="52">
        <v>4</v>
      </c>
      <c r="H2004" s="90" t="s">
        <v>347</v>
      </c>
      <c r="I2004" s="94" t="s">
        <v>2835</v>
      </c>
      <c r="J2004" s="80" t="s">
        <v>2949</v>
      </c>
      <c r="K2004" s="150" t="s">
        <v>2950</v>
      </c>
      <c r="L2004" s="117">
        <f>IF(O2004="","",N2004*O2004*M2004)</f>
        <v>0</v>
      </c>
      <c r="M2004" s="108">
        <v>1</v>
      </c>
      <c r="N2004" s="95">
        <v>1</v>
      </c>
      <c r="O2004" s="109">
        <f>IF(Key!D$1="ON",P2004,IF(SUM(Q2004:DL2004)&lt;1,"",SUM(Q2004:DL2004)/COUNTIF(Q2004:DL2004,"&gt;0")))</f>
        <v>0</v>
      </c>
      <c r="P2004" s="109">
        <f>SUMIFS(Q2004:DK2004,Q$1:DK$1,Dashboard!$K$31)</f>
        <v>0</v>
      </c>
      <c r="U2004" s="95">
        <v>33</v>
      </c>
    </row>
    <row r="2005" spans="1:34" x14ac:dyDescent="0.3">
      <c r="A2005" s="89" t="str">
        <f>CONCATENATE(D2005,".",F2005,"-",G2005,".",H2005,"")</f>
        <v>2.3-4.1</v>
      </c>
      <c r="B2005" s="89" t="str">
        <f>IF(CONCATENATE(I2005,Key!F$2)=CONCATENATE(INDEX(Dashboard!J:J,MATCH(I2005,Dashboard!J:J,0),1),INDEX(Dashboard!J:K,MATCH(I2005,Dashboard!J:J,0),2)),"ON",IF(Dashboard!K$32="ALL","ON","-"))</f>
        <v>ON</v>
      </c>
      <c r="C2005" s="88" t="s">
        <v>152</v>
      </c>
      <c r="D2005" s="89">
        <f>IF(C2005="ID",1,(IF(C2005="PR",2,(IF(C2005="DE",3,(IF(C2005="RS",4,(IF(C2005="RC",5,0)))))))))</f>
        <v>2</v>
      </c>
      <c r="E2005" s="89" t="s">
        <v>210</v>
      </c>
      <c r="F2005" s="89">
        <f>IF(E2005="AM",1,(IF(E2005="BE",2,(IF(E2005="GV",3,(IF(E2005="RA",4,(IF(E2005="RM",5,(IF(E2005="AC",1,(IF(E2005="AT",2,(IF(E2005="DS",3,(IF(E2005="IP",4,(IF(E2005="MA",5,(IF(E2005="PT",6,(IF(E2005="AE",1,(IF(E2005="CM",2,(IF(E2005="DP",3,(IF(E2005="AN",1,(IF(E2005="CO",2,(IF(E2005="IM",3,(IF(E2005="MI",4,(IF(E2005="RP",5,(IF(E2005="SC",6,0)))))))))))))))))))))))))))))))))))))))</f>
        <v>3</v>
      </c>
      <c r="G2005" s="52">
        <v>4</v>
      </c>
      <c r="H2005" s="90" t="s">
        <v>115</v>
      </c>
      <c r="I2005" s="94" t="s">
        <v>4107</v>
      </c>
      <c r="J2005" s="118" t="s">
        <v>3969</v>
      </c>
      <c r="K2005" s="101" t="s">
        <v>4367</v>
      </c>
      <c r="L2005" s="117">
        <f>IF(O2005="","",N2005*O2005*M2005)</f>
        <v>0</v>
      </c>
      <c r="M2005" s="108">
        <v>1</v>
      </c>
      <c r="N2005" s="95">
        <v>1</v>
      </c>
      <c r="O2005" s="109">
        <f>IF(Key!D$1="ON",P2005,IF(SUM(Q2005:DL2005)&lt;1,"",SUM(Q2005:DL2005)/COUNTIF(Q2005:DL2005,"&gt;0")))</f>
        <v>0</v>
      </c>
      <c r="P2005" s="109">
        <f>SUMIFS(Q2005:DK2005,Q$1:DK$1,Dashboard!$K$31)</f>
        <v>0</v>
      </c>
      <c r="U2005" s="95">
        <v>33</v>
      </c>
      <c r="AA2005" s="95">
        <v>25</v>
      </c>
      <c r="AH2005" s="95">
        <v>75</v>
      </c>
    </row>
    <row r="2006" spans="1:34" x14ac:dyDescent="0.3">
      <c r="A2006" s="89" t="str">
        <f>CONCATENATE(D2006,".",F2006,"-",G2006,".",H2006,"")</f>
        <v>2.3-4.1</v>
      </c>
      <c r="B2006" s="89" t="str">
        <f>IF(CONCATENATE(I2006,Key!F$2)=CONCATENATE(INDEX(Dashboard!J:J,MATCH(I2006,Dashboard!J:J,0),1),INDEX(Dashboard!J:K,MATCH(I2006,Dashboard!J:J,0),2)),"ON",IF(Dashboard!K$32="ALL","ON","-"))</f>
        <v>-</v>
      </c>
      <c r="C2006" s="88" t="s">
        <v>152</v>
      </c>
      <c r="D2006" s="89">
        <f>IF(C2006="ID",1,(IF(C2006="PR",2,(IF(C2006="DE",3,(IF(C2006="RS",4,(IF(C2006="RC",5,0)))))))))</f>
        <v>2</v>
      </c>
      <c r="E2006" s="89" t="s">
        <v>210</v>
      </c>
      <c r="F2006" s="89">
        <f>IF(E2006="AM",1,(IF(E2006="BE",2,(IF(E2006="GV",3,(IF(E2006="RA",4,(IF(E2006="RM",5,(IF(E2006="AC",1,(IF(E2006="AT",2,(IF(E2006="DS",3,(IF(E2006="IP",4,(IF(E2006="MA",5,(IF(E2006="PT",6,(IF(E2006="AE",1,(IF(E2006="CM",2,(IF(E2006="DP",3,(IF(E2006="AN",1,(IF(E2006="CO",2,(IF(E2006="IM",3,(IF(E2006="MI",4,(IF(E2006="RP",5,(IF(E2006="SC",6,0)))))))))))))))))))))))))))))))))))))))</f>
        <v>3</v>
      </c>
      <c r="G2006" s="52">
        <v>4</v>
      </c>
      <c r="H2006" s="99">
        <v>1</v>
      </c>
      <c r="I2006" s="94" t="s">
        <v>37</v>
      </c>
      <c r="J2006" s="118">
        <v>6.3</v>
      </c>
      <c r="K2006" s="102" t="s">
        <v>3745</v>
      </c>
      <c r="L2006" s="117">
        <f>IF(O2006="","",N2006*O2006*M2006)</f>
        <v>0</v>
      </c>
      <c r="M2006" s="108">
        <v>1</v>
      </c>
      <c r="N2006" s="95">
        <v>1</v>
      </c>
      <c r="O2006" s="109">
        <f>IF(Key!D$1="ON",P2006,IF(SUM(Q2006:DL2006)&lt;1,"",SUM(Q2006:DL2006)/COUNTIF(Q2006:DL2006,"&gt;0")))</f>
        <v>0</v>
      </c>
      <c r="P2006" s="109">
        <f>SUMIFS(Q2006:DK2006,Q$1:DK$1,Dashboard!$K$31)</f>
        <v>0</v>
      </c>
      <c r="U2006" s="95">
        <v>33</v>
      </c>
      <c r="AA2006" s="95">
        <v>25</v>
      </c>
      <c r="AH2006" s="95">
        <v>75</v>
      </c>
    </row>
    <row r="2007" spans="1:34" x14ac:dyDescent="0.3">
      <c r="A2007" s="89" t="str">
        <f>CONCATENATE(D2007,".",F2007,"-",G2007,".",H2007,"")</f>
        <v>2.3-4.1</v>
      </c>
      <c r="B2007" s="89" t="str">
        <f>IF(CONCATENATE(I2007,Key!F$2)=CONCATENATE(INDEX(Dashboard!J:J,MATCH(I2007,Dashboard!J:J,0),1),INDEX(Dashboard!J:K,MATCH(I2007,Dashboard!J:J,0),2)),"ON",IF(Dashboard!K$32="ALL","ON","-"))</f>
        <v>-</v>
      </c>
      <c r="C2007" s="88" t="s">
        <v>152</v>
      </c>
      <c r="D2007" s="89">
        <f>IF(C2007="ID",1,(IF(C2007="PR",2,(IF(C2007="DE",3,(IF(C2007="RS",4,(IF(C2007="RC",5,0)))))))))</f>
        <v>2</v>
      </c>
      <c r="E2007" s="89" t="s">
        <v>210</v>
      </c>
      <c r="F2007" s="89">
        <f>IF(E2007="AM",1,(IF(E2007="BE",2,(IF(E2007="GV",3,(IF(E2007="RA",4,(IF(E2007="RM",5,(IF(E2007="AC",1,(IF(E2007="AT",2,(IF(E2007="DS",3,(IF(E2007="IP",4,(IF(E2007="MA",5,(IF(E2007="PT",6,(IF(E2007="AE",1,(IF(E2007="CM",2,(IF(E2007="DP",3,(IF(E2007="AN",1,(IF(E2007="CO",2,(IF(E2007="IM",3,(IF(E2007="MI",4,(IF(E2007="RP",5,(IF(E2007="SC",6,0)))))))))))))))))))))))))))))))))))))))</f>
        <v>3</v>
      </c>
      <c r="G2007" s="52">
        <v>4</v>
      </c>
      <c r="H2007" s="99">
        <v>1</v>
      </c>
      <c r="I2007" s="94" t="s">
        <v>41</v>
      </c>
      <c r="J2007" s="118">
        <v>6.4</v>
      </c>
      <c r="K2007" s="103" t="s">
        <v>3496</v>
      </c>
      <c r="L2007" s="117">
        <f>IF(O2007="","",N2007*O2007*M2007)</f>
        <v>0</v>
      </c>
      <c r="M2007" s="108">
        <v>1</v>
      </c>
      <c r="N2007" s="95">
        <v>1</v>
      </c>
      <c r="O2007" s="109">
        <f>IF(Key!D$1="ON",P2007,IF(SUM(Q2007:DL2007)&lt;1,"",SUM(Q2007:DL2007)/COUNTIF(Q2007:DL2007,"&gt;0")))</f>
        <v>0</v>
      </c>
      <c r="P2007" s="109">
        <f>SUMIFS(Q2007:DK2007,Q$1:DK$1,Dashboard!$K$31)</f>
        <v>0</v>
      </c>
      <c r="U2007" s="95">
        <v>33</v>
      </c>
    </row>
    <row r="2008" spans="1:34" x14ac:dyDescent="0.3">
      <c r="A2008" s="89" t="str">
        <f>CONCATENATE(D2008,".",F2008,"-",G2008,".",H2008,"")</f>
        <v>2.3-4.1</v>
      </c>
      <c r="B2008" s="89" t="str">
        <f>IF(CONCATENATE(I2008,Key!F$2)=CONCATENATE(INDEX(Dashboard!J:J,MATCH(I2008,Dashboard!J:J,0),1),INDEX(Dashboard!J:K,MATCH(I2008,Dashboard!J:J,0),2)),"ON",IF(Dashboard!K$32="ALL","ON","-"))</f>
        <v>-</v>
      </c>
      <c r="C2008" s="96" t="s">
        <v>152</v>
      </c>
      <c r="D2008" s="89">
        <f>IF(C2008="ID",1,(IF(C2008="PR",2,(IF(C2008="DE",3,(IF(C2008="RS",4,(IF(C2008="RC",5,0)))))))))</f>
        <v>2</v>
      </c>
      <c r="E2008" s="89" t="s">
        <v>210</v>
      </c>
      <c r="F2008" s="89">
        <f>IF(E2008="AM",1,(IF(E2008="BE",2,(IF(E2008="GV",3,(IF(E2008="RA",4,(IF(E2008="RM",5,(IF(E2008="AC",1,(IF(E2008="AT",2,(IF(E2008="DS",3,(IF(E2008="IP",4,(IF(E2008="MA",5,(IF(E2008="PT",6,(IF(E2008="AE",1,(IF(E2008="CM",2,(IF(E2008="DP",3,(IF(E2008="AN",1,(IF(E2008="CO",2,(IF(E2008="IM",3,(IF(E2008="MI",4,(IF(E2008="RP",5,(IF(E2008="SC",6,0)))))))))))))))))))))))))))))))))))))))</f>
        <v>3</v>
      </c>
      <c r="G2008" s="98">
        <v>4</v>
      </c>
      <c r="H2008" s="90" t="s">
        <v>115</v>
      </c>
      <c r="I2008" s="94" t="s">
        <v>52</v>
      </c>
      <c r="J2008" s="127" t="s">
        <v>3290</v>
      </c>
      <c r="K2008" s="103" t="s">
        <v>3291</v>
      </c>
      <c r="L2008" s="117">
        <f>IF(O2008="","",N2008*O2008*M2008)</f>
        <v>0</v>
      </c>
      <c r="M2008" s="108">
        <v>1</v>
      </c>
      <c r="N2008" s="95">
        <v>1</v>
      </c>
      <c r="O2008" s="109">
        <f>IF(Key!D$1="ON",P2008,IF(SUM(Q2008:DL2008)&lt;1,"",SUM(Q2008:DL2008)/COUNTIF(Q2008:DL2008,"&gt;0")))</f>
        <v>0</v>
      </c>
      <c r="P2008" s="109">
        <f>SUMIFS(Q2008:DK2008,Q$1:DK$1,Dashboard!$K$31)</f>
        <v>0</v>
      </c>
      <c r="U2008" s="95">
        <v>33</v>
      </c>
      <c r="AA2008" s="95">
        <v>25</v>
      </c>
      <c r="AH2008" s="95">
        <v>75</v>
      </c>
    </row>
    <row r="2009" spans="1:34" ht="15.6" x14ac:dyDescent="0.3">
      <c r="A2009" s="89" t="str">
        <f>CONCATENATE(D2009,".",F2009,"-",G2009,".",H2009,"")</f>
        <v>2.3-4.1</v>
      </c>
      <c r="B2009" s="89" t="str">
        <f>IF(CONCATENATE(I2009,Key!F$2)=CONCATENATE(INDEX(Dashboard!J:J,MATCH(I2009,Dashboard!J:J,0),1),INDEX(Dashboard!J:K,MATCH(I2009,Dashboard!J:J,0),2)),"ON",IF(Dashboard!K$32="ALL","ON","-"))</f>
        <v>-</v>
      </c>
      <c r="C2009" s="96" t="s">
        <v>152</v>
      </c>
      <c r="D2009" s="89">
        <f>IF(C2009="ID",1,(IF(C2009="PR",2,(IF(C2009="DE",3,(IF(C2009="RS",4,(IF(C2009="RC",5,0)))))))))</f>
        <v>2</v>
      </c>
      <c r="E2009" s="89" t="s">
        <v>210</v>
      </c>
      <c r="F2009" s="89">
        <f>IF(E2009="AM",1,(IF(E2009="BE",2,(IF(E2009="GV",3,(IF(E2009="RA",4,(IF(E2009="RM",5,(IF(E2009="AC",1,(IF(E2009="AT",2,(IF(E2009="DS",3,(IF(E2009="IP",4,(IF(E2009="MA",5,(IF(E2009="PT",6,(IF(E2009="AE",1,(IF(E2009="CM",2,(IF(E2009="DP",3,(IF(E2009="AN",1,(IF(E2009="CO",2,(IF(E2009="IM",3,(IF(E2009="MI",4,(IF(E2009="RP",5,(IF(E2009="SC",6,0)))))))))))))))))))))))))))))))))))))))</f>
        <v>3</v>
      </c>
      <c r="G2009" s="98">
        <v>4</v>
      </c>
      <c r="H2009" s="90" t="s">
        <v>115</v>
      </c>
      <c r="I2009" s="94" t="s">
        <v>52</v>
      </c>
      <c r="J2009" s="127" t="s">
        <v>3307</v>
      </c>
      <c r="K2009" s="103" t="s">
        <v>3308</v>
      </c>
      <c r="L2009" s="117">
        <f>IF(O2009="","",N2009*O2009*M2009)</f>
        <v>0</v>
      </c>
      <c r="M2009" s="108">
        <v>1</v>
      </c>
      <c r="N2009" s="95">
        <v>1</v>
      </c>
      <c r="O2009" s="109">
        <f>IF(Key!D$1="ON",P2009,IF(SUM(Q2009:DL2009)&lt;1,"",SUM(Q2009:DL2009)/COUNTIF(Q2009:DL2009,"&gt;0")))</f>
        <v>0</v>
      </c>
      <c r="P2009" s="109">
        <f>SUMIFS(Q2009:DK2009,Q$1:DK$1,Dashboard!$K$31)</f>
        <v>0</v>
      </c>
      <c r="U2009" s="95">
        <v>33</v>
      </c>
      <c r="AA2009" s="95">
        <v>25</v>
      </c>
      <c r="AH2009" s="95">
        <v>75</v>
      </c>
    </row>
    <row r="2010" spans="1:34" x14ac:dyDescent="0.3">
      <c r="A2010" s="89" t="str">
        <f>CONCATENATE(D2010,".",F2010,"-",G2010,".",H2010,"")</f>
        <v>2.3-4.1</v>
      </c>
      <c r="B2010" s="89" t="str">
        <f>IF(CONCATENATE(I2010,Key!F$2)=CONCATENATE(INDEX(Dashboard!J:J,MATCH(I2010,Dashboard!J:J,0),1),INDEX(Dashboard!J:K,MATCH(I2010,Dashboard!J:J,0),2)),"ON",IF(Dashboard!K$32="ALL","ON","-"))</f>
        <v>-</v>
      </c>
      <c r="C2010" s="96" t="s">
        <v>152</v>
      </c>
      <c r="D2010" s="89">
        <f>IF(C2010="ID",1,(IF(C2010="PR",2,(IF(C2010="DE",3,(IF(C2010="RS",4,(IF(C2010="RC",5,0)))))))))</f>
        <v>2</v>
      </c>
      <c r="E2010" s="89" t="s">
        <v>210</v>
      </c>
      <c r="F2010" s="89">
        <f>IF(E2010="AM",1,(IF(E2010="BE",2,(IF(E2010="GV",3,(IF(E2010="RA",4,(IF(E2010="RM",5,(IF(E2010="AC",1,(IF(E2010="AT",2,(IF(E2010="DS",3,(IF(E2010="IP",4,(IF(E2010="MA",5,(IF(E2010="PT",6,(IF(E2010="AE",1,(IF(E2010="CM",2,(IF(E2010="DP",3,(IF(E2010="AN",1,(IF(E2010="CO",2,(IF(E2010="IM",3,(IF(E2010="MI",4,(IF(E2010="RP",5,(IF(E2010="SC",6,0)))))))))))))))))))))))))))))))))))))))</f>
        <v>3</v>
      </c>
      <c r="G2010" s="98">
        <v>4</v>
      </c>
      <c r="H2010" s="90" t="s">
        <v>115</v>
      </c>
      <c r="I2010" s="94" t="s">
        <v>52</v>
      </c>
      <c r="J2010" s="127" t="s">
        <v>3416</v>
      </c>
      <c r="K2010" s="103" t="s">
        <v>3417</v>
      </c>
      <c r="L2010" s="117">
        <f>IF(O2010="","",N2010*O2010*M2010)</f>
        <v>0</v>
      </c>
      <c r="M2010" s="108">
        <v>1</v>
      </c>
      <c r="N2010" s="95">
        <v>1</v>
      </c>
      <c r="O2010" s="109">
        <f>IF(Key!D$1="ON",P2010,IF(SUM(Q2010:DL2010)&lt;1,"",SUM(Q2010:DL2010)/COUNTIF(Q2010:DL2010,"&gt;0")))</f>
        <v>0</v>
      </c>
      <c r="P2010" s="109">
        <f>SUMIFS(Q2010:DK2010,Q$1:DK$1,Dashboard!$K$31)</f>
        <v>0</v>
      </c>
      <c r="U2010" s="95">
        <v>33</v>
      </c>
      <c r="AA2010" s="95">
        <v>25</v>
      </c>
      <c r="AH2010" s="95">
        <v>75</v>
      </c>
    </row>
    <row r="2011" spans="1:34" x14ac:dyDescent="0.3">
      <c r="A2011" s="89" t="str">
        <f>CONCATENATE(D2011,".",F2011,"-",G2011,".",H2011,"")</f>
        <v>2.3-4.1</v>
      </c>
      <c r="B2011" s="89" t="str">
        <f>IF(CONCATENATE(I2011,Key!F$2)=CONCATENATE(INDEX(Dashboard!J:J,MATCH(I2011,Dashboard!J:J,0),1),INDEX(Dashboard!J:K,MATCH(I2011,Dashboard!J:J,0),2)),"ON",IF(Dashboard!K$32="ALL","ON","-"))</f>
        <v>-</v>
      </c>
      <c r="C2011" s="96" t="s">
        <v>152</v>
      </c>
      <c r="D2011" s="89">
        <f>IF(C2011="ID",1,(IF(C2011="PR",2,(IF(C2011="DE",3,(IF(C2011="RS",4,(IF(C2011="RC",5,0)))))))))</f>
        <v>2</v>
      </c>
      <c r="E2011" s="89" t="s">
        <v>210</v>
      </c>
      <c r="F2011" s="89">
        <f>IF(E2011="AM",1,(IF(E2011="BE",2,(IF(E2011="GV",3,(IF(E2011="RA",4,(IF(E2011="RM",5,(IF(E2011="AC",1,(IF(E2011="AT",2,(IF(E2011="DS",3,(IF(E2011="IP",4,(IF(E2011="MA",5,(IF(E2011="PT",6,(IF(E2011="AE",1,(IF(E2011="CM",2,(IF(E2011="DP",3,(IF(E2011="AN",1,(IF(E2011="CO",2,(IF(E2011="IM",3,(IF(E2011="MI",4,(IF(E2011="RP",5,(IF(E2011="SC",6,0)))))))))))))))))))))))))))))))))))))))</f>
        <v>3</v>
      </c>
      <c r="G2011" s="98">
        <v>4</v>
      </c>
      <c r="H2011" s="90" t="s">
        <v>115</v>
      </c>
      <c r="I2011" s="94" t="s">
        <v>52</v>
      </c>
      <c r="J2011" s="127" t="s">
        <v>3303</v>
      </c>
      <c r="K2011" s="103" t="s">
        <v>3304</v>
      </c>
      <c r="L2011" s="117">
        <f>IF(O2011="","",N2011*O2011*M2011)</f>
        <v>0</v>
      </c>
      <c r="M2011" s="108">
        <v>1</v>
      </c>
      <c r="N2011" s="95">
        <v>1</v>
      </c>
      <c r="O2011" s="109">
        <f>IF(Key!D$1="ON",P2011,IF(SUM(Q2011:DL2011)&lt;1,"",SUM(Q2011:DL2011)/COUNTIF(Q2011:DL2011,"&gt;0")))</f>
        <v>0</v>
      </c>
      <c r="P2011" s="109">
        <f>SUMIFS(Q2011:DK2011,Q$1:DK$1,Dashboard!$K$31)</f>
        <v>0</v>
      </c>
      <c r="U2011" s="95">
        <v>33</v>
      </c>
      <c r="AA2011" s="95">
        <v>25</v>
      </c>
      <c r="AH2011" s="95">
        <v>75</v>
      </c>
    </row>
    <row r="2012" spans="1:34" ht="15.6" x14ac:dyDescent="0.3">
      <c r="A2012" s="89" t="str">
        <f>CONCATENATE(D2012,".",F2012,"-",G2012,".",H2012,"")</f>
        <v>2.3-4.1</v>
      </c>
      <c r="B2012" s="89" t="str">
        <f>IF(CONCATENATE(I2012,Key!F$2)=CONCATENATE(INDEX(Dashboard!J:J,MATCH(I2012,Dashboard!J:J,0),1),INDEX(Dashboard!J:K,MATCH(I2012,Dashboard!J:J,0),2)),"ON",IF(Dashboard!K$32="ALL","ON","-"))</f>
        <v>-</v>
      </c>
      <c r="C2012" s="88" t="s">
        <v>152</v>
      </c>
      <c r="D2012" s="89">
        <f>IF(C2012="ID",1,(IF(C2012="PR",2,(IF(C2012="DE",3,(IF(C2012="RS",4,(IF(C2012="RC",5,0)))))))))</f>
        <v>2</v>
      </c>
      <c r="E2012" s="89" t="s">
        <v>210</v>
      </c>
      <c r="F2012" s="89">
        <f>IF(E2012="AM",1,(IF(E2012="BE",2,(IF(E2012="GV",3,(IF(E2012="RA",4,(IF(E2012="RM",5,(IF(E2012="AC",1,(IF(E2012="AT",2,(IF(E2012="DS",3,(IF(E2012="IP",4,(IF(E2012="MA",5,(IF(E2012="PT",6,(IF(E2012="AE",1,(IF(E2012="CM",2,(IF(E2012="DP",3,(IF(E2012="AN",1,(IF(E2012="CO",2,(IF(E2012="IM",3,(IF(E2012="MI",4,(IF(E2012="RP",5,(IF(E2012="SC",6,0)))))))))))))))))))))))))))))))))))))))</f>
        <v>3</v>
      </c>
      <c r="G2012" s="52">
        <v>4</v>
      </c>
      <c r="H2012" s="90" t="s">
        <v>115</v>
      </c>
      <c r="I2012" s="94" t="s">
        <v>60</v>
      </c>
      <c r="J2012" s="128" t="s">
        <v>3217</v>
      </c>
      <c r="K2012" s="51" t="s">
        <v>5330</v>
      </c>
      <c r="L2012" s="117">
        <f>IF(O2012="","",N2012*O2012*M2012)</f>
        <v>0</v>
      </c>
      <c r="M2012" s="108">
        <v>1</v>
      </c>
      <c r="N2012" s="95">
        <v>1</v>
      </c>
      <c r="O2012" s="109">
        <f>IF(Key!D$1="ON",P2012,IF(SUM(Q2012:DL2012)&lt;1,"",SUM(Q2012:DL2012)/COUNTIF(Q2012:DL2012,"&gt;0")))</f>
        <v>0</v>
      </c>
      <c r="P2012" s="109">
        <f>SUMIFS(Q2012:DK2012,Q$1:DK$1,Dashboard!$K$31)</f>
        <v>0</v>
      </c>
      <c r="U2012" s="95">
        <v>33</v>
      </c>
      <c r="AA2012" s="95">
        <v>25</v>
      </c>
      <c r="AH2012" s="95">
        <v>75</v>
      </c>
    </row>
    <row r="2013" spans="1:34" x14ac:dyDescent="0.3">
      <c r="A2013" s="89" t="str">
        <f>CONCATENATE(D2013,".",F2013,"-",G2013,".",H2013,"")</f>
        <v>2.3-4.1</v>
      </c>
      <c r="B2013" s="89" t="str">
        <f>IF(CONCATENATE(I2013,Key!F$2)=CONCATENATE(INDEX(Dashboard!J:J,MATCH(I2013,Dashboard!J:J,0),1),INDEX(Dashboard!J:K,MATCH(I2013,Dashboard!J:J,0),2)),"ON",IF(Dashboard!K$32="ALL","ON","-"))</f>
        <v>-</v>
      </c>
      <c r="C2013" s="88" t="s">
        <v>152</v>
      </c>
      <c r="D2013" s="89">
        <f>IF(C2013="ID",1,(IF(C2013="PR",2,(IF(C2013="DE",3,(IF(C2013="RS",4,(IF(C2013="RC",5,0)))))))))</f>
        <v>2</v>
      </c>
      <c r="E2013" s="89" t="s">
        <v>210</v>
      </c>
      <c r="F2013" s="89">
        <f>IF(E2013="AM",1,(IF(E2013="BE",2,(IF(E2013="GV",3,(IF(E2013="RA",4,(IF(E2013="RM",5,(IF(E2013="AC",1,(IF(E2013="AT",2,(IF(E2013="DS",3,(IF(E2013="IP",4,(IF(E2013="MA",5,(IF(E2013="PT",6,(IF(E2013="AE",1,(IF(E2013="CM",2,(IF(E2013="DP",3,(IF(E2013="AN",1,(IF(E2013="CO",2,(IF(E2013="IM",3,(IF(E2013="MI",4,(IF(E2013="RP",5,(IF(E2013="SC",6,0)))))))))))))))))))))))))))))))))))))))</f>
        <v>3</v>
      </c>
      <c r="G2013" s="52">
        <v>4</v>
      </c>
      <c r="H2013" s="90" t="s">
        <v>115</v>
      </c>
      <c r="I2013" s="94" t="s">
        <v>60</v>
      </c>
      <c r="J2013" s="128" t="s">
        <v>3218</v>
      </c>
      <c r="K2013" s="51" t="s">
        <v>5331</v>
      </c>
      <c r="L2013" s="117">
        <f>IF(O2013="","",N2013*O2013*M2013)</f>
        <v>0</v>
      </c>
      <c r="M2013" s="108">
        <v>1</v>
      </c>
      <c r="N2013" s="95">
        <v>1</v>
      </c>
      <c r="O2013" s="109">
        <f>IF(Key!D$1="ON",P2013,IF(SUM(Q2013:DL2013)&lt;1,"",SUM(Q2013:DL2013)/COUNTIF(Q2013:DL2013,"&gt;0")))</f>
        <v>0</v>
      </c>
      <c r="P2013" s="109">
        <f>SUMIFS(Q2013:DK2013,Q$1:DK$1,Dashboard!$K$31)</f>
        <v>0</v>
      </c>
      <c r="U2013" s="95">
        <v>33</v>
      </c>
      <c r="AA2013" s="95">
        <v>25</v>
      </c>
      <c r="AH2013" s="95">
        <v>75</v>
      </c>
    </row>
    <row r="2014" spans="1:34" ht="15.6" x14ac:dyDescent="0.3">
      <c r="A2014" s="89" t="str">
        <f>CONCATENATE(D2014,".",F2014,"-",G2014,".",H2014,"")</f>
        <v>2.3-4.1</v>
      </c>
      <c r="B2014" s="89" t="str">
        <f>IF(CONCATENATE(I2014,Key!F$2)=CONCATENATE(INDEX(Dashboard!J:J,MATCH(I2014,Dashboard!J:J,0),1),INDEX(Dashboard!J:K,MATCH(I2014,Dashboard!J:J,0),2)),"ON",IF(Dashboard!K$32="ALL","ON","-"))</f>
        <v>-</v>
      </c>
      <c r="C2014" s="88" t="s">
        <v>152</v>
      </c>
      <c r="D2014" s="89">
        <f>IF(C2014="ID",1,(IF(C2014="PR",2,(IF(C2014="DE",3,(IF(C2014="RS",4,(IF(C2014="RC",5,0)))))))))</f>
        <v>2</v>
      </c>
      <c r="E2014" s="89" t="s">
        <v>210</v>
      </c>
      <c r="F2014" s="89">
        <f>IF(E2014="AM",1,(IF(E2014="BE",2,(IF(E2014="GV",3,(IF(E2014="RA",4,(IF(E2014="RM",5,(IF(E2014="AC",1,(IF(E2014="AT",2,(IF(E2014="DS",3,(IF(E2014="IP",4,(IF(E2014="MA",5,(IF(E2014="PT",6,(IF(E2014="AE",1,(IF(E2014="CM",2,(IF(E2014="DP",3,(IF(E2014="AN",1,(IF(E2014="CO",2,(IF(E2014="IM",3,(IF(E2014="MI",4,(IF(E2014="RP",5,(IF(E2014="SC",6,0)))))))))))))))))))))))))))))))))))))))</f>
        <v>3</v>
      </c>
      <c r="G2014" s="98">
        <v>4</v>
      </c>
      <c r="H2014" s="90" t="s">
        <v>115</v>
      </c>
      <c r="I2014" s="94" t="s">
        <v>60</v>
      </c>
      <c r="J2014" s="128" t="s">
        <v>3219</v>
      </c>
      <c r="K2014" s="51" t="s">
        <v>5332</v>
      </c>
      <c r="L2014" s="117">
        <f>IF(O2014="","",N2014*O2014*M2014)</f>
        <v>0</v>
      </c>
      <c r="M2014" s="108">
        <v>1</v>
      </c>
      <c r="N2014" s="95">
        <v>1</v>
      </c>
      <c r="O2014" s="109">
        <f>IF(Key!D$1="ON",P2014,IF(SUM(Q2014:DL2014)&lt;1,"",SUM(Q2014:DL2014)/COUNTIF(Q2014:DL2014,"&gt;0")))</f>
        <v>0</v>
      </c>
      <c r="P2014" s="109">
        <f>SUMIFS(Q2014:DK2014,Q$1:DK$1,Dashboard!$K$31)</f>
        <v>0</v>
      </c>
      <c r="U2014" s="95">
        <v>33</v>
      </c>
      <c r="AA2014" s="95">
        <v>25</v>
      </c>
      <c r="AH2014" s="95">
        <v>75</v>
      </c>
    </row>
    <row r="2015" spans="1:34" x14ac:dyDescent="0.3">
      <c r="A2015" s="89" t="str">
        <f>CONCATENATE(D2015,".",F2015,"-",G2015,".",H2015,"")</f>
        <v>2.3-4.1</v>
      </c>
      <c r="B2015" s="89" t="str">
        <f>IF(CONCATENATE(I2015,Key!F$2)=CONCATENATE(INDEX(Dashboard!J:J,MATCH(I2015,Dashboard!J:J,0),1),INDEX(Dashboard!J:K,MATCH(I2015,Dashboard!J:J,0),2)),"ON",IF(Dashboard!K$32="ALL","ON","-"))</f>
        <v>-</v>
      </c>
      <c r="C2015" s="88" t="s">
        <v>152</v>
      </c>
      <c r="D2015" s="89">
        <f>IF(C2015="ID",1,(IF(C2015="PR",2,(IF(C2015="DE",3,(IF(C2015="RS",4,(IF(C2015="RC",5,0)))))))))</f>
        <v>2</v>
      </c>
      <c r="E2015" s="89" t="s">
        <v>210</v>
      </c>
      <c r="F2015" s="89">
        <f>IF(E2015="AM",1,(IF(E2015="BE",2,(IF(E2015="GV",3,(IF(E2015="RA",4,(IF(E2015="RM",5,(IF(E2015="AC",1,(IF(E2015="AT",2,(IF(E2015="DS",3,(IF(E2015="IP",4,(IF(E2015="MA",5,(IF(E2015="PT",6,(IF(E2015="AE",1,(IF(E2015="CM",2,(IF(E2015="DP",3,(IF(E2015="AN",1,(IF(E2015="CO",2,(IF(E2015="IM",3,(IF(E2015="MI",4,(IF(E2015="RP",5,(IF(E2015="SC",6,0)))))))))))))))))))))))))))))))))))))))</f>
        <v>3</v>
      </c>
      <c r="G2015" s="98">
        <v>4</v>
      </c>
      <c r="H2015" s="90" t="s">
        <v>115</v>
      </c>
      <c r="I2015" s="94" t="s">
        <v>60</v>
      </c>
      <c r="J2015" s="128" t="s">
        <v>3220</v>
      </c>
      <c r="K2015" s="51" t="s">
        <v>5333</v>
      </c>
      <c r="L2015" s="117">
        <f>IF(O2015="","",N2015*O2015*M2015)</f>
        <v>0</v>
      </c>
      <c r="M2015" s="108">
        <v>1</v>
      </c>
      <c r="N2015" s="95">
        <v>1</v>
      </c>
      <c r="O2015" s="109">
        <f>IF(Key!D$1="ON",P2015,IF(SUM(Q2015:DL2015)&lt;1,"",SUM(Q2015:DL2015)/COUNTIF(Q2015:DL2015,"&gt;0")))</f>
        <v>0</v>
      </c>
      <c r="P2015" s="109">
        <f>SUMIFS(Q2015:DK2015,Q$1:DK$1,Dashboard!$K$31)</f>
        <v>0</v>
      </c>
      <c r="U2015" s="95">
        <v>33</v>
      </c>
      <c r="AA2015" s="95">
        <v>25</v>
      </c>
      <c r="AH2015" s="95">
        <v>75</v>
      </c>
    </row>
    <row r="2016" spans="1:34" x14ac:dyDescent="0.3">
      <c r="A2016" s="89" t="str">
        <f>CONCATENATE(D2016,".",F2016,"-",G2016,".",H2016,"")</f>
        <v>2.3-4.1</v>
      </c>
      <c r="B2016" s="89" t="str">
        <f>IF(CONCATENATE(I2016,Key!F$2)=CONCATENATE(INDEX(Dashboard!J:J,MATCH(I2016,Dashboard!J:J,0),1),INDEX(Dashboard!J:K,MATCH(I2016,Dashboard!J:J,0),2)),"ON",IF(Dashboard!K$32="ALL","ON","-"))</f>
        <v>-</v>
      </c>
      <c r="C2016" s="88" t="s">
        <v>152</v>
      </c>
      <c r="D2016" s="89">
        <f>IF(C2016="ID",1,(IF(C2016="PR",2,(IF(C2016="DE",3,(IF(C2016="RS",4,(IF(C2016="RC",5,0)))))))))</f>
        <v>2</v>
      </c>
      <c r="E2016" s="89" t="s">
        <v>210</v>
      </c>
      <c r="F2016" s="89">
        <f>IF(E2016="AM",1,(IF(E2016="BE",2,(IF(E2016="GV",3,(IF(E2016="RA",4,(IF(E2016="RM",5,(IF(E2016="AC",1,(IF(E2016="AT",2,(IF(E2016="DS",3,(IF(E2016="IP",4,(IF(E2016="MA",5,(IF(E2016="PT",6,(IF(E2016="AE",1,(IF(E2016="CM",2,(IF(E2016="DP",3,(IF(E2016="AN",1,(IF(E2016="CO",2,(IF(E2016="IM",3,(IF(E2016="MI",4,(IF(E2016="RP",5,(IF(E2016="SC",6,0)))))))))))))))))))))))))))))))))))))))</f>
        <v>3</v>
      </c>
      <c r="G2016" s="52">
        <v>4</v>
      </c>
      <c r="H2016" s="90" t="s">
        <v>115</v>
      </c>
      <c r="I2016" s="94" t="s">
        <v>64</v>
      </c>
      <c r="J2016" s="128" t="s">
        <v>982</v>
      </c>
      <c r="K2016" s="102" t="s">
        <v>2057</v>
      </c>
      <c r="L2016" s="117">
        <f>IF(O2016="","",N2016*O2016*M2016)</f>
        <v>0</v>
      </c>
      <c r="M2016" s="108">
        <v>1</v>
      </c>
      <c r="N2016" s="95">
        <v>1</v>
      </c>
      <c r="O2016" s="109">
        <f>IF(Key!D$1="ON",P2016,IF(SUM(Q2016:DL2016)&lt;1,"",SUM(Q2016:DL2016)/COUNTIF(Q2016:DL2016,"&gt;0")))</f>
        <v>0</v>
      </c>
      <c r="P2016" s="109">
        <f>SUMIFS(Q2016:DK2016,Q$1:DK$1,Dashboard!$K$31)</f>
        <v>0</v>
      </c>
      <c r="U2016" s="95">
        <v>33</v>
      </c>
      <c r="AA2016" s="95">
        <v>25</v>
      </c>
      <c r="AH2016" s="95">
        <v>75</v>
      </c>
    </row>
    <row r="2017" spans="1:34" x14ac:dyDescent="0.3">
      <c r="A2017" s="89" t="str">
        <f>CONCATENATE(D2017,".",F2017,"-",G2017,".",H2017,"")</f>
        <v>2.3-4.1</v>
      </c>
      <c r="B2017" s="89" t="str">
        <f>IF(CONCATENATE(I2017,Key!F$2)=CONCATENATE(INDEX(Dashboard!J:J,MATCH(I2017,Dashboard!J:J,0),1),INDEX(Dashboard!J:K,MATCH(I2017,Dashboard!J:J,0),2)),"ON",IF(Dashboard!K$32="ALL","ON","-"))</f>
        <v>-</v>
      </c>
      <c r="C2017" s="88" t="s">
        <v>152</v>
      </c>
      <c r="D2017" s="89">
        <f>IF(C2017="ID",1,(IF(C2017="PR",2,(IF(C2017="DE",3,(IF(C2017="RS",4,(IF(C2017="RC",5,0)))))))))</f>
        <v>2</v>
      </c>
      <c r="E2017" s="89" t="s">
        <v>210</v>
      </c>
      <c r="F2017" s="89">
        <f>IF(E2017="AM",1,(IF(E2017="BE",2,(IF(E2017="GV",3,(IF(E2017="RA",4,(IF(E2017="RM",5,(IF(E2017="AC",1,(IF(E2017="AT",2,(IF(E2017="DS",3,(IF(E2017="IP",4,(IF(E2017="MA",5,(IF(E2017="PT",6,(IF(E2017="AE",1,(IF(E2017="CM",2,(IF(E2017="DP",3,(IF(E2017="AN",1,(IF(E2017="CO",2,(IF(E2017="IM",3,(IF(E2017="MI",4,(IF(E2017="RP",5,(IF(E2017="SC",6,0)))))))))))))))))))))))))))))))))))))))</f>
        <v>3</v>
      </c>
      <c r="G2017" s="52">
        <v>4</v>
      </c>
      <c r="H2017" s="90" t="s">
        <v>115</v>
      </c>
      <c r="I2017" s="94" t="s">
        <v>77</v>
      </c>
      <c r="J2017" s="128" t="s">
        <v>1375</v>
      </c>
      <c r="K2017" s="102" t="s">
        <v>2371</v>
      </c>
      <c r="L2017" s="117">
        <f>IF(O2017="","",N2017*O2017*M2017)</f>
        <v>0</v>
      </c>
      <c r="M2017" s="108">
        <v>1</v>
      </c>
      <c r="N2017" s="95">
        <v>1</v>
      </c>
      <c r="O2017" s="109">
        <f>IF(Key!D$1="ON",P2017,IF(SUM(Q2017:DL2017)&lt;1,"",SUM(Q2017:DL2017)/COUNTIF(Q2017:DL2017,"&gt;0")))</f>
        <v>0</v>
      </c>
      <c r="P2017" s="109">
        <f>SUMIFS(Q2017:DK2017,Q$1:DK$1,Dashboard!$K$31)</f>
        <v>0</v>
      </c>
      <c r="U2017" s="95">
        <v>33</v>
      </c>
      <c r="AA2017" s="95">
        <v>25</v>
      </c>
      <c r="AH2017" s="95">
        <v>75</v>
      </c>
    </row>
    <row r="2018" spans="1:34" x14ac:dyDescent="0.3">
      <c r="A2018" s="89" t="str">
        <f>CONCATENATE(D2018,".",F2018,"-",G2018,".",H2018,"")</f>
        <v>2.3-4.1</v>
      </c>
      <c r="B2018" s="89" t="str">
        <f>IF(CONCATENATE(I2018,Key!F$2)=CONCATENATE(INDEX(Dashboard!J:J,MATCH(I2018,Dashboard!J:J,0),1),INDEX(Dashboard!J:K,MATCH(I2018,Dashboard!J:J,0),2)),"ON",IF(Dashboard!K$32="ALL","ON","-"))</f>
        <v>-</v>
      </c>
      <c r="C2018" s="88" t="s">
        <v>152</v>
      </c>
      <c r="D2018" s="89">
        <f>IF(C2018="ID",1,(IF(C2018="PR",2,(IF(C2018="DE",3,(IF(C2018="RS",4,(IF(C2018="RC",5,0)))))))))</f>
        <v>2</v>
      </c>
      <c r="E2018" s="89" t="s">
        <v>210</v>
      </c>
      <c r="F2018" s="89">
        <f>IF(E2018="AM",1,(IF(E2018="BE",2,(IF(E2018="GV",3,(IF(E2018="RA",4,(IF(E2018="RM",5,(IF(E2018="AC",1,(IF(E2018="AT",2,(IF(E2018="DS",3,(IF(E2018="IP",4,(IF(E2018="MA",5,(IF(E2018="PT",6,(IF(E2018="AE",1,(IF(E2018="CM",2,(IF(E2018="DP",3,(IF(E2018="AN",1,(IF(E2018="CO",2,(IF(E2018="IM",3,(IF(E2018="MI",4,(IF(E2018="RP",5,(IF(E2018="SC",6,0)))))))))))))))))))))))))))))))))))))))</f>
        <v>3</v>
      </c>
      <c r="G2018" s="52">
        <v>4</v>
      </c>
      <c r="H2018" s="90" t="s">
        <v>115</v>
      </c>
      <c r="I2018" s="94" t="s">
        <v>77</v>
      </c>
      <c r="J2018" s="128" t="s">
        <v>1377</v>
      </c>
      <c r="K2018" s="102" t="s">
        <v>2372</v>
      </c>
      <c r="L2018" s="117">
        <f>IF(O2018="","",N2018*O2018*M2018)</f>
        <v>0</v>
      </c>
      <c r="M2018" s="108">
        <v>1</v>
      </c>
      <c r="N2018" s="95">
        <v>1</v>
      </c>
      <c r="O2018" s="109">
        <f>IF(Key!D$1="ON",P2018,IF(SUM(Q2018:DL2018)&lt;1,"",SUM(Q2018:DL2018)/COUNTIF(Q2018:DL2018,"&gt;0")))</f>
        <v>0</v>
      </c>
      <c r="P2018" s="109">
        <f>SUMIFS(Q2018:DK2018,Q$1:DK$1,Dashboard!$K$31)</f>
        <v>0</v>
      </c>
      <c r="U2018" s="95">
        <v>33</v>
      </c>
      <c r="AA2018" s="95">
        <v>25</v>
      </c>
      <c r="AH2018" s="95">
        <v>75</v>
      </c>
    </row>
    <row r="2019" spans="1:34" x14ac:dyDescent="0.3">
      <c r="A2019" s="89" t="str">
        <f>CONCATENATE(D2019,".",F2019,"-",G2019,".",H2019,"")</f>
        <v>2.3-4.1</v>
      </c>
      <c r="B2019" s="89" t="str">
        <f>IF(CONCATENATE(I2019,Key!F$2)=CONCATENATE(INDEX(Dashboard!J:J,MATCH(I2019,Dashboard!J:J,0),1),INDEX(Dashboard!J:K,MATCH(I2019,Dashboard!J:J,0),2)),"ON",IF(Dashboard!K$32="ALL","ON","-"))</f>
        <v>-</v>
      </c>
      <c r="C2019" s="96" t="s">
        <v>152</v>
      </c>
      <c r="D2019" s="89">
        <f>IF(C2019="ID",1,(IF(C2019="PR",2,(IF(C2019="DE",3,(IF(C2019="RS",4,(IF(C2019="RC",5,0)))))))))</f>
        <v>2</v>
      </c>
      <c r="E2019" s="89" t="s">
        <v>210</v>
      </c>
      <c r="F2019" s="89">
        <f>IF(E2019="AM",1,(IF(E2019="BE",2,(IF(E2019="GV",3,(IF(E2019="RA",4,(IF(E2019="RM",5,(IF(E2019="AC",1,(IF(E2019="AT",2,(IF(E2019="DS",3,(IF(E2019="IP",4,(IF(E2019="MA",5,(IF(E2019="PT",6,(IF(E2019="AE",1,(IF(E2019="CM",2,(IF(E2019="DP",3,(IF(E2019="AN",1,(IF(E2019="CO",2,(IF(E2019="IM",3,(IF(E2019="MI",4,(IF(E2019="RP",5,(IF(E2019="SC",6,0)))))))))))))))))))))))))))))))))))))))</f>
        <v>3</v>
      </c>
      <c r="G2019" s="98">
        <v>4</v>
      </c>
      <c r="H2019" s="90" t="s">
        <v>115</v>
      </c>
      <c r="I2019" s="94" t="s">
        <v>77</v>
      </c>
      <c r="J2019" s="128" t="s">
        <v>1378</v>
      </c>
      <c r="K2019" s="102" t="s">
        <v>2373</v>
      </c>
      <c r="L2019" s="117">
        <f>IF(O2019="","",N2019*O2019*M2019)</f>
        <v>0</v>
      </c>
      <c r="M2019" s="108">
        <v>1</v>
      </c>
      <c r="N2019" s="95">
        <v>1</v>
      </c>
      <c r="O2019" s="109">
        <f>IF(Key!D$1="ON",P2019,IF(SUM(Q2019:DL2019)&lt;1,"",SUM(Q2019:DL2019)/COUNTIF(Q2019:DL2019,"&gt;0")))</f>
        <v>0</v>
      </c>
      <c r="P2019" s="109">
        <f>SUMIFS(Q2019:DK2019,Q$1:DK$1,Dashboard!$K$31)</f>
        <v>0</v>
      </c>
      <c r="U2019" s="95">
        <v>33</v>
      </c>
      <c r="AA2019" s="95">
        <v>25</v>
      </c>
      <c r="AH2019" s="95">
        <v>75</v>
      </c>
    </row>
    <row r="2020" spans="1:34" ht="15.6" x14ac:dyDescent="0.3">
      <c r="A2020" s="89" t="str">
        <f>CONCATENATE(D2020,".",F2020,"-",G2020,".",H2020,"")</f>
        <v>2.3-4.1</v>
      </c>
      <c r="B2020" s="89" t="str">
        <f>IF(CONCATENATE(I2020,Key!F$2)=CONCATENATE(INDEX(Dashboard!J:J,MATCH(I2020,Dashboard!J:J,0),1),INDEX(Dashboard!J:K,MATCH(I2020,Dashboard!J:J,0),2)),"ON",IF(Dashboard!K$32="ALL","ON","-"))</f>
        <v>-</v>
      </c>
      <c r="C2020" s="88" t="s">
        <v>152</v>
      </c>
      <c r="D2020" s="89">
        <f>IF(C2020="ID",1,(IF(C2020="PR",2,(IF(C2020="DE",3,(IF(C2020="RS",4,(IF(C2020="RC",5,0)))))))))</f>
        <v>2</v>
      </c>
      <c r="E2020" s="89" t="s">
        <v>210</v>
      </c>
      <c r="F2020" s="89">
        <f>IF(E2020="AM",1,(IF(E2020="BE",2,(IF(E2020="GV",3,(IF(E2020="RA",4,(IF(E2020="RM",5,(IF(E2020="AC",1,(IF(E2020="AT",2,(IF(E2020="DS",3,(IF(E2020="IP",4,(IF(E2020="MA",5,(IF(E2020="PT",6,(IF(E2020="AE",1,(IF(E2020="CM",2,(IF(E2020="DP",3,(IF(E2020="AN",1,(IF(E2020="CO",2,(IF(E2020="IM",3,(IF(E2020="MI",4,(IF(E2020="RP",5,(IF(E2020="SC",6,0)))))))))))))))))))))))))))))))))))))))</f>
        <v>3</v>
      </c>
      <c r="G2020" s="52">
        <v>4</v>
      </c>
      <c r="H2020" s="90" t="s">
        <v>115</v>
      </c>
      <c r="I2020" s="94" t="s">
        <v>77</v>
      </c>
      <c r="J2020" s="128" t="s">
        <v>1380</v>
      </c>
      <c r="K2020" s="102" t="s">
        <v>2374</v>
      </c>
      <c r="L2020" s="117">
        <f>IF(O2020="","",N2020*O2020*M2020)</f>
        <v>0</v>
      </c>
      <c r="M2020" s="108">
        <v>1</v>
      </c>
      <c r="N2020" s="95">
        <v>1</v>
      </c>
      <c r="O2020" s="109">
        <f>IF(Key!D$1="ON",P2020,IF(SUM(Q2020:DL2020)&lt;1,"",SUM(Q2020:DL2020)/COUNTIF(Q2020:DL2020,"&gt;0")))</f>
        <v>0</v>
      </c>
      <c r="P2020" s="109">
        <f>SUMIFS(Q2020:DK2020,Q$1:DK$1,Dashboard!$K$31)</f>
        <v>0</v>
      </c>
      <c r="U2020" s="95">
        <v>33</v>
      </c>
      <c r="AA2020" s="95">
        <v>25</v>
      </c>
      <c r="AH2020" s="95">
        <v>75</v>
      </c>
    </row>
    <row r="2021" spans="1:34" x14ac:dyDescent="0.3">
      <c r="A2021" s="89" t="str">
        <f>CONCATENATE(D2021,".",F2021,"-",G2021,".",H2021,"")</f>
        <v>2.3-4.1</v>
      </c>
      <c r="B2021" s="89" t="str">
        <f>IF(CONCATENATE(I2021,Key!F$2)=CONCATENATE(INDEX(Dashboard!J:J,MATCH(I2021,Dashboard!J:J,0),1),INDEX(Dashboard!J:K,MATCH(I2021,Dashboard!J:J,0),2)),"ON",IF(Dashboard!K$32="ALL","ON","-"))</f>
        <v>-</v>
      </c>
      <c r="C2021" s="88" t="s">
        <v>152</v>
      </c>
      <c r="D2021" s="89">
        <f>IF(C2021="ID",1,(IF(C2021="PR",2,(IF(C2021="DE",3,(IF(C2021="RS",4,(IF(C2021="RC",5,0)))))))))</f>
        <v>2</v>
      </c>
      <c r="E2021" s="89" t="s">
        <v>210</v>
      </c>
      <c r="F2021" s="89">
        <f>IF(E2021="AM",1,(IF(E2021="BE",2,(IF(E2021="GV",3,(IF(E2021="RA",4,(IF(E2021="RM",5,(IF(E2021="AC",1,(IF(E2021="AT",2,(IF(E2021="DS",3,(IF(E2021="IP",4,(IF(E2021="MA",5,(IF(E2021="PT",6,(IF(E2021="AE",1,(IF(E2021="CM",2,(IF(E2021="DP",3,(IF(E2021="AN",1,(IF(E2021="CO",2,(IF(E2021="IM",3,(IF(E2021="MI",4,(IF(E2021="RP",5,(IF(E2021="SC",6,0)))))))))))))))))))))))))))))))))))))))</f>
        <v>3</v>
      </c>
      <c r="G2021" s="52">
        <v>4</v>
      </c>
      <c r="H2021" s="90" t="s">
        <v>115</v>
      </c>
      <c r="I2021" s="94" t="s">
        <v>77</v>
      </c>
      <c r="J2021" s="128" t="s">
        <v>1381</v>
      </c>
      <c r="K2021" s="102" t="s">
        <v>2375</v>
      </c>
      <c r="L2021" s="117">
        <f>IF(O2021="","",N2021*O2021*M2021)</f>
        <v>0</v>
      </c>
      <c r="M2021" s="108">
        <v>1</v>
      </c>
      <c r="N2021" s="95">
        <v>1</v>
      </c>
      <c r="O2021" s="109">
        <f>IF(Key!D$1="ON",P2021,IF(SUM(Q2021:DL2021)&lt;1,"",SUM(Q2021:DL2021)/COUNTIF(Q2021:DL2021,"&gt;0")))</f>
        <v>0</v>
      </c>
      <c r="P2021" s="109">
        <f>SUMIFS(Q2021:DK2021,Q$1:DK$1,Dashboard!$K$31)</f>
        <v>0</v>
      </c>
      <c r="U2021" s="95">
        <v>33</v>
      </c>
      <c r="AA2021" s="95">
        <v>25</v>
      </c>
      <c r="AH2021" s="95">
        <v>75</v>
      </c>
    </row>
    <row r="2022" spans="1:34" x14ac:dyDescent="0.3">
      <c r="A2022" s="89" t="str">
        <f>CONCATENATE(D2022,".",F2022,"-",G2022,".",H2022,"")</f>
        <v>2.3-4.1</v>
      </c>
      <c r="B2022" s="89" t="str">
        <f>IF(CONCATENATE(I2022,Key!F$2)=CONCATENATE(INDEX(Dashboard!J:J,MATCH(I2022,Dashboard!J:J,0),1),INDEX(Dashboard!J:K,MATCH(I2022,Dashboard!J:J,0),2)),"ON",IF(Dashboard!K$32="ALL","ON","-"))</f>
        <v>-</v>
      </c>
      <c r="C2022" s="88" t="s">
        <v>152</v>
      </c>
      <c r="D2022" s="89">
        <f>IF(C2022="ID",1,(IF(C2022="PR",2,(IF(C2022="DE",3,(IF(C2022="RS",4,(IF(C2022="RC",5,0)))))))))</f>
        <v>2</v>
      </c>
      <c r="E2022" s="89" t="s">
        <v>210</v>
      </c>
      <c r="F2022" s="89">
        <f>IF(E2022="AM",1,(IF(E2022="BE",2,(IF(E2022="GV",3,(IF(E2022="RA",4,(IF(E2022="RM",5,(IF(E2022="AC",1,(IF(E2022="AT",2,(IF(E2022="DS",3,(IF(E2022="IP",4,(IF(E2022="MA",5,(IF(E2022="PT",6,(IF(E2022="AE",1,(IF(E2022="CM",2,(IF(E2022="DP",3,(IF(E2022="AN",1,(IF(E2022="CO",2,(IF(E2022="IM",3,(IF(E2022="MI",4,(IF(E2022="RP",5,(IF(E2022="SC",6,0)))))))))))))))))))))))))))))))))))))))</f>
        <v>3</v>
      </c>
      <c r="G2022" s="52">
        <v>4</v>
      </c>
      <c r="H2022" s="90" t="s">
        <v>115</v>
      </c>
      <c r="I2022" s="94" t="s">
        <v>77</v>
      </c>
      <c r="J2022" s="128" t="s">
        <v>1383</v>
      </c>
      <c r="K2022" s="102" t="s">
        <v>2376</v>
      </c>
      <c r="L2022" s="117">
        <f>IF(O2022="","",N2022*O2022*M2022)</f>
        <v>0</v>
      </c>
      <c r="M2022" s="108">
        <v>1</v>
      </c>
      <c r="N2022" s="95">
        <v>1</v>
      </c>
      <c r="O2022" s="109">
        <f>IF(Key!D$1="ON",P2022,IF(SUM(Q2022:DL2022)&lt;1,"",SUM(Q2022:DL2022)/COUNTIF(Q2022:DL2022,"&gt;0")))</f>
        <v>0</v>
      </c>
      <c r="P2022" s="109">
        <f>SUMIFS(Q2022:DK2022,Q$1:DK$1,Dashboard!$K$31)</f>
        <v>0</v>
      </c>
      <c r="U2022" s="95">
        <v>33</v>
      </c>
      <c r="AA2022" s="95">
        <v>25</v>
      </c>
      <c r="AH2022" s="95">
        <v>75</v>
      </c>
    </row>
    <row r="2023" spans="1:34" ht="15.6" x14ac:dyDescent="0.3">
      <c r="A2023" s="89" t="str">
        <f>CONCATENATE(D2023,".",F2023,"-",G2023,".",H2023,"")</f>
        <v>2.3-4.1</v>
      </c>
      <c r="B2023" s="89" t="str">
        <f>IF(CONCATENATE(I2023,Key!F$2)=CONCATENATE(INDEX(Dashboard!J:J,MATCH(I2023,Dashboard!J:J,0),1),INDEX(Dashboard!J:K,MATCH(I2023,Dashboard!J:J,0),2)),"ON",IF(Dashboard!K$32="ALL","ON","-"))</f>
        <v>-</v>
      </c>
      <c r="C2023" s="88" t="s">
        <v>152</v>
      </c>
      <c r="D2023" s="89">
        <f>IF(C2023="ID",1,(IF(C2023="PR",2,(IF(C2023="DE",3,(IF(C2023="RS",4,(IF(C2023="RC",5,0)))))))))</f>
        <v>2</v>
      </c>
      <c r="E2023" s="89" t="s">
        <v>210</v>
      </c>
      <c r="F2023" s="89">
        <f>IF(E2023="AM",1,(IF(E2023="BE",2,(IF(E2023="GV",3,(IF(E2023="RA",4,(IF(E2023="RM",5,(IF(E2023="AC",1,(IF(E2023="AT",2,(IF(E2023="DS",3,(IF(E2023="IP",4,(IF(E2023="MA",5,(IF(E2023="PT",6,(IF(E2023="AE",1,(IF(E2023="CM",2,(IF(E2023="DP",3,(IF(E2023="AN",1,(IF(E2023="CO",2,(IF(E2023="IM",3,(IF(E2023="MI",4,(IF(E2023="RP",5,(IF(E2023="SC",6,0)))))))))))))))))))))))))))))))))))))))</f>
        <v>3</v>
      </c>
      <c r="G2023" s="52">
        <v>4</v>
      </c>
      <c r="H2023" s="90" t="s">
        <v>115</v>
      </c>
      <c r="I2023" s="94" t="s">
        <v>77</v>
      </c>
      <c r="J2023" s="128" t="s">
        <v>1384</v>
      </c>
      <c r="K2023" s="102" t="s">
        <v>2377</v>
      </c>
      <c r="L2023" s="117">
        <f>IF(O2023="","",N2023*O2023*M2023)</f>
        <v>0</v>
      </c>
      <c r="M2023" s="108">
        <v>1</v>
      </c>
      <c r="N2023" s="95">
        <v>1</v>
      </c>
      <c r="O2023" s="109">
        <f>IF(Key!D$1="ON",P2023,IF(SUM(Q2023:DL2023)&lt;1,"",SUM(Q2023:DL2023)/COUNTIF(Q2023:DL2023,"&gt;0")))</f>
        <v>0</v>
      </c>
      <c r="P2023" s="109">
        <f>SUMIFS(Q2023:DK2023,Q$1:DK$1,Dashboard!$K$31)</f>
        <v>0</v>
      </c>
      <c r="U2023" s="95">
        <v>33</v>
      </c>
      <c r="AA2023" s="95">
        <v>25</v>
      </c>
      <c r="AH2023" s="95">
        <v>75</v>
      </c>
    </row>
    <row r="2024" spans="1:34" ht="15.6" x14ac:dyDescent="0.3">
      <c r="A2024" s="89" t="str">
        <f>CONCATENATE(D2024,".",F2024,"-",G2024,".",H2024,"")</f>
        <v>2.3-4.1</v>
      </c>
      <c r="B2024" s="89" t="str">
        <f>IF(CONCATENATE(I2024,Key!F$2)=CONCATENATE(INDEX(Dashboard!J:J,MATCH(I2024,Dashboard!J:J,0),1),INDEX(Dashboard!J:K,MATCH(I2024,Dashboard!J:J,0),2)),"ON",IF(Dashboard!K$32="ALL","ON","-"))</f>
        <v>-</v>
      </c>
      <c r="C2024" s="96" t="s">
        <v>152</v>
      </c>
      <c r="D2024" s="89">
        <f>IF(C2024="ID",1,(IF(C2024="PR",2,(IF(C2024="DE",3,(IF(C2024="RS",4,(IF(C2024="RC",5,0)))))))))</f>
        <v>2</v>
      </c>
      <c r="E2024" s="89" t="s">
        <v>210</v>
      </c>
      <c r="F2024" s="89">
        <f>IF(E2024="AM",1,(IF(E2024="BE",2,(IF(E2024="GV",3,(IF(E2024="RA",4,(IF(E2024="RM",5,(IF(E2024="AC",1,(IF(E2024="AT",2,(IF(E2024="DS",3,(IF(E2024="IP",4,(IF(E2024="MA",5,(IF(E2024="PT",6,(IF(E2024="AE",1,(IF(E2024="CM",2,(IF(E2024="DP",3,(IF(E2024="AN",1,(IF(E2024="CO",2,(IF(E2024="IM",3,(IF(E2024="MI",4,(IF(E2024="RP",5,(IF(E2024="SC",6,0)))))))))))))))))))))))))))))))))))))))</f>
        <v>3</v>
      </c>
      <c r="G2024" s="98">
        <v>4</v>
      </c>
      <c r="H2024" s="90" t="s">
        <v>115</v>
      </c>
      <c r="I2024" s="94" t="s">
        <v>77</v>
      </c>
      <c r="J2024" s="128" t="s">
        <v>1385</v>
      </c>
      <c r="K2024" s="102" t="s">
        <v>2378</v>
      </c>
      <c r="L2024" s="117">
        <f>IF(O2024="","",N2024*O2024*M2024)</f>
        <v>0</v>
      </c>
      <c r="M2024" s="108">
        <v>1</v>
      </c>
      <c r="N2024" s="95">
        <v>1</v>
      </c>
      <c r="O2024" s="109">
        <f>IF(Key!D$1="ON",P2024,IF(SUM(Q2024:DL2024)&lt;1,"",SUM(Q2024:DL2024)/COUNTIF(Q2024:DL2024,"&gt;0")))</f>
        <v>0</v>
      </c>
      <c r="P2024" s="109">
        <f>SUMIFS(Q2024:DK2024,Q$1:DK$1,Dashboard!$K$31)</f>
        <v>0</v>
      </c>
      <c r="U2024" s="95">
        <v>33</v>
      </c>
      <c r="AA2024" s="95">
        <v>25</v>
      </c>
      <c r="AH2024" s="95">
        <v>75</v>
      </c>
    </row>
    <row r="2025" spans="1:34" x14ac:dyDescent="0.3">
      <c r="A2025" s="89" t="str">
        <f>CONCATENATE(D2025,".",F2025,"-",G2025,".",H2025,"")</f>
        <v>2.3-4.1</v>
      </c>
      <c r="B2025" s="89" t="str">
        <f>IF(CONCATENATE(I2025,Key!F$2)=CONCATENATE(INDEX(Dashboard!J:J,MATCH(I2025,Dashboard!J:J,0),1),INDEX(Dashboard!J:K,MATCH(I2025,Dashboard!J:J,0),2)),"ON",IF(Dashboard!K$32="ALL","ON","-"))</f>
        <v>-</v>
      </c>
      <c r="C2025" s="88" t="s">
        <v>152</v>
      </c>
      <c r="D2025" s="89">
        <f>IF(C2025="ID",1,(IF(C2025="PR",2,(IF(C2025="DE",3,(IF(C2025="RS",4,(IF(C2025="RC",5,0)))))))))</f>
        <v>2</v>
      </c>
      <c r="E2025" s="89" t="s">
        <v>210</v>
      </c>
      <c r="F2025" s="89">
        <f>IF(E2025="AM",1,(IF(E2025="BE",2,(IF(E2025="GV",3,(IF(E2025="RA",4,(IF(E2025="RM",5,(IF(E2025="AC",1,(IF(E2025="AT",2,(IF(E2025="DS",3,(IF(E2025="IP",4,(IF(E2025="MA",5,(IF(E2025="PT",6,(IF(E2025="AE",1,(IF(E2025="CM",2,(IF(E2025="DP",3,(IF(E2025="AN",1,(IF(E2025="CO",2,(IF(E2025="IM",3,(IF(E2025="MI",4,(IF(E2025="RP",5,(IF(E2025="SC",6,0)))))))))))))))))))))))))))))))))))))))</f>
        <v>3</v>
      </c>
      <c r="G2025" s="52">
        <v>4</v>
      </c>
      <c r="H2025" s="90" t="s">
        <v>115</v>
      </c>
      <c r="I2025" s="94" t="s">
        <v>77</v>
      </c>
      <c r="J2025" s="128" t="s">
        <v>982</v>
      </c>
      <c r="K2025" s="102" t="s">
        <v>2057</v>
      </c>
      <c r="L2025" s="117">
        <f>IF(O2025="","",N2025*O2025*M2025)</f>
        <v>0</v>
      </c>
      <c r="M2025" s="108">
        <v>1</v>
      </c>
      <c r="N2025" s="95">
        <v>1</v>
      </c>
      <c r="O2025" s="109">
        <f>IF(Key!D$1="ON",P2025,IF(SUM(Q2025:DL2025)&lt;1,"",SUM(Q2025:DL2025)/COUNTIF(Q2025:DL2025,"&gt;0")))</f>
        <v>0</v>
      </c>
      <c r="P2025" s="109">
        <f>SUMIFS(Q2025:DK2025,Q$1:DK$1,Dashboard!$K$31)</f>
        <v>0</v>
      </c>
      <c r="U2025" s="95">
        <v>33</v>
      </c>
      <c r="AA2025" s="95">
        <v>25</v>
      </c>
      <c r="AH2025" s="95">
        <v>75</v>
      </c>
    </row>
    <row r="2026" spans="1:34" ht="15.6" x14ac:dyDescent="0.3">
      <c r="A2026" s="89" t="str">
        <f>CONCATENATE(D2026,".",F2026,"-",G2026,".",H2026,"")</f>
        <v>2.3-4.1</v>
      </c>
      <c r="B2026" s="89" t="str">
        <f>IF(CONCATENATE(I2026,Key!F$2)=CONCATENATE(INDEX(Dashboard!J:J,MATCH(I2026,Dashboard!J:J,0),1),INDEX(Dashboard!J:K,MATCH(I2026,Dashboard!J:J,0),2)),"ON",IF(Dashboard!K$32="ALL","ON","-"))</f>
        <v>-</v>
      </c>
      <c r="C2026" s="88" t="s">
        <v>152</v>
      </c>
      <c r="D2026" s="89">
        <f>IF(C2026="ID",1,(IF(C2026="PR",2,(IF(C2026="DE",3,(IF(C2026="RS",4,(IF(C2026="RC",5,0)))))))))</f>
        <v>2</v>
      </c>
      <c r="E2026" s="89" t="s">
        <v>210</v>
      </c>
      <c r="F2026" s="89">
        <f>IF(E2026="AM",1,(IF(E2026="BE",2,(IF(E2026="GV",3,(IF(E2026="RA",4,(IF(E2026="RM",5,(IF(E2026="AC",1,(IF(E2026="AT",2,(IF(E2026="DS",3,(IF(E2026="IP",4,(IF(E2026="MA",5,(IF(E2026="PT",6,(IF(E2026="AE",1,(IF(E2026="CM",2,(IF(E2026="DP",3,(IF(E2026="AN",1,(IF(E2026="CO",2,(IF(E2026="IM",3,(IF(E2026="MI",4,(IF(E2026="RP",5,(IF(E2026="SC",6,0)))))))))))))))))))))))))))))))))))))))</f>
        <v>3</v>
      </c>
      <c r="G2026" s="52">
        <v>4</v>
      </c>
      <c r="H2026" s="90" t="s">
        <v>115</v>
      </c>
      <c r="I2026" s="94" t="s">
        <v>77</v>
      </c>
      <c r="J2026" s="128" t="s">
        <v>1387</v>
      </c>
      <c r="K2026" s="102" t="s">
        <v>2379</v>
      </c>
      <c r="L2026" s="117">
        <f>IF(O2026="","",N2026*O2026*M2026)</f>
        <v>0</v>
      </c>
      <c r="M2026" s="108">
        <v>1</v>
      </c>
      <c r="N2026" s="95">
        <v>1</v>
      </c>
      <c r="O2026" s="109">
        <f>IF(Key!D$1="ON",P2026,IF(SUM(Q2026:DL2026)&lt;1,"",SUM(Q2026:DL2026)/COUNTIF(Q2026:DL2026,"&gt;0")))</f>
        <v>0</v>
      </c>
      <c r="P2026" s="109">
        <f>SUMIFS(Q2026:DK2026,Q$1:DK$1,Dashboard!$K$31)</f>
        <v>0</v>
      </c>
      <c r="U2026" s="95">
        <v>33</v>
      </c>
      <c r="AA2026" s="95">
        <v>25</v>
      </c>
      <c r="AH2026" s="95">
        <v>75</v>
      </c>
    </row>
    <row r="2027" spans="1:34" x14ac:dyDescent="0.3">
      <c r="A2027" s="89" t="str">
        <f>CONCATENATE(D2027,".",F2027,"-",G2027,".",H2027,"")</f>
        <v>2.3-4.1</v>
      </c>
      <c r="B2027" s="89" t="str">
        <f>IF(CONCATENATE(I2027,Key!F$2)=CONCATENATE(INDEX(Dashboard!J:J,MATCH(I2027,Dashboard!J:J,0),1),INDEX(Dashboard!J:K,MATCH(I2027,Dashboard!J:J,0),2)),"ON",IF(Dashboard!K$32="ALL","ON","-"))</f>
        <v>-</v>
      </c>
      <c r="C2027" s="96" t="s">
        <v>152</v>
      </c>
      <c r="D2027" s="89">
        <f>IF(C2027="ID",1,(IF(C2027="PR",2,(IF(C2027="DE",3,(IF(C2027="RS",4,(IF(C2027="RC",5,0)))))))))</f>
        <v>2</v>
      </c>
      <c r="E2027" s="89" t="s">
        <v>210</v>
      </c>
      <c r="F2027" s="89">
        <f>IF(E2027="AM",1,(IF(E2027="BE",2,(IF(E2027="GV",3,(IF(E2027="RA",4,(IF(E2027="RM",5,(IF(E2027="AC",1,(IF(E2027="AT",2,(IF(E2027="DS",3,(IF(E2027="IP",4,(IF(E2027="MA",5,(IF(E2027="PT",6,(IF(E2027="AE",1,(IF(E2027="CM",2,(IF(E2027="DP",3,(IF(E2027="AN",1,(IF(E2027="CO",2,(IF(E2027="IM",3,(IF(E2027="MI",4,(IF(E2027="RP",5,(IF(E2027="SC",6,0)))))))))))))))))))))))))))))))))))))))</f>
        <v>3</v>
      </c>
      <c r="G2027" s="98">
        <v>4</v>
      </c>
      <c r="H2027" s="90" t="s">
        <v>115</v>
      </c>
      <c r="I2027" s="94" t="s">
        <v>77</v>
      </c>
      <c r="J2027" s="128" t="s">
        <v>1388</v>
      </c>
      <c r="K2027" s="102" t="s">
        <v>2380</v>
      </c>
      <c r="L2027" s="117">
        <f>IF(O2027="","",N2027*O2027*M2027)</f>
        <v>0</v>
      </c>
      <c r="M2027" s="108">
        <v>1</v>
      </c>
      <c r="N2027" s="95">
        <v>1</v>
      </c>
      <c r="O2027" s="109">
        <f>IF(Key!D$1="ON",P2027,IF(SUM(Q2027:DL2027)&lt;1,"",SUM(Q2027:DL2027)/COUNTIF(Q2027:DL2027,"&gt;0")))</f>
        <v>0</v>
      </c>
      <c r="P2027" s="109">
        <f>SUMIFS(Q2027:DK2027,Q$1:DK$1,Dashboard!$K$31)</f>
        <v>0</v>
      </c>
      <c r="U2027" s="95">
        <v>33</v>
      </c>
      <c r="AA2027" s="95">
        <v>25</v>
      </c>
      <c r="AH2027" s="95">
        <v>75</v>
      </c>
    </row>
    <row r="2028" spans="1:34" ht="15.6" x14ac:dyDescent="0.3">
      <c r="A2028" s="89" t="str">
        <f>CONCATENATE(D2028,".",F2028,"-",G2028,".",H2028,"")</f>
        <v>2.3-4.1</v>
      </c>
      <c r="B2028" s="89" t="str">
        <f>IF(CONCATENATE(I2028,Key!F$2)=CONCATENATE(INDEX(Dashboard!J:J,MATCH(I2028,Dashboard!J:J,0),1),INDEX(Dashboard!J:K,MATCH(I2028,Dashboard!J:J,0),2)),"ON",IF(Dashboard!K$32="ALL","ON","-"))</f>
        <v>-</v>
      </c>
      <c r="C2028" s="88" t="s">
        <v>152</v>
      </c>
      <c r="D2028" s="89">
        <f>IF(C2028="ID",1,(IF(C2028="PR",2,(IF(C2028="DE",3,(IF(C2028="RS",4,(IF(C2028="RC",5,0)))))))))</f>
        <v>2</v>
      </c>
      <c r="E2028" s="89" t="s">
        <v>210</v>
      </c>
      <c r="F2028" s="89">
        <f>IF(E2028="AM",1,(IF(E2028="BE",2,(IF(E2028="GV",3,(IF(E2028="RA",4,(IF(E2028="RM",5,(IF(E2028="AC",1,(IF(E2028="AT",2,(IF(E2028="DS",3,(IF(E2028="IP",4,(IF(E2028="MA",5,(IF(E2028="PT",6,(IF(E2028="AE",1,(IF(E2028="CM",2,(IF(E2028="DP",3,(IF(E2028="AN",1,(IF(E2028="CO",2,(IF(E2028="IM",3,(IF(E2028="MI",4,(IF(E2028="RP",5,(IF(E2028="SC",6,0)))))))))))))))))))))))))))))))))))))))</f>
        <v>3</v>
      </c>
      <c r="G2028" s="52">
        <v>4</v>
      </c>
      <c r="H2028" s="90" t="s">
        <v>115</v>
      </c>
      <c r="I2028" s="94" t="s">
        <v>77</v>
      </c>
      <c r="J2028" s="128" t="s">
        <v>1389</v>
      </c>
      <c r="K2028" s="102" t="s">
        <v>2381</v>
      </c>
      <c r="L2028" s="117">
        <f>IF(O2028="","",N2028*O2028*M2028)</f>
        <v>0</v>
      </c>
      <c r="M2028" s="108">
        <v>1</v>
      </c>
      <c r="N2028" s="95">
        <v>1</v>
      </c>
      <c r="O2028" s="109">
        <f>IF(Key!D$1="ON",P2028,IF(SUM(Q2028:DL2028)&lt;1,"",SUM(Q2028:DL2028)/COUNTIF(Q2028:DL2028,"&gt;0")))</f>
        <v>0</v>
      </c>
      <c r="P2028" s="109">
        <f>SUMIFS(Q2028:DK2028,Q$1:DK$1,Dashboard!$K$31)</f>
        <v>0</v>
      </c>
      <c r="U2028" s="95">
        <v>33</v>
      </c>
      <c r="AA2028" s="95">
        <v>25</v>
      </c>
      <c r="AH2028" s="95">
        <v>75</v>
      </c>
    </row>
    <row r="2029" spans="1:34" ht="15.6" x14ac:dyDescent="0.3">
      <c r="A2029" s="89" t="str">
        <f>CONCATENATE(D2029,".",F2029,"-",G2029,".",H2029,"")</f>
        <v>2.3-4.1</v>
      </c>
      <c r="B2029" s="89" t="str">
        <f>IF(CONCATENATE(I2029,Key!F$2)=CONCATENATE(INDEX(Dashboard!J:J,MATCH(I2029,Dashboard!J:J,0),1),INDEX(Dashboard!J:K,MATCH(I2029,Dashboard!J:J,0),2)),"ON",IF(Dashboard!K$32="ALL","ON","-"))</f>
        <v>-</v>
      </c>
      <c r="C2029" s="88" t="s">
        <v>152</v>
      </c>
      <c r="D2029" s="89">
        <f>IF(C2029="ID",1,(IF(C2029="PR",2,(IF(C2029="DE",3,(IF(C2029="RS",4,(IF(C2029="RC",5,0)))))))))</f>
        <v>2</v>
      </c>
      <c r="E2029" s="89" t="s">
        <v>210</v>
      </c>
      <c r="F2029" s="89">
        <f>IF(E2029="AM",1,(IF(E2029="BE",2,(IF(E2029="GV",3,(IF(E2029="RA",4,(IF(E2029="RM",5,(IF(E2029="AC",1,(IF(E2029="AT",2,(IF(E2029="DS",3,(IF(E2029="IP",4,(IF(E2029="MA",5,(IF(E2029="PT",6,(IF(E2029="AE",1,(IF(E2029="CM",2,(IF(E2029="DP",3,(IF(E2029="AN",1,(IF(E2029="CO",2,(IF(E2029="IM",3,(IF(E2029="MI",4,(IF(E2029="RP",5,(IF(E2029="SC",6,0)))))))))))))))))))))))))))))))))))))))</f>
        <v>3</v>
      </c>
      <c r="G2029" s="52">
        <v>4</v>
      </c>
      <c r="H2029" s="90" t="s">
        <v>115</v>
      </c>
      <c r="I2029" s="94" t="s">
        <v>77</v>
      </c>
      <c r="J2029" s="128" t="s">
        <v>1390</v>
      </c>
      <c r="K2029" s="102" t="s">
        <v>2382</v>
      </c>
      <c r="L2029" s="117">
        <f>IF(O2029="","",N2029*O2029*M2029)</f>
        <v>0</v>
      </c>
      <c r="M2029" s="108">
        <v>1</v>
      </c>
      <c r="N2029" s="95">
        <v>1</v>
      </c>
      <c r="O2029" s="109">
        <f>IF(Key!D$1="ON",P2029,IF(SUM(Q2029:DL2029)&lt;1,"",SUM(Q2029:DL2029)/COUNTIF(Q2029:DL2029,"&gt;0")))</f>
        <v>0</v>
      </c>
      <c r="P2029" s="109">
        <f>SUMIFS(Q2029:DK2029,Q$1:DK$1,Dashboard!$K$31)</f>
        <v>0</v>
      </c>
      <c r="U2029" s="95">
        <v>33</v>
      </c>
      <c r="AA2029" s="95">
        <v>25</v>
      </c>
      <c r="AH2029" s="95">
        <v>75</v>
      </c>
    </row>
    <row r="2030" spans="1:34" ht="15.6" x14ac:dyDescent="0.3">
      <c r="A2030" s="89" t="str">
        <f>CONCATENATE(D2030,".",F2030,"-",G2030,".",H2030,"")</f>
        <v>2.3-4.1</v>
      </c>
      <c r="B2030" s="89" t="str">
        <f>IF(CONCATENATE(I2030,Key!F$2)=CONCATENATE(INDEX(Dashboard!J:J,MATCH(I2030,Dashboard!J:J,0),1),INDEX(Dashboard!J:K,MATCH(I2030,Dashboard!J:J,0),2)),"ON",IF(Dashboard!K$32="ALL","ON","-"))</f>
        <v>-</v>
      </c>
      <c r="C2030" s="88" t="s">
        <v>152</v>
      </c>
      <c r="D2030" s="89">
        <f>IF(C2030="ID",1,(IF(C2030="PR",2,(IF(C2030="DE",3,(IF(C2030="RS",4,(IF(C2030="RC",5,0)))))))))</f>
        <v>2</v>
      </c>
      <c r="E2030" s="89" t="s">
        <v>210</v>
      </c>
      <c r="F2030" s="89">
        <f>IF(E2030="AM",1,(IF(E2030="BE",2,(IF(E2030="GV",3,(IF(E2030="RA",4,(IF(E2030="RM",5,(IF(E2030="AC",1,(IF(E2030="AT",2,(IF(E2030="DS",3,(IF(E2030="IP",4,(IF(E2030="MA",5,(IF(E2030="PT",6,(IF(E2030="AE",1,(IF(E2030="CM",2,(IF(E2030="DP",3,(IF(E2030="AN",1,(IF(E2030="CO",2,(IF(E2030="IM",3,(IF(E2030="MI",4,(IF(E2030="RP",5,(IF(E2030="SC",6,0)))))))))))))))))))))))))))))))))))))))</f>
        <v>3</v>
      </c>
      <c r="G2030" s="52">
        <v>4</v>
      </c>
      <c r="H2030" s="90" t="s">
        <v>115</v>
      </c>
      <c r="I2030" s="94" t="s">
        <v>77</v>
      </c>
      <c r="J2030" s="128" t="s">
        <v>1391</v>
      </c>
      <c r="K2030" s="102" t="s">
        <v>2383</v>
      </c>
      <c r="L2030" s="117">
        <f>IF(O2030="","",N2030*O2030*M2030)</f>
        <v>0</v>
      </c>
      <c r="M2030" s="108">
        <v>1</v>
      </c>
      <c r="N2030" s="95">
        <v>1</v>
      </c>
      <c r="O2030" s="109">
        <f>IF(Key!D$1="ON",P2030,IF(SUM(Q2030:DL2030)&lt;1,"",SUM(Q2030:DL2030)/COUNTIF(Q2030:DL2030,"&gt;0")))</f>
        <v>0</v>
      </c>
      <c r="P2030" s="109">
        <f>SUMIFS(Q2030:DK2030,Q$1:DK$1,Dashboard!$K$31)</f>
        <v>0</v>
      </c>
      <c r="U2030" s="95">
        <v>33</v>
      </c>
      <c r="AA2030" s="95">
        <v>25</v>
      </c>
      <c r="AH2030" s="95">
        <v>75</v>
      </c>
    </row>
    <row r="2031" spans="1:34" ht="15.6" x14ac:dyDescent="0.3">
      <c r="A2031" s="89" t="str">
        <f>CONCATENATE(D2031,".",F2031,"-",G2031,".",H2031,"")</f>
        <v>2.3-4.1</v>
      </c>
      <c r="B2031" s="89" t="str">
        <f>IF(CONCATENATE(I2031,Key!F$2)=CONCATENATE(INDEX(Dashboard!J:J,MATCH(I2031,Dashboard!J:J,0),1),INDEX(Dashboard!J:K,MATCH(I2031,Dashboard!J:J,0),2)),"ON",IF(Dashboard!K$32="ALL","ON","-"))</f>
        <v>-</v>
      </c>
      <c r="C2031" s="88" t="s">
        <v>152</v>
      </c>
      <c r="D2031" s="89">
        <f>IF(C2031="ID",1,(IF(C2031="PR",2,(IF(C2031="DE",3,(IF(C2031="RS",4,(IF(C2031="RC",5,0)))))))))</f>
        <v>2</v>
      </c>
      <c r="E2031" s="89" t="s">
        <v>210</v>
      </c>
      <c r="F2031" s="89">
        <f>IF(E2031="AM",1,(IF(E2031="BE",2,(IF(E2031="GV",3,(IF(E2031="RA",4,(IF(E2031="RM",5,(IF(E2031="AC",1,(IF(E2031="AT",2,(IF(E2031="DS",3,(IF(E2031="IP",4,(IF(E2031="MA",5,(IF(E2031="PT",6,(IF(E2031="AE",1,(IF(E2031="CM",2,(IF(E2031="DP",3,(IF(E2031="AN",1,(IF(E2031="CO",2,(IF(E2031="IM",3,(IF(E2031="MI",4,(IF(E2031="RP",5,(IF(E2031="SC",6,0)))))))))))))))))))))))))))))))))))))))</f>
        <v>3</v>
      </c>
      <c r="G2031" s="98">
        <v>4</v>
      </c>
      <c r="H2031" s="90" t="s">
        <v>115</v>
      </c>
      <c r="I2031" s="94" t="s">
        <v>85</v>
      </c>
      <c r="J2031" s="118" t="s">
        <v>907</v>
      </c>
      <c r="K2031" s="119" t="s">
        <v>5171</v>
      </c>
      <c r="L2031" s="117">
        <f>IF(O2031="","",N2031*O2031*M2031)</f>
        <v>0</v>
      </c>
      <c r="M2031" s="108">
        <v>1</v>
      </c>
      <c r="N2031" s="95">
        <v>1</v>
      </c>
      <c r="O2031" s="109">
        <f>IF(Key!D$1="ON",P2031,IF(SUM(Q2031:DL2031)&lt;1,"",SUM(Q2031:DL2031)/COUNTIF(Q2031:DL2031,"&gt;0")))</f>
        <v>0</v>
      </c>
      <c r="P2031" s="109">
        <f>SUMIFS(Q2031:DK2031,Q$1:DK$1,Dashboard!$K$31)</f>
        <v>0</v>
      </c>
      <c r="U2031" s="95">
        <v>33</v>
      </c>
      <c r="AA2031" s="95">
        <v>25</v>
      </c>
      <c r="AH2031" s="95">
        <v>75</v>
      </c>
    </row>
    <row r="2032" spans="1:34" ht="15.6" x14ac:dyDescent="0.3">
      <c r="A2032" s="89" t="str">
        <f>CONCATENATE(D2032,".",F2032,"-",G2032,".",H2032,"")</f>
        <v>2.3-4.1</v>
      </c>
      <c r="B2032" s="89" t="str">
        <f>IF(CONCATENATE(I2032,Key!F$2)=CONCATENATE(INDEX(Dashboard!J:J,MATCH(I2032,Dashboard!J:J,0),1),INDEX(Dashboard!J:K,MATCH(I2032,Dashboard!J:J,0),2)),"ON",IF(Dashboard!K$32="ALL","ON","-"))</f>
        <v>-</v>
      </c>
      <c r="C2032" s="88" t="s">
        <v>152</v>
      </c>
      <c r="D2032" s="89">
        <f>IF(C2032="ID",1,(IF(C2032="PR",2,(IF(C2032="DE",3,(IF(C2032="RS",4,(IF(C2032="RC",5,0)))))))))</f>
        <v>2</v>
      </c>
      <c r="E2032" s="89" t="s">
        <v>210</v>
      </c>
      <c r="F2032" s="89">
        <f>IF(E2032="AM",1,(IF(E2032="BE",2,(IF(E2032="GV",3,(IF(E2032="RA",4,(IF(E2032="RM",5,(IF(E2032="AC",1,(IF(E2032="AT",2,(IF(E2032="DS",3,(IF(E2032="IP",4,(IF(E2032="MA",5,(IF(E2032="PT",6,(IF(E2032="AE",1,(IF(E2032="CM",2,(IF(E2032="DP",3,(IF(E2032="AN",1,(IF(E2032="CO",2,(IF(E2032="IM",3,(IF(E2032="MI",4,(IF(E2032="RP",5,(IF(E2032="SC",6,0)))))))))))))))))))))))))))))))))))))))</f>
        <v>3</v>
      </c>
      <c r="G2032" s="52">
        <v>4</v>
      </c>
      <c r="H2032" s="90" t="s">
        <v>115</v>
      </c>
      <c r="I2032" s="94" t="s">
        <v>85</v>
      </c>
      <c r="J2032" s="118" t="s">
        <v>659</v>
      </c>
      <c r="K2032" s="119" t="s">
        <v>4613</v>
      </c>
      <c r="L2032" s="117">
        <f>IF(O2032="","",N2032*O2032*M2032)</f>
        <v>0</v>
      </c>
      <c r="M2032" s="108">
        <v>1</v>
      </c>
      <c r="N2032" s="95">
        <v>1</v>
      </c>
      <c r="O2032" s="109">
        <f>IF(Key!D$1="ON",P2032,IF(SUM(Q2032:DL2032)&lt;1,"",SUM(Q2032:DL2032)/COUNTIF(Q2032:DL2032,"&gt;0")))</f>
        <v>0</v>
      </c>
      <c r="P2032" s="109">
        <f>SUMIFS(Q2032:DK2032,Q$1:DK$1,Dashboard!$K$31)</f>
        <v>0</v>
      </c>
      <c r="U2032" s="95">
        <v>33</v>
      </c>
      <c r="AA2032" s="95">
        <v>25</v>
      </c>
      <c r="AH2032" s="95">
        <v>75</v>
      </c>
    </row>
    <row r="2033" spans="1:34" ht="15.6" x14ac:dyDescent="0.3">
      <c r="A2033" s="89" t="str">
        <f>CONCATENATE(D2033,".",F2033,"-",G2033,".",H2033,"")</f>
        <v>2.3-4.1</v>
      </c>
      <c r="B2033" s="89" t="str">
        <f>IF(CONCATENATE(I2033,Key!F$2)=CONCATENATE(INDEX(Dashboard!J:J,MATCH(I2033,Dashboard!J:J,0),1),INDEX(Dashboard!J:K,MATCH(I2033,Dashboard!J:J,0),2)),"ON",IF(Dashboard!K$32="ALL","ON","-"))</f>
        <v>-</v>
      </c>
      <c r="C2033" s="96" t="s">
        <v>152</v>
      </c>
      <c r="D2033" s="89">
        <f>IF(C2033="ID",1,(IF(C2033="PR",2,(IF(C2033="DE",3,(IF(C2033="RS",4,(IF(C2033="RC",5,0)))))))))</f>
        <v>2</v>
      </c>
      <c r="E2033" s="89" t="s">
        <v>210</v>
      </c>
      <c r="F2033" s="89">
        <f>IF(E2033="AM",1,(IF(E2033="BE",2,(IF(E2033="GV",3,(IF(E2033="RA",4,(IF(E2033="RM",5,(IF(E2033="AC",1,(IF(E2033="AT",2,(IF(E2033="DS",3,(IF(E2033="IP",4,(IF(E2033="MA",5,(IF(E2033="PT",6,(IF(E2033="AE",1,(IF(E2033="CM",2,(IF(E2033="DP",3,(IF(E2033="AN",1,(IF(E2033="CO",2,(IF(E2033="IM",3,(IF(E2033="MI",4,(IF(E2033="RP",5,(IF(E2033="SC",6,0)))))))))))))))))))))))))))))))))))))))</f>
        <v>3</v>
      </c>
      <c r="G2033" s="98">
        <v>4</v>
      </c>
      <c r="H2033" s="90" t="s">
        <v>115</v>
      </c>
      <c r="I2033" s="94" t="s">
        <v>85</v>
      </c>
      <c r="J2033" s="128" t="s">
        <v>1385</v>
      </c>
      <c r="K2033" s="119" t="s">
        <v>1386</v>
      </c>
      <c r="L2033" s="117">
        <f>IF(O2033="","",N2033*O2033*M2033)</f>
        <v>0</v>
      </c>
      <c r="M2033" s="108">
        <v>1</v>
      </c>
      <c r="N2033" s="95">
        <v>1</v>
      </c>
      <c r="O2033" s="109">
        <f>IF(Key!D$1="ON",P2033,IF(SUM(Q2033:DL2033)&lt;1,"",SUM(Q2033:DL2033)/COUNTIF(Q2033:DL2033,"&gt;0")))</f>
        <v>0</v>
      </c>
      <c r="P2033" s="109">
        <f>SUMIFS(Q2033:DK2033,Q$1:DK$1,Dashboard!$K$31)</f>
        <v>0</v>
      </c>
      <c r="U2033" s="95">
        <v>33</v>
      </c>
      <c r="AA2033" s="95">
        <v>25</v>
      </c>
      <c r="AH2033" s="95">
        <v>75</v>
      </c>
    </row>
    <row r="2034" spans="1:34" ht="15.6" x14ac:dyDescent="0.3">
      <c r="A2034" s="89" t="str">
        <f>CONCATENATE(D2034,".",F2034,"-",G2034,".",H2034,"")</f>
        <v>2.3-4.1</v>
      </c>
      <c r="B2034" s="89" t="str">
        <f>IF(CONCATENATE(I2034,Key!F$2)=CONCATENATE(INDEX(Dashboard!J:J,MATCH(I2034,Dashboard!J:J,0),1),INDEX(Dashboard!J:K,MATCH(I2034,Dashboard!J:J,0),2)),"ON",IF(Dashboard!K$32="ALL","ON","-"))</f>
        <v>-</v>
      </c>
      <c r="C2034" s="88" t="s">
        <v>152</v>
      </c>
      <c r="D2034" s="89">
        <f>IF(C2034="ID",1,(IF(C2034="PR",2,(IF(C2034="DE",3,(IF(C2034="RS",4,(IF(C2034="RC",5,0)))))))))</f>
        <v>2</v>
      </c>
      <c r="E2034" s="89" t="s">
        <v>210</v>
      </c>
      <c r="F2034" s="89">
        <f>IF(E2034="AM",1,(IF(E2034="BE",2,(IF(E2034="GV",3,(IF(E2034="RA",4,(IF(E2034="RM",5,(IF(E2034="AC",1,(IF(E2034="AT",2,(IF(E2034="DS",3,(IF(E2034="IP",4,(IF(E2034="MA",5,(IF(E2034="PT",6,(IF(E2034="AE",1,(IF(E2034="CM",2,(IF(E2034="DP",3,(IF(E2034="AN",1,(IF(E2034="CO",2,(IF(E2034="IM",3,(IF(E2034="MI",4,(IF(E2034="RP",5,(IF(E2034="SC",6,0)))))))))))))))))))))))))))))))))))))))</f>
        <v>3</v>
      </c>
      <c r="G2034" s="52">
        <v>4</v>
      </c>
      <c r="H2034" s="90" t="s">
        <v>115</v>
      </c>
      <c r="I2034" s="94" t="s">
        <v>85</v>
      </c>
      <c r="J2034" s="128" t="s">
        <v>1387</v>
      </c>
      <c r="K2034" s="119" t="s">
        <v>5177</v>
      </c>
      <c r="L2034" s="117">
        <f>IF(O2034="","",N2034*O2034*M2034)</f>
        <v>0</v>
      </c>
      <c r="M2034" s="108">
        <v>1</v>
      </c>
      <c r="N2034" s="95">
        <v>1</v>
      </c>
      <c r="O2034" s="109">
        <f>IF(Key!D$1="ON",P2034,IF(SUM(Q2034:DL2034)&lt;1,"",SUM(Q2034:DL2034)/COUNTIF(Q2034:DL2034,"&gt;0")))</f>
        <v>0</v>
      </c>
      <c r="P2034" s="109">
        <f>SUMIFS(Q2034:DK2034,Q$1:DK$1,Dashboard!$K$31)</f>
        <v>0</v>
      </c>
      <c r="U2034" s="95">
        <v>33</v>
      </c>
      <c r="AA2034" s="95">
        <v>25</v>
      </c>
      <c r="AH2034" s="95">
        <v>75</v>
      </c>
    </row>
    <row r="2035" spans="1:34" ht="15.6" x14ac:dyDescent="0.3">
      <c r="A2035" s="89" t="str">
        <f>CONCATENATE(D2035,".",F2035,"-",G2035,".",H2035,"")</f>
        <v>2.3-4.1</v>
      </c>
      <c r="B2035" s="89" t="str">
        <f>IF(CONCATENATE(I2035,Key!F$2)=CONCATENATE(INDEX(Dashboard!J:J,MATCH(I2035,Dashboard!J:J,0),1),INDEX(Dashboard!J:K,MATCH(I2035,Dashboard!J:J,0),2)),"ON",IF(Dashboard!K$32="ALL","ON","-"))</f>
        <v>-</v>
      </c>
      <c r="C2035" s="96" t="s">
        <v>152</v>
      </c>
      <c r="D2035" s="89">
        <f>IF(C2035="ID",1,(IF(C2035="PR",2,(IF(C2035="DE",3,(IF(C2035="RS",4,(IF(C2035="RC",5,0)))))))))</f>
        <v>2</v>
      </c>
      <c r="E2035" s="89" t="s">
        <v>210</v>
      </c>
      <c r="F2035" s="89">
        <f>IF(E2035="AM",1,(IF(E2035="BE",2,(IF(E2035="GV",3,(IF(E2035="RA",4,(IF(E2035="RM",5,(IF(E2035="AC",1,(IF(E2035="AT",2,(IF(E2035="DS",3,(IF(E2035="IP",4,(IF(E2035="MA",5,(IF(E2035="PT",6,(IF(E2035="AE",1,(IF(E2035="CM",2,(IF(E2035="DP",3,(IF(E2035="AN",1,(IF(E2035="CO",2,(IF(E2035="IM",3,(IF(E2035="MI",4,(IF(E2035="RP",5,(IF(E2035="SC",6,0)))))))))))))))))))))))))))))))))))))))</f>
        <v>3</v>
      </c>
      <c r="G2035" s="98">
        <v>4</v>
      </c>
      <c r="H2035" s="90" t="s">
        <v>115</v>
      </c>
      <c r="I2035" s="94" t="s">
        <v>85</v>
      </c>
      <c r="J2035" s="128" t="s">
        <v>1378</v>
      </c>
      <c r="K2035" s="119" t="s">
        <v>1379</v>
      </c>
      <c r="L2035" s="117">
        <f>IF(O2035="","",N2035*O2035*M2035)</f>
        <v>0</v>
      </c>
      <c r="M2035" s="108">
        <v>1</v>
      </c>
      <c r="N2035" s="95">
        <v>1</v>
      </c>
      <c r="O2035" s="109">
        <f>IF(Key!D$1="ON",P2035,IF(SUM(Q2035:DL2035)&lt;1,"",SUM(Q2035:DL2035)/COUNTIF(Q2035:DL2035,"&gt;0")))</f>
        <v>0</v>
      </c>
      <c r="P2035" s="109">
        <f>SUMIFS(Q2035:DK2035,Q$1:DK$1,Dashboard!$K$31)</f>
        <v>0</v>
      </c>
      <c r="U2035" s="95">
        <v>33</v>
      </c>
      <c r="AA2035" s="95">
        <v>25</v>
      </c>
      <c r="AH2035" s="95">
        <v>75</v>
      </c>
    </row>
    <row r="2036" spans="1:34" ht="15.6" x14ac:dyDescent="0.3">
      <c r="A2036" s="89" t="str">
        <f>CONCATENATE(D2036,".",F2036,"-",G2036,".",H2036,"")</f>
        <v>2.3-4.1</v>
      </c>
      <c r="B2036" s="89" t="str">
        <f>IF(CONCATENATE(I2036,Key!F$2)=CONCATENATE(INDEX(Dashboard!J:J,MATCH(I2036,Dashboard!J:J,0),1),INDEX(Dashboard!J:K,MATCH(I2036,Dashboard!J:J,0),2)),"ON",IF(Dashboard!K$32="ALL","ON","-"))</f>
        <v>-</v>
      </c>
      <c r="C2036" s="88" t="s">
        <v>152</v>
      </c>
      <c r="D2036" s="89">
        <f>IF(C2036="ID",1,(IF(C2036="PR",2,(IF(C2036="DE",3,(IF(C2036="RS",4,(IF(C2036="RC",5,0)))))))))</f>
        <v>2</v>
      </c>
      <c r="E2036" s="89" t="s">
        <v>210</v>
      </c>
      <c r="F2036" s="89">
        <f>IF(E2036="AM",1,(IF(E2036="BE",2,(IF(E2036="GV",3,(IF(E2036="RA",4,(IF(E2036="RM",5,(IF(E2036="AC",1,(IF(E2036="AT",2,(IF(E2036="DS",3,(IF(E2036="IP",4,(IF(E2036="MA",5,(IF(E2036="PT",6,(IF(E2036="AE",1,(IF(E2036="CM",2,(IF(E2036="DP",3,(IF(E2036="AN",1,(IF(E2036="CO",2,(IF(E2036="IM",3,(IF(E2036="MI",4,(IF(E2036="RP",5,(IF(E2036="SC",6,0)))))))))))))))))))))))))))))))))))))))</f>
        <v>3</v>
      </c>
      <c r="G2036" s="52">
        <v>4</v>
      </c>
      <c r="H2036" s="90" t="s">
        <v>115</v>
      </c>
      <c r="I2036" s="94" t="s">
        <v>85</v>
      </c>
      <c r="J2036" s="118" t="s">
        <v>3907</v>
      </c>
      <c r="K2036" s="119" t="s">
        <v>4663</v>
      </c>
      <c r="L2036" s="117">
        <f>IF(O2036="","",N2036*O2036*M2036)</f>
        <v>0</v>
      </c>
      <c r="M2036" s="108">
        <v>1</v>
      </c>
      <c r="N2036" s="95">
        <v>1</v>
      </c>
      <c r="O2036" s="109">
        <f>IF(Key!D$1="ON",P2036,IF(SUM(Q2036:DL2036)&lt;1,"",SUM(Q2036:DL2036)/COUNTIF(Q2036:DL2036,"&gt;0")))</f>
        <v>0</v>
      </c>
      <c r="P2036" s="109">
        <f>SUMIFS(Q2036:DK2036,Q$1:DK$1,Dashboard!$K$31)</f>
        <v>0</v>
      </c>
      <c r="U2036" s="95">
        <v>33</v>
      </c>
      <c r="AA2036" s="95">
        <v>25</v>
      </c>
      <c r="AH2036" s="95">
        <v>75</v>
      </c>
    </row>
    <row r="2037" spans="1:34" ht="15.6" x14ac:dyDescent="0.3">
      <c r="A2037" s="89" t="str">
        <f>CONCATENATE(D2037,".",F2037,"-",G2037,".",H2037,"")</f>
        <v>2.3-4.1</v>
      </c>
      <c r="B2037" s="89" t="str">
        <f>IF(CONCATENATE(I2037,Key!F$2)=CONCATENATE(INDEX(Dashboard!J:J,MATCH(I2037,Dashboard!J:J,0),1),INDEX(Dashboard!J:K,MATCH(I2037,Dashboard!J:J,0),2)),"ON",IF(Dashboard!K$32="ALL","ON","-"))</f>
        <v>-</v>
      </c>
      <c r="C2037" s="88" t="s">
        <v>152</v>
      </c>
      <c r="D2037" s="89">
        <f>IF(C2037="ID",1,(IF(C2037="PR",2,(IF(C2037="DE",3,(IF(C2037="RS",4,(IF(C2037="RC",5,0)))))))))</f>
        <v>2</v>
      </c>
      <c r="E2037" s="89" t="s">
        <v>210</v>
      </c>
      <c r="F2037" s="89">
        <f>IF(E2037="AM",1,(IF(E2037="BE",2,(IF(E2037="GV",3,(IF(E2037="RA",4,(IF(E2037="RM",5,(IF(E2037="AC",1,(IF(E2037="AT",2,(IF(E2037="DS",3,(IF(E2037="IP",4,(IF(E2037="MA",5,(IF(E2037="PT",6,(IF(E2037="AE",1,(IF(E2037="CM",2,(IF(E2037="DP",3,(IF(E2037="AN",1,(IF(E2037="CO",2,(IF(E2037="IM",3,(IF(E2037="MI",4,(IF(E2037="RP",5,(IF(E2037="SC",6,0)))))))))))))))))))))))))))))))))))))))</f>
        <v>3</v>
      </c>
      <c r="G2037" s="52">
        <v>4</v>
      </c>
      <c r="H2037" s="90" t="s">
        <v>115</v>
      </c>
      <c r="I2037" s="94" t="s">
        <v>85</v>
      </c>
      <c r="J2037" s="128" t="s">
        <v>1390</v>
      </c>
      <c r="K2037" s="119" t="s">
        <v>5009</v>
      </c>
      <c r="L2037" s="117">
        <f>IF(O2037="","",N2037*O2037*M2037)</f>
        <v>0</v>
      </c>
      <c r="M2037" s="108">
        <v>1</v>
      </c>
      <c r="N2037" s="95">
        <v>1</v>
      </c>
      <c r="O2037" s="109">
        <f>IF(Key!D$1="ON",P2037,IF(SUM(Q2037:DL2037)&lt;1,"",SUM(Q2037:DL2037)/COUNTIF(Q2037:DL2037,"&gt;0")))</f>
        <v>0</v>
      </c>
      <c r="P2037" s="109">
        <f>SUMIFS(Q2037:DK2037,Q$1:DK$1,Dashboard!$K$31)</f>
        <v>0</v>
      </c>
      <c r="U2037" s="95">
        <v>33</v>
      </c>
      <c r="AA2037" s="95">
        <v>25</v>
      </c>
      <c r="AH2037" s="95">
        <v>75</v>
      </c>
    </row>
    <row r="2038" spans="1:34" x14ac:dyDescent="0.3">
      <c r="A2038" s="89" t="str">
        <f>CONCATENATE(D2038,".",F2038,"-",G2038,".",H2038,"")</f>
        <v>2.3-4.1</v>
      </c>
      <c r="B2038" s="89" t="str">
        <f>IF(CONCATENATE(I2038,Key!F$2)=CONCATENATE(INDEX(Dashboard!J:J,MATCH(I2038,Dashboard!J:J,0),1),INDEX(Dashboard!J:K,MATCH(I2038,Dashboard!J:J,0),2)),"ON",IF(Dashboard!K$32="ALL","ON","-"))</f>
        <v>-</v>
      </c>
      <c r="C2038" s="88" t="s">
        <v>152</v>
      </c>
      <c r="D2038" s="89">
        <f>IF(C2038="ID",1,(IF(C2038="PR",2,(IF(C2038="DE",3,(IF(C2038="RS",4,(IF(C2038="RC",5,0)))))))))</f>
        <v>2</v>
      </c>
      <c r="E2038" s="89" t="s">
        <v>210</v>
      </c>
      <c r="F2038" s="89">
        <f>IF(E2038="AM",1,(IF(E2038="BE",2,(IF(E2038="GV",3,(IF(E2038="RA",4,(IF(E2038="RM",5,(IF(E2038="AC",1,(IF(E2038="AT",2,(IF(E2038="DS",3,(IF(E2038="IP",4,(IF(E2038="MA",5,(IF(E2038="PT",6,(IF(E2038="AE",1,(IF(E2038="CM",2,(IF(E2038="DP",3,(IF(E2038="AN",1,(IF(E2038="CO",2,(IF(E2038="IM",3,(IF(E2038="MI",4,(IF(E2038="RP",5,(IF(E2038="SC",6,0)))))))))))))))))))))))))))))))))))))))</f>
        <v>3</v>
      </c>
      <c r="G2038" s="52">
        <v>4</v>
      </c>
      <c r="H2038" s="90" t="s">
        <v>115</v>
      </c>
      <c r="I2038" s="94" t="s">
        <v>85</v>
      </c>
      <c r="J2038" s="118" t="s">
        <v>1375</v>
      </c>
      <c r="K2038" s="119" t="s">
        <v>1376</v>
      </c>
      <c r="L2038" s="117">
        <f>IF(O2038="","",N2038*O2038*M2038)</f>
        <v>0</v>
      </c>
      <c r="M2038" s="108">
        <v>1</v>
      </c>
      <c r="N2038" s="95">
        <v>1</v>
      </c>
      <c r="O2038" s="109">
        <f>IF(Key!D$1="ON",P2038,IF(SUM(Q2038:DL2038)&lt;1,"",SUM(Q2038:DL2038)/COUNTIF(Q2038:DL2038,"&gt;0")))</f>
        <v>0</v>
      </c>
      <c r="P2038" s="109">
        <f>SUMIFS(Q2038:DK2038,Q$1:DK$1,Dashboard!$K$31)</f>
        <v>0</v>
      </c>
      <c r="U2038" s="95">
        <v>33</v>
      </c>
      <c r="AA2038" s="95">
        <v>25</v>
      </c>
      <c r="AH2038" s="95">
        <v>75</v>
      </c>
    </row>
    <row r="2039" spans="1:34" x14ac:dyDescent="0.3">
      <c r="A2039" s="89" t="str">
        <f>CONCATENATE(D2039,".",F2039,"-",G2039,".",H2039,"")</f>
        <v>2.3-4.1</v>
      </c>
      <c r="B2039" s="89" t="str">
        <f>IF(CONCATENATE(I2039,Key!F$2)=CONCATENATE(INDEX(Dashboard!J:J,MATCH(I2039,Dashboard!J:J,0),1),INDEX(Dashboard!J:K,MATCH(I2039,Dashboard!J:J,0),2)),"ON",IF(Dashboard!K$32="ALL","ON","-"))</f>
        <v>-</v>
      </c>
      <c r="C2039" s="88" t="s">
        <v>152</v>
      </c>
      <c r="D2039" s="89">
        <f>IF(C2039="ID",1,(IF(C2039="PR",2,(IF(C2039="DE",3,(IF(C2039="RS",4,(IF(C2039="RC",5,0)))))))))</f>
        <v>2</v>
      </c>
      <c r="E2039" s="89" t="s">
        <v>210</v>
      </c>
      <c r="F2039" s="89">
        <f>IF(E2039="AM",1,(IF(E2039="BE",2,(IF(E2039="GV",3,(IF(E2039="RA",4,(IF(E2039="RM",5,(IF(E2039="AC",1,(IF(E2039="AT",2,(IF(E2039="DS",3,(IF(E2039="IP",4,(IF(E2039="MA",5,(IF(E2039="PT",6,(IF(E2039="AE",1,(IF(E2039="CM",2,(IF(E2039="DP",3,(IF(E2039="AN",1,(IF(E2039="CO",2,(IF(E2039="IM",3,(IF(E2039="MI",4,(IF(E2039="RP",5,(IF(E2039="SC",6,0)))))))))))))))))))))))))))))))))))))))</f>
        <v>3</v>
      </c>
      <c r="G2039" s="52">
        <v>4</v>
      </c>
      <c r="H2039" s="90" t="s">
        <v>115</v>
      </c>
      <c r="I2039" s="94" t="s">
        <v>85</v>
      </c>
      <c r="J2039" s="128" t="s">
        <v>1897</v>
      </c>
      <c r="K2039" s="119" t="s">
        <v>4611</v>
      </c>
      <c r="L2039" s="117">
        <f>IF(O2039="","",N2039*O2039*M2039)</f>
        <v>0</v>
      </c>
      <c r="M2039" s="108">
        <v>1</v>
      </c>
      <c r="N2039" s="95">
        <v>1</v>
      </c>
      <c r="O2039" s="109">
        <f>IF(Key!D$1="ON",P2039,IF(SUM(Q2039:DL2039)&lt;1,"",SUM(Q2039:DL2039)/COUNTIF(Q2039:DL2039,"&gt;0")))</f>
        <v>0</v>
      </c>
      <c r="P2039" s="109">
        <f>SUMIFS(Q2039:DK2039,Q$1:DK$1,Dashboard!$K$31)</f>
        <v>0</v>
      </c>
      <c r="U2039" s="95">
        <v>33</v>
      </c>
      <c r="AA2039" s="95">
        <v>25</v>
      </c>
      <c r="AH2039" s="95">
        <v>75</v>
      </c>
    </row>
    <row r="2040" spans="1:34" x14ac:dyDescent="0.3">
      <c r="A2040" s="89" t="str">
        <f>CONCATENATE(D2040,".",F2040,"-",G2040,".",H2040,"")</f>
        <v>2.3-4.1</v>
      </c>
      <c r="B2040" s="89" t="str">
        <f>IF(CONCATENATE(I2040,Key!F$2)=CONCATENATE(INDEX(Dashboard!J:J,MATCH(I2040,Dashboard!J:J,0),1),INDEX(Dashboard!J:K,MATCH(I2040,Dashboard!J:J,0),2)),"ON",IF(Dashboard!K$32="ALL","ON","-"))</f>
        <v>-</v>
      </c>
      <c r="C2040" s="96" t="s">
        <v>152</v>
      </c>
      <c r="D2040" s="89">
        <f>IF(C2040="ID",1,(IF(C2040="PR",2,(IF(C2040="DE",3,(IF(C2040="RS",4,(IF(C2040="RC",5,0)))))))))</f>
        <v>2</v>
      </c>
      <c r="E2040" s="89" t="s">
        <v>210</v>
      </c>
      <c r="F2040" s="89">
        <f>IF(E2040="AM",1,(IF(E2040="BE",2,(IF(E2040="GV",3,(IF(E2040="RA",4,(IF(E2040="RM",5,(IF(E2040="AC",1,(IF(E2040="AT",2,(IF(E2040="DS",3,(IF(E2040="IP",4,(IF(E2040="MA",5,(IF(E2040="PT",6,(IF(E2040="AE",1,(IF(E2040="CM",2,(IF(E2040="DP",3,(IF(E2040="AN",1,(IF(E2040="CO",2,(IF(E2040="IM",3,(IF(E2040="MI",4,(IF(E2040="RP",5,(IF(E2040="SC",6,0)))))))))))))))))))))))))))))))))))))))</f>
        <v>3</v>
      </c>
      <c r="G2040" s="98">
        <v>4</v>
      </c>
      <c r="H2040" s="90" t="s">
        <v>115</v>
      </c>
      <c r="I2040" s="94" t="s">
        <v>85</v>
      </c>
      <c r="J2040" s="128" t="s">
        <v>1388</v>
      </c>
      <c r="K2040" s="119" t="s">
        <v>5007</v>
      </c>
      <c r="L2040" s="117">
        <f>IF(O2040="","",N2040*O2040*M2040)</f>
        <v>0</v>
      </c>
      <c r="M2040" s="108">
        <v>1</v>
      </c>
      <c r="N2040" s="95">
        <v>1</v>
      </c>
      <c r="O2040" s="109">
        <f>IF(Key!D$1="ON",P2040,IF(SUM(Q2040:DL2040)&lt;1,"",SUM(Q2040:DL2040)/COUNTIF(Q2040:DL2040,"&gt;0")))</f>
        <v>0</v>
      </c>
      <c r="P2040" s="109">
        <f>SUMIFS(Q2040:DK2040,Q$1:DK$1,Dashboard!$K$31)</f>
        <v>0</v>
      </c>
      <c r="U2040" s="95">
        <v>33</v>
      </c>
      <c r="AA2040" s="95">
        <v>25</v>
      </c>
      <c r="AH2040" s="95">
        <v>75</v>
      </c>
    </row>
    <row r="2041" spans="1:34" x14ac:dyDescent="0.3">
      <c r="A2041" s="89" t="str">
        <f>CONCATENATE(D2041,".",F2041,"-",G2041,".",H2041,"")</f>
        <v>2.3-4.1</v>
      </c>
      <c r="B2041" s="89" t="str">
        <f>IF(CONCATENATE(I2041,Key!F$2)=CONCATENATE(INDEX(Dashboard!J:J,MATCH(I2041,Dashboard!J:J,0),1),INDEX(Dashboard!J:K,MATCH(I2041,Dashboard!J:J,0),2)),"ON",IF(Dashboard!K$32="ALL","ON","-"))</f>
        <v>-</v>
      </c>
      <c r="C2041" s="88" t="s">
        <v>152</v>
      </c>
      <c r="D2041" s="89">
        <f>IF(C2041="ID",1,(IF(C2041="PR",2,(IF(C2041="DE",3,(IF(C2041="RS",4,(IF(C2041="RC",5,0)))))))))</f>
        <v>2</v>
      </c>
      <c r="E2041" s="89" t="s">
        <v>210</v>
      </c>
      <c r="F2041" s="89">
        <f>IF(E2041="AM",1,(IF(E2041="BE",2,(IF(E2041="GV",3,(IF(E2041="RA",4,(IF(E2041="RM",5,(IF(E2041="AC",1,(IF(E2041="AT",2,(IF(E2041="DS",3,(IF(E2041="IP",4,(IF(E2041="MA",5,(IF(E2041="PT",6,(IF(E2041="AE",1,(IF(E2041="CM",2,(IF(E2041="DP",3,(IF(E2041="AN",1,(IF(E2041="CO",2,(IF(E2041="IM",3,(IF(E2041="MI",4,(IF(E2041="RP",5,(IF(E2041="SC",6,0)))))))))))))))))))))))))))))))))))))))</f>
        <v>3</v>
      </c>
      <c r="G2041" s="52">
        <v>4</v>
      </c>
      <c r="H2041" s="90" t="s">
        <v>115</v>
      </c>
      <c r="I2041" s="94" t="s">
        <v>85</v>
      </c>
      <c r="J2041" s="128" t="s">
        <v>1391</v>
      </c>
      <c r="K2041" s="119" t="s">
        <v>5010</v>
      </c>
      <c r="L2041" s="117">
        <f>IF(O2041="","",N2041*O2041*M2041)</f>
        <v>0</v>
      </c>
      <c r="M2041" s="108">
        <v>1</v>
      </c>
      <c r="N2041" s="95">
        <v>1</v>
      </c>
      <c r="O2041" s="109">
        <f>IF(Key!D$1="ON",P2041,IF(SUM(Q2041:DL2041)&lt;1,"",SUM(Q2041:DL2041)/COUNTIF(Q2041:DL2041,"&gt;0")))</f>
        <v>0</v>
      </c>
      <c r="P2041" s="109">
        <f>SUMIFS(Q2041:DK2041,Q$1:DK$1,Dashboard!$K$31)</f>
        <v>0</v>
      </c>
      <c r="U2041" s="95">
        <v>33</v>
      </c>
      <c r="AA2041" s="95">
        <v>25</v>
      </c>
      <c r="AH2041" s="95">
        <v>75</v>
      </c>
    </row>
    <row r="2042" spans="1:34" x14ac:dyDescent="0.3">
      <c r="A2042" s="89" t="str">
        <f>CONCATENATE(D2042,".",F2042,"-",G2042,".",H2042,"")</f>
        <v>2.3-4.1</v>
      </c>
      <c r="B2042" s="89" t="str">
        <f>IF(CONCATENATE(I2042,Key!F$2)=CONCATENATE(INDEX(Dashboard!J:J,MATCH(I2042,Dashboard!J:J,0),1),INDEX(Dashboard!J:K,MATCH(I2042,Dashboard!J:J,0),2)),"ON",IF(Dashboard!K$32="ALL","ON","-"))</f>
        <v>-</v>
      </c>
      <c r="C2042" s="88" t="s">
        <v>152</v>
      </c>
      <c r="D2042" s="89">
        <f>IF(C2042="ID",1,(IF(C2042="PR",2,(IF(C2042="DE",3,(IF(C2042="RS",4,(IF(C2042="RC",5,0)))))))))</f>
        <v>2</v>
      </c>
      <c r="E2042" s="89" t="s">
        <v>210</v>
      </c>
      <c r="F2042" s="89">
        <f>IF(E2042="AM",1,(IF(E2042="BE",2,(IF(E2042="GV",3,(IF(E2042="RA",4,(IF(E2042="RM",5,(IF(E2042="AC",1,(IF(E2042="AT",2,(IF(E2042="DS",3,(IF(E2042="IP",4,(IF(E2042="MA",5,(IF(E2042="PT",6,(IF(E2042="AE",1,(IF(E2042="CM",2,(IF(E2042="DP",3,(IF(E2042="AN",1,(IF(E2042="CO",2,(IF(E2042="IM",3,(IF(E2042="MI",4,(IF(E2042="RP",5,(IF(E2042="SC",6,0)))))))))))))))))))))))))))))))))))))))</f>
        <v>3</v>
      </c>
      <c r="G2042" s="52">
        <v>4</v>
      </c>
      <c r="H2042" s="90" t="s">
        <v>115</v>
      </c>
      <c r="I2042" s="94" t="s">
        <v>85</v>
      </c>
      <c r="J2042" s="118" t="s">
        <v>645</v>
      </c>
      <c r="K2042" s="119" t="s">
        <v>4539</v>
      </c>
      <c r="L2042" s="117">
        <f>IF(O2042="","",N2042*O2042*M2042)</f>
        <v>0</v>
      </c>
      <c r="M2042" s="108">
        <v>1</v>
      </c>
      <c r="N2042" s="95">
        <v>1</v>
      </c>
      <c r="O2042" s="109">
        <f>IF(Key!D$1="ON",P2042,IF(SUM(Q2042:DL2042)&lt;1,"",SUM(Q2042:DL2042)/COUNTIF(Q2042:DL2042,"&gt;0")))</f>
        <v>0</v>
      </c>
      <c r="P2042" s="109">
        <f>SUMIFS(Q2042:DK2042,Q$1:DK$1,Dashboard!$K$31)</f>
        <v>0</v>
      </c>
      <c r="U2042" s="95">
        <v>33</v>
      </c>
      <c r="AA2042" s="95">
        <v>25</v>
      </c>
      <c r="AH2042" s="95">
        <v>75</v>
      </c>
    </row>
    <row r="2043" spans="1:34" ht="15.6" x14ac:dyDescent="0.3">
      <c r="A2043" s="89" t="str">
        <f>CONCATENATE(D2043,".",F2043,"-",G2043,".",H2043,"")</f>
        <v>2.3-4.1</v>
      </c>
      <c r="B2043" s="89" t="str">
        <f>IF(CONCATENATE(I2043,Key!F$2)=CONCATENATE(INDEX(Dashboard!J:J,MATCH(I2043,Dashboard!J:J,0),1),INDEX(Dashboard!J:K,MATCH(I2043,Dashboard!J:J,0),2)),"ON",IF(Dashboard!K$32="ALL","ON","-"))</f>
        <v>-</v>
      </c>
      <c r="C2043" s="88" t="s">
        <v>152</v>
      </c>
      <c r="D2043" s="89">
        <f>IF(C2043="ID",1,(IF(C2043="PR",2,(IF(C2043="DE",3,(IF(C2043="RS",4,(IF(C2043="RC",5,0)))))))))</f>
        <v>2</v>
      </c>
      <c r="E2043" s="89" t="s">
        <v>210</v>
      </c>
      <c r="F2043" s="89">
        <f>IF(E2043="AM",1,(IF(E2043="BE",2,(IF(E2043="GV",3,(IF(E2043="RA",4,(IF(E2043="RM",5,(IF(E2043="AC",1,(IF(E2043="AT",2,(IF(E2043="DS",3,(IF(E2043="IP",4,(IF(E2043="MA",5,(IF(E2043="PT",6,(IF(E2043="AE",1,(IF(E2043="CM",2,(IF(E2043="DP",3,(IF(E2043="AN",1,(IF(E2043="CO",2,(IF(E2043="IM",3,(IF(E2043="MI",4,(IF(E2043="RP",5,(IF(E2043="SC",6,0)))))))))))))))))))))))))))))))))))))))</f>
        <v>3</v>
      </c>
      <c r="G2043" s="52">
        <v>4</v>
      </c>
      <c r="H2043" s="90" t="s">
        <v>115</v>
      </c>
      <c r="I2043" s="94" t="s">
        <v>85</v>
      </c>
      <c r="J2043" s="128" t="s">
        <v>1392</v>
      </c>
      <c r="K2043" s="119" t="s">
        <v>1393</v>
      </c>
      <c r="L2043" s="117">
        <f>IF(O2043="","",N2043*O2043*M2043)</f>
        <v>0</v>
      </c>
      <c r="M2043" s="108">
        <v>1</v>
      </c>
      <c r="N2043" s="95">
        <v>1</v>
      </c>
      <c r="O2043" s="109">
        <f>IF(Key!D$1="ON",P2043,IF(SUM(Q2043:DL2043)&lt;1,"",SUM(Q2043:DL2043)/COUNTIF(Q2043:DL2043,"&gt;0")))</f>
        <v>0</v>
      </c>
      <c r="P2043" s="109">
        <f>SUMIFS(Q2043:DK2043,Q$1:DK$1,Dashboard!$K$31)</f>
        <v>0</v>
      </c>
      <c r="U2043" s="95">
        <v>33</v>
      </c>
      <c r="AA2043" s="95">
        <v>25</v>
      </c>
      <c r="AH2043" s="95">
        <v>75</v>
      </c>
    </row>
    <row r="2044" spans="1:34" x14ac:dyDescent="0.3">
      <c r="A2044" s="89" t="str">
        <f>CONCATENATE(D2044,".",F2044,"-",G2044,".",H2044,"")</f>
        <v>2.3-4.1</v>
      </c>
      <c r="B2044" s="89" t="str">
        <f>IF(CONCATENATE(I2044,Key!F$2)=CONCATENATE(INDEX(Dashboard!J:J,MATCH(I2044,Dashboard!J:J,0),1),INDEX(Dashboard!J:K,MATCH(I2044,Dashboard!J:J,0),2)),"ON",IF(Dashboard!K$32="ALL","ON","-"))</f>
        <v>-</v>
      </c>
      <c r="C2044" s="88" t="s">
        <v>152</v>
      </c>
      <c r="D2044" s="89">
        <f>IF(C2044="ID",1,(IF(C2044="PR",2,(IF(C2044="DE",3,(IF(C2044="RS",4,(IF(C2044="RC",5,0)))))))))</f>
        <v>2</v>
      </c>
      <c r="E2044" s="89" t="s">
        <v>210</v>
      </c>
      <c r="F2044" s="89">
        <f>IF(E2044="AM",1,(IF(E2044="BE",2,(IF(E2044="GV",3,(IF(E2044="RA",4,(IF(E2044="RM",5,(IF(E2044="AC",1,(IF(E2044="AT",2,(IF(E2044="DS",3,(IF(E2044="IP",4,(IF(E2044="MA",5,(IF(E2044="PT",6,(IF(E2044="AE",1,(IF(E2044="CM",2,(IF(E2044="DP",3,(IF(E2044="AN",1,(IF(E2044="CO",2,(IF(E2044="IM",3,(IF(E2044="MI",4,(IF(E2044="RP",5,(IF(E2044="SC",6,0)))))))))))))))))))))))))))))))))))))))</f>
        <v>3</v>
      </c>
      <c r="G2044" s="52">
        <v>4</v>
      </c>
      <c r="H2044" s="90" t="s">
        <v>115</v>
      </c>
      <c r="I2044" s="94" t="s">
        <v>85</v>
      </c>
      <c r="J2044" s="128" t="s">
        <v>1381</v>
      </c>
      <c r="K2044" s="119" t="s">
        <v>1382</v>
      </c>
      <c r="L2044" s="117">
        <f>IF(O2044="","",N2044*O2044*M2044)</f>
        <v>0</v>
      </c>
      <c r="M2044" s="108">
        <v>1</v>
      </c>
      <c r="N2044" s="95">
        <v>1</v>
      </c>
      <c r="O2044" s="109">
        <f>IF(Key!D$1="ON",P2044,IF(SUM(Q2044:DL2044)&lt;1,"",SUM(Q2044:DL2044)/COUNTIF(Q2044:DL2044,"&gt;0")))</f>
        <v>0</v>
      </c>
      <c r="P2044" s="109">
        <f>SUMIFS(Q2044:DK2044,Q$1:DK$1,Dashboard!$K$31)</f>
        <v>0</v>
      </c>
      <c r="U2044" s="95">
        <v>33</v>
      </c>
      <c r="AA2044" s="95">
        <v>25</v>
      </c>
      <c r="AH2044" s="95">
        <v>75</v>
      </c>
    </row>
    <row r="2045" spans="1:34" x14ac:dyDescent="0.3">
      <c r="A2045" s="89" t="str">
        <f>CONCATENATE(D2045,".",F2045,"-",G2045,".",H2045,"")</f>
        <v>2.3-4.1</v>
      </c>
      <c r="B2045" s="89" t="str">
        <f>IF(CONCATENATE(I2045,Key!F$2)=CONCATENATE(INDEX(Dashboard!J:J,MATCH(I2045,Dashboard!J:J,0),1),INDEX(Dashboard!J:K,MATCH(I2045,Dashboard!J:J,0),2)),"ON",IF(Dashboard!K$32="ALL","ON","-"))</f>
        <v>-</v>
      </c>
      <c r="C2045" s="88" t="s">
        <v>152</v>
      </c>
      <c r="D2045" s="89">
        <f>IF(C2045="ID",1,(IF(C2045="PR",2,(IF(C2045="DE",3,(IF(C2045="RS",4,(IF(C2045="RC",5,0)))))))))</f>
        <v>2</v>
      </c>
      <c r="E2045" s="89" t="s">
        <v>210</v>
      </c>
      <c r="F2045" s="89">
        <f>IF(E2045="AM",1,(IF(E2045="BE",2,(IF(E2045="GV",3,(IF(E2045="RA",4,(IF(E2045="RM",5,(IF(E2045="AC",1,(IF(E2045="AT",2,(IF(E2045="DS",3,(IF(E2045="IP",4,(IF(E2045="MA",5,(IF(E2045="PT",6,(IF(E2045="AE",1,(IF(E2045="CM",2,(IF(E2045="DP",3,(IF(E2045="AN",1,(IF(E2045="CO",2,(IF(E2045="IM",3,(IF(E2045="MI",4,(IF(E2045="RP",5,(IF(E2045="SC",6,0)))))))))))))))))))))))))))))))))))))))</f>
        <v>3</v>
      </c>
      <c r="G2045" s="52">
        <v>4</v>
      </c>
      <c r="H2045" s="90" t="s">
        <v>115</v>
      </c>
      <c r="I2045" s="94" t="s">
        <v>85</v>
      </c>
      <c r="J2045" s="128" t="s">
        <v>1389</v>
      </c>
      <c r="K2045" s="119" t="s">
        <v>5008</v>
      </c>
      <c r="L2045" s="117">
        <f>IF(O2045="","",N2045*O2045*M2045)</f>
        <v>0</v>
      </c>
      <c r="M2045" s="108">
        <v>1</v>
      </c>
      <c r="N2045" s="95">
        <v>1</v>
      </c>
      <c r="O2045" s="109">
        <f>IF(Key!D$1="ON",P2045,IF(SUM(Q2045:DL2045)&lt;1,"",SUM(Q2045:DL2045)/COUNTIF(Q2045:DL2045,"&gt;0")))</f>
        <v>0</v>
      </c>
      <c r="P2045" s="109">
        <f>SUMIFS(Q2045:DK2045,Q$1:DK$1,Dashboard!$K$31)</f>
        <v>0</v>
      </c>
      <c r="U2045" s="95">
        <v>33</v>
      </c>
      <c r="AA2045" s="95">
        <v>25</v>
      </c>
      <c r="AH2045" s="95">
        <v>75</v>
      </c>
    </row>
    <row r="2046" spans="1:34" x14ac:dyDescent="0.3">
      <c r="A2046" s="89" t="str">
        <f>CONCATENATE(D2046,".",F2046,"-",G2046,".",H2046,"")</f>
        <v>2.3-4.1</v>
      </c>
      <c r="B2046" s="89" t="str">
        <f>IF(CONCATENATE(I2046,Key!F$2)=CONCATENATE(INDEX(Dashboard!J:J,MATCH(I2046,Dashboard!J:J,0),1),INDEX(Dashboard!J:K,MATCH(I2046,Dashboard!J:J,0),2)),"ON",IF(Dashboard!K$32="ALL","ON","-"))</f>
        <v>-</v>
      </c>
      <c r="C2046" s="88" t="s">
        <v>152</v>
      </c>
      <c r="D2046" s="89">
        <f>IF(C2046="ID",1,(IF(C2046="PR",2,(IF(C2046="DE",3,(IF(C2046="RS",4,(IF(C2046="RC",5,0)))))))))</f>
        <v>2</v>
      </c>
      <c r="E2046" s="89" t="s">
        <v>210</v>
      </c>
      <c r="F2046" s="89">
        <f>IF(E2046="AM",1,(IF(E2046="BE",2,(IF(E2046="GV",3,(IF(E2046="RA",4,(IF(E2046="RM",5,(IF(E2046="AC",1,(IF(E2046="AT",2,(IF(E2046="DS",3,(IF(E2046="IP",4,(IF(E2046="MA",5,(IF(E2046="PT",6,(IF(E2046="AE",1,(IF(E2046="CM",2,(IF(E2046="DP",3,(IF(E2046="AN",1,(IF(E2046="CO",2,(IF(E2046="IM",3,(IF(E2046="MI",4,(IF(E2046="RP",5,(IF(E2046="SC",6,0)))))))))))))))))))))))))))))))))))))))</f>
        <v>3</v>
      </c>
      <c r="G2046" s="52">
        <v>4</v>
      </c>
      <c r="H2046" s="90" t="s">
        <v>115</v>
      </c>
      <c r="I2046" s="94" t="s">
        <v>85</v>
      </c>
      <c r="J2046" s="128" t="s">
        <v>1384</v>
      </c>
      <c r="K2046" s="119" t="s">
        <v>4668</v>
      </c>
      <c r="L2046" s="117">
        <f>IF(O2046="","",N2046*O2046*M2046)</f>
        <v>0</v>
      </c>
      <c r="M2046" s="108">
        <v>1</v>
      </c>
      <c r="N2046" s="95">
        <v>1</v>
      </c>
      <c r="O2046" s="109">
        <f>IF(Key!D$1="ON",P2046,IF(SUM(Q2046:DL2046)&lt;1,"",SUM(Q2046:DL2046)/COUNTIF(Q2046:DL2046,"&gt;0")))</f>
        <v>0</v>
      </c>
      <c r="P2046" s="109">
        <f>SUMIFS(Q2046:DK2046,Q$1:DK$1,Dashboard!$K$31)</f>
        <v>0</v>
      </c>
      <c r="U2046" s="95">
        <v>33</v>
      </c>
      <c r="AA2046" s="95">
        <v>25</v>
      </c>
      <c r="AH2046" s="95">
        <v>75</v>
      </c>
    </row>
    <row r="2047" spans="1:34" x14ac:dyDescent="0.3">
      <c r="A2047" s="89" t="str">
        <f>CONCATENATE(D2047,".",F2047,"-",G2047,".",H2047,"")</f>
        <v>2.3-4.1</v>
      </c>
      <c r="B2047" s="89" t="str">
        <f>IF(CONCATENATE(I2047,Key!F$2)=CONCATENATE(INDEX(Dashboard!J:J,MATCH(I2047,Dashboard!J:J,0),1),INDEX(Dashboard!J:K,MATCH(I2047,Dashboard!J:J,0),2)),"ON",IF(Dashboard!K$32="ALL","ON","-"))</f>
        <v>-</v>
      </c>
      <c r="C2047" s="88" t="s">
        <v>152</v>
      </c>
      <c r="D2047" s="89">
        <f>IF(C2047="ID",1,(IF(C2047="PR",2,(IF(C2047="DE",3,(IF(C2047="RS",4,(IF(C2047="RC",5,0)))))))))</f>
        <v>2</v>
      </c>
      <c r="E2047" s="89" t="s">
        <v>210</v>
      </c>
      <c r="F2047" s="89">
        <f>IF(E2047="AM",1,(IF(E2047="BE",2,(IF(E2047="GV",3,(IF(E2047="RA",4,(IF(E2047="RM",5,(IF(E2047="AC",1,(IF(E2047="AT",2,(IF(E2047="DS",3,(IF(E2047="IP",4,(IF(E2047="MA",5,(IF(E2047="PT",6,(IF(E2047="AE",1,(IF(E2047="CM",2,(IF(E2047="DP",3,(IF(E2047="AN",1,(IF(E2047="CO",2,(IF(E2047="IM",3,(IF(E2047="MI",4,(IF(E2047="RP",5,(IF(E2047="SC",6,0)))))))))))))))))))))))))))))))))))))))</f>
        <v>3</v>
      </c>
      <c r="G2047" s="52">
        <v>4</v>
      </c>
      <c r="H2047" s="90" t="s">
        <v>115</v>
      </c>
      <c r="I2047" s="94" t="s">
        <v>85</v>
      </c>
      <c r="J2047" s="128" t="s">
        <v>1383</v>
      </c>
      <c r="K2047" s="119" t="s">
        <v>4609</v>
      </c>
      <c r="L2047" s="117">
        <f>IF(O2047="","",N2047*O2047*M2047)</f>
        <v>0</v>
      </c>
      <c r="M2047" s="108">
        <v>1</v>
      </c>
      <c r="N2047" s="95">
        <v>1</v>
      </c>
      <c r="O2047" s="109">
        <f>IF(Key!D$1="ON",P2047,IF(SUM(Q2047:DL2047)&lt;1,"",SUM(Q2047:DL2047)/COUNTIF(Q2047:DL2047,"&gt;0")))</f>
        <v>0</v>
      </c>
      <c r="P2047" s="109">
        <f>SUMIFS(Q2047:DK2047,Q$1:DK$1,Dashboard!$K$31)</f>
        <v>0</v>
      </c>
      <c r="U2047" s="95">
        <v>33</v>
      </c>
      <c r="AA2047" s="95">
        <v>25</v>
      </c>
      <c r="AH2047" s="95">
        <v>75</v>
      </c>
    </row>
    <row r="2048" spans="1:34" x14ac:dyDescent="0.3">
      <c r="A2048" s="89" t="str">
        <f>CONCATENATE(D2048,".",F2048,"-",G2048,".",H2048,"")</f>
        <v>2.3-4.1</v>
      </c>
      <c r="B2048" s="89" t="str">
        <f>IF(CONCATENATE(I2048,Key!F$2)=CONCATENATE(INDEX(Dashboard!J:J,MATCH(I2048,Dashboard!J:J,0),1),INDEX(Dashboard!J:K,MATCH(I2048,Dashboard!J:J,0),2)),"ON",IF(Dashboard!K$32="ALL","ON","-"))</f>
        <v>-</v>
      </c>
      <c r="C2048" s="88" t="s">
        <v>152</v>
      </c>
      <c r="D2048" s="89">
        <f>IF(C2048="ID",1,(IF(C2048="PR",2,(IF(C2048="DE",3,(IF(C2048="RS",4,(IF(C2048="RC",5,0)))))))))</f>
        <v>2</v>
      </c>
      <c r="E2048" s="89" t="s">
        <v>210</v>
      </c>
      <c r="F2048" s="89">
        <f>IF(E2048="AM",1,(IF(E2048="BE",2,(IF(E2048="GV",3,(IF(E2048="RA",4,(IF(E2048="RM",5,(IF(E2048="AC",1,(IF(E2048="AT",2,(IF(E2048="DS",3,(IF(E2048="IP",4,(IF(E2048="MA",5,(IF(E2048="PT",6,(IF(E2048="AE",1,(IF(E2048="CM",2,(IF(E2048="DP",3,(IF(E2048="AN",1,(IF(E2048="CO",2,(IF(E2048="IM",3,(IF(E2048="MI",4,(IF(E2048="RP",5,(IF(E2048="SC",6,0)))))))))))))))))))))))))))))))))))))))</f>
        <v>3</v>
      </c>
      <c r="G2048" s="52">
        <v>4</v>
      </c>
      <c r="H2048" s="90" t="s">
        <v>115</v>
      </c>
      <c r="I2048" s="94" t="s">
        <v>85</v>
      </c>
      <c r="J2048" s="128" t="s">
        <v>1380</v>
      </c>
      <c r="K2048" s="119" t="s">
        <v>4608</v>
      </c>
      <c r="L2048" s="117">
        <f>IF(O2048="","",N2048*O2048*M2048)</f>
        <v>0</v>
      </c>
      <c r="M2048" s="108">
        <v>1</v>
      </c>
      <c r="N2048" s="95">
        <v>1</v>
      </c>
      <c r="O2048" s="109">
        <f>IF(Key!D$1="ON",P2048,IF(SUM(Q2048:DL2048)&lt;1,"",SUM(Q2048:DL2048)/COUNTIF(Q2048:DL2048,"&gt;0")))</f>
        <v>0</v>
      </c>
      <c r="P2048" s="109">
        <f>SUMIFS(Q2048:DK2048,Q$1:DK$1,Dashboard!$K$31)</f>
        <v>0</v>
      </c>
      <c r="U2048" s="95">
        <v>33</v>
      </c>
      <c r="AA2048" s="95">
        <v>25</v>
      </c>
      <c r="AH2048" s="95">
        <v>75</v>
      </c>
    </row>
    <row r="2049" spans="1:34" ht="15.6" x14ac:dyDescent="0.3">
      <c r="A2049" s="89" t="str">
        <f>CONCATENATE(D2049,".",F2049,"-",G2049,".",H2049,"")</f>
        <v>2.3-4.1</v>
      </c>
      <c r="B2049" s="89" t="str">
        <f>IF(CONCATENATE(I2049,Key!F$2)=CONCATENATE(INDEX(Dashboard!J:J,MATCH(I2049,Dashboard!J:J,0),1),INDEX(Dashboard!J:K,MATCH(I2049,Dashboard!J:J,0),2)),"ON",IF(Dashboard!K$32="ALL","ON","-"))</f>
        <v>-</v>
      </c>
      <c r="C2049" s="88" t="s">
        <v>152</v>
      </c>
      <c r="D2049" s="89">
        <f>IF(C2049="ID",1,(IF(C2049="PR",2,(IF(C2049="DE",3,(IF(C2049="RS",4,(IF(C2049="RC",5,0)))))))))</f>
        <v>2</v>
      </c>
      <c r="E2049" s="89" t="s">
        <v>210</v>
      </c>
      <c r="F2049" s="89">
        <f>IF(E2049="AM",1,(IF(E2049="BE",2,(IF(E2049="GV",3,(IF(E2049="RA",4,(IF(E2049="RM",5,(IF(E2049="AC",1,(IF(E2049="AT",2,(IF(E2049="DS",3,(IF(E2049="IP",4,(IF(E2049="MA",5,(IF(E2049="PT",6,(IF(E2049="AE",1,(IF(E2049="CM",2,(IF(E2049="DP",3,(IF(E2049="AN",1,(IF(E2049="CO",2,(IF(E2049="IM",3,(IF(E2049="MI",4,(IF(E2049="RP",5,(IF(E2049="SC",6,0)))))))))))))))))))))))))))))))))))))))</f>
        <v>3</v>
      </c>
      <c r="G2049" s="52">
        <v>4</v>
      </c>
      <c r="H2049" s="90" t="s">
        <v>115</v>
      </c>
      <c r="I2049" s="94" t="s">
        <v>85</v>
      </c>
      <c r="J2049" s="128" t="s">
        <v>1660</v>
      </c>
      <c r="K2049" s="119" t="s">
        <v>5038</v>
      </c>
      <c r="L2049" s="117">
        <f>IF(O2049="","",N2049*O2049*M2049)</f>
        <v>0</v>
      </c>
      <c r="M2049" s="108">
        <v>1</v>
      </c>
      <c r="N2049" s="95">
        <v>1</v>
      </c>
      <c r="O2049" s="109">
        <f>IF(Key!D$1="ON",P2049,IF(SUM(Q2049:DL2049)&lt;1,"",SUM(Q2049:DL2049)/COUNTIF(Q2049:DL2049,"&gt;0")))</f>
        <v>0</v>
      </c>
      <c r="P2049" s="109">
        <f>SUMIFS(Q2049:DK2049,Q$1:DK$1,Dashboard!$K$31)</f>
        <v>0</v>
      </c>
      <c r="U2049" s="95">
        <v>33</v>
      </c>
      <c r="AA2049" s="95">
        <v>25</v>
      </c>
      <c r="AH2049" s="95">
        <v>75</v>
      </c>
    </row>
    <row r="2050" spans="1:34" x14ac:dyDescent="0.3">
      <c r="A2050" s="89" t="str">
        <f>CONCATENATE(D2050,".",F2050,"-",G2050,".",H2050,"")</f>
        <v>2.3-4.1</v>
      </c>
      <c r="B2050" s="89" t="str">
        <f>IF(CONCATENATE(I2050,Key!F$2)=CONCATENATE(INDEX(Dashboard!J:J,MATCH(I2050,Dashboard!J:J,0),1),INDEX(Dashboard!J:K,MATCH(I2050,Dashboard!J:J,0),2)),"ON",IF(Dashboard!K$32="ALL","ON","-"))</f>
        <v>-</v>
      </c>
      <c r="C2050" s="88" t="s">
        <v>152</v>
      </c>
      <c r="D2050" s="89">
        <f>IF(C2050="ID",1,(IF(C2050="PR",2,(IF(C2050="DE",3,(IF(C2050="RS",4,(IF(C2050="RC",5,0)))))))))</f>
        <v>2</v>
      </c>
      <c r="E2050" s="89" t="s">
        <v>210</v>
      </c>
      <c r="F2050" s="89">
        <f>IF(E2050="AM",1,(IF(E2050="BE",2,(IF(E2050="GV",3,(IF(E2050="RA",4,(IF(E2050="RM",5,(IF(E2050="AC",1,(IF(E2050="AT",2,(IF(E2050="DS",3,(IF(E2050="IP",4,(IF(E2050="MA",5,(IF(E2050="PT",6,(IF(E2050="AE",1,(IF(E2050="CM",2,(IF(E2050="DP",3,(IF(E2050="AN",1,(IF(E2050="CO",2,(IF(E2050="IM",3,(IF(E2050="MI",4,(IF(E2050="RP",5,(IF(E2050="SC",6,0)))))))))))))))))))))))))))))))))))))))</f>
        <v>3</v>
      </c>
      <c r="G2050" s="52">
        <v>4</v>
      </c>
      <c r="H2050" s="90" t="s">
        <v>115</v>
      </c>
      <c r="I2050" s="94" t="s">
        <v>85</v>
      </c>
      <c r="J2050" s="155" t="s">
        <v>661</v>
      </c>
      <c r="K2050" s="143" t="s">
        <v>4629</v>
      </c>
      <c r="L2050" s="117">
        <f>IF(O2050="","",N2050*O2050*M2050)</f>
        <v>0</v>
      </c>
      <c r="M2050" s="108">
        <v>1</v>
      </c>
      <c r="N2050" s="95">
        <v>1</v>
      </c>
      <c r="O2050" s="109">
        <f>IF(Key!D$1="ON",P2050,IF(SUM(Q2050:DL2050)&lt;1,"",SUM(Q2050:DL2050)/COUNTIF(Q2050:DL2050,"&gt;0")))</f>
        <v>0</v>
      </c>
      <c r="P2050" s="109">
        <f>SUMIFS(Q2050:DK2050,Q$1:DK$1,Dashboard!$K$31)</f>
        <v>0</v>
      </c>
      <c r="U2050" s="95">
        <v>33</v>
      </c>
      <c r="AA2050" s="95">
        <v>25</v>
      </c>
      <c r="AH2050" s="95">
        <v>75</v>
      </c>
    </row>
    <row r="2051" spans="1:34" x14ac:dyDescent="0.3">
      <c r="A2051" s="89" t="str">
        <f>CONCATENATE(D2051,".",F2051,"-",G2051,".",H2051,"")</f>
        <v>2.3-4.1</v>
      </c>
      <c r="B2051" s="89" t="str">
        <f>IF(CONCATENATE(I2051,Key!F$2)=CONCATENATE(INDEX(Dashboard!J:J,MATCH(I2051,Dashboard!J:J,0),1),INDEX(Dashboard!J:K,MATCH(I2051,Dashboard!J:J,0),2)),"ON",IF(Dashboard!K$32="ALL","ON","-"))</f>
        <v>-</v>
      </c>
      <c r="C2051" s="96" t="s">
        <v>152</v>
      </c>
      <c r="D2051" s="89">
        <f>IF(C2051="ID",1,(IF(C2051="PR",2,(IF(C2051="DE",3,(IF(C2051="RS",4,(IF(C2051="RC",5,0)))))))))</f>
        <v>2</v>
      </c>
      <c r="E2051" s="89" t="s">
        <v>210</v>
      </c>
      <c r="F2051" s="89">
        <f>IF(E2051="AM",1,(IF(E2051="BE",2,(IF(E2051="GV",3,(IF(E2051="RA",4,(IF(E2051="RM",5,(IF(E2051="AC",1,(IF(E2051="AT",2,(IF(E2051="DS",3,(IF(E2051="IP",4,(IF(E2051="MA",5,(IF(E2051="PT",6,(IF(E2051="AE",1,(IF(E2051="CM",2,(IF(E2051="DP",3,(IF(E2051="AN",1,(IF(E2051="CO",2,(IF(E2051="IM",3,(IF(E2051="MI",4,(IF(E2051="RP",5,(IF(E2051="SC",6,0)))))))))))))))))))))))))))))))))))))))</f>
        <v>3</v>
      </c>
      <c r="G2051" s="52">
        <v>4</v>
      </c>
      <c r="H2051" s="90" t="s">
        <v>115</v>
      </c>
      <c r="I2051" s="94" t="s">
        <v>85</v>
      </c>
      <c r="J2051" s="155" t="s">
        <v>803</v>
      </c>
      <c r="K2051" s="143" t="s">
        <v>4948</v>
      </c>
      <c r="L2051" s="117">
        <f>IF(O2051="","",N2051*O2051*M2051)</f>
        <v>0</v>
      </c>
      <c r="M2051" s="108">
        <v>1</v>
      </c>
      <c r="N2051" s="95">
        <v>1</v>
      </c>
      <c r="O2051" s="109">
        <f>IF(Key!D$1="ON",P2051,IF(SUM(Q2051:DL2051)&lt;1,"",SUM(Q2051:DL2051)/COUNTIF(Q2051:DL2051,"&gt;0")))</f>
        <v>0</v>
      </c>
      <c r="P2051" s="109">
        <f>SUMIFS(Q2051:DK2051,Q$1:DK$1,Dashboard!$K$31)</f>
        <v>0</v>
      </c>
      <c r="U2051" s="95">
        <v>33</v>
      </c>
      <c r="AA2051" s="95">
        <v>25</v>
      </c>
      <c r="AH2051" s="95">
        <v>75</v>
      </c>
    </row>
    <row r="2052" spans="1:34" ht="15.6" x14ac:dyDescent="0.3">
      <c r="A2052" s="89" t="str">
        <f>CONCATENATE(D2052,".",F2052,"-",G2052,".",H2052,"")</f>
        <v>2.3-4.1</v>
      </c>
      <c r="B2052" s="89" t="str">
        <f>IF(CONCATENATE(I2052,Key!F$2)=CONCATENATE(INDEX(Dashboard!J:J,MATCH(I2052,Dashboard!J:J,0),1),INDEX(Dashboard!J:K,MATCH(I2052,Dashboard!J:J,0),2)),"ON",IF(Dashboard!K$32="ALL","ON","-"))</f>
        <v>-</v>
      </c>
      <c r="C2052" s="88" t="s">
        <v>152</v>
      </c>
      <c r="D2052" s="89">
        <f>IF(C2052="ID",1,(IF(C2052="PR",2,(IF(C2052="DE",3,(IF(C2052="RS",4,(IF(C2052="RC",5,0)))))))))</f>
        <v>2</v>
      </c>
      <c r="E2052" s="89" t="s">
        <v>210</v>
      </c>
      <c r="F2052" s="89">
        <f>IF(E2052="AM",1,(IF(E2052="BE",2,(IF(E2052="GV",3,(IF(E2052="RA",4,(IF(E2052="RM",5,(IF(E2052="AC",1,(IF(E2052="AT",2,(IF(E2052="DS",3,(IF(E2052="IP",4,(IF(E2052="MA",5,(IF(E2052="PT",6,(IF(E2052="AE",1,(IF(E2052="CM",2,(IF(E2052="DP",3,(IF(E2052="AN",1,(IF(E2052="CO",2,(IF(E2052="IM",3,(IF(E2052="MI",4,(IF(E2052="RP",5,(IF(E2052="SC",6,0)))))))))))))))))))))))))))))))))))))))</f>
        <v>3</v>
      </c>
      <c r="G2052" s="52">
        <v>4</v>
      </c>
      <c r="H2052" s="89">
        <v>1</v>
      </c>
      <c r="I2052" s="94" t="s">
        <v>85</v>
      </c>
      <c r="J2052" s="155" t="s">
        <v>879</v>
      </c>
      <c r="K2052" s="143" t="s">
        <v>880</v>
      </c>
      <c r="L2052" s="117">
        <f>IF(O2052="","",N2052*O2052*M2052)</f>
        <v>0</v>
      </c>
      <c r="M2052" s="108">
        <v>1</v>
      </c>
      <c r="N2052" s="95">
        <v>1</v>
      </c>
      <c r="O2052" s="109">
        <f>IF(Key!D$1="ON",P2052,IF(SUM(Q2052:DL2052)&lt;1,"",SUM(Q2052:DL2052)/COUNTIF(Q2052:DL2052,"&gt;0")))</f>
        <v>0</v>
      </c>
      <c r="P2052" s="109">
        <f>SUMIFS(Q2052:DK2052,Q$1:DK$1,Dashboard!$K$31)</f>
        <v>0</v>
      </c>
      <c r="U2052" s="95">
        <v>33</v>
      </c>
      <c r="AA2052" s="95">
        <v>25</v>
      </c>
      <c r="AH2052" s="95">
        <v>75</v>
      </c>
    </row>
    <row r="2053" spans="1:34" x14ac:dyDescent="0.3">
      <c r="A2053" s="89" t="str">
        <f>CONCATENATE(D2053,".",F2053,"-",G2053,".",H2053,"")</f>
        <v>2.3-4.2</v>
      </c>
      <c r="B2053" s="89" t="str">
        <f>IF(CONCATENATE(I2053,Key!F$2)=CONCATENATE(INDEX(Dashboard!J:J,MATCH(I2053,Dashboard!J:J,0),1),INDEX(Dashboard!J:K,MATCH(I2053,Dashboard!J:J,0),2)),"ON",IF(Dashboard!K$32="ALL","ON","-"))</f>
        <v>-</v>
      </c>
      <c r="C2053" s="96" t="s">
        <v>152</v>
      </c>
      <c r="D2053" s="89">
        <f>IF(C2053="ID",1,(IF(C2053="PR",2,(IF(C2053="DE",3,(IF(C2053="RS",4,(IF(C2053="RC",5,0)))))))))</f>
        <v>2</v>
      </c>
      <c r="E2053" s="89" t="s">
        <v>210</v>
      </c>
      <c r="F2053" s="89">
        <f>IF(E2053="AM",1,(IF(E2053="BE",2,(IF(E2053="GV",3,(IF(E2053="RA",4,(IF(E2053="RM",5,(IF(E2053="AC",1,(IF(E2053="AT",2,(IF(E2053="DS",3,(IF(E2053="IP",4,(IF(E2053="MA",5,(IF(E2053="PT",6,(IF(E2053="AE",1,(IF(E2053="CM",2,(IF(E2053="DP",3,(IF(E2053="AN",1,(IF(E2053="CO",2,(IF(E2053="IM",3,(IF(E2053="MI",4,(IF(E2053="RP",5,(IF(E2053="SC",6,0)))))))))))))))))))))))))))))))))))))))</f>
        <v>3</v>
      </c>
      <c r="G2053" s="52">
        <v>4</v>
      </c>
      <c r="H2053" s="90" t="s">
        <v>112</v>
      </c>
      <c r="I2053" s="94" t="s">
        <v>60</v>
      </c>
      <c r="J2053" s="128" t="s">
        <v>3221</v>
      </c>
      <c r="K2053" s="51" t="s">
        <v>5334</v>
      </c>
      <c r="L2053" s="117">
        <f>IF(O2053="","",N2053*O2053*M2053)</f>
        <v>0</v>
      </c>
      <c r="M2053" s="108">
        <v>1</v>
      </c>
      <c r="N2053" s="95">
        <v>1</v>
      </c>
      <c r="O2053" s="109">
        <f>IF(Key!D$1="ON",P2053,IF(SUM(Q2053:DL2053)&lt;1,"",SUM(Q2053:DL2053)/COUNTIF(Q2053:DL2053,"&gt;0")))</f>
        <v>0</v>
      </c>
      <c r="P2053" s="109">
        <f>SUMIFS(Q2053:DK2053,Q$1:DK$1,Dashboard!$K$31)</f>
        <v>0</v>
      </c>
      <c r="U2053" s="95">
        <v>33</v>
      </c>
      <c r="AA2053" s="95">
        <v>25</v>
      </c>
      <c r="AH2053" s="95">
        <v>75</v>
      </c>
    </row>
    <row r="2054" spans="1:34" x14ac:dyDescent="0.3">
      <c r="A2054" s="89" t="str">
        <f>CONCATENATE(D2054,".",F2054,"-",G2054,".",H2054,"")</f>
        <v>2.3-4.5</v>
      </c>
      <c r="B2054" s="89" t="str">
        <f>IF(CONCATENATE(I2054,Key!F$2)=CONCATENATE(INDEX(Dashboard!J:J,MATCH(I2054,Dashboard!J:J,0),1),INDEX(Dashboard!J:K,MATCH(I2054,Dashboard!J:J,0),2)),"ON",IF(Dashboard!K$32="ALL","ON","-"))</f>
        <v>-</v>
      </c>
      <c r="C2054" s="88" t="s">
        <v>152</v>
      </c>
      <c r="D2054" s="89">
        <f>IF(C2054="ID",1,(IF(C2054="PR",2,(IF(C2054="DE",3,(IF(C2054="RS",4,(IF(C2054="RC",5,0)))))))))</f>
        <v>2</v>
      </c>
      <c r="E2054" s="89" t="s">
        <v>210</v>
      </c>
      <c r="F2054" s="89">
        <f>IF(E2054="AM",1,(IF(E2054="BE",2,(IF(E2054="GV",3,(IF(E2054="RA",4,(IF(E2054="RM",5,(IF(E2054="AC",1,(IF(E2054="AT",2,(IF(E2054="DS",3,(IF(E2054="IP",4,(IF(E2054="MA",5,(IF(E2054="PT",6,(IF(E2054="AE",1,(IF(E2054="CM",2,(IF(E2054="DP",3,(IF(E2054="AN",1,(IF(E2054="CO",2,(IF(E2054="IM",3,(IF(E2054="MI",4,(IF(E2054="RP",5,(IF(E2054="SC",6,0)))))))))))))))))))))))))))))))))))))))</f>
        <v>3</v>
      </c>
      <c r="G2054" s="52">
        <v>4</v>
      </c>
      <c r="H2054" s="90" t="s">
        <v>123</v>
      </c>
      <c r="I2054" s="94" t="s">
        <v>77</v>
      </c>
      <c r="J2054" s="128" t="s">
        <v>1392</v>
      </c>
      <c r="K2054" s="102" t="s">
        <v>2384</v>
      </c>
      <c r="L2054" s="117">
        <f>IF(O2054="","",N2054*O2054*M2054)</f>
        <v>0</v>
      </c>
      <c r="M2054" s="108">
        <v>1</v>
      </c>
      <c r="N2054" s="95">
        <v>1</v>
      </c>
      <c r="O2054" s="109">
        <f>IF(Key!D$1="ON",P2054,IF(SUM(Q2054:DL2054)&lt;1,"",SUM(Q2054:DL2054)/COUNTIF(Q2054:DL2054,"&gt;0")))</f>
        <v>0</v>
      </c>
      <c r="P2054" s="109">
        <f>SUMIFS(Q2054:DK2054,Q$1:DK$1,Dashboard!$K$31)</f>
        <v>0</v>
      </c>
      <c r="U2054" s="95">
        <v>33</v>
      </c>
      <c r="AA2054" s="95">
        <v>25</v>
      </c>
      <c r="AH2054" s="95">
        <v>75</v>
      </c>
    </row>
    <row r="2055" spans="1:34" x14ac:dyDescent="0.3">
      <c r="A2055" s="89" t="str">
        <f>CONCATENATE(D2055,".",F2055,"-",G2055,".",H2055,"")</f>
        <v>2.3-5.0</v>
      </c>
      <c r="B2055" s="89" t="str">
        <f>IF(CONCATENATE(I2055,Key!F$2)=CONCATENATE(INDEX(Dashboard!J:J,MATCH(I2055,Dashboard!J:J,0),1),INDEX(Dashboard!J:K,MATCH(I2055,Dashboard!J:J,0),2)),"ON",IF(Dashboard!K$32="ALL","ON","-"))</f>
        <v>-</v>
      </c>
      <c r="C2055" s="88" t="s">
        <v>152</v>
      </c>
      <c r="D2055" s="89">
        <f>IF(C2055="ID",1,(IF(C2055="PR",2,(IF(C2055="DE",3,(IF(C2055="RS",4,(IF(C2055="RC",5,0)))))))))</f>
        <v>2</v>
      </c>
      <c r="E2055" s="89" t="s">
        <v>210</v>
      </c>
      <c r="F2055" s="89">
        <f>IF(E2055="AM",1,(IF(E2055="BE",2,(IF(E2055="GV",3,(IF(E2055="RA",4,(IF(E2055="RM",5,(IF(E2055="AC",1,(IF(E2055="AT",2,(IF(E2055="DS",3,(IF(E2055="IP",4,(IF(E2055="MA",5,(IF(E2055="PT",6,(IF(E2055="AE",1,(IF(E2055="CM",2,(IF(E2055="DP",3,(IF(E2055="AN",1,(IF(E2055="CO",2,(IF(E2055="IM",3,(IF(E2055="MI",4,(IF(E2055="RP",5,(IF(E2055="SC",6,0)))))))))))))))))))))))))))))))))))))))</f>
        <v>3</v>
      </c>
      <c r="G2055" s="52">
        <v>5</v>
      </c>
      <c r="H2055" s="90" t="s">
        <v>347</v>
      </c>
      <c r="I2055" s="94" t="s">
        <v>2835</v>
      </c>
      <c r="J2055" s="80" t="s">
        <v>2951</v>
      </c>
      <c r="K2055" s="150" t="s">
        <v>2952</v>
      </c>
      <c r="L2055" s="117">
        <f>IF(O2055="","",N2055*O2055*M2055)</f>
        <v>0</v>
      </c>
      <c r="M2055" s="108">
        <v>1</v>
      </c>
      <c r="N2055" s="95">
        <v>1</v>
      </c>
      <c r="O2055" s="109">
        <f>IF(Key!D$1="ON",P2055,IF(SUM(Q2055:DL2055)&lt;1,"",SUM(Q2055:DL2055)/COUNTIF(Q2055:DL2055,"&gt;0")))</f>
        <v>0</v>
      </c>
      <c r="P2055" s="109">
        <f>SUMIFS(Q2055:DK2055,Q$1:DK$1,Dashboard!$K$31)</f>
        <v>0</v>
      </c>
      <c r="U2055" s="95">
        <v>33</v>
      </c>
    </row>
    <row r="2056" spans="1:34" x14ac:dyDescent="0.3">
      <c r="A2056" s="89" t="str">
        <f>CONCATENATE(D2056,".",F2056,"-",G2056,".",H2056,"")</f>
        <v>2.3-5.1</v>
      </c>
      <c r="B2056" s="89" t="str">
        <f>IF(CONCATENATE(I2056,Key!F$2)=CONCATENATE(INDEX(Dashboard!J:J,MATCH(I2056,Dashboard!J:J,0),1),INDEX(Dashboard!J:K,MATCH(I2056,Dashboard!J:J,0),2)),"ON",IF(Dashboard!K$32="ALL","ON","-"))</f>
        <v>ON</v>
      </c>
      <c r="C2056" s="130" t="s">
        <v>152</v>
      </c>
      <c r="D2056" s="89">
        <f>IF(C2056="ID",1,(IF(C2056="PR",2,(IF(C2056="DE",3,(IF(C2056="RS",4,(IF(C2056="RC",5,0)))))))))</f>
        <v>2</v>
      </c>
      <c r="E2056" s="95" t="s">
        <v>210</v>
      </c>
      <c r="F2056" s="89">
        <f>IF(E2056="AM",1,(IF(E2056="BE",2,(IF(E2056="GV",3,(IF(E2056="RA",4,(IF(E2056="RM",5,(IF(E2056="AC",1,(IF(E2056="AT",2,(IF(E2056="DS",3,(IF(E2056="IP",4,(IF(E2056="MA",5,(IF(E2056="PT",6,(IF(E2056="AE",1,(IF(E2056="CM",2,(IF(E2056="DP",3,(IF(E2056="AN",1,(IF(E2056="CO",2,(IF(E2056="IM",3,(IF(E2056="MI",4,(IF(E2056="RP",5,(IF(E2056="SC",6,0)))))))))))))))))))))))))))))))))))))))</f>
        <v>3</v>
      </c>
      <c r="G2056" s="52">
        <v>5</v>
      </c>
      <c r="H2056" s="90" t="s">
        <v>115</v>
      </c>
      <c r="I2056" s="94" t="s">
        <v>4107</v>
      </c>
      <c r="J2056" s="118" t="s">
        <v>3949</v>
      </c>
      <c r="K2056" s="101" t="s">
        <v>4115</v>
      </c>
      <c r="L2056" s="117">
        <f>IF(O2056="","",N2056*O2056*M2056)</f>
        <v>0</v>
      </c>
      <c r="M2056" s="108">
        <v>1</v>
      </c>
      <c r="N2056" s="95">
        <v>1</v>
      </c>
      <c r="O2056" s="109">
        <f>IF(Key!D$1="ON",P2056,IF(SUM(Q2056:DL2056)&lt;1,"",SUM(Q2056:DL2056)/COUNTIF(Q2056:DL2056,"&gt;0")))</f>
        <v>0</v>
      </c>
      <c r="P2056" s="109">
        <f>SUMIFS(Q2056:DK2056,Q$1:DK$1,Dashboard!$K$31)</f>
        <v>0</v>
      </c>
      <c r="U2056" s="95">
        <v>33</v>
      </c>
      <c r="AA2056" s="95">
        <v>25</v>
      </c>
      <c r="AH2056" s="95">
        <v>75</v>
      </c>
    </row>
    <row r="2057" spans="1:34" x14ac:dyDescent="0.3">
      <c r="A2057" s="89" t="str">
        <f>CONCATENATE(D2057,".",F2057,"-",G2057,".",H2057,"")</f>
        <v>2.3-5.1</v>
      </c>
      <c r="B2057" s="89" t="str">
        <f>IF(CONCATENATE(I2057,Key!F$2)=CONCATENATE(INDEX(Dashboard!J:J,MATCH(I2057,Dashboard!J:J,0),1),INDEX(Dashboard!J:K,MATCH(I2057,Dashboard!J:J,0),2)),"ON",IF(Dashboard!K$32="ALL","ON","-"))</f>
        <v>ON</v>
      </c>
      <c r="C2057" s="130" t="s">
        <v>152</v>
      </c>
      <c r="D2057" s="89">
        <f>IF(C2057="ID",1,(IF(C2057="PR",2,(IF(C2057="DE",3,(IF(C2057="RS",4,(IF(C2057="RC",5,0)))))))))</f>
        <v>2</v>
      </c>
      <c r="E2057" s="95" t="s">
        <v>210</v>
      </c>
      <c r="F2057" s="89">
        <f>IF(E2057="AM",1,(IF(E2057="BE",2,(IF(E2057="GV",3,(IF(E2057="RA",4,(IF(E2057="RM",5,(IF(E2057="AC",1,(IF(E2057="AT",2,(IF(E2057="DS",3,(IF(E2057="IP",4,(IF(E2057="MA",5,(IF(E2057="PT",6,(IF(E2057="AE",1,(IF(E2057="CM",2,(IF(E2057="DP",3,(IF(E2057="AN",1,(IF(E2057="CO",2,(IF(E2057="IM",3,(IF(E2057="MI",4,(IF(E2057="RP",5,(IF(E2057="SC",6,0)))))))))))))))))))))))))))))))))))))))</f>
        <v>3</v>
      </c>
      <c r="G2057" s="52">
        <v>5</v>
      </c>
      <c r="H2057" s="90" t="s">
        <v>115</v>
      </c>
      <c r="I2057" s="94" t="s">
        <v>4107</v>
      </c>
      <c r="J2057" s="118" t="s">
        <v>3958</v>
      </c>
      <c r="K2057" s="101" t="s">
        <v>4360</v>
      </c>
      <c r="L2057" s="117">
        <f>IF(O2057="","",N2057*O2057*M2057)</f>
        <v>0</v>
      </c>
      <c r="M2057" s="108">
        <v>1</v>
      </c>
      <c r="N2057" s="95">
        <v>1</v>
      </c>
      <c r="O2057" s="109">
        <f>IF(Key!D$1="ON",P2057,IF(SUM(Q2057:DL2057)&lt;1,"",SUM(Q2057:DL2057)/COUNTIF(Q2057:DL2057,"&gt;0")))</f>
        <v>0</v>
      </c>
      <c r="P2057" s="109">
        <f>SUMIFS(Q2057:DK2057,Q$1:DK$1,Dashboard!$K$31)</f>
        <v>0</v>
      </c>
      <c r="U2057" s="95">
        <v>33</v>
      </c>
      <c r="AA2057" s="95">
        <v>25</v>
      </c>
      <c r="AH2057" s="95">
        <v>75</v>
      </c>
    </row>
    <row r="2058" spans="1:34" ht="15.6" x14ac:dyDescent="0.3">
      <c r="A2058" s="89" t="str">
        <f>CONCATENATE(D2058,".",F2058,"-",G2058,".",H2058,"")</f>
        <v>2.3-5.1</v>
      </c>
      <c r="B2058" s="89" t="str">
        <f>IF(CONCATENATE(I2058,Key!F$2)=CONCATENATE(INDEX(Dashboard!J:J,MATCH(I2058,Dashboard!J:J,0),1),INDEX(Dashboard!J:K,MATCH(I2058,Dashboard!J:J,0),2)),"ON",IF(Dashboard!K$32="ALL","ON","-"))</f>
        <v>ON</v>
      </c>
      <c r="C2058" s="88" t="s">
        <v>152</v>
      </c>
      <c r="D2058" s="89">
        <f>IF(C2058="ID",1,(IF(C2058="PR",2,(IF(C2058="DE",3,(IF(C2058="RS",4,(IF(C2058="RC",5,0)))))))))</f>
        <v>2</v>
      </c>
      <c r="E2058" s="89" t="s">
        <v>210</v>
      </c>
      <c r="F2058" s="89">
        <f>IF(E2058="AM",1,(IF(E2058="BE",2,(IF(E2058="GV",3,(IF(E2058="RA",4,(IF(E2058="RM",5,(IF(E2058="AC",1,(IF(E2058="AT",2,(IF(E2058="DS",3,(IF(E2058="IP",4,(IF(E2058="MA",5,(IF(E2058="PT",6,(IF(E2058="AE",1,(IF(E2058="CM",2,(IF(E2058="DP",3,(IF(E2058="AN",1,(IF(E2058="CO",2,(IF(E2058="IM",3,(IF(E2058="MI",4,(IF(E2058="RP",5,(IF(E2058="SC",6,0)))))))))))))))))))))))))))))))))))))))</f>
        <v>3</v>
      </c>
      <c r="G2058" s="52">
        <v>5</v>
      </c>
      <c r="H2058" s="90" t="s">
        <v>115</v>
      </c>
      <c r="I2058" s="94" t="s">
        <v>4107</v>
      </c>
      <c r="J2058" s="118" t="s">
        <v>3959</v>
      </c>
      <c r="K2058" s="101" t="s">
        <v>4361</v>
      </c>
      <c r="L2058" s="117">
        <f>IF(O2058="","",N2058*O2058*M2058)</f>
        <v>0</v>
      </c>
      <c r="M2058" s="108">
        <v>1</v>
      </c>
      <c r="N2058" s="95">
        <v>1</v>
      </c>
      <c r="O2058" s="109">
        <f>IF(Key!D$1="ON",P2058,IF(SUM(Q2058:DL2058)&lt;1,"",SUM(Q2058:DL2058)/COUNTIF(Q2058:DL2058,"&gt;0")))</f>
        <v>0</v>
      </c>
      <c r="P2058" s="109">
        <f>SUMIFS(Q2058:DK2058,Q$1:DK$1,Dashboard!$K$31)</f>
        <v>0</v>
      </c>
      <c r="U2058" s="95">
        <v>33</v>
      </c>
      <c r="AA2058" s="95">
        <v>25</v>
      </c>
      <c r="AH2058" s="95">
        <v>75</v>
      </c>
    </row>
    <row r="2059" spans="1:34" x14ac:dyDescent="0.3">
      <c r="A2059" s="89" t="str">
        <f>CONCATENATE(D2059,".",F2059,"-",G2059,".",H2059,"")</f>
        <v>2.3-5.1</v>
      </c>
      <c r="B2059" s="89" t="str">
        <f>IF(CONCATENATE(I2059,Key!F$2)=CONCATENATE(INDEX(Dashboard!J:J,MATCH(I2059,Dashboard!J:J,0),1),INDEX(Dashboard!J:K,MATCH(I2059,Dashboard!J:J,0),2)),"ON",IF(Dashboard!K$32="ALL","ON","-"))</f>
        <v>ON</v>
      </c>
      <c r="C2059" s="130" t="s">
        <v>152</v>
      </c>
      <c r="D2059" s="89">
        <f>IF(C2059="ID",1,(IF(C2059="PR",2,(IF(C2059="DE",3,(IF(C2059="RS",4,(IF(C2059="RC",5,0)))))))))</f>
        <v>2</v>
      </c>
      <c r="E2059" s="95" t="s">
        <v>210</v>
      </c>
      <c r="F2059" s="89">
        <f>IF(E2059="AM",1,(IF(E2059="BE",2,(IF(E2059="GV",3,(IF(E2059="RA",4,(IF(E2059="RM",5,(IF(E2059="AC",1,(IF(E2059="AT",2,(IF(E2059="DS",3,(IF(E2059="IP",4,(IF(E2059="MA",5,(IF(E2059="PT",6,(IF(E2059="AE",1,(IF(E2059="CM",2,(IF(E2059="DP",3,(IF(E2059="AN",1,(IF(E2059="CO",2,(IF(E2059="IM",3,(IF(E2059="MI",4,(IF(E2059="RP",5,(IF(E2059="SC",6,0)))))))))))))))))))))))))))))))))))))))</f>
        <v>3</v>
      </c>
      <c r="G2059" s="52">
        <v>5</v>
      </c>
      <c r="H2059" s="90" t="s">
        <v>115</v>
      </c>
      <c r="I2059" s="94" t="s">
        <v>4107</v>
      </c>
      <c r="J2059" s="118" t="s">
        <v>3961</v>
      </c>
      <c r="K2059" s="101" t="s">
        <v>4362</v>
      </c>
      <c r="L2059" s="117">
        <f>IF(O2059="","",N2059*O2059*M2059)</f>
        <v>0</v>
      </c>
      <c r="M2059" s="108">
        <v>1</v>
      </c>
      <c r="N2059" s="95">
        <v>1</v>
      </c>
      <c r="O2059" s="109">
        <f>IF(Key!D$1="ON",P2059,IF(SUM(Q2059:DL2059)&lt;1,"",SUM(Q2059:DL2059)/COUNTIF(Q2059:DL2059,"&gt;0")))</f>
        <v>0</v>
      </c>
      <c r="P2059" s="109">
        <f>SUMIFS(Q2059:DK2059,Q$1:DK$1,Dashboard!$K$31)</f>
        <v>0</v>
      </c>
      <c r="U2059" s="95">
        <v>33</v>
      </c>
      <c r="AA2059" s="95">
        <v>25</v>
      </c>
      <c r="AH2059" s="95">
        <v>75</v>
      </c>
    </row>
    <row r="2060" spans="1:34" x14ac:dyDescent="0.3">
      <c r="A2060" s="89" t="str">
        <f>CONCATENATE(D2060,".",F2060,"-",G2060,".",H2060,"")</f>
        <v>2.3-5.1</v>
      </c>
      <c r="B2060" s="89" t="str">
        <f>IF(CONCATENATE(I2060,Key!F$2)=CONCATENATE(INDEX(Dashboard!J:J,MATCH(I2060,Dashboard!J:J,0),1),INDEX(Dashboard!J:K,MATCH(I2060,Dashboard!J:J,0),2)),"ON",IF(Dashboard!K$32="ALL","ON","-"))</f>
        <v>ON</v>
      </c>
      <c r="C2060" s="88" t="s">
        <v>152</v>
      </c>
      <c r="D2060" s="89">
        <f>IF(C2060="ID",1,(IF(C2060="PR",2,(IF(C2060="DE",3,(IF(C2060="RS",4,(IF(C2060="RC",5,0)))))))))</f>
        <v>2</v>
      </c>
      <c r="E2060" s="89" t="s">
        <v>210</v>
      </c>
      <c r="F2060" s="89">
        <f>IF(E2060="AM",1,(IF(E2060="BE",2,(IF(E2060="GV",3,(IF(E2060="RA",4,(IF(E2060="RM",5,(IF(E2060="AC",1,(IF(E2060="AT",2,(IF(E2060="DS",3,(IF(E2060="IP",4,(IF(E2060="MA",5,(IF(E2060="PT",6,(IF(E2060="AE",1,(IF(E2060="CM",2,(IF(E2060="DP",3,(IF(E2060="AN",1,(IF(E2060="CO",2,(IF(E2060="IM",3,(IF(E2060="MI",4,(IF(E2060="RP",5,(IF(E2060="SC",6,0)))))))))))))))))))))))))))))))))))))))</f>
        <v>3</v>
      </c>
      <c r="G2060" s="52">
        <v>5</v>
      </c>
      <c r="H2060" s="90" t="s">
        <v>115</v>
      </c>
      <c r="I2060" s="94" t="s">
        <v>4107</v>
      </c>
      <c r="J2060" s="118" t="s">
        <v>3962</v>
      </c>
      <c r="K2060" s="101" t="s">
        <v>4363</v>
      </c>
      <c r="L2060" s="117">
        <f>IF(O2060="","",N2060*O2060*M2060)</f>
        <v>0</v>
      </c>
      <c r="M2060" s="108">
        <v>1</v>
      </c>
      <c r="N2060" s="95">
        <v>1</v>
      </c>
      <c r="O2060" s="109">
        <f>IF(Key!D$1="ON",P2060,IF(SUM(Q2060:DL2060)&lt;1,"",SUM(Q2060:DL2060)/COUNTIF(Q2060:DL2060,"&gt;0")))</f>
        <v>0</v>
      </c>
      <c r="P2060" s="109">
        <f>SUMIFS(Q2060:DK2060,Q$1:DK$1,Dashboard!$K$31)</f>
        <v>0</v>
      </c>
      <c r="U2060" s="95">
        <v>33</v>
      </c>
      <c r="AA2060" s="95">
        <v>25</v>
      </c>
      <c r="AH2060" s="95">
        <v>75</v>
      </c>
    </row>
    <row r="2061" spans="1:34" ht="15.6" x14ac:dyDescent="0.3">
      <c r="A2061" s="89" t="str">
        <f>CONCATENATE(D2061,".",F2061,"-",G2061,".",H2061,"")</f>
        <v>2.3-5.1</v>
      </c>
      <c r="B2061" s="89" t="str">
        <f>IF(CONCATENATE(I2061,Key!F$2)=CONCATENATE(INDEX(Dashboard!J:J,MATCH(I2061,Dashboard!J:J,0),1),INDEX(Dashboard!J:K,MATCH(I2061,Dashboard!J:J,0),2)),"ON",IF(Dashboard!K$32="ALL","ON","-"))</f>
        <v>-</v>
      </c>
      <c r="C2061" s="88" t="s">
        <v>152</v>
      </c>
      <c r="D2061" s="89">
        <f>IF(C2061="ID",1,(IF(C2061="PR",2,(IF(C2061="DE",3,(IF(C2061="RS",4,(IF(C2061="RC",5,0)))))))))</f>
        <v>2</v>
      </c>
      <c r="E2061" s="89" t="s">
        <v>210</v>
      </c>
      <c r="F2061" s="89">
        <f>IF(E2061="AM",1,(IF(E2061="BE",2,(IF(E2061="GV",3,(IF(E2061="RA",4,(IF(E2061="RM",5,(IF(E2061="AC",1,(IF(E2061="AT",2,(IF(E2061="DS",3,(IF(E2061="IP",4,(IF(E2061="MA",5,(IF(E2061="PT",6,(IF(E2061="AE",1,(IF(E2061="CM",2,(IF(E2061="DP",3,(IF(E2061="AN",1,(IF(E2061="CO",2,(IF(E2061="IM",3,(IF(E2061="MI",4,(IF(E2061="RP",5,(IF(E2061="SC",6,0)))))))))))))))))))))))))))))))))))))))</f>
        <v>3</v>
      </c>
      <c r="G2061" s="52">
        <v>5</v>
      </c>
      <c r="H2061" s="99">
        <v>1</v>
      </c>
      <c r="I2061" s="94" t="s">
        <v>37</v>
      </c>
      <c r="J2061" s="118">
        <v>13.6</v>
      </c>
      <c r="K2061" s="102" t="s">
        <v>3749</v>
      </c>
      <c r="L2061" s="117">
        <f>IF(O2061="","",N2061*O2061*M2061)</f>
        <v>0</v>
      </c>
      <c r="M2061" s="108">
        <v>1</v>
      </c>
      <c r="N2061" s="95">
        <v>1</v>
      </c>
      <c r="O2061" s="109">
        <f>IF(Key!D$1="ON",P2061,IF(SUM(Q2061:DL2061)&lt;1,"",SUM(Q2061:DL2061)/COUNTIF(Q2061:DL2061,"&gt;0")))</f>
        <v>0</v>
      </c>
      <c r="P2061" s="109">
        <f>SUMIFS(Q2061:DK2061,Q$1:DK$1,Dashboard!$K$31)</f>
        <v>0</v>
      </c>
      <c r="U2061" s="95">
        <v>33</v>
      </c>
      <c r="AA2061" s="95">
        <v>25</v>
      </c>
      <c r="AH2061" s="95">
        <v>75</v>
      </c>
    </row>
    <row r="2062" spans="1:34" x14ac:dyDescent="0.3">
      <c r="A2062" s="89" t="str">
        <f>CONCATENATE(D2062,".",F2062,"-",G2062,".",H2062,"")</f>
        <v>2.3-5.1</v>
      </c>
      <c r="B2062" s="89" t="str">
        <f>IF(CONCATENATE(I2062,Key!F$2)=CONCATENATE(INDEX(Dashboard!J:J,MATCH(I2062,Dashboard!J:J,0),1),INDEX(Dashboard!J:K,MATCH(I2062,Dashboard!J:J,0),2)),"ON",IF(Dashboard!K$32="ALL","ON","-"))</f>
        <v>-</v>
      </c>
      <c r="C2062" s="88" t="s">
        <v>152</v>
      </c>
      <c r="D2062" s="89">
        <f>IF(C2062="ID",1,(IF(C2062="PR",2,(IF(C2062="DE",3,(IF(C2062="RS",4,(IF(C2062="RC",5,0)))))))))</f>
        <v>2</v>
      </c>
      <c r="E2062" s="89" t="s">
        <v>210</v>
      </c>
      <c r="F2062" s="89">
        <f>IF(E2062="AM",1,(IF(E2062="BE",2,(IF(E2062="GV",3,(IF(E2062="RA",4,(IF(E2062="RM",5,(IF(E2062="AC",1,(IF(E2062="AT",2,(IF(E2062="DS",3,(IF(E2062="IP",4,(IF(E2062="MA",5,(IF(E2062="PT",6,(IF(E2062="AE",1,(IF(E2062="CM",2,(IF(E2062="DP",3,(IF(E2062="AN",1,(IF(E2062="CO",2,(IF(E2062="IM",3,(IF(E2062="MI",4,(IF(E2062="RP",5,(IF(E2062="SC",6,0)))))))))))))))))))))))))))))))))))))))</f>
        <v>3</v>
      </c>
      <c r="G2062" s="52">
        <v>5</v>
      </c>
      <c r="H2062" s="99">
        <v>1</v>
      </c>
      <c r="I2062" s="94" t="s">
        <v>37</v>
      </c>
      <c r="J2062" s="118">
        <v>7.8</v>
      </c>
      <c r="K2062" s="102" t="s">
        <v>3746</v>
      </c>
      <c r="L2062" s="117">
        <f>IF(O2062="","",N2062*O2062*M2062)</f>
        <v>0</v>
      </c>
      <c r="M2062" s="108">
        <v>0.9</v>
      </c>
      <c r="N2062" s="95">
        <v>1</v>
      </c>
      <c r="O2062" s="109">
        <f>IF(Key!D$1="ON",P2062,IF(SUM(Q2062:DL2062)&lt;1,"",SUM(Q2062:DL2062)/COUNTIF(Q2062:DL2062,"&gt;0")))</f>
        <v>0</v>
      </c>
      <c r="P2062" s="109">
        <f>SUMIFS(Q2062:DK2062,Q$1:DK$1,Dashboard!$K$31)</f>
        <v>0</v>
      </c>
      <c r="S2062" s="95">
        <v>66</v>
      </c>
      <c r="T2062" s="95">
        <v>80</v>
      </c>
      <c r="U2062" s="95">
        <v>33</v>
      </c>
      <c r="AA2062" s="95">
        <v>25</v>
      </c>
      <c r="AH2062" s="95">
        <v>75</v>
      </c>
    </row>
    <row r="2063" spans="1:34" x14ac:dyDescent="0.3">
      <c r="A2063" s="89" t="str">
        <f>CONCATENATE(D2063,".",F2063,"-",G2063,".",H2063,"")</f>
        <v>2.3-5.1</v>
      </c>
      <c r="B2063" s="89" t="str">
        <f>IF(CONCATENATE(I2063,Key!F$2)=CONCATENATE(INDEX(Dashboard!J:J,MATCH(I2063,Dashboard!J:J,0),1),INDEX(Dashboard!J:K,MATCH(I2063,Dashboard!J:J,0),2)),"ON",IF(Dashboard!K$32="ALL","ON","-"))</f>
        <v>-</v>
      </c>
      <c r="C2063" s="88" t="s">
        <v>152</v>
      </c>
      <c r="D2063" s="89">
        <f>IF(C2063="ID",1,(IF(C2063="PR",2,(IF(C2063="DE",3,(IF(C2063="RS",4,(IF(C2063="RC",5,0)))))))))</f>
        <v>2</v>
      </c>
      <c r="E2063" s="89" t="s">
        <v>210</v>
      </c>
      <c r="F2063" s="89">
        <f>IF(E2063="AM",1,(IF(E2063="BE",2,(IF(E2063="GV",3,(IF(E2063="RA",4,(IF(E2063="RM",5,(IF(E2063="AC",1,(IF(E2063="AT",2,(IF(E2063="DS",3,(IF(E2063="IP",4,(IF(E2063="MA",5,(IF(E2063="PT",6,(IF(E2063="AE",1,(IF(E2063="CM",2,(IF(E2063="DP",3,(IF(E2063="AN",1,(IF(E2063="CO",2,(IF(E2063="IM",3,(IF(E2063="MI",4,(IF(E2063="RP",5,(IF(E2063="SC",6,0)))))))))))))))))))))))))))))))))))))))</f>
        <v>3</v>
      </c>
      <c r="G2063" s="52">
        <v>5</v>
      </c>
      <c r="H2063" s="99">
        <v>1</v>
      </c>
      <c r="I2063" s="94" t="s">
        <v>37</v>
      </c>
      <c r="J2063" s="118">
        <v>13</v>
      </c>
      <c r="K2063" s="102" t="s">
        <v>3747</v>
      </c>
      <c r="L2063" s="117">
        <f>IF(O2063="","",N2063*O2063*M2063)</f>
        <v>0</v>
      </c>
      <c r="M2063" s="108">
        <v>1</v>
      </c>
      <c r="N2063" s="95">
        <v>1</v>
      </c>
      <c r="O2063" s="109">
        <f>IF(Key!D$1="ON",P2063,IF(SUM(Q2063:DL2063)&lt;1,"",SUM(Q2063:DL2063)/COUNTIF(Q2063:DL2063,"&gt;0")))</f>
        <v>0</v>
      </c>
      <c r="P2063" s="109">
        <f>SUMIFS(Q2063:DK2063,Q$1:DK$1,Dashboard!$K$31)</f>
        <v>0</v>
      </c>
      <c r="U2063" s="95">
        <v>33</v>
      </c>
      <c r="AA2063" s="95">
        <v>25</v>
      </c>
      <c r="AH2063" s="95">
        <v>75</v>
      </c>
    </row>
    <row r="2064" spans="1:34" x14ac:dyDescent="0.3">
      <c r="A2064" s="89" t="str">
        <f>CONCATENATE(D2064,".",F2064,"-",G2064,".",H2064,"")</f>
        <v>2.3-5.1</v>
      </c>
      <c r="B2064" s="89" t="str">
        <f>IF(CONCATENATE(I2064,Key!F$2)=CONCATENATE(INDEX(Dashboard!J:J,MATCH(I2064,Dashboard!J:J,0),1),INDEX(Dashboard!J:K,MATCH(I2064,Dashboard!J:J,0),2)),"ON",IF(Dashboard!K$32="ALL","ON","-"))</f>
        <v>-</v>
      </c>
      <c r="C2064" s="88" t="s">
        <v>152</v>
      </c>
      <c r="D2064" s="89">
        <f>IF(C2064="ID",1,(IF(C2064="PR",2,(IF(C2064="DE",3,(IF(C2064="RS",4,(IF(C2064="RC",5,0)))))))))</f>
        <v>2</v>
      </c>
      <c r="E2064" s="89" t="s">
        <v>210</v>
      </c>
      <c r="F2064" s="89">
        <f>IF(E2064="AM",1,(IF(E2064="BE",2,(IF(E2064="GV",3,(IF(E2064="RA",4,(IF(E2064="RM",5,(IF(E2064="AC",1,(IF(E2064="AT",2,(IF(E2064="DS",3,(IF(E2064="IP",4,(IF(E2064="MA",5,(IF(E2064="PT",6,(IF(E2064="AE",1,(IF(E2064="CM",2,(IF(E2064="DP",3,(IF(E2064="AN",1,(IF(E2064="CO",2,(IF(E2064="IM",3,(IF(E2064="MI",4,(IF(E2064="RP",5,(IF(E2064="SC",6,0)))))))))))))))))))))))))))))))))))))))</f>
        <v>3</v>
      </c>
      <c r="G2064" s="52">
        <v>5</v>
      </c>
      <c r="H2064" s="99">
        <v>1</v>
      </c>
      <c r="I2064" s="94" t="s">
        <v>37</v>
      </c>
      <c r="J2064" s="118">
        <v>13.3</v>
      </c>
      <c r="K2064" s="102" t="s">
        <v>3748</v>
      </c>
      <c r="L2064" s="117">
        <f>IF(O2064="","",N2064*O2064*M2064)</f>
        <v>0</v>
      </c>
      <c r="M2064" s="108">
        <v>1</v>
      </c>
      <c r="N2064" s="95">
        <v>1</v>
      </c>
      <c r="O2064" s="109">
        <f>IF(Key!D$1="ON",P2064,IF(SUM(Q2064:DL2064)&lt;1,"",SUM(Q2064:DL2064)/COUNTIF(Q2064:DL2064,"&gt;0")))</f>
        <v>0</v>
      </c>
      <c r="P2064" s="109">
        <f>SUMIFS(Q2064:DK2064,Q$1:DK$1,Dashboard!$K$31)</f>
        <v>0</v>
      </c>
      <c r="U2064" s="95">
        <v>33</v>
      </c>
      <c r="AA2064" s="95">
        <v>25</v>
      </c>
      <c r="AH2064" s="95">
        <v>75</v>
      </c>
    </row>
    <row r="2065" spans="1:34" ht="15.6" x14ac:dyDescent="0.3">
      <c r="A2065" s="89" t="str">
        <f>CONCATENATE(D2065,".",F2065,"-",G2065,".",H2065,"")</f>
        <v>2.3-5.1</v>
      </c>
      <c r="B2065" s="89" t="str">
        <f>IF(CONCATENATE(I2065,Key!F$2)=CONCATENATE(INDEX(Dashboard!J:J,MATCH(I2065,Dashboard!J:J,0),1),INDEX(Dashboard!J:K,MATCH(I2065,Dashboard!J:J,0),2)),"ON",IF(Dashboard!K$32="ALL","ON","-"))</f>
        <v>-</v>
      </c>
      <c r="C2065" s="88" t="s">
        <v>152</v>
      </c>
      <c r="D2065" s="89">
        <f>IF(C2065="ID",1,(IF(C2065="PR",2,(IF(C2065="DE",3,(IF(C2065="RS",4,(IF(C2065="RC",5,0)))))))))</f>
        <v>2</v>
      </c>
      <c r="E2065" s="89" t="s">
        <v>210</v>
      </c>
      <c r="F2065" s="89">
        <f>IF(E2065="AM",1,(IF(E2065="BE",2,(IF(E2065="GV",3,(IF(E2065="RA",4,(IF(E2065="RM",5,(IF(E2065="AC",1,(IF(E2065="AT",2,(IF(E2065="DS",3,(IF(E2065="IP",4,(IF(E2065="MA",5,(IF(E2065="PT",6,(IF(E2065="AE",1,(IF(E2065="CM",2,(IF(E2065="DP",3,(IF(E2065="AN",1,(IF(E2065="CO",2,(IF(E2065="IM",3,(IF(E2065="MI",4,(IF(E2065="RP",5,(IF(E2065="SC",6,0)))))))))))))))))))))))))))))))))))))))</f>
        <v>3</v>
      </c>
      <c r="G2065" s="52">
        <v>5</v>
      </c>
      <c r="H2065" s="99">
        <v>1</v>
      </c>
      <c r="I2065" s="94" t="s">
        <v>37</v>
      </c>
      <c r="J2065" s="118">
        <v>13.7</v>
      </c>
      <c r="K2065" s="102" t="s">
        <v>3750</v>
      </c>
      <c r="L2065" s="117">
        <f>IF(O2065="","",N2065*O2065*M2065)</f>
        <v>0</v>
      </c>
      <c r="M2065" s="108">
        <v>1</v>
      </c>
      <c r="N2065" s="95">
        <v>1</v>
      </c>
      <c r="O2065" s="109">
        <f>IF(Key!D$1="ON",P2065,IF(SUM(Q2065:DL2065)&lt;1,"",SUM(Q2065:DL2065)/COUNTIF(Q2065:DL2065,"&gt;0")))</f>
        <v>0</v>
      </c>
      <c r="P2065" s="109">
        <f>SUMIFS(Q2065:DK2065,Q$1:DK$1,Dashboard!$K$31)</f>
        <v>0</v>
      </c>
      <c r="U2065" s="95">
        <v>33</v>
      </c>
      <c r="AA2065" s="95">
        <v>25</v>
      </c>
      <c r="AH2065" s="95">
        <v>75</v>
      </c>
    </row>
    <row r="2066" spans="1:34" ht="15.6" x14ac:dyDescent="0.3">
      <c r="A2066" s="89" t="str">
        <f>CONCATENATE(D2066,".",F2066,"-",G2066,".",H2066,"")</f>
        <v>2.3-5.1</v>
      </c>
      <c r="B2066" s="89" t="str">
        <f>IF(CONCATENATE(I2066,Key!F$2)=CONCATENATE(INDEX(Dashboard!J:J,MATCH(I2066,Dashboard!J:J,0),1),INDEX(Dashboard!J:K,MATCH(I2066,Dashboard!J:J,0),2)),"ON",IF(Dashboard!K$32="ALL","ON","-"))</f>
        <v>-</v>
      </c>
      <c r="C2066" s="88" t="s">
        <v>152</v>
      </c>
      <c r="D2066" s="89">
        <f>IF(C2066="ID",1,(IF(C2066="PR",2,(IF(C2066="DE",3,(IF(C2066="RS",4,(IF(C2066="RC",5,0)))))))))</f>
        <v>2</v>
      </c>
      <c r="E2066" s="89" t="s">
        <v>210</v>
      </c>
      <c r="F2066" s="89">
        <f>IF(E2066="AM",1,(IF(E2066="BE",2,(IF(E2066="GV",3,(IF(E2066="RA",4,(IF(E2066="RM",5,(IF(E2066="AC",1,(IF(E2066="AT",2,(IF(E2066="DS",3,(IF(E2066="IP",4,(IF(E2066="MA",5,(IF(E2066="PT",6,(IF(E2066="AE",1,(IF(E2066="CM",2,(IF(E2066="DP",3,(IF(E2066="AN",1,(IF(E2066="CO",2,(IF(E2066="IM",3,(IF(E2066="MI",4,(IF(E2066="RP",5,(IF(E2066="SC",6,0)))))))))))))))))))))))))))))))))))))))</f>
        <v>3</v>
      </c>
      <c r="G2066" s="52">
        <v>5</v>
      </c>
      <c r="H2066" s="99">
        <v>1</v>
      </c>
      <c r="I2066" s="94" t="s">
        <v>37</v>
      </c>
      <c r="J2066" s="118">
        <v>13.8</v>
      </c>
      <c r="K2066" s="102" t="s">
        <v>3751</v>
      </c>
      <c r="L2066" s="117">
        <f>IF(O2066="","",N2066*O2066*M2066)</f>
        <v>0</v>
      </c>
      <c r="M2066" s="108">
        <v>1</v>
      </c>
      <c r="N2066" s="95">
        <v>1</v>
      </c>
      <c r="O2066" s="109">
        <f>IF(Key!D$1="ON",P2066,IF(SUM(Q2066:DL2066)&lt;1,"",SUM(Q2066:DL2066)/COUNTIF(Q2066:DL2066,"&gt;0")))</f>
        <v>0</v>
      </c>
      <c r="P2066" s="109">
        <f>SUMIFS(Q2066:DK2066,Q$1:DK$1,Dashboard!$K$31)</f>
        <v>0</v>
      </c>
      <c r="U2066" s="95">
        <v>33</v>
      </c>
      <c r="AA2066" s="95">
        <v>25</v>
      </c>
      <c r="AH2066" s="95">
        <v>75</v>
      </c>
    </row>
    <row r="2067" spans="1:34" x14ac:dyDescent="0.3">
      <c r="A2067" s="89" t="str">
        <f>CONCATENATE(D2067,".",F2067,"-",G2067,".",H2067,"")</f>
        <v>2.3-5.1</v>
      </c>
      <c r="B2067" s="89" t="str">
        <f>IF(CONCATENATE(I2067,Key!F$2)=CONCATENATE(INDEX(Dashboard!J:J,MATCH(I2067,Dashboard!J:J,0),1),INDEX(Dashboard!J:K,MATCH(I2067,Dashboard!J:J,0),2)),"ON",IF(Dashboard!K$32="ALL","ON","-"))</f>
        <v>-</v>
      </c>
      <c r="C2067" s="88" t="s">
        <v>152</v>
      </c>
      <c r="D2067" s="89">
        <f>IF(C2067="ID",1,(IF(C2067="PR",2,(IF(C2067="DE",3,(IF(C2067="RS",4,(IF(C2067="RC",5,0)))))))))</f>
        <v>2</v>
      </c>
      <c r="E2067" s="89" t="s">
        <v>210</v>
      </c>
      <c r="F2067" s="89">
        <f>IF(E2067="AM",1,(IF(E2067="BE",2,(IF(E2067="GV",3,(IF(E2067="RA",4,(IF(E2067="RM",5,(IF(E2067="AC",1,(IF(E2067="AT",2,(IF(E2067="DS",3,(IF(E2067="IP",4,(IF(E2067="MA",5,(IF(E2067="PT",6,(IF(E2067="AE",1,(IF(E2067="CM",2,(IF(E2067="DP",3,(IF(E2067="AN",1,(IF(E2067="CO",2,(IF(E2067="IM",3,(IF(E2067="MI",4,(IF(E2067="RP",5,(IF(E2067="SC",6,0)))))))))))))))))))))))))))))))))))))))</f>
        <v>3</v>
      </c>
      <c r="G2067" s="52">
        <v>5</v>
      </c>
      <c r="H2067" s="99">
        <v>1</v>
      </c>
      <c r="I2067" s="94" t="s">
        <v>37</v>
      </c>
      <c r="J2067" s="118">
        <v>13.9</v>
      </c>
      <c r="K2067" s="102" t="s">
        <v>3752</v>
      </c>
      <c r="L2067" s="117">
        <f>IF(O2067="","",N2067*O2067*M2067)</f>
        <v>0</v>
      </c>
      <c r="M2067" s="108">
        <v>1</v>
      </c>
      <c r="N2067" s="95">
        <v>1</v>
      </c>
      <c r="O2067" s="109">
        <f>IF(Key!D$1="ON",P2067,IF(SUM(Q2067:DL2067)&lt;1,"",SUM(Q2067:DL2067)/COUNTIF(Q2067:DL2067,"&gt;0")))</f>
        <v>0</v>
      </c>
      <c r="P2067" s="109">
        <f>SUMIFS(Q2067:DK2067,Q$1:DK$1,Dashboard!$K$31)</f>
        <v>0</v>
      </c>
      <c r="U2067" s="95">
        <v>33</v>
      </c>
      <c r="AA2067" s="95">
        <v>25</v>
      </c>
      <c r="AH2067" s="95">
        <v>75</v>
      </c>
    </row>
    <row r="2068" spans="1:34" x14ac:dyDescent="0.3">
      <c r="A2068" s="89" t="str">
        <f>CONCATENATE(D2068,".",F2068,"-",G2068,".",H2068,"")</f>
        <v>2.3-5.1</v>
      </c>
      <c r="B2068" s="89" t="str">
        <f>IF(CONCATENATE(I2068,Key!F$2)=CONCATENATE(INDEX(Dashboard!J:J,MATCH(I2068,Dashboard!J:J,0),1),INDEX(Dashboard!J:K,MATCH(I2068,Dashboard!J:J,0),2)),"ON",IF(Dashboard!K$32="ALL","ON","-"))</f>
        <v>-</v>
      </c>
      <c r="C2068" s="88" t="s">
        <v>152</v>
      </c>
      <c r="D2068" s="89">
        <f>IF(C2068="ID",1,(IF(C2068="PR",2,(IF(C2068="DE",3,(IF(C2068="RS",4,(IF(C2068="RC",5,0)))))))))</f>
        <v>2</v>
      </c>
      <c r="E2068" s="89" t="s">
        <v>210</v>
      </c>
      <c r="F2068" s="89">
        <f>IF(E2068="AM",1,(IF(E2068="BE",2,(IF(E2068="GV",3,(IF(E2068="RA",4,(IF(E2068="RM",5,(IF(E2068="AC",1,(IF(E2068="AT",2,(IF(E2068="DS",3,(IF(E2068="IP",4,(IF(E2068="MA",5,(IF(E2068="PT",6,(IF(E2068="AE",1,(IF(E2068="CM",2,(IF(E2068="DP",3,(IF(E2068="AN",1,(IF(E2068="CO",2,(IF(E2068="IM",3,(IF(E2068="MI",4,(IF(E2068="RP",5,(IF(E2068="SC",6,0)))))))))))))))))))))))))))))))))))))))</f>
        <v>3</v>
      </c>
      <c r="G2068" s="52">
        <v>5</v>
      </c>
      <c r="H2068" s="99">
        <v>1</v>
      </c>
      <c r="I2068" s="94" t="s">
        <v>37</v>
      </c>
      <c r="J2068" s="118" t="s">
        <v>3602</v>
      </c>
      <c r="K2068" s="102" t="s">
        <v>3753</v>
      </c>
      <c r="L2068" s="117">
        <f>IF(O2068="","",N2068*O2068*M2068)</f>
        <v>0</v>
      </c>
      <c r="M2068" s="108">
        <v>1</v>
      </c>
      <c r="N2068" s="95">
        <v>1</v>
      </c>
      <c r="O2068" s="109">
        <f>IF(Key!D$1="ON",P2068,IF(SUM(Q2068:DL2068)&lt;1,"",SUM(Q2068:DL2068)/COUNTIF(Q2068:DL2068,"&gt;0")))</f>
        <v>0</v>
      </c>
      <c r="P2068" s="109">
        <f>SUMIFS(Q2068:DK2068,Q$1:DK$1,Dashboard!$K$31)</f>
        <v>0</v>
      </c>
      <c r="U2068" s="95">
        <v>33</v>
      </c>
      <c r="AA2068" s="95">
        <v>25</v>
      </c>
      <c r="AH2068" s="95">
        <v>75</v>
      </c>
    </row>
    <row r="2069" spans="1:34" x14ac:dyDescent="0.3">
      <c r="A2069" s="89" t="str">
        <f>CONCATENATE(D2069,".",F2069,"-",G2069,".",H2069,"")</f>
        <v>2.3-5.1</v>
      </c>
      <c r="B2069" s="89" t="str">
        <f>IF(CONCATENATE(I2069,Key!F$2)=CONCATENATE(INDEX(Dashboard!J:J,MATCH(I2069,Dashboard!J:J,0),1),INDEX(Dashboard!J:K,MATCH(I2069,Dashboard!J:J,0),2)),"ON",IF(Dashboard!K$32="ALL","ON","-"))</f>
        <v>-</v>
      </c>
      <c r="C2069" s="88" t="s">
        <v>152</v>
      </c>
      <c r="D2069" s="89">
        <f>IF(C2069="ID",1,(IF(C2069="PR",2,(IF(C2069="DE",3,(IF(C2069="RS",4,(IF(C2069="RC",5,0)))))))))</f>
        <v>2</v>
      </c>
      <c r="E2069" s="89" t="s">
        <v>210</v>
      </c>
      <c r="F2069" s="89">
        <f>IF(E2069="AM",1,(IF(E2069="BE",2,(IF(E2069="GV",3,(IF(E2069="RA",4,(IF(E2069="RM",5,(IF(E2069="AC",1,(IF(E2069="AT",2,(IF(E2069="DS",3,(IF(E2069="IP",4,(IF(E2069="MA",5,(IF(E2069="PT",6,(IF(E2069="AE",1,(IF(E2069="CM",2,(IF(E2069="DP",3,(IF(E2069="AN",1,(IF(E2069="CO",2,(IF(E2069="IM",3,(IF(E2069="MI",4,(IF(E2069="RP",5,(IF(E2069="SC",6,0)))))))))))))))))))))))))))))))))))))))</f>
        <v>3</v>
      </c>
      <c r="G2069" s="52">
        <v>5</v>
      </c>
      <c r="H2069" s="99">
        <v>1</v>
      </c>
      <c r="I2069" s="94" t="s">
        <v>41</v>
      </c>
      <c r="J2069" s="118">
        <v>7.9</v>
      </c>
      <c r="K2069" s="103" t="s">
        <v>3510</v>
      </c>
      <c r="L2069" s="117">
        <f>IF(O2069="","",N2069*O2069*M2069)</f>
        <v>0</v>
      </c>
      <c r="M2069" s="108">
        <v>1</v>
      </c>
      <c r="N2069" s="95">
        <v>1</v>
      </c>
      <c r="O2069" s="109">
        <f>IF(Key!D$1="ON",P2069,IF(SUM(Q2069:DL2069)&lt;1,"",SUM(Q2069:DL2069)/COUNTIF(Q2069:DL2069,"&gt;0")))</f>
        <v>0</v>
      </c>
      <c r="P2069" s="109">
        <f>SUMIFS(Q2069:DK2069,Q$1:DK$1,Dashboard!$K$31)</f>
        <v>0</v>
      </c>
      <c r="U2069" s="95">
        <v>33</v>
      </c>
    </row>
    <row r="2070" spans="1:34" x14ac:dyDescent="0.3">
      <c r="A2070" s="89" t="str">
        <f>CONCATENATE(D2070,".",F2070,"-",G2070,".",H2070,"")</f>
        <v>2.3-5.1</v>
      </c>
      <c r="B2070" s="89" t="str">
        <f>IF(CONCATENATE(I2070,Key!F$2)=CONCATENATE(INDEX(Dashboard!J:J,MATCH(I2070,Dashboard!J:J,0),1),INDEX(Dashboard!J:K,MATCH(I2070,Dashboard!J:J,0),2)),"ON",IF(Dashboard!K$32="ALL","ON","-"))</f>
        <v>-</v>
      </c>
      <c r="C2070" s="88" t="s">
        <v>152</v>
      </c>
      <c r="D2070" s="89">
        <f>IF(C2070="ID",1,(IF(C2070="PR",2,(IF(C2070="DE",3,(IF(C2070="RS",4,(IF(C2070="RC",5,0)))))))))</f>
        <v>2</v>
      </c>
      <c r="E2070" s="89" t="s">
        <v>210</v>
      </c>
      <c r="F2070" s="89">
        <f>IF(E2070="AM",1,(IF(E2070="BE",2,(IF(E2070="GV",3,(IF(E2070="RA",4,(IF(E2070="RM",5,(IF(E2070="AC",1,(IF(E2070="AT",2,(IF(E2070="DS",3,(IF(E2070="IP",4,(IF(E2070="MA",5,(IF(E2070="PT",6,(IF(E2070="AE",1,(IF(E2070="CM",2,(IF(E2070="DP",3,(IF(E2070="AN",1,(IF(E2070="CO",2,(IF(E2070="IM",3,(IF(E2070="MI",4,(IF(E2070="RP",5,(IF(E2070="SC",6,0)))))))))))))))))))))))))))))))))))))))</f>
        <v>3</v>
      </c>
      <c r="G2070" s="52">
        <v>5</v>
      </c>
      <c r="H2070" s="99">
        <v>1</v>
      </c>
      <c r="I2070" s="94" t="s">
        <v>41</v>
      </c>
      <c r="J2070" s="118">
        <v>8.3000000000000007</v>
      </c>
      <c r="K2070" s="103" t="s">
        <v>3514</v>
      </c>
      <c r="L2070" s="117">
        <f>IF(O2070="","",N2070*O2070*M2070)</f>
        <v>0</v>
      </c>
      <c r="M2070" s="108">
        <v>1</v>
      </c>
      <c r="N2070" s="95">
        <v>1</v>
      </c>
      <c r="O2070" s="109">
        <f>IF(Key!D$1="ON",P2070,IF(SUM(Q2070:DL2070)&lt;1,"",SUM(Q2070:DL2070)/COUNTIF(Q2070:DL2070,"&gt;0")))</f>
        <v>0</v>
      </c>
      <c r="P2070" s="109">
        <f>SUMIFS(Q2070:DK2070,Q$1:DK$1,Dashboard!$K$31)</f>
        <v>0</v>
      </c>
      <c r="U2070" s="95">
        <v>33</v>
      </c>
    </row>
    <row r="2071" spans="1:34" x14ac:dyDescent="0.3">
      <c r="A2071" s="89" t="str">
        <f>CONCATENATE(D2071,".",F2071,"-",G2071,".",H2071,"")</f>
        <v>2.3-5.1</v>
      </c>
      <c r="B2071" s="89" t="str">
        <f>IF(CONCATENATE(I2071,Key!F$2)=CONCATENATE(INDEX(Dashboard!J:J,MATCH(I2071,Dashboard!J:J,0),1),INDEX(Dashboard!J:K,MATCH(I2071,Dashboard!J:J,0),2)),"ON",IF(Dashboard!K$32="ALL","ON","-"))</f>
        <v>-</v>
      </c>
      <c r="C2071" s="88" t="s">
        <v>152</v>
      </c>
      <c r="D2071" s="89">
        <f>IF(C2071="ID",1,(IF(C2071="PR",2,(IF(C2071="DE",3,(IF(C2071="RS",4,(IF(C2071="RC",5,0)))))))))</f>
        <v>2</v>
      </c>
      <c r="E2071" s="89" t="s">
        <v>210</v>
      </c>
      <c r="F2071" s="89">
        <f>IF(E2071="AM",1,(IF(E2071="BE",2,(IF(E2071="GV",3,(IF(E2071="RA",4,(IF(E2071="RM",5,(IF(E2071="AC",1,(IF(E2071="AT",2,(IF(E2071="DS",3,(IF(E2071="IP",4,(IF(E2071="MA",5,(IF(E2071="PT",6,(IF(E2071="AE",1,(IF(E2071="CM",2,(IF(E2071="DP",3,(IF(E2071="AN",1,(IF(E2071="CO",2,(IF(E2071="IM",3,(IF(E2071="MI",4,(IF(E2071="RP",5,(IF(E2071="SC",6,0)))))))))))))))))))))))))))))))))))))))</f>
        <v>3</v>
      </c>
      <c r="G2071" s="52">
        <v>5</v>
      </c>
      <c r="H2071" s="99">
        <v>1</v>
      </c>
      <c r="I2071" s="94" t="s">
        <v>41</v>
      </c>
      <c r="J2071" s="118">
        <v>13</v>
      </c>
      <c r="K2071" s="103" t="s">
        <v>3552</v>
      </c>
      <c r="L2071" s="117">
        <f>IF(O2071="","",N2071*O2071*M2071)</f>
        <v>0</v>
      </c>
      <c r="M2071" s="108">
        <v>1</v>
      </c>
      <c r="N2071" s="95">
        <v>1</v>
      </c>
      <c r="O2071" s="109">
        <f>IF(Key!D$1="ON",P2071,IF(SUM(Q2071:DL2071)&lt;1,"",SUM(Q2071:DL2071)/COUNTIF(Q2071:DL2071,"&gt;0")))</f>
        <v>0</v>
      </c>
      <c r="P2071" s="109">
        <f>SUMIFS(Q2071:DK2071,Q$1:DK$1,Dashboard!$K$31)</f>
        <v>0</v>
      </c>
      <c r="U2071" s="95">
        <v>33</v>
      </c>
    </row>
    <row r="2072" spans="1:34" ht="15.6" x14ac:dyDescent="0.3">
      <c r="A2072" s="89" t="str">
        <f>CONCATENATE(D2072,".",F2072,"-",G2072,".",H2072,"")</f>
        <v>2.3-5.1</v>
      </c>
      <c r="B2072" s="89" t="str">
        <f>IF(CONCATENATE(I2072,Key!F$2)=CONCATENATE(INDEX(Dashboard!J:J,MATCH(I2072,Dashboard!J:J,0),1),INDEX(Dashboard!J:K,MATCH(I2072,Dashboard!J:J,0),2)),"ON",IF(Dashboard!K$32="ALL","ON","-"))</f>
        <v>-</v>
      </c>
      <c r="C2072" s="88" t="s">
        <v>152</v>
      </c>
      <c r="D2072" s="89">
        <f>IF(C2072="ID",1,(IF(C2072="PR",2,(IF(C2072="DE",3,(IF(C2072="RS",4,(IF(C2072="RC",5,0)))))))))</f>
        <v>2</v>
      </c>
      <c r="E2072" s="89" t="s">
        <v>210</v>
      </c>
      <c r="F2072" s="89">
        <f>IF(E2072="AM",1,(IF(E2072="BE",2,(IF(E2072="GV",3,(IF(E2072="RA",4,(IF(E2072="RM",5,(IF(E2072="AC",1,(IF(E2072="AT",2,(IF(E2072="DS",3,(IF(E2072="IP",4,(IF(E2072="MA",5,(IF(E2072="PT",6,(IF(E2072="AE",1,(IF(E2072="CM",2,(IF(E2072="DP",3,(IF(E2072="AN",1,(IF(E2072="CO",2,(IF(E2072="IM",3,(IF(E2072="MI",4,(IF(E2072="RP",5,(IF(E2072="SC",6,0)))))))))))))))))))))))))))))))))))))))</f>
        <v>3</v>
      </c>
      <c r="G2072" s="98">
        <v>5</v>
      </c>
      <c r="H2072" s="99">
        <v>1</v>
      </c>
      <c r="I2072" s="94" t="s">
        <v>41</v>
      </c>
      <c r="J2072" s="118">
        <v>13.2</v>
      </c>
      <c r="K2072" s="103" t="s">
        <v>3554</v>
      </c>
      <c r="L2072" s="117">
        <f>IF(O2072="","",N2072*O2072*M2072)</f>
        <v>0</v>
      </c>
      <c r="M2072" s="108">
        <v>1</v>
      </c>
      <c r="N2072" s="95">
        <v>1</v>
      </c>
      <c r="O2072" s="109">
        <f>IF(Key!D$1="ON",P2072,IF(SUM(Q2072:DL2072)&lt;1,"",SUM(Q2072:DL2072)/COUNTIF(Q2072:DL2072,"&gt;0")))</f>
        <v>0</v>
      </c>
      <c r="P2072" s="109">
        <f>SUMIFS(Q2072:DK2072,Q$1:DK$1,Dashboard!$K$31)</f>
        <v>0</v>
      </c>
      <c r="U2072" s="95">
        <v>33</v>
      </c>
    </row>
    <row r="2073" spans="1:34" x14ac:dyDescent="0.3">
      <c r="A2073" s="89" t="str">
        <f>CONCATENATE(D2073,".",F2073,"-",G2073,".",H2073,"")</f>
        <v>2.3-5.1</v>
      </c>
      <c r="B2073" s="89" t="str">
        <f>IF(CONCATENATE(I2073,Key!F$2)=CONCATENATE(INDEX(Dashboard!J:J,MATCH(I2073,Dashboard!J:J,0),1),INDEX(Dashboard!J:K,MATCH(I2073,Dashboard!J:J,0),2)),"ON",IF(Dashboard!K$32="ALL","ON","-"))</f>
        <v>-</v>
      </c>
      <c r="C2073" s="88" t="s">
        <v>152</v>
      </c>
      <c r="D2073" s="89">
        <f>IF(C2073="ID",1,(IF(C2073="PR",2,(IF(C2073="DE",3,(IF(C2073="RS",4,(IF(C2073="RC",5,0)))))))))</f>
        <v>2</v>
      </c>
      <c r="E2073" s="89" t="s">
        <v>210</v>
      </c>
      <c r="F2073" s="89">
        <f>IF(E2073="AM",1,(IF(E2073="BE",2,(IF(E2073="GV",3,(IF(E2073="RA",4,(IF(E2073="RM",5,(IF(E2073="AC",1,(IF(E2073="AT",2,(IF(E2073="DS",3,(IF(E2073="IP",4,(IF(E2073="MA",5,(IF(E2073="PT",6,(IF(E2073="AE",1,(IF(E2073="CM",2,(IF(E2073="DP",3,(IF(E2073="AN",1,(IF(E2073="CO",2,(IF(E2073="IM",3,(IF(E2073="MI",4,(IF(E2073="RP",5,(IF(E2073="SC",6,0)))))))))))))))))))))))))))))))))))))))</f>
        <v>3</v>
      </c>
      <c r="G2073" s="52">
        <v>5</v>
      </c>
      <c r="H2073" s="99">
        <v>1</v>
      </c>
      <c r="I2073" s="94" t="s">
        <v>41</v>
      </c>
      <c r="J2073" s="118">
        <v>13.3</v>
      </c>
      <c r="K2073" s="103" t="s">
        <v>3555</v>
      </c>
      <c r="L2073" s="117">
        <f>IF(O2073="","",N2073*O2073*M2073)</f>
        <v>0</v>
      </c>
      <c r="M2073" s="108">
        <v>1</v>
      </c>
      <c r="N2073" s="95">
        <v>1</v>
      </c>
      <c r="O2073" s="109">
        <f>IF(Key!D$1="ON",P2073,IF(SUM(Q2073:DL2073)&lt;1,"",SUM(Q2073:DL2073)/COUNTIF(Q2073:DL2073,"&gt;0")))</f>
        <v>0</v>
      </c>
      <c r="P2073" s="109">
        <f>SUMIFS(Q2073:DK2073,Q$1:DK$1,Dashboard!$K$31)</f>
        <v>0</v>
      </c>
      <c r="U2073" s="95">
        <v>33</v>
      </c>
    </row>
    <row r="2074" spans="1:34" x14ac:dyDescent="0.3">
      <c r="A2074" s="89" t="str">
        <f>CONCATENATE(D2074,".",F2074,"-",G2074,".",H2074,"")</f>
        <v>2.3-5.1</v>
      </c>
      <c r="B2074" s="89" t="str">
        <f>IF(CONCATENATE(I2074,Key!F$2)=CONCATENATE(INDEX(Dashboard!J:J,MATCH(I2074,Dashboard!J:J,0),1),INDEX(Dashboard!J:K,MATCH(I2074,Dashboard!J:J,0),2)),"ON",IF(Dashboard!K$32="ALL","ON","-"))</f>
        <v>-</v>
      </c>
      <c r="C2074" s="88" t="s">
        <v>152</v>
      </c>
      <c r="D2074" s="89">
        <f>IF(C2074="ID",1,(IF(C2074="PR",2,(IF(C2074="DE",3,(IF(C2074="RS",4,(IF(C2074="RC",5,0)))))))))</f>
        <v>2</v>
      </c>
      <c r="E2074" s="89" t="s">
        <v>210</v>
      </c>
      <c r="F2074" s="89">
        <f>IF(E2074="AM",1,(IF(E2074="BE",2,(IF(E2074="GV",3,(IF(E2074="RA",4,(IF(E2074="RM",5,(IF(E2074="AC",1,(IF(E2074="AT",2,(IF(E2074="DS",3,(IF(E2074="IP",4,(IF(E2074="MA",5,(IF(E2074="PT",6,(IF(E2074="AE",1,(IF(E2074="CM",2,(IF(E2074="DP",3,(IF(E2074="AN",1,(IF(E2074="CO",2,(IF(E2074="IM",3,(IF(E2074="MI",4,(IF(E2074="RP",5,(IF(E2074="SC",6,0)))))))))))))))))))))))))))))))))))))))</f>
        <v>3</v>
      </c>
      <c r="G2074" s="52">
        <v>5</v>
      </c>
      <c r="H2074" s="99">
        <v>1</v>
      </c>
      <c r="I2074" s="94" t="s">
        <v>41</v>
      </c>
      <c r="J2074" s="118">
        <v>13.5</v>
      </c>
      <c r="K2074" s="103" t="s">
        <v>3557</v>
      </c>
      <c r="L2074" s="117">
        <f>IF(O2074="","",N2074*O2074*M2074)</f>
        <v>0</v>
      </c>
      <c r="M2074" s="108">
        <v>1</v>
      </c>
      <c r="N2074" s="95">
        <v>1</v>
      </c>
      <c r="O2074" s="109">
        <f>IF(Key!D$1="ON",P2074,IF(SUM(Q2074:DL2074)&lt;1,"",SUM(Q2074:DL2074)/COUNTIF(Q2074:DL2074,"&gt;0")))</f>
        <v>0</v>
      </c>
      <c r="P2074" s="109">
        <f>SUMIFS(Q2074:DK2074,Q$1:DK$1,Dashboard!$K$31)</f>
        <v>0</v>
      </c>
      <c r="U2074" s="95">
        <v>33</v>
      </c>
    </row>
    <row r="2075" spans="1:34" x14ac:dyDescent="0.3">
      <c r="A2075" s="89" t="str">
        <f>CONCATENATE(D2075,".",F2075,"-",G2075,".",H2075,"")</f>
        <v>2.3-5.1</v>
      </c>
      <c r="B2075" s="89" t="str">
        <f>IF(CONCATENATE(I2075,Key!F$2)=CONCATENATE(INDEX(Dashboard!J:J,MATCH(I2075,Dashboard!J:J,0),1),INDEX(Dashboard!J:K,MATCH(I2075,Dashboard!J:J,0),2)),"ON",IF(Dashboard!K$32="ALL","ON","-"))</f>
        <v>-</v>
      </c>
      <c r="C2075" s="88" t="s">
        <v>152</v>
      </c>
      <c r="D2075" s="89">
        <f>IF(C2075="ID",1,(IF(C2075="PR",2,(IF(C2075="DE",3,(IF(C2075="RS",4,(IF(C2075="RC",5,0)))))))))</f>
        <v>2</v>
      </c>
      <c r="E2075" s="89" t="s">
        <v>210</v>
      </c>
      <c r="F2075" s="89">
        <f>IF(E2075="AM",1,(IF(E2075="BE",2,(IF(E2075="GV",3,(IF(E2075="RA",4,(IF(E2075="RM",5,(IF(E2075="AC",1,(IF(E2075="AT",2,(IF(E2075="DS",3,(IF(E2075="IP",4,(IF(E2075="MA",5,(IF(E2075="PT",6,(IF(E2075="AE",1,(IF(E2075="CM",2,(IF(E2075="DP",3,(IF(E2075="AN",1,(IF(E2075="CO",2,(IF(E2075="IM",3,(IF(E2075="MI",4,(IF(E2075="RP",5,(IF(E2075="SC",6,0)))))))))))))))))))))))))))))))))))))))</f>
        <v>3</v>
      </c>
      <c r="G2075" s="52">
        <v>5</v>
      </c>
      <c r="H2075" s="99">
        <v>1</v>
      </c>
      <c r="I2075" s="94" t="s">
        <v>41</v>
      </c>
      <c r="J2075" s="118">
        <v>16.11</v>
      </c>
      <c r="K2075" s="103" t="s">
        <v>3584</v>
      </c>
      <c r="L2075" s="117">
        <f>IF(O2075="","",N2075*O2075*M2075)</f>
        <v>0</v>
      </c>
      <c r="M2075" s="108">
        <v>1</v>
      </c>
      <c r="N2075" s="95">
        <v>1</v>
      </c>
      <c r="O2075" s="109">
        <f>IF(Key!D$1="ON",P2075,IF(SUM(Q2075:DL2075)&lt;1,"",SUM(Q2075:DL2075)/COUNTIF(Q2075:DL2075,"&gt;0")))</f>
        <v>0</v>
      </c>
      <c r="P2075" s="109">
        <f>SUMIFS(Q2075:DK2075,Q$1:DK$1,Dashboard!$K$31)</f>
        <v>0</v>
      </c>
      <c r="U2075" s="95">
        <v>33</v>
      </c>
    </row>
    <row r="2076" spans="1:34" x14ac:dyDescent="0.3">
      <c r="A2076" s="89" t="str">
        <f>CONCATENATE(D2076,".",F2076,"-",G2076,".",H2076,"")</f>
        <v>2.3-5.1</v>
      </c>
      <c r="B2076" s="89" t="str">
        <f>IF(CONCATENATE(I2076,Key!F$2)=CONCATENATE(INDEX(Dashboard!J:J,MATCH(I2076,Dashboard!J:J,0),1),INDEX(Dashboard!J:K,MATCH(I2076,Dashboard!J:J,0),2)),"ON",IF(Dashboard!K$32="ALL","ON","-"))</f>
        <v>-</v>
      </c>
      <c r="C2076" s="88" t="s">
        <v>152</v>
      </c>
      <c r="D2076" s="89">
        <f>IF(C2076="ID",1,(IF(C2076="PR",2,(IF(C2076="DE",3,(IF(C2076="RS",4,(IF(C2076="RC",5,0)))))))))</f>
        <v>2</v>
      </c>
      <c r="E2076" s="89" t="s">
        <v>210</v>
      </c>
      <c r="F2076" s="89">
        <f>IF(E2076="AM",1,(IF(E2076="BE",2,(IF(E2076="GV",3,(IF(E2076="RA",4,(IF(E2076="RM",5,(IF(E2076="AC",1,(IF(E2076="AT",2,(IF(E2076="DS",3,(IF(E2076="IP",4,(IF(E2076="MA",5,(IF(E2076="PT",6,(IF(E2076="AE",1,(IF(E2076="CM",2,(IF(E2076="DP",3,(IF(E2076="AN",1,(IF(E2076="CO",2,(IF(E2076="IM",3,(IF(E2076="MI",4,(IF(E2076="RP",5,(IF(E2076="SC",6,0)))))))))))))))))))))))))))))))))))))))</f>
        <v>3</v>
      </c>
      <c r="G2076" s="52">
        <v>5</v>
      </c>
      <c r="H2076" s="99">
        <v>1</v>
      </c>
      <c r="I2076" s="94" t="s">
        <v>41</v>
      </c>
      <c r="J2076" s="118" t="s">
        <v>3634</v>
      </c>
      <c r="K2076" s="103" t="s">
        <v>3635</v>
      </c>
      <c r="L2076" s="117">
        <f>IF(O2076="","",N2076*O2076*M2076)</f>
        <v>0</v>
      </c>
      <c r="M2076" s="108">
        <v>1</v>
      </c>
      <c r="N2076" s="95">
        <v>1</v>
      </c>
      <c r="O2076" s="109">
        <f>IF(Key!D$1="ON",P2076,IF(SUM(Q2076:DL2076)&lt;1,"",SUM(Q2076:DL2076)/COUNTIF(Q2076:DL2076,"&gt;0")))</f>
        <v>0</v>
      </c>
      <c r="P2076" s="109">
        <f>SUMIFS(Q2076:DK2076,Q$1:DK$1,Dashboard!$K$31)</f>
        <v>0</v>
      </c>
      <c r="U2076" s="95">
        <v>33</v>
      </c>
    </row>
    <row r="2077" spans="1:34" x14ac:dyDescent="0.3">
      <c r="A2077" s="89" t="str">
        <f>CONCATENATE(D2077,".",F2077,"-",G2077,".",H2077,"")</f>
        <v>2.3-5.1</v>
      </c>
      <c r="B2077" s="89" t="str">
        <f>IF(CONCATENATE(I2077,Key!F$2)=CONCATENATE(INDEX(Dashboard!J:J,MATCH(I2077,Dashboard!J:J,0),1),INDEX(Dashboard!J:K,MATCH(I2077,Dashboard!J:J,0),2)),"ON",IF(Dashboard!K$32="ALL","ON","-"))</f>
        <v>-</v>
      </c>
      <c r="C2077" s="88" t="s">
        <v>152</v>
      </c>
      <c r="D2077" s="89">
        <f>IF(C2077="ID",1,(IF(C2077="PR",2,(IF(C2077="DE",3,(IF(C2077="RS",4,(IF(C2077="RC",5,0)))))))))</f>
        <v>2</v>
      </c>
      <c r="E2077" s="89" t="s">
        <v>210</v>
      </c>
      <c r="F2077" s="89">
        <f>IF(E2077="AM",1,(IF(E2077="BE",2,(IF(E2077="GV",3,(IF(E2077="RA",4,(IF(E2077="RM",5,(IF(E2077="AC",1,(IF(E2077="AT",2,(IF(E2077="DS",3,(IF(E2077="IP",4,(IF(E2077="MA",5,(IF(E2077="PT",6,(IF(E2077="AE",1,(IF(E2077="CM",2,(IF(E2077="DP",3,(IF(E2077="AN",1,(IF(E2077="CO",2,(IF(E2077="IM",3,(IF(E2077="MI",4,(IF(E2077="RP",5,(IF(E2077="SC",6,0)))))))))))))))))))))))))))))))))))))))</f>
        <v>3</v>
      </c>
      <c r="G2077" s="52">
        <v>5</v>
      </c>
      <c r="H2077" s="99">
        <v>1</v>
      </c>
      <c r="I2077" s="94" t="s">
        <v>41</v>
      </c>
      <c r="J2077" s="118" t="s">
        <v>3658</v>
      </c>
      <c r="K2077" s="103" t="s">
        <v>3659</v>
      </c>
      <c r="L2077" s="117">
        <f>IF(O2077="","",N2077*O2077*M2077)</f>
        <v>0</v>
      </c>
      <c r="M2077" s="108">
        <v>1</v>
      </c>
      <c r="N2077" s="95">
        <v>1</v>
      </c>
      <c r="O2077" s="109">
        <f>IF(Key!D$1="ON",P2077,IF(SUM(Q2077:DL2077)&lt;1,"",SUM(Q2077:DL2077)/COUNTIF(Q2077:DL2077,"&gt;0")))</f>
        <v>0</v>
      </c>
      <c r="P2077" s="109">
        <f>SUMIFS(Q2077:DK2077,Q$1:DK$1,Dashboard!$K$31)</f>
        <v>0</v>
      </c>
      <c r="U2077" s="95">
        <v>33</v>
      </c>
    </row>
    <row r="2078" spans="1:34" x14ac:dyDescent="0.3">
      <c r="A2078" s="89" t="str">
        <f>CONCATENATE(D2078,".",F2078,"-",G2078,".",H2078,"")</f>
        <v>2.3-5.1</v>
      </c>
      <c r="B2078" s="89" t="str">
        <f>IF(CONCATENATE(I2078,Key!F$2)=CONCATENATE(INDEX(Dashboard!J:J,MATCH(I2078,Dashboard!J:J,0),1),INDEX(Dashboard!J:K,MATCH(I2078,Dashboard!J:J,0),2)),"ON",IF(Dashboard!K$32="ALL","ON","-"))</f>
        <v>-</v>
      </c>
      <c r="C2078" s="96" t="s">
        <v>152</v>
      </c>
      <c r="D2078" s="89">
        <f>IF(C2078="ID",1,(IF(C2078="PR",2,(IF(C2078="DE",3,(IF(C2078="RS",4,(IF(C2078="RC",5,0)))))))))</f>
        <v>2</v>
      </c>
      <c r="E2078" s="89" t="s">
        <v>210</v>
      </c>
      <c r="F2078" s="89">
        <f>IF(E2078="AM",1,(IF(E2078="BE",2,(IF(E2078="GV",3,(IF(E2078="RA",4,(IF(E2078="RM",5,(IF(E2078="AC",1,(IF(E2078="AT",2,(IF(E2078="DS",3,(IF(E2078="IP",4,(IF(E2078="MA",5,(IF(E2078="PT",6,(IF(E2078="AE",1,(IF(E2078="CM",2,(IF(E2078="DP",3,(IF(E2078="AN",1,(IF(E2078="CO",2,(IF(E2078="IM",3,(IF(E2078="MI",4,(IF(E2078="RP",5,(IF(E2078="SC",6,0)))))))))))))))))))))))))))))))))))))))</f>
        <v>3</v>
      </c>
      <c r="G2078" s="98">
        <v>5</v>
      </c>
      <c r="H2078" s="90" t="s">
        <v>115</v>
      </c>
      <c r="I2078" s="94" t="s">
        <v>52</v>
      </c>
      <c r="J2078" s="127" t="s">
        <v>3383</v>
      </c>
      <c r="K2078" s="103" t="s">
        <v>3384</v>
      </c>
      <c r="L2078" s="117">
        <f>IF(O2078="","",N2078*O2078*M2078)</f>
        <v>0</v>
      </c>
      <c r="M2078" s="108">
        <v>1</v>
      </c>
      <c r="N2078" s="95">
        <v>1</v>
      </c>
      <c r="O2078" s="109">
        <f>IF(Key!D$1="ON",P2078,IF(SUM(Q2078:DL2078)&lt;1,"",SUM(Q2078:DL2078)/COUNTIF(Q2078:DL2078,"&gt;0")))</f>
        <v>0</v>
      </c>
      <c r="P2078" s="109">
        <f>SUMIFS(Q2078:DK2078,Q$1:DK$1,Dashboard!$K$31)</f>
        <v>0</v>
      </c>
      <c r="U2078" s="95">
        <v>33</v>
      </c>
      <c r="AA2078" s="95">
        <v>25</v>
      </c>
      <c r="AH2078" s="95">
        <v>75</v>
      </c>
    </row>
    <row r="2079" spans="1:34" ht="15.6" x14ac:dyDescent="0.3">
      <c r="A2079" s="89" t="str">
        <f>CONCATENATE(D2079,".",F2079,"-",G2079,".",H2079,"")</f>
        <v>2.3-5.1</v>
      </c>
      <c r="B2079" s="89" t="str">
        <f>IF(CONCATENATE(I2079,Key!F$2)=CONCATENATE(INDEX(Dashboard!J:J,MATCH(I2079,Dashboard!J:J,0),1),INDEX(Dashboard!J:K,MATCH(I2079,Dashboard!J:J,0),2)),"ON",IF(Dashboard!K$32="ALL","ON","-"))</f>
        <v>-</v>
      </c>
      <c r="C2079" s="96" t="s">
        <v>152</v>
      </c>
      <c r="D2079" s="89">
        <f>IF(C2079="ID",1,(IF(C2079="PR",2,(IF(C2079="DE",3,(IF(C2079="RS",4,(IF(C2079="RC",5,0)))))))))</f>
        <v>2</v>
      </c>
      <c r="E2079" s="89" t="s">
        <v>210</v>
      </c>
      <c r="F2079" s="89">
        <f>IF(E2079="AM",1,(IF(E2079="BE",2,(IF(E2079="GV",3,(IF(E2079="RA",4,(IF(E2079="RM",5,(IF(E2079="AC",1,(IF(E2079="AT",2,(IF(E2079="DS",3,(IF(E2079="IP",4,(IF(E2079="MA",5,(IF(E2079="PT",6,(IF(E2079="AE",1,(IF(E2079="CM",2,(IF(E2079="DP",3,(IF(E2079="AN",1,(IF(E2079="CO",2,(IF(E2079="IM",3,(IF(E2079="MI",4,(IF(E2079="RP",5,(IF(E2079="SC",6,0)))))))))))))))))))))))))))))))))))))))</f>
        <v>3</v>
      </c>
      <c r="G2079" s="98">
        <v>5</v>
      </c>
      <c r="H2079" s="90" t="s">
        <v>115</v>
      </c>
      <c r="I2079" s="94" t="s">
        <v>52</v>
      </c>
      <c r="J2079" s="127" t="s">
        <v>3375</v>
      </c>
      <c r="K2079" s="103" t="s">
        <v>3376</v>
      </c>
      <c r="L2079" s="117">
        <f>IF(O2079="","",N2079*O2079*M2079)</f>
        <v>0</v>
      </c>
      <c r="M2079" s="108">
        <v>1</v>
      </c>
      <c r="N2079" s="95">
        <v>1</v>
      </c>
      <c r="O2079" s="109">
        <f>IF(Key!D$1="ON",P2079,IF(SUM(Q2079:DL2079)&lt;1,"",SUM(Q2079:DL2079)/COUNTIF(Q2079:DL2079,"&gt;0")))</f>
        <v>0</v>
      </c>
      <c r="P2079" s="109">
        <f>SUMIFS(Q2079:DK2079,Q$1:DK$1,Dashboard!$K$31)</f>
        <v>0</v>
      </c>
      <c r="U2079" s="95">
        <v>33</v>
      </c>
      <c r="AA2079" s="95">
        <v>25</v>
      </c>
      <c r="AH2079" s="95">
        <v>75</v>
      </c>
    </row>
    <row r="2080" spans="1:34" ht="15.6" x14ac:dyDescent="0.3">
      <c r="A2080" s="89" t="str">
        <f>CONCATENATE(D2080,".",F2080,"-",G2080,".",H2080,"")</f>
        <v>2.3-5.1</v>
      </c>
      <c r="B2080" s="89" t="str">
        <f>IF(CONCATENATE(I2080,Key!F$2)=CONCATENATE(INDEX(Dashboard!J:J,MATCH(I2080,Dashboard!J:J,0),1),INDEX(Dashboard!J:K,MATCH(I2080,Dashboard!J:J,0),2)),"ON",IF(Dashboard!K$32="ALL","ON","-"))</f>
        <v>-</v>
      </c>
      <c r="C2080" s="96" t="s">
        <v>152</v>
      </c>
      <c r="D2080" s="89">
        <f>IF(C2080="ID",1,(IF(C2080="PR",2,(IF(C2080="DE",3,(IF(C2080="RS",4,(IF(C2080="RC",5,0)))))))))</f>
        <v>2</v>
      </c>
      <c r="E2080" s="89" t="s">
        <v>210</v>
      </c>
      <c r="F2080" s="89">
        <f>IF(E2080="AM",1,(IF(E2080="BE",2,(IF(E2080="GV",3,(IF(E2080="RA",4,(IF(E2080="RM",5,(IF(E2080="AC",1,(IF(E2080="AT",2,(IF(E2080="DS",3,(IF(E2080="IP",4,(IF(E2080="MA",5,(IF(E2080="PT",6,(IF(E2080="AE",1,(IF(E2080="CM",2,(IF(E2080="DP",3,(IF(E2080="AN",1,(IF(E2080="CO",2,(IF(E2080="IM",3,(IF(E2080="MI",4,(IF(E2080="RP",5,(IF(E2080="SC",6,0)))))))))))))))))))))))))))))))))))))))</f>
        <v>3</v>
      </c>
      <c r="G2080" s="98">
        <v>5</v>
      </c>
      <c r="H2080" s="90" t="s">
        <v>115</v>
      </c>
      <c r="I2080" s="94" t="s">
        <v>52</v>
      </c>
      <c r="J2080" s="127" t="s">
        <v>3377</v>
      </c>
      <c r="K2080" s="103" t="s">
        <v>3378</v>
      </c>
      <c r="L2080" s="117">
        <f>IF(O2080="","",N2080*O2080*M2080)</f>
        <v>0</v>
      </c>
      <c r="M2080" s="108">
        <v>1</v>
      </c>
      <c r="N2080" s="95">
        <v>1</v>
      </c>
      <c r="O2080" s="109">
        <f>IF(Key!D$1="ON",P2080,IF(SUM(Q2080:DL2080)&lt;1,"",SUM(Q2080:DL2080)/COUNTIF(Q2080:DL2080,"&gt;0")))</f>
        <v>0</v>
      </c>
      <c r="P2080" s="109">
        <f>SUMIFS(Q2080:DK2080,Q$1:DK$1,Dashboard!$K$31)</f>
        <v>0</v>
      </c>
      <c r="U2080" s="95">
        <v>33</v>
      </c>
      <c r="AA2080" s="95">
        <v>25</v>
      </c>
      <c r="AH2080" s="95">
        <v>75</v>
      </c>
    </row>
    <row r="2081" spans="1:34" ht="15.6" x14ac:dyDescent="0.3">
      <c r="A2081" s="89" t="str">
        <f>CONCATENATE(D2081,".",F2081,"-",G2081,".",H2081,"")</f>
        <v>2.3-5.1</v>
      </c>
      <c r="B2081" s="89" t="str">
        <f>IF(CONCATENATE(I2081,Key!F$2)=CONCATENATE(INDEX(Dashboard!J:J,MATCH(I2081,Dashboard!J:J,0),1),INDEX(Dashboard!J:K,MATCH(I2081,Dashboard!J:J,0),2)),"ON",IF(Dashboard!K$32="ALL","ON","-"))</f>
        <v>-</v>
      </c>
      <c r="C2081" s="88" t="s">
        <v>152</v>
      </c>
      <c r="D2081" s="89">
        <f>IF(C2081="ID",1,(IF(C2081="PR",2,(IF(C2081="DE",3,(IF(C2081="RS",4,(IF(C2081="RC",5,0)))))))))</f>
        <v>2</v>
      </c>
      <c r="E2081" s="89" t="s">
        <v>210</v>
      </c>
      <c r="F2081" s="89">
        <f>IF(E2081="AM",1,(IF(E2081="BE",2,(IF(E2081="GV",3,(IF(E2081="RA",4,(IF(E2081="RM",5,(IF(E2081="AC",1,(IF(E2081="AT",2,(IF(E2081="DS",3,(IF(E2081="IP",4,(IF(E2081="MA",5,(IF(E2081="PT",6,(IF(E2081="AE",1,(IF(E2081="CM",2,(IF(E2081="DP",3,(IF(E2081="AN",1,(IF(E2081="CO",2,(IF(E2081="IM",3,(IF(E2081="MI",4,(IF(E2081="RP",5,(IF(E2081="SC",6,0)))))))))))))))))))))))))))))))))))))))</f>
        <v>3</v>
      </c>
      <c r="G2081" s="52">
        <v>5</v>
      </c>
      <c r="H2081" s="89">
        <v>1</v>
      </c>
      <c r="I2081" s="94" t="s">
        <v>60</v>
      </c>
      <c r="J2081" s="127" t="s">
        <v>3222</v>
      </c>
      <c r="K2081" s="51" t="s">
        <v>5335</v>
      </c>
      <c r="L2081" s="117">
        <f>IF(O2081="","",N2081*O2081*M2081)</f>
        <v>0</v>
      </c>
      <c r="M2081" s="108">
        <v>1</v>
      </c>
      <c r="N2081" s="95">
        <v>1</v>
      </c>
      <c r="O2081" s="109">
        <f>IF(Key!D$1="ON",P2081,IF(SUM(Q2081:DL2081)&lt;1,"",SUM(Q2081:DL2081)/COUNTIF(Q2081:DL2081,"&gt;0")))</f>
        <v>0</v>
      </c>
      <c r="P2081" s="109">
        <f>SUMIFS(Q2081:DK2081,Q$1:DK$1,Dashboard!$K$31)</f>
        <v>0</v>
      </c>
      <c r="U2081" s="95">
        <v>33</v>
      </c>
      <c r="AA2081" s="95">
        <v>25</v>
      </c>
      <c r="AH2081" s="95">
        <v>75</v>
      </c>
    </row>
    <row r="2082" spans="1:34" x14ac:dyDescent="0.3">
      <c r="A2082" s="89" t="str">
        <f>CONCATENATE(D2082,".",F2082,"-",G2082,".",H2082,"")</f>
        <v>2.3-5.1</v>
      </c>
      <c r="B2082" s="89" t="str">
        <f>IF(CONCATENATE(I2082,Key!F$2)=CONCATENATE(INDEX(Dashboard!J:J,MATCH(I2082,Dashboard!J:J,0),1),INDEX(Dashboard!J:K,MATCH(I2082,Dashboard!J:J,0),2)),"ON",IF(Dashboard!K$32="ALL","ON","-"))</f>
        <v>-</v>
      </c>
      <c r="C2082" s="88" t="s">
        <v>152</v>
      </c>
      <c r="D2082" s="89">
        <f>IF(C2082="ID",1,(IF(C2082="PR",2,(IF(C2082="DE",3,(IF(C2082="RS",4,(IF(C2082="RC",5,0)))))))))</f>
        <v>2</v>
      </c>
      <c r="E2082" s="89" t="s">
        <v>210</v>
      </c>
      <c r="F2082" s="89">
        <f>IF(E2082="AM",1,(IF(E2082="BE",2,(IF(E2082="GV",3,(IF(E2082="RA",4,(IF(E2082="RM",5,(IF(E2082="AC",1,(IF(E2082="AT",2,(IF(E2082="DS",3,(IF(E2082="IP",4,(IF(E2082="MA",5,(IF(E2082="PT",6,(IF(E2082="AE",1,(IF(E2082="CM",2,(IF(E2082="DP",3,(IF(E2082="AN",1,(IF(E2082="CO",2,(IF(E2082="IM",3,(IF(E2082="MI",4,(IF(E2082="RP",5,(IF(E2082="SC",6,0)))))))))))))))))))))))))))))))))))))))</f>
        <v>3</v>
      </c>
      <c r="G2082" s="52">
        <v>5</v>
      </c>
      <c r="H2082" s="90" t="s">
        <v>115</v>
      </c>
      <c r="I2082" s="94" t="s">
        <v>60</v>
      </c>
      <c r="J2082" s="128" t="s">
        <v>3123</v>
      </c>
      <c r="K2082" s="51" t="s">
        <v>5236</v>
      </c>
      <c r="L2082" s="117">
        <f>IF(O2082="","",N2082*O2082*M2082)</f>
        <v>0</v>
      </c>
      <c r="M2082" s="108">
        <v>1</v>
      </c>
      <c r="N2082" s="95">
        <v>1</v>
      </c>
      <c r="O2082" s="109">
        <f>IF(Key!D$1="ON",P2082,IF(SUM(Q2082:DL2082)&lt;1,"",SUM(Q2082:DL2082)/COUNTIF(Q2082:DL2082,"&gt;0")))</f>
        <v>0</v>
      </c>
      <c r="P2082" s="109">
        <f>SUMIFS(Q2082:DK2082,Q$1:DK$1,Dashboard!$K$31)</f>
        <v>0</v>
      </c>
      <c r="U2082" s="95">
        <v>33</v>
      </c>
      <c r="AA2082" s="95">
        <v>25</v>
      </c>
      <c r="AH2082" s="95">
        <v>75</v>
      </c>
    </row>
    <row r="2083" spans="1:34" x14ac:dyDescent="0.3">
      <c r="A2083" s="89" t="str">
        <f>CONCATENATE(D2083,".",F2083,"-",G2083,".",H2083,"")</f>
        <v>2.3-5.1</v>
      </c>
      <c r="B2083" s="89" t="str">
        <f>IF(CONCATENATE(I2083,Key!F$2)=CONCATENATE(INDEX(Dashboard!J:J,MATCH(I2083,Dashboard!J:J,0),1),INDEX(Dashboard!J:K,MATCH(I2083,Dashboard!J:J,0),2)),"ON",IF(Dashboard!K$32="ALL","ON","-"))</f>
        <v>-</v>
      </c>
      <c r="C2083" s="88" t="s">
        <v>152</v>
      </c>
      <c r="D2083" s="89">
        <f>IF(C2083="ID",1,(IF(C2083="PR",2,(IF(C2083="DE",3,(IF(C2083="RS",4,(IF(C2083="RC",5,0)))))))))</f>
        <v>2</v>
      </c>
      <c r="E2083" s="89" t="s">
        <v>210</v>
      </c>
      <c r="F2083" s="89">
        <f>IF(E2083="AM",1,(IF(E2083="BE",2,(IF(E2083="GV",3,(IF(E2083="RA",4,(IF(E2083="RM",5,(IF(E2083="AC",1,(IF(E2083="AT",2,(IF(E2083="DS",3,(IF(E2083="IP",4,(IF(E2083="MA",5,(IF(E2083="PT",6,(IF(E2083="AE",1,(IF(E2083="CM",2,(IF(E2083="DP",3,(IF(E2083="AN",1,(IF(E2083="CO",2,(IF(E2083="IM",3,(IF(E2083="MI",4,(IF(E2083="RP",5,(IF(E2083="SC",6,0)))))))))))))))))))))))))))))))))))))))</f>
        <v>3</v>
      </c>
      <c r="G2083" s="52">
        <v>5</v>
      </c>
      <c r="H2083" s="90" t="s">
        <v>115</v>
      </c>
      <c r="I2083" s="94" t="s">
        <v>60</v>
      </c>
      <c r="J2083" s="128" t="s">
        <v>3209</v>
      </c>
      <c r="K2083" s="51" t="s">
        <v>5322</v>
      </c>
      <c r="L2083" s="117">
        <f>IF(O2083="","",N2083*O2083*M2083)</f>
        <v>0</v>
      </c>
      <c r="M2083" s="108">
        <v>1</v>
      </c>
      <c r="N2083" s="95">
        <v>1</v>
      </c>
      <c r="O2083" s="109">
        <f>IF(Key!D$1="ON",P2083,IF(SUM(Q2083:DL2083)&lt;1,"",SUM(Q2083:DL2083)/COUNTIF(Q2083:DL2083,"&gt;0")))</f>
        <v>0</v>
      </c>
      <c r="P2083" s="109">
        <f>SUMIFS(Q2083:DK2083,Q$1:DK$1,Dashboard!$K$31)</f>
        <v>0</v>
      </c>
      <c r="U2083" s="95">
        <v>33</v>
      </c>
      <c r="AA2083" s="95">
        <v>25</v>
      </c>
      <c r="AH2083" s="95">
        <v>75</v>
      </c>
    </row>
    <row r="2084" spans="1:34" ht="15.6" x14ac:dyDescent="0.3">
      <c r="A2084" s="89" t="str">
        <f>CONCATENATE(D2084,".",F2084,"-",G2084,".",H2084,"")</f>
        <v>2.3-5.1</v>
      </c>
      <c r="B2084" s="89" t="str">
        <f>IF(CONCATENATE(I2084,Key!F$2)=CONCATENATE(INDEX(Dashboard!J:J,MATCH(I2084,Dashboard!J:J,0),1),INDEX(Dashboard!J:K,MATCH(I2084,Dashboard!J:J,0),2)),"ON",IF(Dashboard!K$32="ALL","ON","-"))</f>
        <v>-</v>
      </c>
      <c r="C2084" s="88" t="s">
        <v>152</v>
      </c>
      <c r="D2084" s="89">
        <f>IF(C2084="ID",1,(IF(C2084="PR",2,(IF(C2084="DE",3,(IF(C2084="RS",4,(IF(C2084="RC",5,0)))))))))</f>
        <v>2</v>
      </c>
      <c r="E2084" s="89" t="s">
        <v>210</v>
      </c>
      <c r="F2084" s="89">
        <f>IF(E2084="AM",1,(IF(E2084="BE",2,(IF(E2084="GV",3,(IF(E2084="RA",4,(IF(E2084="RM",5,(IF(E2084="AC",1,(IF(E2084="AT",2,(IF(E2084="DS",3,(IF(E2084="IP",4,(IF(E2084="MA",5,(IF(E2084="PT",6,(IF(E2084="AE",1,(IF(E2084="CM",2,(IF(E2084="DP",3,(IF(E2084="AN",1,(IF(E2084="CO",2,(IF(E2084="IM",3,(IF(E2084="MI",4,(IF(E2084="RP",5,(IF(E2084="SC",6,0)))))))))))))))))))))))))))))))))))))))</f>
        <v>3</v>
      </c>
      <c r="G2084" s="52">
        <v>5</v>
      </c>
      <c r="H2084" s="90" t="s">
        <v>115</v>
      </c>
      <c r="I2084" s="94" t="s">
        <v>60</v>
      </c>
      <c r="J2084" s="128" t="s">
        <v>3151</v>
      </c>
      <c r="K2084" s="51" t="s">
        <v>5264</v>
      </c>
      <c r="L2084" s="117">
        <f>IF(O2084="","",N2084*O2084*M2084)</f>
        <v>0</v>
      </c>
      <c r="M2084" s="108">
        <v>1</v>
      </c>
      <c r="N2084" s="95">
        <v>1</v>
      </c>
      <c r="O2084" s="109">
        <f>IF(Key!D$1="ON",P2084,IF(SUM(Q2084:DL2084)&lt;1,"",SUM(Q2084:DL2084)/COUNTIF(Q2084:DL2084,"&gt;0")))</f>
        <v>0</v>
      </c>
      <c r="P2084" s="109">
        <f>SUMIFS(Q2084:DK2084,Q$1:DK$1,Dashboard!$K$31)</f>
        <v>0</v>
      </c>
      <c r="U2084" s="95">
        <v>33</v>
      </c>
      <c r="AA2084" s="95">
        <v>25</v>
      </c>
      <c r="AH2084" s="95">
        <v>75</v>
      </c>
    </row>
    <row r="2085" spans="1:34" ht="15.6" x14ac:dyDescent="0.3">
      <c r="A2085" s="89" t="str">
        <f>CONCATENATE(D2085,".",F2085,"-",G2085,".",H2085,"")</f>
        <v>2.3-5.1</v>
      </c>
      <c r="B2085" s="89" t="str">
        <f>IF(CONCATENATE(I2085,Key!F$2)=CONCATENATE(INDEX(Dashboard!J:J,MATCH(I2085,Dashboard!J:J,0),1),INDEX(Dashboard!J:K,MATCH(I2085,Dashboard!J:J,0),2)),"ON",IF(Dashboard!K$32="ALL","ON","-"))</f>
        <v>-</v>
      </c>
      <c r="C2085" s="88" t="s">
        <v>152</v>
      </c>
      <c r="D2085" s="89">
        <f>IF(C2085="ID",1,(IF(C2085="PR",2,(IF(C2085="DE",3,(IF(C2085="RS",4,(IF(C2085="RC",5,0)))))))))</f>
        <v>2</v>
      </c>
      <c r="E2085" s="89" t="s">
        <v>210</v>
      </c>
      <c r="F2085" s="89">
        <f>IF(E2085="AM",1,(IF(E2085="BE",2,(IF(E2085="GV",3,(IF(E2085="RA",4,(IF(E2085="RM",5,(IF(E2085="AC",1,(IF(E2085="AT",2,(IF(E2085="DS",3,(IF(E2085="IP",4,(IF(E2085="MA",5,(IF(E2085="PT",6,(IF(E2085="AE",1,(IF(E2085="CM",2,(IF(E2085="DP",3,(IF(E2085="AN",1,(IF(E2085="CO",2,(IF(E2085="IM",3,(IF(E2085="MI",4,(IF(E2085="RP",5,(IF(E2085="SC",6,0)))))))))))))))))))))))))))))))))))))))</f>
        <v>3</v>
      </c>
      <c r="G2085" s="52">
        <v>5</v>
      </c>
      <c r="H2085" s="90" t="s">
        <v>115</v>
      </c>
      <c r="I2085" s="94" t="s">
        <v>60</v>
      </c>
      <c r="J2085" s="128" t="s">
        <v>3192</v>
      </c>
      <c r="K2085" s="51" t="s">
        <v>5305</v>
      </c>
      <c r="L2085" s="117">
        <f>IF(O2085="","",N2085*O2085*M2085)</f>
        <v>0</v>
      </c>
      <c r="M2085" s="108">
        <v>1</v>
      </c>
      <c r="N2085" s="95">
        <v>1</v>
      </c>
      <c r="O2085" s="109">
        <f>IF(Key!D$1="ON",P2085,IF(SUM(Q2085:DL2085)&lt;1,"",SUM(Q2085:DL2085)/COUNTIF(Q2085:DL2085,"&gt;0")))</f>
        <v>0</v>
      </c>
      <c r="P2085" s="109">
        <f>SUMIFS(Q2085:DK2085,Q$1:DK$1,Dashboard!$K$31)</f>
        <v>0</v>
      </c>
      <c r="U2085" s="95">
        <v>33</v>
      </c>
      <c r="AA2085" s="95">
        <v>25</v>
      </c>
      <c r="AH2085" s="95">
        <v>75</v>
      </c>
    </row>
    <row r="2086" spans="1:34" x14ac:dyDescent="0.3">
      <c r="A2086" s="89" t="str">
        <f>CONCATENATE(D2086,".",F2086,"-",G2086,".",H2086,"")</f>
        <v>2.3-5.1</v>
      </c>
      <c r="B2086" s="89" t="str">
        <f>IF(CONCATENATE(I2086,Key!F$2)=CONCATENATE(INDEX(Dashboard!J:J,MATCH(I2086,Dashboard!J:J,0),1),INDEX(Dashboard!J:K,MATCH(I2086,Dashboard!J:J,0),2)),"ON",IF(Dashboard!K$32="ALL","ON","-"))</f>
        <v>-</v>
      </c>
      <c r="C2086" s="88" t="s">
        <v>152</v>
      </c>
      <c r="D2086" s="89">
        <f>IF(C2086="ID",1,(IF(C2086="PR",2,(IF(C2086="DE",3,(IF(C2086="RS",4,(IF(C2086="RC",5,0)))))))))</f>
        <v>2</v>
      </c>
      <c r="E2086" s="89" t="s">
        <v>210</v>
      </c>
      <c r="F2086" s="89">
        <f>IF(E2086="AM",1,(IF(E2086="BE",2,(IF(E2086="GV",3,(IF(E2086="RA",4,(IF(E2086="RM",5,(IF(E2086="AC",1,(IF(E2086="AT",2,(IF(E2086="DS",3,(IF(E2086="IP",4,(IF(E2086="MA",5,(IF(E2086="PT",6,(IF(E2086="AE",1,(IF(E2086="CM",2,(IF(E2086="DP",3,(IF(E2086="AN",1,(IF(E2086="CO",2,(IF(E2086="IM",3,(IF(E2086="MI",4,(IF(E2086="RP",5,(IF(E2086="SC",6,0)))))))))))))))))))))))))))))))))))))))</f>
        <v>3</v>
      </c>
      <c r="G2086" s="52">
        <v>5</v>
      </c>
      <c r="H2086" s="90" t="s">
        <v>115</v>
      </c>
      <c r="I2086" s="94" t="s">
        <v>60</v>
      </c>
      <c r="J2086" s="128" t="s">
        <v>3193</v>
      </c>
      <c r="K2086" s="51" t="s">
        <v>5306</v>
      </c>
      <c r="L2086" s="117">
        <f>IF(O2086="","",N2086*O2086*M2086)</f>
        <v>0</v>
      </c>
      <c r="M2086" s="108">
        <v>1</v>
      </c>
      <c r="N2086" s="95">
        <v>1</v>
      </c>
      <c r="O2086" s="109">
        <f>IF(Key!D$1="ON",P2086,IF(SUM(Q2086:DL2086)&lt;1,"",SUM(Q2086:DL2086)/COUNTIF(Q2086:DL2086,"&gt;0")))</f>
        <v>0</v>
      </c>
      <c r="P2086" s="109">
        <f>SUMIFS(Q2086:DK2086,Q$1:DK$1,Dashboard!$K$31)</f>
        <v>0</v>
      </c>
      <c r="U2086" s="95">
        <v>33</v>
      </c>
      <c r="AA2086" s="95">
        <v>25</v>
      </c>
      <c r="AH2086" s="95">
        <v>75</v>
      </c>
    </row>
    <row r="2087" spans="1:34" x14ac:dyDescent="0.3">
      <c r="A2087" s="89" t="str">
        <f>CONCATENATE(D2087,".",F2087,"-",G2087,".",H2087,"")</f>
        <v>2.3-5.1</v>
      </c>
      <c r="B2087" s="89" t="str">
        <f>IF(CONCATENATE(I2087,Key!F$2)=CONCATENATE(INDEX(Dashboard!J:J,MATCH(I2087,Dashboard!J:J,0),1),INDEX(Dashboard!J:K,MATCH(I2087,Dashboard!J:J,0),2)),"ON",IF(Dashboard!K$32="ALL","ON","-"))</f>
        <v>-</v>
      </c>
      <c r="C2087" s="88" t="s">
        <v>152</v>
      </c>
      <c r="D2087" s="89">
        <f>IF(C2087="ID",1,(IF(C2087="PR",2,(IF(C2087="DE",3,(IF(C2087="RS",4,(IF(C2087="RC",5,0)))))))))</f>
        <v>2</v>
      </c>
      <c r="E2087" s="89" t="s">
        <v>210</v>
      </c>
      <c r="F2087" s="89">
        <f>IF(E2087="AM",1,(IF(E2087="BE",2,(IF(E2087="GV",3,(IF(E2087="RA",4,(IF(E2087="RM",5,(IF(E2087="AC",1,(IF(E2087="AT",2,(IF(E2087="DS",3,(IF(E2087="IP",4,(IF(E2087="MA",5,(IF(E2087="PT",6,(IF(E2087="AE",1,(IF(E2087="CM",2,(IF(E2087="DP",3,(IF(E2087="AN",1,(IF(E2087="CO",2,(IF(E2087="IM",3,(IF(E2087="MI",4,(IF(E2087="RP",5,(IF(E2087="SC",6,0)))))))))))))))))))))))))))))))))))))))</f>
        <v>3</v>
      </c>
      <c r="G2087" s="52">
        <v>5</v>
      </c>
      <c r="H2087" s="89">
        <v>1</v>
      </c>
      <c r="I2087" s="94" t="s">
        <v>60</v>
      </c>
      <c r="J2087" s="127" t="s">
        <v>3147</v>
      </c>
      <c r="K2087" s="51" t="s">
        <v>5260</v>
      </c>
      <c r="L2087" s="117">
        <f>IF(O2087="","",N2087*O2087*M2087)</f>
        <v>0</v>
      </c>
      <c r="M2087" s="108">
        <v>1</v>
      </c>
      <c r="N2087" s="95">
        <v>1</v>
      </c>
      <c r="O2087" s="109">
        <f>IF(Key!D$1="ON",P2087,IF(SUM(Q2087:DL2087)&lt;1,"",SUM(Q2087:DL2087)/COUNTIF(Q2087:DL2087,"&gt;0")))</f>
        <v>0</v>
      </c>
      <c r="P2087" s="109">
        <f>SUMIFS(Q2087:DK2087,Q$1:DK$1,Dashboard!$K$31)</f>
        <v>0</v>
      </c>
      <c r="U2087" s="95">
        <v>33</v>
      </c>
      <c r="AA2087" s="95">
        <v>25</v>
      </c>
      <c r="AH2087" s="95">
        <v>75</v>
      </c>
    </row>
    <row r="2088" spans="1:34" x14ac:dyDescent="0.3">
      <c r="A2088" s="89" t="str">
        <f>CONCATENATE(D2088,".",F2088,"-",G2088,".",H2088,"")</f>
        <v>2.3-5.1</v>
      </c>
      <c r="B2088" s="89" t="str">
        <f>IF(CONCATENATE(I2088,Key!F$2)=CONCATENATE(INDEX(Dashboard!J:J,MATCH(I2088,Dashboard!J:J,0),1),INDEX(Dashboard!J:K,MATCH(I2088,Dashboard!J:J,0),2)),"ON",IF(Dashboard!K$32="ALL","ON","-"))</f>
        <v>-</v>
      </c>
      <c r="C2088" s="88" t="s">
        <v>152</v>
      </c>
      <c r="D2088" s="89">
        <f>IF(C2088="ID",1,(IF(C2088="PR",2,(IF(C2088="DE",3,(IF(C2088="RS",4,(IF(C2088="RC",5,0)))))))))</f>
        <v>2</v>
      </c>
      <c r="E2088" s="89" t="s">
        <v>210</v>
      </c>
      <c r="F2088" s="89">
        <f>IF(E2088="AM",1,(IF(E2088="BE",2,(IF(E2088="GV",3,(IF(E2088="RA",4,(IF(E2088="RM",5,(IF(E2088="AC",1,(IF(E2088="AT",2,(IF(E2088="DS",3,(IF(E2088="IP",4,(IF(E2088="MA",5,(IF(E2088="PT",6,(IF(E2088="AE",1,(IF(E2088="CM",2,(IF(E2088="DP",3,(IF(E2088="AN",1,(IF(E2088="CO",2,(IF(E2088="IM",3,(IF(E2088="MI",4,(IF(E2088="RP",5,(IF(E2088="SC",6,0)))))))))))))))))))))))))))))))))))))))</f>
        <v>3</v>
      </c>
      <c r="G2088" s="52">
        <v>5</v>
      </c>
      <c r="H2088" s="89">
        <v>1</v>
      </c>
      <c r="I2088" s="94" t="s">
        <v>60</v>
      </c>
      <c r="J2088" s="128" t="s">
        <v>3147</v>
      </c>
      <c r="K2088" s="51" t="s">
        <v>5260</v>
      </c>
      <c r="L2088" s="117">
        <f>IF(O2088="","",N2088*O2088*M2088)</f>
        <v>0</v>
      </c>
      <c r="M2088" s="108">
        <v>1</v>
      </c>
      <c r="N2088" s="95">
        <v>1</v>
      </c>
      <c r="O2088" s="109">
        <f>IF(Key!D$1="ON",P2088,IF(SUM(Q2088:DL2088)&lt;1,"",SUM(Q2088:DL2088)/COUNTIF(Q2088:DL2088,"&gt;0")))</f>
        <v>0</v>
      </c>
      <c r="P2088" s="109">
        <f>SUMIFS(Q2088:DK2088,Q$1:DK$1,Dashboard!$K$31)</f>
        <v>0</v>
      </c>
      <c r="U2088" s="95">
        <v>33</v>
      </c>
      <c r="AA2088" s="95">
        <v>25</v>
      </c>
      <c r="AH2088" s="95">
        <v>75</v>
      </c>
    </row>
    <row r="2089" spans="1:34" x14ac:dyDescent="0.3">
      <c r="A2089" s="89" t="str">
        <f>CONCATENATE(D2089,".",F2089,"-",G2089,".",H2089,"")</f>
        <v>2.3-5.1</v>
      </c>
      <c r="B2089" s="89" t="str">
        <f>IF(CONCATENATE(I2089,Key!F$2)=CONCATENATE(INDEX(Dashboard!J:J,MATCH(I2089,Dashboard!J:J,0),1),INDEX(Dashboard!J:K,MATCH(I2089,Dashboard!J:J,0),2)),"ON",IF(Dashboard!K$32="ALL","ON","-"))</f>
        <v>-</v>
      </c>
      <c r="C2089" s="88" t="s">
        <v>152</v>
      </c>
      <c r="D2089" s="89">
        <f>IF(C2089="ID",1,(IF(C2089="PR",2,(IF(C2089="DE",3,(IF(C2089="RS",4,(IF(C2089="RC",5,0)))))))))</f>
        <v>2</v>
      </c>
      <c r="E2089" s="89" t="s">
        <v>210</v>
      </c>
      <c r="F2089" s="89">
        <f>IF(E2089="AM",1,(IF(E2089="BE",2,(IF(E2089="GV",3,(IF(E2089="RA",4,(IF(E2089="RM",5,(IF(E2089="AC",1,(IF(E2089="AT",2,(IF(E2089="DS",3,(IF(E2089="IP",4,(IF(E2089="MA",5,(IF(E2089="PT",6,(IF(E2089="AE",1,(IF(E2089="CM",2,(IF(E2089="DP",3,(IF(E2089="AN",1,(IF(E2089="CO",2,(IF(E2089="IM",3,(IF(E2089="MI",4,(IF(E2089="RP",5,(IF(E2089="SC",6,0)))))))))))))))))))))))))))))))))))))))</f>
        <v>3</v>
      </c>
      <c r="G2089" s="52">
        <v>5</v>
      </c>
      <c r="H2089" s="90" t="s">
        <v>115</v>
      </c>
      <c r="I2089" s="94" t="s">
        <v>60</v>
      </c>
      <c r="J2089" s="128" t="s">
        <v>3223</v>
      </c>
      <c r="K2089" s="51" t="s">
        <v>5336</v>
      </c>
      <c r="L2089" s="117">
        <f>IF(O2089="","",N2089*O2089*M2089)</f>
        <v>0</v>
      </c>
      <c r="M2089" s="108">
        <v>1</v>
      </c>
      <c r="N2089" s="95">
        <v>1</v>
      </c>
      <c r="O2089" s="109">
        <f>IF(Key!D$1="ON",P2089,IF(SUM(Q2089:DL2089)&lt;1,"",SUM(Q2089:DL2089)/COUNTIF(Q2089:DL2089,"&gt;0")))</f>
        <v>0</v>
      </c>
      <c r="P2089" s="109">
        <f>SUMIFS(Q2089:DK2089,Q$1:DK$1,Dashboard!$K$31)</f>
        <v>0</v>
      </c>
      <c r="U2089" s="95">
        <v>33</v>
      </c>
      <c r="AA2089" s="95">
        <v>25</v>
      </c>
      <c r="AH2089" s="95">
        <v>75</v>
      </c>
    </row>
    <row r="2090" spans="1:34" x14ac:dyDescent="0.3">
      <c r="A2090" s="89" t="str">
        <f>CONCATENATE(D2090,".",F2090,"-",G2090,".",H2090,"")</f>
        <v>2.3-5.1</v>
      </c>
      <c r="B2090" s="89" t="str">
        <f>IF(CONCATENATE(I2090,Key!F$2)=CONCATENATE(INDEX(Dashboard!J:J,MATCH(I2090,Dashboard!J:J,0),1),INDEX(Dashboard!J:K,MATCH(I2090,Dashboard!J:J,0),2)),"ON",IF(Dashboard!K$32="ALL","ON","-"))</f>
        <v>-</v>
      </c>
      <c r="C2090" s="88" t="s">
        <v>152</v>
      </c>
      <c r="D2090" s="89">
        <f>IF(C2090="ID",1,(IF(C2090="PR",2,(IF(C2090="DE",3,(IF(C2090="RS",4,(IF(C2090="RC",5,0)))))))))</f>
        <v>2</v>
      </c>
      <c r="E2090" s="89" t="s">
        <v>210</v>
      </c>
      <c r="F2090" s="89">
        <f>IF(E2090="AM",1,(IF(E2090="BE",2,(IF(E2090="GV",3,(IF(E2090="RA",4,(IF(E2090="RM",5,(IF(E2090="AC",1,(IF(E2090="AT",2,(IF(E2090="DS",3,(IF(E2090="IP",4,(IF(E2090="MA",5,(IF(E2090="PT",6,(IF(E2090="AE",1,(IF(E2090="CM",2,(IF(E2090="DP",3,(IF(E2090="AN",1,(IF(E2090="CO",2,(IF(E2090="IM",3,(IF(E2090="MI",4,(IF(E2090="RP",5,(IF(E2090="SC",6,0)))))))))))))))))))))))))))))))))))))))</f>
        <v>3</v>
      </c>
      <c r="G2090" s="52">
        <v>5</v>
      </c>
      <c r="H2090" s="90" t="s">
        <v>115</v>
      </c>
      <c r="I2090" s="94" t="s">
        <v>60</v>
      </c>
      <c r="J2090" s="128" t="s">
        <v>3224</v>
      </c>
      <c r="K2090" s="51" t="s">
        <v>5337</v>
      </c>
      <c r="L2090" s="117">
        <f>IF(O2090="","",N2090*O2090*M2090)</f>
        <v>0</v>
      </c>
      <c r="M2090" s="108">
        <v>1</v>
      </c>
      <c r="N2090" s="95">
        <v>1</v>
      </c>
      <c r="O2090" s="109">
        <f>IF(Key!D$1="ON",P2090,IF(SUM(Q2090:DL2090)&lt;1,"",SUM(Q2090:DL2090)/COUNTIF(Q2090:DL2090,"&gt;0")))</f>
        <v>0</v>
      </c>
      <c r="P2090" s="109">
        <f>SUMIFS(Q2090:DK2090,Q$1:DK$1,Dashboard!$K$31)</f>
        <v>0</v>
      </c>
      <c r="U2090" s="95">
        <v>33</v>
      </c>
      <c r="AA2090" s="95">
        <v>25</v>
      </c>
      <c r="AH2090" s="95">
        <v>75</v>
      </c>
    </row>
    <row r="2091" spans="1:34" x14ac:dyDescent="0.3">
      <c r="A2091" s="89" t="str">
        <f>CONCATENATE(D2091,".",F2091,"-",G2091,".",H2091,"")</f>
        <v>2.3-5.1</v>
      </c>
      <c r="B2091" s="89" t="str">
        <f>IF(CONCATENATE(I2091,Key!F$2)=CONCATENATE(INDEX(Dashboard!J:J,MATCH(I2091,Dashboard!J:J,0),1),INDEX(Dashboard!J:K,MATCH(I2091,Dashboard!J:J,0),2)),"ON",IF(Dashboard!K$32="ALL","ON","-"))</f>
        <v>-</v>
      </c>
      <c r="C2091" s="88" t="s">
        <v>152</v>
      </c>
      <c r="D2091" s="89">
        <f>IF(C2091="ID",1,(IF(C2091="PR",2,(IF(C2091="DE",3,(IF(C2091="RS",4,(IF(C2091="RC",5,0)))))))))</f>
        <v>2</v>
      </c>
      <c r="E2091" s="89" t="s">
        <v>210</v>
      </c>
      <c r="F2091" s="89">
        <f>IF(E2091="AM",1,(IF(E2091="BE",2,(IF(E2091="GV",3,(IF(E2091="RA",4,(IF(E2091="RM",5,(IF(E2091="AC",1,(IF(E2091="AT",2,(IF(E2091="DS",3,(IF(E2091="IP",4,(IF(E2091="MA",5,(IF(E2091="PT",6,(IF(E2091="AE",1,(IF(E2091="CM",2,(IF(E2091="DP",3,(IF(E2091="AN",1,(IF(E2091="CO",2,(IF(E2091="IM",3,(IF(E2091="MI",4,(IF(E2091="RP",5,(IF(E2091="SC",6,0)))))))))))))))))))))))))))))))))))))))</f>
        <v>3</v>
      </c>
      <c r="G2091" s="52">
        <v>5</v>
      </c>
      <c r="H2091" s="90" t="s">
        <v>115</v>
      </c>
      <c r="I2091" s="94" t="s">
        <v>60</v>
      </c>
      <c r="J2091" s="128" t="s">
        <v>3225</v>
      </c>
      <c r="K2091" s="51" t="s">
        <v>5338</v>
      </c>
      <c r="L2091" s="117">
        <f>IF(O2091="","",N2091*O2091*M2091)</f>
        <v>0</v>
      </c>
      <c r="M2091" s="108">
        <v>1</v>
      </c>
      <c r="N2091" s="95">
        <v>1</v>
      </c>
      <c r="O2091" s="109">
        <f>IF(Key!D$1="ON",P2091,IF(SUM(Q2091:DL2091)&lt;1,"",SUM(Q2091:DL2091)/COUNTIF(Q2091:DL2091,"&gt;0")))</f>
        <v>0</v>
      </c>
      <c r="P2091" s="109">
        <f>SUMIFS(Q2091:DK2091,Q$1:DK$1,Dashboard!$K$31)</f>
        <v>0</v>
      </c>
      <c r="U2091" s="95">
        <v>33</v>
      </c>
      <c r="AA2091" s="95">
        <v>25</v>
      </c>
      <c r="AH2091" s="95">
        <v>75</v>
      </c>
    </row>
    <row r="2092" spans="1:34" x14ac:dyDescent="0.3">
      <c r="A2092" s="89" t="str">
        <f>CONCATENATE(D2092,".",F2092,"-",G2092,".",H2092,"")</f>
        <v>2.3-5.1</v>
      </c>
      <c r="B2092" s="89" t="str">
        <f>IF(CONCATENATE(I2092,Key!F$2)=CONCATENATE(INDEX(Dashboard!J:J,MATCH(I2092,Dashboard!J:J,0),1),INDEX(Dashboard!J:K,MATCH(I2092,Dashboard!J:J,0),2)),"ON",IF(Dashboard!K$32="ALL","ON","-"))</f>
        <v>-</v>
      </c>
      <c r="C2092" s="88" t="s">
        <v>152</v>
      </c>
      <c r="D2092" s="89">
        <f>IF(C2092="ID",1,(IF(C2092="PR",2,(IF(C2092="DE",3,(IF(C2092="RS",4,(IF(C2092="RC",5,0)))))))))</f>
        <v>2</v>
      </c>
      <c r="E2092" s="89" t="s">
        <v>210</v>
      </c>
      <c r="F2092" s="89">
        <f>IF(E2092="AM",1,(IF(E2092="BE",2,(IF(E2092="GV",3,(IF(E2092="RA",4,(IF(E2092="RM",5,(IF(E2092="AC",1,(IF(E2092="AT",2,(IF(E2092="DS",3,(IF(E2092="IP",4,(IF(E2092="MA",5,(IF(E2092="PT",6,(IF(E2092="AE",1,(IF(E2092="CM",2,(IF(E2092="DP",3,(IF(E2092="AN",1,(IF(E2092="CO",2,(IF(E2092="IM",3,(IF(E2092="MI",4,(IF(E2092="RP",5,(IF(E2092="SC",6,0)))))))))))))))))))))))))))))))))))))))</f>
        <v>3</v>
      </c>
      <c r="G2092" s="52">
        <v>5</v>
      </c>
      <c r="H2092" s="90" t="s">
        <v>115</v>
      </c>
      <c r="I2092" s="94" t="s">
        <v>60</v>
      </c>
      <c r="J2092" s="128" t="s">
        <v>3127</v>
      </c>
      <c r="K2092" s="51" t="s">
        <v>5240</v>
      </c>
      <c r="L2092" s="117">
        <f>IF(O2092="","",N2092*O2092*M2092)</f>
        <v>0</v>
      </c>
      <c r="M2092" s="108">
        <v>1</v>
      </c>
      <c r="N2092" s="95">
        <v>1</v>
      </c>
      <c r="O2092" s="109">
        <f>IF(Key!D$1="ON",P2092,IF(SUM(Q2092:DL2092)&lt;1,"",SUM(Q2092:DL2092)/COUNTIF(Q2092:DL2092,"&gt;0")))</f>
        <v>0</v>
      </c>
      <c r="P2092" s="109">
        <f>SUMIFS(Q2092:DK2092,Q$1:DK$1,Dashboard!$K$31)</f>
        <v>0</v>
      </c>
      <c r="U2092" s="95">
        <v>33</v>
      </c>
      <c r="AA2092" s="95">
        <v>25</v>
      </c>
      <c r="AH2092" s="95">
        <v>75</v>
      </c>
    </row>
    <row r="2093" spans="1:34" ht="15.6" x14ac:dyDescent="0.3">
      <c r="A2093" s="89" t="str">
        <f>CONCATENATE(D2093,".",F2093,"-",G2093,".",H2093,"")</f>
        <v>2.3-5.1</v>
      </c>
      <c r="B2093" s="89" t="str">
        <f>IF(CONCATENATE(I2093,Key!F$2)=CONCATENATE(INDEX(Dashboard!J:J,MATCH(I2093,Dashboard!J:J,0),1),INDEX(Dashboard!J:K,MATCH(I2093,Dashboard!J:J,0),2)),"ON",IF(Dashboard!K$32="ALL","ON","-"))</f>
        <v>-</v>
      </c>
      <c r="C2093" s="88" t="s">
        <v>152</v>
      </c>
      <c r="D2093" s="89">
        <f>IF(C2093="ID",1,(IF(C2093="PR",2,(IF(C2093="DE",3,(IF(C2093="RS",4,(IF(C2093="RC",5,0)))))))))</f>
        <v>2</v>
      </c>
      <c r="E2093" s="89" t="s">
        <v>210</v>
      </c>
      <c r="F2093" s="89">
        <f>IF(E2093="AM",1,(IF(E2093="BE",2,(IF(E2093="GV",3,(IF(E2093="RA",4,(IF(E2093="RM",5,(IF(E2093="AC",1,(IF(E2093="AT",2,(IF(E2093="DS",3,(IF(E2093="IP",4,(IF(E2093="MA",5,(IF(E2093="PT",6,(IF(E2093="AE",1,(IF(E2093="CM",2,(IF(E2093="DP",3,(IF(E2093="AN",1,(IF(E2093="CO",2,(IF(E2093="IM",3,(IF(E2093="MI",4,(IF(E2093="RP",5,(IF(E2093="SC",6,0)))))))))))))))))))))))))))))))))))))))</f>
        <v>3</v>
      </c>
      <c r="G2093" s="52">
        <v>5</v>
      </c>
      <c r="H2093" s="90" t="s">
        <v>115</v>
      </c>
      <c r="I2093" s="94" t="s">
        <v>60</v>
      </c>
      <c r="J2093" s="128" t="s">
        <v>3190</v>
      </c>
      <c r="K2093" s="51" t="s">
        <v>5303</v>
      </c>
      <c r="L2093" s="117">
        <f>IF(O2093="","",N2093*O2093*M2093)</f>
        <v>0</v>
      </c>
      <c r="M2093" s="108">
        <v>1</v>
      </c>
      <c r="N2093" s="95">
        <v>1</v>
      </c>
      <c r="O2093" s="109">
        <f>IF(Key!D$1="ON",P2093,IF(SUM(Q2093:DL2093)&lt;1,"",SUM(Q2093:DL2093)/COUNTIF(Q2093:DL2093,"&gt;0")))</f>
        <v>0</v>
      </c>
      <c r="P2093" s="109">
        <f>SUMIFS(Q2093:DK2093,Q$1:DK$1,Dashboard!$K$31)</f>
        <v>0</v>
      </c>
      <c r="U2093" s="95">
        <v>33</v>
      </c>
      <c r="AA2093" s="95">
        <v>25</v>
      </c>
      <c r="AH2093" s="95">
        <v>75</v>
      </c>
    </row>
    <row r="2094" spans="1:34" x14ac:dyDescent="0.3">
      <c r="A2094" s="89" t="str">
        <f>CONCATENATE(D2094,".",F2094,"-",G2094,".",H2094,"")</f>
        <v>2.3-5.1</v>
      </c>
      <c r="B2094" s="89" t="str">
        <f>IF(CONCATENATE(I2094,Key!F$2)=CONCATENATE(INDEX(Dashboard!J:J,MATCH(I2094,Dashboard!J:J,0),1),INDEX(Dashboard!J:K,MATCH(I2094,Dashboard!J:J,0),2)),"ON",IF(Dashboard!K$32="ALL","ON","-"))</f>
        <v>-</v>
      </c>
      <c r="C2094" s="88" t="s">
        <v>152</v>
      </c>
      <c r="D2094" s="89">
        <f>IF(C2094="ID",1,(IF(C2094="PR",2,(IF(C2094="DE",3,(IF(C2094="RS",4,(IF(C2094="RC",5,0)))))))))</f>
        <v>2</v>
      </c>
      <c r="E2094" s="89" t="s">
        <v>210</v>
      </c>
      <c r="F2094" s="89">
        <f>IF(E2094="AM",1,(IF(E2094="BE",2,(IF(E2094="GV",3,(IF(E2094="RA",4,(IF(E2094="RM",5,(IF(E2094="AC",1,(IF(E2094="AT",2,(IF(E2094="DS",3,(IF(E2094="IP",4,(IF(E2094="MA",5,(IF(E2094="PT",6,(IF(E2094="AE",1,(IF(E2094="CM",2,(IF(E2094="DP",3,(IF(E2094="AN",1,(IF(E2094="CO",2,(IF(E2094="IM",3,(IF(E2094="MI",4,(IF(E2094="RP",5,(IF(E2094="SC",6,0)))))))))))))))))))))))))))))))))))))))</f>
        <v>3</v>
      </c>
      <c r="G2094" s="52">
        <v>5</v>
      </c>
      <c r="H2094" s="90" t="s">
        <v>115</v>
      </c>
      <c r="I2094" s="94" t="s">
        <v>60</v>
      </c>
      <c r="J2094" s="128" t="s">
        <v>3226</v>
      </c>
      <c r="K2094" s="51" t="s">
        <v>5339</v>
      </c>
      <c r="L2094" s="117">
        <f>IF(O2094="","",N2094*O2094*M2094)</f>
        <v>0</v>
      </c>
      <c r="M2094" s="108">
        <v>1</v>
      </c>
      <c r="N2094" s="95">
        <v>1</v>
      </c>
      <c r="O2094" s="109">
        <f>IF(Key!D$1="ON",P2094,IF(SUM(Q2094:DL2094)&lt;1,"",SUM(Q2094:DL2094)/COUNTIF(Q2094:DL2094,"&gt;0")))</f>
        <v>0</v>
      </c>
      <c r="P2094" s="109">
        <f>SUMIFS(Q2094:DK2094,Q$1:DK$1,Dashboard!$K$31)</f>
        <v>0</v>
      </c>
      <c r="U2094" s="95">
        <v>33</v>
      </c>
      <c r="AA2094" s="95">
        <v>25</v>
      </c>
      <c r="AH2094" s="95">
        <v>75</v>
      </c>
    </row>
    <row r="2095" spans="1:34" x14ac:dyDescent="0.3">
      <c r="A2095" s="89" t="str">
        <f>CONCATENATE(D2095,".",F2095,"-",G2095,".",H2095,"")</f>
        <v>2.3-5.1</v>
      </c>
      <c r="B2095" s="89" t="str">
        <f>IF(CONCATENATE(I2095,Key!F$2)=CONCATENATE(INDEX(Dashboard!J:J,MATCH(I2095,Dashboard!J:J,0),1),INDEX(Dashboard!J:K,MATCH(I2095,Dashboard!J:J,0),2)),"ON",IF(Dashboard!K$32="ALL","ON","-"))</f>
        <v>-</v>
      </c>
      <c r="C2095" s="88" t="s">
        <v>152</v>
      </c>
      <c r="D2095" s="89">
        <f>IF(C2095="ID",1,(IF(C2095="PR",2,(IF(C2095="DE",3,(IF(C2095="RS",4,(IF(C2095="RC",5,0)))))))))</f>
        <v>2</v>
      </c>
      <c r="E2095" s="89" t="s">
        <v>210</v>
      </c>
      <c r="F2095" s="89">
        <f>IF(E2095="AM",1,(IF(E2095="BE",2,(IF(E2095="GV",3,(IF(E2095="RA",4,(IF(E2095="RM",5,(IF(E2095="AC",1,(IF(E2095="AT",2,(IF(E2095="DS",3,(IF(E2095="IP",4,(IF(E2095="MA",5,(IF(E2095="PT",6,(IF(E2095="AE",1,(IF(E2095="CM",2,(IF(E2095="DP",3,(IF(E2095="AN",1,(IF(E2095="CO",2,(IF(E2095="IM",3,(IF(E2095="MI",4,(IF(E2095="RP",5,(IF(E2095="SC",6,0)))))))))))))))))))))))))))))))))))))))</f>
        <v>3</v>
      </c>
      <c r="G2095" s="52">
        <v>5</v>
      </c>
      <c r="H2095" s="90" t="s">
        <v>115</v>
      </c>
      <c r="I2095" s="94" t="s">
        <v>64</v>
      </c>
      <c r="J2095" s="128" t="s">
        <v>1397</v>
      </c>
      <c r="K2095" s="102" t="s">
        <v>2387</v>
      </c>
      <c r="L2095" s="117">
        <f>IF(O2095="","",N2095*O2095*M2095)</f>
        <v>0</v>
      </c>
      <c r="M2095" s="108">
        <v>1</v>
      </c>
      <c r="N2095" s="95">
        <v>1</v>
      </c>
      <c r="O2095" s="109">
        <f>IF(Key!D$1="ON",P2095,IF(SUM(Q2095:DL2095)&lt;1,"",SUM(Q2095:DL2095)/COUNTIF(Q2095:DL2095,"&gt;0")))</f>
        <v>0</v>
      </c>
      <c r="P2095" s="109">
        <f>SUMIFS(Q2095:DK2095,Q$1:DK$1,Dashboard!$K$31)</f>
        <v>0</v>
      </c>
      <c r="U2095" s="95">
        <v>33</v>
      </c>
      <c r="AA2095" s="95">
        <v>25</v>
      </c>
      <c r="AH2095" s="95">
        <v>75</v>
      </c>
    </row>
    <row r="2096" spans="1:34" ht="15.6" x14ac:dyDescent="0.3">
      <c r="A2096" s="89" t="str">
        <f>CONCATENATE(D2096,".",F2096,"-",G2096,".",H2096,"")</f>
        <v>2.3-5.1</v>
      </c>
      <c r="B2096" s="89" t="str">
        <f>IF(CONCATENATE(I2096,Key!F$2)=CONCATENATE(INDEX(Dashboard!J:J,MATCH(I2096,Dashboard!J:J,0),1),INDEX(Dashboard!J:K,MATCH(I2096,Dashboard!J:J,0),2)),"ON",IF(Dashboard!K$32="ALL","ON","-"))</f>
        <v>-</v>
      </c>
      <c r="C2096" s="88" t="s">
        <v>152</v>
      </c>
      <c r="D2096" s="89">
        <f>IF(C2096="ID",1,(IF(C2096="PR",2,(IF(C2096="DE",3,(IF(C2096="RS",4,(IF(C2096="RC",5,0)))))))))</f>
        <v>2</v>
      </c>
      <c r="E2096" s="89" t="s">
        <v>210</v>
      </c>
      <c r="F2096" s="89">
        <f>IF(E2096="AM",1,(IF(E2096="BE",2,(IF(E2096="GV",3,(IF(E2096="RA",4,(IF(E2096="RM",5,(IF(E2096="AC",1,(IF(E2096="AT",2,(IF(E2096="DS",3,(IF(E2096="IP",4,(IF(E2096="MA",5,(IF(E2096="PT",6,(IF(E2096="AE",1,(IF(E2096="CM",2,(IF(E2096="DP",3,(IF(E2096="AN",1,(IF(E2096="CO",2,(IF(E2096="IM",3,(IF(E2096="MI",4,(IF(E2096="RP",5,(IF(E2096="SC",6,0)))))))))))))))))))))))))))))))))))))))</f>
        <v>3</v>
      </c>
      <c r="G2096" s="52">
        <v>5</v>
      </c>
      <c r="H2096" s="90" t="s">
        <v>115</v>
      </c>
      <c r="I2096" s="94" t="s">
        <v>73</v>
      </c>
      <c r="J2096" s="118" t="s">
        <v>4129</v>
      </c>
      <c r="K2096" s="101" t="s">
        <v>4130</v>
      </c>
      <c r="L2096" s="117">
        <f>IF(O2096="","",N2096*O2096*M2096)</f>
        <v>0</v>
      </c>
      <c r="M2096" s="108">
        <v>1</v>
      </c>
      <c r="N2096" s="95">
        <v>1</v>
      </c>
      <c r="O2096" s="109">
        <f>IF(Key!D$1="ON",P2096,IF(SUM(Q2096:DL2096)&lt;1,"",SUM(Q2096:DL2096)/COUNTIF(Q2096:DL2096,"&gt;0")))</f>
        <v>0</v>
      </c>
      <c r="P2096" s="109">
        <f>SUMIFS(Q2096:DK2096,Q$1:DK$1,Dashboard!$K$31)</f>
        <v>0</v>
      </c>
      <c r="U2096" s="95">
        <v>33</v>
      </c>
      <c r="AA2096" s="95">
        <v>25</v>
      </c>
      <c r="AH2096" s="95">
        <v>75</v>
      </c>
    </row>
    <row r="2097" spans="1:34" ht="15.6" x14ac:dyDescent="0.3">
      <c r="A2097" s="89" t="str">
        <f>CONCATENATE(D2097,".",F2097,"-",G2097,".",H2097,"")</f>
        <v>2.3-5.1</v>
      </c>
      <c r="B2097" s="89" t="str">
        <f>IF(CONCATENATE(I2097,Key!F$2)=CONCATENATE(INDEX(Dashboard!J:J,MATCH(I2097,Dashboard!J:J,0),1),INDEX(Dashboard!J:K,MATCH(I2097,Dashboard!J:J,0),2)),"ON",IF(Dashboard!K$32="ALL","ON","-"))</f>
        <v>-</v>
      </c>
      <c r="C2097" s="88" t="s">
        <v>152</v>
      </c>
      <c r="D2097" s="89">
        <f>IF(C2097="ID",1,(IF(C2097="PR",2,(IF(C2097="DE",3,(IF(C2097="RS",4,(IF(C2097="RC",5,0)))))))))</f>
        <v>2</v>
      </c>
      <c r="E2097" s="89" t="s">
        <v>210</v>
      </c>
      <c r="F2097" s="89">
        <f>IF(E2097="AM",1,(IF(E2097="BE",2,(IF(E2097="GV",3,(IF(E2097="RA",4,(IF(E2097="RM",5,(IF(E2097="AC",1,(IF(E2097="AT",2,(IF(E2097="DS",3,(IF(E2097="IP",4,(IF(E2097="MA",5,(IF(E2097="PT",6,(IF(E2097="AE",1,(IF(E2097="CM",2,(IF(E2097="DP",3,(IF(E2097="AN",1,(IF(E2097="CO",2,(IF(E2097="IM",3,(IF(E2097="MI",4,(IF(E2097="RP",5,(IF(E2097="SC",6,0)))))))))))))))))))))))))))))))))))))))</f>
        <v>3</v>
      </c>
      <c r="G2097" s="52">
        <v>5</v>
      </c>
      <c r="H2097" s="89">
        <v>1</v>
      </c>
      <c r="I2097" s="94" t="s">
        <v>73</v>
      </c>
      <c r="J2097" s="94" t="s">
        <v>4144</v>
      </c>
      <c r="K2097" t="s">
        <v>5211</v>
      </c>
      <c r="L2097" s="117">
        <f>IF(O2097="","",N2097*O2097*M2097)</f>
        <v>0</v>
      </c>
      <c r="M2097" s="108">
        <v>1</v>
      </c>
      <c r="N2097" s="95">
        <v>1</v>
      </c>
      <c r="O2097" s="109">
        <f>IF(Key!D$1="ON",P2097,IF(SUM(Q2097:DL2097)&lt;1,"",SUM(Q2097:DL2097)/COUNTIF(Q2097:DL2097,"&gt;0")))</f>
        <v>0</v>
      </c>
      <c r="P2097" s="109">
        <f>SUMIFS(Q2097:DK2097,Q$1:DK$1,Dashboard!$K$31)</f>
        <v>0</v>
      </c>
      <c r="U2097" s="95">
        <v>33</v>
      </c>
      <c r="AA2097" s="95">
        <v>25</v>
      </c>
      <c r="AH2097" s="95">
        <v>75</v>
      </c>
    </row>
    <row r="2098" spans="1:34" ht="15.6" x14ac:dyDescent="0.3">
      <c r="A2098" s="89" t="str">
        <f>CONCATENATE(D2098,".",F2098,"-",G2098,".",H2098,"")</f>
        <v>2.3-5.1</v>
      </c>
      <c r="B2098" s="89" t="str">
        <f>IF(CONCATENATE(I2098,Key!F$2)=CONCATENATE(INDEX(Dashboard!J:J,MATCH(I2098,Dashboard!J:J,0),1),INDEX(Dashboard!J:K,MATCH(I2098,Dashboard!J:J,0),2)),"ON",IF(Dashboard!K$32="ALL","ON","-"))</f>
        <v>-</v>
      </c>
      <c r="C2098" s="88" t="s">
        <v>152</v>
      </c>
      <c r="D2098" s="89">
        <f>IF(C2098="ID",1,(IF(C2098="PR",2,(IF(C2098="DE",3,(IF(C2098="RS",4,(IF(C2098="RC",5,0)))))))))</f>
        <v>2</v>
      </c>
      <c r="E2098" s="89" t="s">
        <v>210</v>
      </c>
      <c r="F2098" s="89">
        <f>IF(E2098="AM",1,(IF(E2098="BE",2,(IF(E2098="GV",3,(IF(E2098="RA",4,(IF(E2098="RM",5,(IF(E2098="AC",1,(IF(E2098="AT",2,(IF(E2098="DS",3,(IF(E2098="IP",4,(IF(E2098="MA",5,(IF(E2098="PT",6,(IF(E2098="AE",1,(IF(E2098="CM",2,(IF(E2098="DP",3,(IF(E2098="AN",1,(IF(E2098="CO",2,(IF(E2098="IM",3,(IF(E2098="MI",4,(IF(E2098="RP",5,(IF(E2098="SC",6,0)))))))))))))))))))))))))))))))))))))))</f>
        <v>3</v>
      </c>
      <c r="G2098" s="52">
        <v>5</v>
      </c>
      <c r="H2098" s="90" t="s">
        <v>115</v>
      </c>
      <c r="I2098" s="94" t="s">
        <v>73</v>
      </c>
      <c r="J2098" s="118" t="s">
        <v>4116</v>
      </c>
      <c r="K2098" s="101" t="s">
        <v>4117</v>
      </c>
      <c r="L2098" s="117">
        <f>IF(O2098="","",N2098*O2098*M2098)</f>
        <v>0</v>
      </c>
      <c r="M2098" s="108">
        <v>1</v>
      </c>
      <c r="N2098" s="95">
        <v>1</v>
      </c>
      <c r="O2098" s="109">
        <f>IF(Key!D$1="ON",P2098,IF(SUM(Q2098:DL2098)&lt;1,"",SUM(Q2098:DL2098)/COUNTIF(Q2098:DL2098,"&gt;0")))</f>
        <v>0</v>
      </c>
      <c r="P2098" s="109">
        <f>SUMIFS(Q2098:DK2098,Q$1:DK$1,Dashboard!$K$31)</f>
        <v>0</v>
      </c>
      <c r="U2098" s="95">
        <v>33</v>
      </c>
      <c r="AA2098" s="95">
        <v>25</v>
      </c>
      <c r="AH2098" s="95">
        <v>75</v>
      </c>
    </row>
    <row r="2099" spans="1:34" ht="15.6" x14ac:dyDescent="0.3">
      <c r="A2099" s="89" t="str">
        <f>CONCATENATE(D2099,".",F2099,"-",G2099,".",H2099,"")</f>
        <v>2.3-5.1</v>
      </c>
      <c r="B2099" s="89" t="str">
        <f>IF(CONCATENATE(I2099,Key!F$2)=CONCATENATE(INDEX(Dashboard!J:J,MATCH(I2099,Dashboard!J:J,0),1),INDEX(Dashboard!J:K,MATCH(I2099,Dashboard!J:J,0),2)),"ON",IF(Dashboard!K$32="ALL","ON","-"))</f>
        <v>-</v>
      </c>
      <c r="C2099" s="88" t="s">
        <v>152</v>
      </c>
      <c r="D2099" s="89">
        <f>IF(C2099="ID",1,(IF(C2099="PR",2,(IF(C2099="DE",3,(IF(C2099="RS",4,(IF(C2099="RC",5,0)))))))))</f>
        <v>2</v>
      </c>
      <c r="E2099" s="89" t="s">
        <v>210</v>
      </c>
      <c r="F2099" s="89">
        <f>IF(E2099="AM",1,(IF(E2099="BE",2,(IF(E2099="GV",3,(IF(E2099="RA",4,(IF(E2099="RM",5,(IF(E2099="AC",1,(IF(E2099="AT",2,(IF(E2099="DS",3,(IF(E2099="IP",4,(IF(E2099="MA",5,(IF(E2099="PT",6,(IF(E2099="AE",1,(IF(E2099="CM",2,(IF(E2099="DP",3,(IF(E2099="AN",1,(IF(E2099="CO",2,(IF(E2099="IM",3,(IF(E2099="MI",4,(IF(E2099="RP",5,(IF(E2099="SC",6,0)))))))))))))))))))))))))))))))))))))))</f>
        <v>3</v>
      </c>
      <c r="G2099" s="52">
        <v>5</v>
      </c>
      <c r="H2099" s="89">
        <v>1</v>
      </c>
      <c r="I2099" s="94" t="s">
        <v>73</v>
      </c>
      <c r="J2099" s="94" t="s">
        <v>4209</v>
      </c>
      <c r="K2099" t="s">
        <v>5212</v>
      </c>
      <c r="L2099" s="117">
        <f>IF(O2099="","",N2099*O2099*M2099)</f>
        <v>0</v>
      </c>
      <c r="M2099" s="108">
        <v>1</v>
      </c>
      <c r="N2099" s="95">
        <v>1</v>
      </c>
      <c r="O2099" s="109">
        <f>IF(Key!D$1="ON",P2099,IF(SUM(Q2099:DL2099)&lt;1,"",SUM(Q2099:DL2099)/COUNTIF(Q2099:DL2099,"&gt;0")))</f>
        <v>0</v>
      </c>
      <c r="P2099" s="109">
        <f>SUMIFS(Q2099:DK2099,Q$1:DK$1,Dashboard!$K$31)</f>
        <v>0</v>
      </c>
      <c r="U2099" s="95">
        <v>33</v>
      </c>
      <c r="AA2099" s="95">
        <v>25</v>
      </c>
      <c r="AH2099" s="95">
        <v>75</v>
      </c>
    </row>
    <row r="2100" spans="1:34" ht="15.6" x14ac:dyDescent="0.3">
      <c r="A2100" s="89" t="str">
        <f>CONCATENATE(D2100,".",F2100,"-",G2100,".",H2100,"")</f>
        <v>2.3-5.1</v>
      </c>
      <c r="B2100" s="89" t="str">
        <f>IF(CONCATENATE(I2100,Key!F$2)=CONCATENATE(INDEX(Dashboard!J:J,MATCH(I2100,Dashboard!J:J,0),1),INDEX(Dashboard!J:K,MATCH(I2100,Dashboard!J:J,0),2)),"ON",IF(Dashboard!K$32="ALL","ON","-"))</f>
        <v>-</v>
      </c>
      <c r="C2100" s="88" t="s">
        <v>152</v>
      </c>
      <c r="D2100" s="89">
        <f>IF(C2100="ID",1,(IF(C2100="PR",2,(IF(C2100="DE",3,(IF(C2100="RS",4,(IF(C2100="RC",5,0)))))))))</f>
        <v>2</v>
      </c>
      <c r="E2100" s="89" t="s">
        <v>210</v>
      </c>
      <c r="F2100" s="89">
        <f>IF(E2100="AM",1,(IF(E2100="BE",2,(IF(E2100="GV",3,(IF(E2100="RA",4,(IF(E2100="RM",5,(IF(E2100="AC",1,(IF(E2100="AT",2,(IF(E2100="DS",3,(IF(E2100="IP",4,(IF(E2100="MA",5,(IF(E2100="PT",6,(IF(E2100="AE",1,(IF(E2100="CM",2,(IF(E2100="DP",3,(IF(E2100="AN",1,(IF(E2100="CO",2,(IF(E2100="IM",3,(IF(E2100="MI",4,(IF(E2100="RP",5,(IF(E2100="SC",6,0)))))))))))))))))))))))))))))))))))))))</f>
        <v>3</v>
      </c>
      <c r="G2100" s="52">
        <v>5</v>
      </c>
      <c r="H2100" s="90" t="s">
        <v>115</v>
      </c>
      <c r="I2100" s="94" t="s">
        <v>73</v>
      </c>
      <c r="J2100" s="118" t="s">
        <v>4216</v>
      </c>
      <c r="K2100" s="101" t="s">
        <v>5179</v>
      </c>
      <c r="L2100" s="117">
        <f>IF(O2100="","",N2100*O2100*M2100)</f>
        <v>0</v>
      </c>
      <c r="M2100" s="108">
        <v>1</v>
      </c>
      <c r="N2100" s="95">
        <v>1</v>
      </c>
      <c r="O2100" s="109">
        <f>IF(Key!D$1="ON",P2100,IF(SUM(Q2100:DL2100)&lt;1,"",SUM(Q2100:DL2100)/COUNTIF(Q2100:DL2100,"&gt;0")))</f>
        <v>0</v>
      </c>
      <c r="P2100" s="109">
        <f>SUMIFS(Q2100:DK2100,Q$1:DK$1,Dashboard!$K$31)</f>
        <v>0</v>
      </c>
      <c r="U2100" s="95">
        <v>33</v>
      </c>
      <c r="AA2100" s="95">
        <v>25</v>
      </c>
      <c r="AH2100" s="95">
        <v>75</v>
      </c>
    </row>
    <row r="2101" spans="1:34" x14ac:dyDescent="0.3">
      <c r="A2101" s="89" t="str">
        <f>CONCATENATE(D2101,".",F2101,"-",G2101,".",H2101,"")</f>
        <v>2.3-5.1</v>
      </c>
      <c r="B2101" s="89" t="str">
        <f>IF(CONCATENATE(I2101,Key!F$2)=CONCATENATE(INDEX(Dashboard!J:J,MATCH(I2101,Dashboard!J:J,0),1),INDEX(Dashboard!J:K,MATCH(I2101,Dashboard!J:J,0),2)),"ON",IF(Dashboard!K$32="ALL","ON","-"))</f>
        <v>-</v>
      </c>
      <c r="C2101" s="88" t="s">
        <v>152</v>
      </c>
      <c r="D2101" s="89">
        <f>IF(C2101="ID",1,(IF(C2101="PR",2,(IF(C2101="DE",3,(IF(C2101="RS",4,(IF(C2101="RC",5,0)))))))))</f>
        <v>2</v>
      </c>
      <c r="E2101" s="89" t="s">
        <v>210</v>
      </c>
      <c r="F2101" s="89">
        <f>IF(E2101="AM",1,(IF(E2101="BE",2,(IF(E2101="GV",3,(IF(E2101="RA",4,(IF(E2101="RM",5,(IF(E2101="AC",1,(IF(E2101="AT",2,(IF(E2101="DS",3,(IF(E2101="IP",4,(IF(E2101="MA",5,(IF(E2101="PT",6,(IF(E2101="AE",1,(IF(E2101="CM",2,(IF(E2101="DP",3,(IF(E2101="AN",1,(IF(E2101="CO",2,(IF(E2101="IM",3,(IF(E2101="MI",4,(IF(E2101="RP",5,(IF(E2101="SC",6,0)))))))))))))))))))))))))))))))))))))))</f>
        <v>3</v>
      </c>
      <c r="G2101" s="98">
        <v>5</v>
      </c>
      <c r="H2101" s="99">
        <v>1</v>
      </c>
      <c r="I2101" s="94" t="s">
        <v>73</v>
      </c>
      <c r="J2101" s="118" t="s">
        <v>4230</v>
      </c>
      <c r="K2101" s="107" t="s">
        <v>4342</v>
      </c>
      <c r="L2101" s="117">
        <f>IF(O2101="","",N2101*O2101*M2101)</f>
        <v>0</v>
      </c>
      <c r="M2101" s="108">
        <v>1</v>
      </c>
      <c r="N2101" s="95">
        <v>1</v>
      </c>
      <c r="O2101" s="109">
        <f>IF(Key!D$1="ON",P2101,IF(SUM(Q2101:DL2101)&lt;1,"",SUM(Q2101:DL2101)/COUNTIF(Q2101:DL2101,"&gt;0")))</f>
        <v>0</v>
      </c>
      <c r="P2101" s="109">
        <f>SUMIFS(Q2101:DK2101,Q$1:DK$1,Dashboard!$K$31)</f>
        <v>0</v>
      </c>
      <c r="U2101" s="95">
        <v>33</v>
      </c>
      <c r="AA2101" s="95">
        <v>25</v>
      </c>
      <c r="AH2101" s="95">
        <v>75</v>
      </c>
    </row>
    <row r="2102" spans="1:34" ht="15.6" x14ac:dyDescent="0.3">
      <c r="A2102" s="89" t="str">
        <f>CONCATENATE(D2102,".",F2102,"-",G2102,".",H2102,"")</f>
        <v>2.3-5.1</v>
      </c>
      <c r="B2102" s="89" t="str">
        <f>IF(CONCATENATE(I2102,Key!F$2)=CONCATENATE(INDEX(Dashboard!J:J,MATCH(I2102,Dashboard!J:J,0),1),INDEX(Dashboard!J:K,MATCH(I2102,Dashboard!J:J,0),2)),"ON",IF(Dashboard!K$32="ALL","ON","-"))</f>
        <v>-</v>
      </c>
      <c r="C2102" s="88" t="s">
        <v>152</v>
      </c>
      <c r="D2102" s="89">
        <f>IF(C2102="ID",1,(IF(C2102="PR",2,(IF(C2102="DE",3,(IF(C2102="RS",4,(IF(C2102="RC",5,0)))))))))</f>
        <v>2</v>
      </c>
      <c r="E2102" s="89" t="s">
        <v>210</v>
      </c>
      <c r="F2102" s="89">
        <f>IF(E2102="AM",1,(IF(E2102="BE",2,(IF(E2102="GV",3,(IF(E2102="RA",4,(IF(E2102="RM",5,(IF(E2102="AC",1,(IF(E2102="AT",2,(IF(E2102="DS",3,(IF(E2102="IP",4,(IF(E2102="MA",5,(IF(E2102="PT",6,(IF(E2102="AE",1,(IF(E2102="CM",2,(IF(E2102="DP",3,(IF(E2102="AN",1,(IF(E2102="CO",2,(IF(E2102="IM",3,(IF(E2102="MI",4,(IF(E2102="RP",5,(IF(E2102="SC",6,0)))))))))))))))))))))))))))))))))))))))</f>
        <v>3</v>
      </c>
      <c r="G2102" s="52">
        <v>5</v>
      </c>
      <c r="H2102" s="90" t="s">
        <v>115</v>
      </c>
      <c r="I2102" s="94" t="s">
        <v>73</v>
      </c>
      <c r="J2102" s="118" t="s">
        <v>4239</v>
      </c>
      <c r="K2102" s="101" t="s">
        <v>4240</v>
      </c>
      <c r="L2102" s="117">
        <f>IF(O2102="","",N2102*O2102*M2102)</f>
        <v>0</v>
      </c>
      <c r="M2102" s="108">
        <v>1</v>
      </c>
      <c r="N2102" s="95">
        <v>1</v>
      </c>
      <c r="O2102" s="109">
        <f>IF(Key!D$1="ON",P2102,IF(SUM(Q2102:DL2102)&lt;1,"",SUM(Q2102:DL2102)/COUNTIF(Q2102:DL2102,"&gt;0")))</f>
        <v>0</v>
      </c>
      <c r="P2102" s="109">
        <f>SUMIFS(Q2102:DK2102,Q$1:DK$1,Dashboard!$K$31)</f>
        <v>0</v>
      </c>
      <c r="U2102" s="95">
        <v>33</v>
      </c>
      <c r="AA2102" s="95">
        <v>25</v>
      </c>
      <c r="AH2102" s="95">
        <v>75</v>
      </c>
    </row>
    <row r="2103" spans="1:34" ht="15.6" x14ac:dyDescent="0.3">
      <c r="A2103" s="89" t="str">
        <f>CONCATENATE(D2103,".",F2103,"-",G2103,".",H2103,"")</f>
        <v>2.3-5.1</v>
      </c>
      <c r="B2103" s="89" t="str">
        <f>IF(CONCATENATE(I2103,Key!F$2)=CONCATENATE(INDEX(Dashboard!J:J,MATCH(I2103,Dashboard!J:J,0),1),INDEX(Dashboard!J:K,MATCH(I2103,Dashboard!J:J,0),2)),"ON",IF(Dashboard!K$32="ALL","ON","-"))</f>
        <v>-</v>
      </c>
      <c r="C2103" s="88" t="s">
        <v>152</v>
      </c>
      <c r="D2103" s="89">
        <f>IF(C2103="ID",1,(IF(C2103="PR",2,(IF(C2103="DE",3,(IF(C2103="RS",4,(IF(C2103="RC",5,0)))))))))</f>
        <v>2</v>
      </c>
      <c r="E2103" s="89" t="s">
        <v>210</v>
      </c>
      <c r="F2103" s="89">
        <f>IF(E2103="AM",1,(IF(E2103="BE",2,(IF(E2103="GV",3,(IF(E2103="RA",4,(IF(E2103="RM",5,(IF(E2103="AC",1,(IF(E2103="AT",2,(IF(E2103="DS",3,(IF(E2103="IP",4,(IF(E2103="MA",5,(IF(E2103="PT",6,(IF(E2103="AE",1,(IF(E2103="CM",2,(IF(E2103="DP",3,(IF(E2103="AN",1,(IF(E2103="CO",2,(IF(E2103="IM",3,(IF(E2103="MI",4,(IF(E2103="RP",5,(IF(E2103="SC",6,0)))))))))))))))))))))))))))))))))))))))</f>
        <v>3</v>
      </c>
      <c r="G2103" s="52">
        <v>5</v>
      </c>
      <c r="H2103" s="90" t="s">
        <v>115</v>
      </c>
      <c r="I2103" s="94" t="s">
        <v>73</v>
      </c>
      <c r="J2103" s="118" t="s">
        <v>4221</v>
      </c>
      <c r="K2103" s="101" t="s">
        <v>4222</v>
      </c>
      <c r="L2103" s="117">
        <f>IF(O2103="","",N2103*O2103*M2103)</f>
        <v>0</v>
      </c>
      <c r="M2103" s="108">
        <v>1</v>
      </c>
      <c r="N2103" s="95">
        <v>1</v>
      </c>
      <c r="O2103" s="109">
        <f>IF(Key!D$1="ON",P2103,IF(SUM(Q2103:DL2103)&lt;1,"",SUM(Q2103:DL2103)/COUNTIF(Q2103:DL2103,"&gt;0")))</f>
        <v>0</v>
      </c>
      <c r="P2103" s="109">
        <f>SUMIFS(Q2103:DK2103,Q$1:DK$1,Dashboard!$K$31)</f>
        <v>0</v>
      </c>
      <c r="U2103" s="95">
        <v>33</v>
      </c>
      <c r="AA2103" s="95">
        <v>25</v>
      </c>
      <c r="AH2103" s="95">
        <v>75</v>
      </c>
    </row>
    <row r="2104" spans="1:34" ht="15.6" x14ac:dyDescent="0.3">
      <c r="A2104" s="89" t="str">
        <f>CONCATENATE(D2104,".",F2104,"-",G2104,".",H2104,"")</f>
        <v>2.3-5.1</v>
      </c>
      <c r="B2104" s="89" t="str">
        <f>IF(CONCATENATE(I2104,Key!F$2)=CONCATENATE(INDEX(Dashboard!J:J,MATCH(I2104,Dashboard!J:J,0),1),INDEX(Dashboard!J:K,MATCH(I2104,Dashboard!J:J,0),2)),"ON",IF(Dashboard!K$32="ALL","ON","-"))</f>
        <v>-</v>
      </c>
      <c r="C2104" s="88" t="s">
        <v>152</v>
      </c>
      <c r="D2104" s="89">
        <f>IF(C2104="ID",1,(IF(C2104="PR",2,(IF(C2104="DE",3,(IF(C2104="RS",4,(IF(C2104="RC",5,0)))))))))</f>
        <v>2</v>
      </c>
      <c r="E2104" s="89" t="s">
        <v>210</v>
      </c>
      <c r="F2104" s="89">
        <f>IF(E2104="AM",1,(IF(E2104="BE",2,(IF(E2104="GV",3,(IF(E2104="RA",4,(IF(E2104="RM",5,(IF(E2104="AC",1,(IF(E2104="AT",2,(IF(E2104="DS",3,(IF(E2104="IP",4,(IF(E2104="MA",5,(IF(E2104="PT",6,(IF(E2104="AE",1,(IF(E2104="CM",2,(IF(E2104="DP",3,(IF(E2104="AN",1,(IF(E2104="CO",2,(IF(E2104="IM",3,(IF(E2104="MI",4,(IF(E2104="RP",5,(IF(E2104="SC",6,0)))))))))))))))))))))))))))))))))))))))</f>
        <v>3</v>
      </c>
      <c r="G2104" s="52">
        <v>5</v>
      </c>
      <c r="H2104" s="90" t="s">
        <v>115</v>
      </c>
      <c r="I2104" s="94" t="s">
        <v>73</v>
      </c>
      <c r="J2104" s="118" t="s">
        <v>4223</v>
      </c>
      <c r="K2104" s="101" t="s">
        <v>5191</v>
      </c>
      <c r="L2104" s="117">
        <f>IF(O2104="","",N2104*O2104*M2104)</f>
        <v>0</v>
      </c>
      <c r="M2104" s="108">
        <v>1</v>
      </c>
      <c r="N2104" s="95">
        <v>1</v>
      </c>
      <c r="O2104" s="109">
        <f>IF(Key!D$1="ON",P2104,IF(SUM(Q2104:DL2104)&lt;1,"",SUM(Q2104:DL2104)/COUNTIF(Q2104:DL2104,"&gt;0")))</f>
        <v>0</v>
      </c>
      <c r="P2104" s="109">
        <f>SUMIFS(Q2104:DK2104,Q$1:DK$1,Dashboard!$K$31)</f>
        <v>0</v>
      </c>
      <c r="U2104" s="95">
        <v>33</v>
      </c>
      <c r="AA2104" s="95">
        <v>25</v>
      </c>
      <c r="AH2104" s="95">
        <v>75</v>
      </c>
    </row>
    <row r="2105" spans="1:34" x14ac:dyDescent="0.3">
      <c r="A2105" s="89" t="str">
        <f>CONCATENATE(D2105,".",F2105,"-",G2105,".",H2105,"")</f>
        <v>2.3-5.1</v>
      </c>
      <c r="B2105" s="89" t="str">
        <f>IF(CONCATENATE(I2105,Key!F$2)=CONCATENATE(INDEX(Dashboard!J:J,MATCH(I2105,Dashboard!J:J,0),1),INDEX(Dashboard!J:K,MATCH(I2105,Dashboard!J:J,0),2)),"ON",IF(Dashboard!K$32="ALL","ON","-"))</f>
        <v>-</v>
      </c>
      <c r="C2105" s="88" t="s">
        <v>152</v>
      </c>
      <c r="D2105" s="89">
        <f>IF(C2105="ID",1,(IF(C2105="PR",2,(IF(C2105="DE",3,(IF(C2105="RS",4,(IF(C2105="RC",5,0)))))))))</f>
        <v>2</v>
      </c>
      <c r="E2105" s="89" t="s">
        <v>210</v>
      </c>
      <c r="F2105" s="89">
        <f>IF(E2105="AM",1,(IF(E2105="BE",2,(IF(E2105="GV",3,(IF(E2105="RA",4,(IF(E2105="RM",5,(IF(E2105="AC",1,(IF(E2105="AT",2,(IF(E2105="DS",3,(IF(E2105="IP",4,(IF(E2105="MA",5,(IF(E2105="PT",6,(IF(E2105="AE",1,(IF(E2105="CM",2,(IF(E2105="DP",3,(IF(E2105="AN",1,(IF(E2105="CO",2,(IF(E2105="IM",3,(IF(E2105="MI",4,(IF(E2105="RP",5,(IF(E2105="SC",6,0)))))))))))))))))))))))))))))))))))))))</f>
        <v>3</v>
      </c>
      <c r="G2105" s="52">
        <v>5</v>
      </c>
      <c r="H2105" s="90" t="s">
        <v>115</v>
      </c>
      <c r="I2105" s="94" t="s">
        <v>73</v>
      </c>
      <c r="J2105" s="118" t="s">
        <v>4224</v>
      </c>
      <c r="K2105" s="101" t="s">
        <v>5192</v>
      </c>
      <c r="L2105" s="117">
        <f>IF(O2105="","",N2105*O2105*M2105)</f>
        <v>0</v>
      </c>
      <c r="M2105" s="108">
        <v>1</v>
      </c>
      <c r="N2105" s="95">
        <v>1</v>
      </c>
      <c r="O2105" s="109">
        <f>IF(Key!D$1="ON",P2105,IF(SUM(Q2105:DL2105)&lt;1,"",SUM(Q2105:DL2105)/COUNTIF(Q2105:DL2105,"&gt;0")))</f>
        <v>0</v>
      </c>
      <c r="P2105" s="109">
        <f>SUMIFS(Q2105:DK2105,Q$1:DK$1,Dashboard!$K$31)</f>
        <v>0</v>
      </c>
      <c r="U2105" s="95">
        <v>33</v>
      </c>
      <c r="AA2105" s="95">
        <v>25</v>
      </c>
      <c r="AH2105" s="95">
        <v>75</v>
      </c>
    </row>
    <row r="2106" spans="1:34" ht="15.6" x14ac:dyDescent="0.3">
      <c r="A2106" s="89" t="str">
        <f>CONCATENATE(D2106,".",F2106,"-",G2106,".",H2106,"")</f>
        <v>2.3-5.1</v>
      </c>
      <c r="B2106" s="89" t="str">
        <f>IF(CONCATENATE(I2106,Key!F$2)=CONCATENATE(INDEX(Dashboard!J:J,MATCH(I2106,Dashboard!J:J,0),1),INDEX(Dashboard!J:K,MATCH(I2106,Dashboard!J:J,0),2)),"ON",IF(Dashboard!K$32="ALL","ON","-"))</f>
        <v>-</v>
      </c>
      <c r="C2106" s="88" t="s">
        <v>152</v>
      </c>
      <c r="D2106" s="89">
        <f>IF(C2106="ID",1,(IF(C2106="PR",2,(IF(C2106="DE",3,(IF(C2106="RS",4,(IF(C2106="RC",5,0)))))))))</f>
        <v>2</v>
      </c>
      <c r="E2106" s="89" t="s">
        <v>210</v>
      </c>
      <c r="F2106" s="89">
        <f>IF(E2106="AM",1,(IF(E2106="BE",2,(IF(E2106="GV",3,(IF(E2106="RA",4,(IF(E2106="RM",5,(IF(E2106="AC",1,(IF(E2106="AT",2,(IF(E2106="DS",3,(IF(E2106="IP",4,(IF(E2106="MA",5,(IF(E2106="PT",6,(IF(E2106="AE",1,(IF(E2106="CM",2,(IF(E2106="DP",3,(IF(E2106="AN",1,(IF(E2106="CO",2,(IF(E2106="IM",3,(IF(E2106="MI",4,(IF(E2106="RP",5,(IF(E2106="SC",6,0)))))))))))))))))))))))))))))))))))))))</f>
        <v>3</v>
      </c>
      <c r="G2106" s="52">
        <v>5</v>
      </c>
      <c r="H2106" s="90" t="s">
        <v>115</v>
      </c>
      <c r="I2106" s="94" t="s">
        <v>73</v>
      </c>
      <c r="J2106" s="118" t="s">
        <v>4225</v>
      </c>
      <c r="K2106" s="101" t="s">
        <v>4226</v>
      </c>
      <c r="L2106" s="117">
        <f>IF(O2106="","",N2106*O2106*M2106)</f>
        <v>0</v>
      </c>
      <c r="M2106" s="108">
        <v>1</v>
      </c>
      <c r="N2106" s="95">
        <v>1</v>
      </c>
      <c r="O2106" s="109">
        <f>IF(Key!D$1="ON",P2106,IF(SUM(Q2106:DL2106)&lt;1,"",SUM(Q2106:DL2106)/COUNTIF(Q2106:DL2106,"&gt;0")))</f>
        <v>0</v>
      </c>
      <c r="P2106" s="109">
        <f>SUMIFS(Q2106:DK2106,Q$1:DK$1,Dashboard!$K$31)</f>
        <v>0</v>
      </c>
      <c r="U2106" s="95">
        <v>33</v>
      </c>
      <c r="AA2106" s="95">
        <v>25</v>
      </c>
      <c r="AH2106" s="95">
        <v>75</v>
      </c>
    </row>
    <row r="2107" spans="1:34" x14ac:dyDescent="0.3">
      <c r="A2107" s="89" t="str">
        <f>CONCATENATE(D2107,".",F2107,"-",G2107,".",H2107,"")</f>
        <v>2.3-5.1</v>
      </c>
      <c r="B2107" s="89" t="str">
        <f>IF(CONCATENATE(I2107,Key!F$2)=CONCATENATE(INDEX(Dashboard!J:J,MATCH(I2107,Dashboard!J:J,0),1),INDEX(Dashboard!J:K,MATCH(I2107,Dashboard!J:J,0),2)),"ON",IF(Dashboard!K$32="ALL","ON","-"))</f>
        <v>-</v>
      </c>
      <c r="C2107" s="88" t="s">
        <v>152</v>
      </c>
      <c r="D2107" s="89">
        <f>IF(C2107="ID",1,(IF(C2107="PR",2,(IF(C2107="DE",3,(IF(C2107="RS",4,(IF(C2107="RC",5,0)))))))))</f>
        <v>2</v>
      </c>
      <c r="E2107" s="89" t="s">
        <v>210</v>
      </c>
      <c r="F2107" s="89">
        <f>IF(E2107="AM",1,(IF(E2107="BE",2,(IF(E2107="GV",3,(IF(E2107="RA",4,(IF(E2107="RM",5,(IF(E2107="AC",1,(IF(E2107="AT",2,(IF(E2107="DS",3,(IF(E2107="IP",4,(IF(E2107="MA",5,(IF(E2107="PT",6,(IF(E2107="AE",1,(IF(E2107="CM",2,(IF(E2107="DP",3,(IF(E2107="AN",1,(IF(E2107="CO",2,(IF(E2107="IM",3,(IF(E2107="MI",4,(IF(E2107="RP",5,(IF(E2107="SC",6,0)))))))))))))))))))))))))))))))))))))))</f>
        <v>3</v>
      </c>
      <c r="G2107" s="52">
        <v>5</v>
      </c>
      <c r="H2107" s="90" t="s">
        <v>115</v>
      </c>
      <c r="I2107" s="94" t="s">
        <v>73</v>
      </c>
      <c r="J2107" s="118" t="s">
        <v>4248</v>
      </c>
      <c r="K2107" s="101" t="s">
        <v>5186</v>
      </c>
      <c r="L2107" s="117">
        <f>IF(O2107="","",N2107*O2107*M2107)</f>
        <v>0</v>
      </c>
      <c r="M2107" s="108">
        <v>1</v>
      </c>
      <c r="N2107" s="95">
        <v>1</v>
      </c>
      <c r="O2107" s="109">
        <f>IF(Key!D$1="ON",P2107,IF(SUM(Q2107:DL2107)&lt;1,"",SUM(Q2107:DL2107)/COUNTIF(Q2107:DL2107,"&gt;0")))</f>
        <v>0</v>
      </c>
      <c r="P2107" s="109">
        <f>SUMIFS(Q2107:DK2107,Q$1:DK$1,Dashboard!$K$31)</f>
        <v>0</v>
      </c>
      <c r="U2107" s="95">
        <v>33</v>
      </c>
      <c r="AA2107" s="95">
        <v>25</v>
      </c>
      <c r="AH2107" s="95">
        <v>75</v>
      </c>
    </row>
    <row r="2108" spans="1:34" x14ac:dyDescent="0.3">
      <c r="A2108" s="89" t="str">
        <f>CONCATENATE(D2108,".",F2108,"-",G2108,".",H2108,"")</f>
        <v>2.3-5.1</v>
      </c>
      <c r="B2108" s="89" t="str">
        <f>IF(CONCATENATE(I2108,Key!F$2)=CONCATENATE(INDEX(Dashboard!J:J,MATCH(I2108,Dashboard!J:J,0),1),INDEX(Dashboard!J:K,MATCH(I2108,Dashboard!J:J,0),2)),"ON",IF(Dashboard!K$32="ALL","ON","-"))</f>
        <v>-</v>
      </c>
      <c r="C2108" s="88" t="s">
        <v>152</v>
      </c>
      <c r="D2108" s="89">
        <f>IF(C2108="ID",1,(IF(C2108="PR",2,(IF(C2108="DE",3,(IF(C2108="RS",4,(IF(C2108="RC",5,0)))))))))</f>
        <v>2</v>
      </c>
      <c r="E2108" s="89" t="s">
        <v>210</v>
      </c>
      <c r="F2108" s="89">
        <f>IF(E2108="AM",1,(IF(E2108="BE",2,(IF(E2108="GV",3,(IF(E2108="RA",4,(IF(E2108="RM",5,(IF(E2108="AC",1,(IF(E2108="AT",2,(IF(E2108="DS",3,(IF(E2108="IP",4,(IF(E2108="MA",5,(IF(E2108="PT",6,(IF(E2108="AE",1,(IF(E2108="CM",2,(IF(E2108="DP",3,(IF(E2108="AN",1,(IF(E2108="CO",2,(IF(E2108="IM",3,(IF(E2108="MI",4,(IF(E2108="RP",5,(IF(E2108="SC",6,0)))))))))))))))))))))))))))))))))))))))</f>
        <v>3</v>
      </c>
      <c r="G2108" s="52">
        <v>5</v>
      </c>
      <c r="H2108" s="90" t="s">
        <v>115</v>
      </c>
      <c r="I2108" s="94" t="s">
        <v>73</v>
      </c>
      <c r="J2108" s="118" t="s">
        <v>219</v>
      </c>
      <c r="K2108" s="101" t="s">
        <v>4146</v>
      </c>
      <c r="L2108" s="117">
        <f>IF(O2108="","",N2108*O2108*M2108)</f>
        <v>0</v>
      </c>
      <c r="M2108" s="108">
        <v>1</v>
      </c>
      <c r="N2108" s="95">
        <v>1</v>
      </c>
      <c r="O2108" s="109">
        <f>IF(Key!D$1="ON",P2108,IF(SUM(Q2108:DL2108)&lt;1,"",SUM(Q2108:DL2108)/COUNTIF(Q2108:DL2108,"&gt;0")))</f>
        <v>0</v>
      </c>
      <c r="P2108" s="109">
        <f>SUMIFS(Q2108:DK2108,Q$1:DK$1,Dashboard!$K$31)</f>
        <v>0</v>
      </c>
      <c r="U2108" s="95">
        <v>33</v>
      </c>
      <c r="AA2108" s="95">
        <v>25</v>
      </c>
      <c r="AH2108" s="95">
        <v>75</v>
      </c>
    </row>
    <row r="2109" spans="1:34" x14ac:dyDescent="0.3">
      <c r="A2109" s="89" t="str">
        <f>CONCATENATE(D2109,".",F2109,"-",G2109,".",H2109,"")</f>
        <v>2.3-5.1</v>
      </c>
      <c r="B2109" s="89" t="str">
        <f>IF(CONCATENATE(I2109,Key!F$2)=CONCATENATE(INDEX(Dashboard!J:J,MATCH(I2109,Dashboard!J:J,0),1),INDEX(Dashboard!J:K,MATCH(I2109,Dashboard!J:J,0),2)),"ON",IF(Dashboard!K$32="ALL","ON","-"))</f>
        <v>-</v>
      </c>
      <c r="C2109" s="88" t="s">
        <v>152</v>
      </c>
      <c r="D2109" s="89">
        <f>IF(C2109="ID",1,(IF(C2109="PR",2,(IF(C2109="DE",3,(IF(C2109="RS",4,(IF(C2109="RC",5,0)))))))))</f>
        <v>2</v>
      </c>
      <c r="E2109" s="89" t="s">
        <v>210</v>
      </c>
      <c r="F2109" s="89">
        <f>IF(E2109="AM",1,(IF(E2109="BE",2,(IF(E2109="GV",3,(IF(E2109="RA",4,(IF(E2109="RM",5,(IF(E2109="AC",1,(IF(E2109="AT",2,(IF(E2109="DS",3,(IF(E2109="IP",4,(IF(E2109="MA",5,(IF(E2109="PT",6,(IF(E2109="AE",1,(IF(E2109="CM",2,(IF(E2109="DP",3,(IF(E2109="AN",1,(IF(E2109="CO",2,(IF(E2109="IM",3,(IF(E2109="MI",4,(IF(E2109="RP",5,(IF(E2109="SC",6,0)))))))))))))))))))))))))))))))))))))))</f>
        <v>3</v>
      </c>
      <c r="G2109" s="98">
        <v>5</v>
      </c>
      <c r="H2109" s="99">
        <v>1</v>
      </c>
      <c r="I2109" s="94" t="s">
        <v>73</v>
      </c>
      <c r="J2109" s="118" t="s">
        <v>4200</v>
      </c>
      <c r="K2109" s="107" t="s">
        <v>4321</v>
      </c>
      <c r="L2109" s="117">
        <f>IF(O2109="","",N2109*O2109*M2109)</f>
        <v>0</v>
      </c>
      <c r="M2109" s="108">
        <v>1</v>
      </c>
      <c r="N2109" s="95">
        <v>1</v>
      </c>
      <c r="O2109" s="109">
        <f>IF(Key!D$1="ON",P2109,IF(SUM(Q2109:DL2109)&lt;1,"",SUM(Q2109:DL2109)/COUNTIF(Q2109:DL2109,"&gt;0")))</f>
        <v>0</v>
      </c>
      <c r="P2109" s="109">
        <f>SUMIFS(Q2109:DK2109,Q$1:DK$1,Dashboard!$K$31)</f>
        <v>0</v>
      </c>
      <c r="U2109" s="95">
        <v>33</v>
      </c>
      <c r="AA2109" s="95">
        <v>25</v>
      </c>
      <c r="AH2109" s="95">
        <v>75</v>
      </c>
    </row>
    <row r="2110" spans="1:34" x14ac:dyDescent="0.3">
      <c r="A2110" s="89" t="str">
        <f>CONCATENATE(D2110,".",F2110,"-",G2110,".",H2110,"")</f>
        <v>2.3-5.1</v>
      </c>
      <c r="B2110" s="89" t="str">
        <f>IF(CONCATENATE(I2110,Key!F$2)=CONCATENATE(INDEX(Dashboard!J:J,MATCH(I2110,Dashboard!J:J,0),1),INDEX(Dashboard!J:K,MATCH(I2110,Dashboard!J:J,0),2)),"ON",IF(Dashboard!K$32="ALL","ON","-"))</f>
        <v>-</v>
      </c>
      <c r="C2110" s="88" t="s">
        <v>152</v>
      </c>
      <c r="D2110" s="89">
        <f>IF(C2110="ID",1,(IF(C2110="PR",2,(IF(C2110="DE",3,(IF(C2110="RS",4,(IF(C2110="RC",5,0)))))))))</f>
        <v>2</v>
      </c>
      <c r="E2110" s="89" t="s">
        <v>210</v>
      </c>
      <c r="F2110" s="89">
        <f>IF(E2110="AM",1,(IF(E2110="BE",2,(IF(E2110="GV",3,(IF(E2110="RA",4,(IF(E2110="RM",5,(IF(E2110="AC",1,(IF(E2110="AT",2,(IF(E2110="DS",3,(IF(E2110="IP",4,(IF(E2110="MA",5,(IF(E2110="PT",6,(IF(E2110="AE",1,(IF(E2110="CM",2,(IF(E2110="DP",3,(IF(E2110="AN",1,(IF(E2110="CO",2,(IF(E2110="IM",3,(IF(E2110="MI",4,(IF(E2110="RP",5,(IF(E2110="SC",6,0)))))))))))))))))))))))))))))))))))))))</f>
        <v>3</v>
      </c>
      <c r="G2110" s="52">
        <v>5</v>
      </c>
      <c r="H2110" s="90" t="s">
        <v>115</v>
      </c>
      <c r="I2110" s="94" t="s">
        <v>77</v>
      </c>
      <c r="J2110" s="128" t="s">
        <v>1192</v>
      </c>
      <c r="K2110" s="102" t="s">
        <v>2220</v>
      </c>
      <c r="L2110" s="117">
        <f>IF(O2110="","",N2110*O2110*M2110)</f>
        <v>0</v>
      </c>
      <c r="M2110" s="108">
        <v>1</v>
      </c>
      <c r="N2110" s="95">
        <v>1</v>
      </c>
      <c r="O2110" s="109">
        <f>IF(Key!D$1="ON",P2110,IF(SUM(Q2110:DL2110)&lt;1,"",SUM(Q2110:DL2110)/COUNTIF(Q2110:DL2110,"&gt;0")))</f>
        <v>0</v>
      </c>
      <c r="P2110" s="109">
        <f>SUMIFS(Q2110:DK2110,Q$1:DK$1,Dashboard!$K$31)</f>
        <v>0</v>
      </c>
      <c r="U2110" s="95">
        <v>33</v>
      </c>
      <c r="AA2110" s="95">
        <v>25</v>
      </c>
      <c r="AH2110" s="95">
        <v>75</v>
      </c>
    </row>
    <row r="2111" spans="1:34" x14ac:dyDescent="0.3">
      <c r="A2111" s="89" t="str">
        <f>CONCATENATE(D2111,".",F2111,"-",G2111,".",H2111,"")</f>
        <v>2.3-5.1</v>
      </c>
      <c r="B2111" s="89" t="str">
        <f>IF(CONCATENATE(I2111,Key!F$2)=CONCATENATE(INDEX(Dashboard!J:J,MATCH(I2111,Dashboard!J:J,0),1),INDEX(Dashboard!J:K,MATCH(I2111,Dashboard!J:J,0),2)),"ON",IF(Dashboard!K$32="ALL","ON","-"))</f>
        <v>-</v>
      </c>
      <c r="C2111" s="88" t="s">
        <v>152</v>
      </c>
      <c r="D2111" s="89">
        <f>IF(C2111="ID",1,(IF(C2111="PR",2,(IF(C2111="DE",3,(IF(C2111="RS",4,(IF(C2111="RC",5,0)))))))))</f>
        <v>2</v>
      </c>
      <c r="E2111" s="89" t="s">
        <v>210</v>
      </c>
      <c r="F2111" s="89">
        <f>IF(E2111="AM",1,(IF(E2111="BE",2,(IF(E2111="GV",3,(IF(E2111="RA",4,(IF(E2111="RM",5,(IF(E2111="AC",1,(IF(E2111="AT",2,(IF(E2111="DS",3,(IF(E2111="IP",4,(IF(E2111="MA",5,(IF(E2111="PT",6,(IF(E2111="AE",1,(IF(E2111="CM",2,(IF(E2111="DP",3,(IF(E2111="AN",1,(IF(E2111="CO",2,(IF(E2111="IM",3,(IF(E2111="MI",4,(IF(E2111="RP",5,(IF(E2111="SC",6,0)))))))))))))))))))))))))))))))))))))))</f>
        <v>3</v>
      </c>
      <c r="G2111" s="52">
        <v>5</v>
      </c>
      <c r="H2111" s="90" t="s">
        <v>115</v>
      </c>
      <c r="I2111" s="94" t="s">
        <v>77</v>
      </c>
      <c r="J2111" s="128" t="s">
        <v>1394</v>
      </c>
      <c r="K2111" s="102" t="s">
        <v>2385</v>
      </c>
      <c r="L2111" s="117">
        <f>IF(O2111="","",N2111*O2111*M2111)</f>
        <v>0</v>
      </c>
      <c r="M2111" s="108">
        <v>1</v>
      </c>
      <c r="N2111" s="95">
        <v>1</v>
      </c>
      <c r="O2111" s="109">
        <f>IF(Key!D$1="ON",P2111,IF(SUM(Q2111:DL2111)&lt;1,"",SUM(Q2111:DL2111)/COUNTIF(Q2111:DL2111,"&gt;0")))</f>
        <v>0</v>
      </c>
      <c r="P2111" s="109">
        <f>SUMIFS(Q2111:DK2111,Q$1:DK$1,Dashboard!$K$31)</f>
        <v>0</v>
      </c>
      <c r="U2111" s="95">
        <v>33</v>
      </c>
      <c r="AA2111" s="95">
        <v>25</v>
      </c>
      <c r="AH2111" s="95">
        <v>75</v>
      </c>
    </row>
    <row r="2112" spans="1:34" x14ac:dyDescent="0.3">
      <c r="A2112" s="89" t="str">
        <f>CONCATENATE(D2112,".",F2112,"-",G2112,".",H2112,"")</f>
        <v>2.3-5.1</v>
      </c>
      <c r="B2112" s="89" t="str">
        <f>IF(CONCATENATE(I2112,Key!F$2)=CONCATENATE(INDEX(Dashboard!J:J,MATCH(I2112,Dashboard!J:J,0),1),INDEX(Dashboard!J:K,MATCH(I2112,Dashboard!J:J,0),2)),"ON",IF(Dashboard!K$32="ALL","ON","-"))</f>
        <v>-</v>
      </c>
      <c r="C2112" s="88" t="s">
        <v>152</v>
      </c>
      <c r="D2112" s="89">
        <f>IF(C2112="ID",1,(IF(C2112="PR",2,(IF(C2112="DE",3,(IF(C2112="RS",4,(IF(C2112="RC",5,0)))))))))</f>
        <v>2</v>
      </c>
      <c r="E2112" s="89" t="s">
        <v>210</v>
      </c>
      <c r="F2112" s="89">
        <f>IF(E2112="AM",1,(IF(E2112="BE",2,(IF(E2112="GV",3,(IF(E2112="RA",4,(IF(E2112="RM",5,(IF(E2112="AC",1,(IF(E2112="AT",2,(IF(E2112="DS",3,(IF(E2112="IP",4,(IF(E2112="MA",5,(IF(E2112="PT",6,(IF(E2112="AE",1,(IF(E2112="CM",2,(IF(E2112="DP",3,(IF(E2112="AN",1,(IF(E2112="CO",2,(IF(E2112="IM",3,(IF(E2112="MI",4,(IF(E2112="RP",5,(IF(E2112="SC",6,0)))))))))))))))))))))))))))))))))))))))</f>
        <v>3</v>
      </c>
      <c r="G2112" s="52">
        <v>5</v>
      </c>
      <c r="H2112" s="90" t="s">
        <v>115</v>
      </c>
      <c r="I2112" s="94" t="s">
        <v>77</v>
      </c>
      <c r="J2112" s="128" t="s">
        <v>1395</v>
      </c>
      <c r="K2112" s="102" t="s">
        <v>2386</v>
      </c>
      <c r="L2112" s="117">
        <f>IF(O2112="","",N2112*O2112*M2112)</f>
        <v>0</v>
      </c>
      <c r="M2112" s="108">
        <v>1</v>
      </c>
      <c r="N2112" s="95">
        <v>1</v>
      </c>
      <c r="O2112" s="109">
        <f>IF(Key!D$1="ON",P2112,IF(SUM(Q2112:DL2112)&lt;1,"",SUM(Q2112:DL2112)/COUNTIF(Q2112:DL2112,"&gt;0")))</f>
        <v>0</v>
      </c>
      <c r="P2112" s="109">
        <f>SUMIFS(Q2112:DK2112,Q$1:DK$1,Dashboard!$K$31)</f>
        <v>0</v>
      </c>
      <c r="U2112" s="95">
        <v>33</v>
      </c>
      <c r="AA2112" s="95">
        <v>25</v>
      </c>
      <c r="AH2112" s="95">
        <v>75</v>
      </c>
    </row>
    <row r="2113" spans="1:34" ht="15.6" x14ac:dyDescent="0.3">
      <c r="A2113" s="89" t="str">
        <f>CONCATENATE(D2113,".",F2113,"-",G2113,".",H2113,"")</f>
        <v>2.3-5.1</v>
      </c>
      <c r="B2113" s="89" t="str">
        <f>IF(CONCATENATE(I2113,Key!F$2)=CONCATENATE(INDEX(Dashboard!J:J,MATCH(I2113,Dashboard!J:J,0),1),INDEX(Dashboard!J:K,MATCH(I2113,Dashboard!J:J,0),2)),"ON",IF(Dashboard!K$32="ALL","ON","-"))</f>
        <v>-</v>
      </c>
      <c r="C2113" s="88" t="s">
        <v>152</v>
      </c>
      <c r="D2113" s="89">
        <f>IF(C2113="ID",1,(IF(C2113="PR",2,(IF(C2113="DE",3,(IF(C2113="RS",4,(IF(C2113="RC",5,0)))))))))</f>
        <v>2</v>
      </c>
      <c r="E2113" s="89" t="s">
        <v>210</v>
      </c>
      <c r="F2113" s="89">
        <f>IF(E2113="AM",1,(IF(E2113="BE",2,(IF(E2113="GV",3,(IF(E2113="RA",4,(IF(E2113="RM",5,(IF(E2113="AC",1,(IF(E2113="AT",2,(IF(E2113="DS",3,(IF(E2113="IP",4,(IF(E2113="MA",5,(IF(E2113="PT",6,(IF(E2113="AE",1,(IF(E2113="CM",2,(IF(E2113="DP",3,(IF(E2113="AN",1,(IF(E2113="CO",2,(IF(E2113="IM",3,(IF(E2113="MI",4,(IF(E2113="RP",5,(IF(E2113="SC",6,0)))))))))))))))))))))))))))))))))))))))</f>
        <v>3</v>
      </c>
      <c r="G2113" s="52">
        <v>5</v>
      </c>
      <c r="H2113" s="90" t="s">
        <v>115</v>
      </c>
      <c r="I2113" s="94" t="s">
        <v>77</v>
      </c>
      <c r="J2113" s="128" t="s">
        <v>1397</v>
      </c>
      <c r="K2113" s="102" t="s">
        <v>2387</v>
      </c>
      <c r="L2113" s="117">
        <f>IF(O2113="","",N2113*O2113*M2113)</f>
        <v>0</v>
      </c>
      <c r="M2113" s="108">
        <v>1</v>
      </c>
      <c r="N2113" s="95">
        <v>1</v>
      </c>
      <c r="O2113" s="109">
        <f>IF(Key!D$1="ON",P2113,IF(SUM(Q2113:DL2113)&lt;1,"",SUM(Q2113:DL2113)/COUNTIF(Q2113:DL2113,"&gt;0")))</f>
        <v>0</v>
      </c>
      <c r="P2113" s="109">
        <f>SUMIFS(Q2113:DK2113,Q$1:DK$1,Dashboard!$K$31)</f>
        <v>0</v>
      </c>
      <c r="U2113" s="95">
        <v>33</v>
      </c>
      <c r="AA2113" s="95">
        <v>25</v>
      </c>
      <c r="AH2113" s="95">
        <v>75</v>
      </c>
    </row>
    <row r="2114" spans="1:34" x14ac:dyDescent="0.3">
      <c r="A2114" s="89" t="str">
        <f>CONCATENATE(D2114,".",F2114,"-",G2114,".",H2114,"")</f>
        <v>2.3-5.1</v>
      </c>
      <c r="B2114" s="89" t="str">
        <f>IF(CONCATENATE(I2114,Key!F$2)=CONCATENATE(INDEX(Dashboard!J:J,MATCH(I2114,Dashboard!J:J,0),1),INDEX(Dashboard!J:K,MATCH(I2114,Dashboard!J:J,0),2)),"ON",IF(Dashboard!K$32="ALL","ON","-"))</f>
        <v>-</v>
      </c>
      <c r="C2114" s="88" t="s">
        <v>152</v>
      </c>
      <c r="D2114" s="89">
        <f>IF(C2114="ID",1,(IF(C2114="PR",2,(IF(C2114="DE",3,(IF(C2114="RS",4,(IF(C2114="RC",5,0)))))))))</f>
        <v>2</v>
      </c>
      <c r="E2114" s="89" t="s">
        <v>210</v>
      </c>
      <c r="F2114" s="89">
        <f>IF(E2114="AM",1,(IF(E2114="BE",2,(IF(E2114="GV",3,(IF(E2114="RA",4,(IF(E2114="RM",5,(IF(E2114="AC",1,(IF(E2114="AT",2,(IF(E2114="DS",3,(IF(E2114="IP",4,(IF(E2114="MA",5,(IF(E2114="PT",6,(IF(E2114="AE",1,(IF(E2114="CM",2,(IF(E2114="DP",3,(IF(E2114="AN",1,(IF(E2114="CO",2,(IF(E2114="IM",3,(IF(E2114="MI",4,(IF(E2114="RP",5,(IF(E2114="SC",6,0)))))))))))))))))))))))))))))))))))))))</f>
        <v>3</v>
      </c>
      <c r="G2114" s="52">
        <v>5</v>
      </c>
      <c r="H2114" s="90" t="s">
        <v>115</v>
      </c>
      <c r="I2114" s="94" t="s">
        <v>77</v>
      </c>
      <c r="J2114" s="128" t="s">
        <v>1398</v>
      </c>
      <c r="K2114" s="55" t="s">
        <v>2388</v>
      </c>
      <c r="L2114" s="117">
        <f>IF(O2114="","",N2114*O2114*M2114)</f>
        <v>0</v>
      </c>
      <c r="M2114" s="108">
        <v>1</v>
      </c>
      <c r="N2114" s="95">
        <v>1</v>
      </c>
      <c r="O2114" s="109">
        <f>IF(Key!D$1="ON",P2114,IF(SUM(Q2114:DL2114)&lt;1,"",SUM(Q2114:DL2114)/COUNTIF(Q2114:DL2114,"&gt;0")))</f>
        <v>0</v>
      </c>
      <c r="P2114" s="109">
        <f>SUMIFS(Q2114:DK2114,Q$1:DK$1,Dashboard!$K$31)</f>
        <v>0</v>
      </c>
      <c r="U2114" s="95">
        <v>33</v>
      </c>
      <c r="AA2114" s="95">
        <v>25</v>
      </c>
      <c r="AH2114" s="95">
        <v>75</v>
      </c>
    </row>
    <row r="2115" spans="1:34" x14ac:dyDescent="0.3">
      <c r="A2115" s="89" t="str">
        <f>CONCATENATE(D2115,".",F2115,"-",G2115,".",H2115,"")</f>
        <v>2.3-5.1</v>
      </c>
      <c r="B2115" s="89" t="str">
        <f>IF(CONCATENATE(I2115,Key!F$2)=CONCATENATE(INDEX(Dashboard!J:J,MATCH(I2115,Dashboard!J:J,0),1),INDEX(Dashboard!J:K,MATCH(I2115,Dashboard!J:J,0),2)),"ON",IF(Dashboard!K$32="ALL","ON","-"))</f>
        <v>-</v>
      </c>
      <c r="C2115" s="88" t="s">
        <v>152</v>
      </c>
      <c r="D2115" s="89">
        <f>IF(C2115="ID",1,(IF(C2115="PR",2,(IF(C2115="DE",3,(IF(C2115="RS",4,(IF(C2115="RC",5,0)))))))))</f>
        <v>2</v>
      </c>
      <c r="E2115" s="89" t="s">
        <v>210</v>
      </c>
      <c r="F2115" s="89">
        <f>IF(E2115="AM",1,(IF(E2115="BE",2,(IF(E2115="GV",3,(IF(E2115="RA",4,(IF(E2115="RM",5,(IF(E2115="AC",1,(IF(E2115="AT",2,(IF(E2115="DS",3,(IF(E2115="IP",4,(IF(E2115="MA",5,(IF(E2115="PT",6,(IF(E2115="AE",1,(IF(E2115="CM",2,(IF(E2115="DP",3,(IF(E2115="AN",1,(IF(E2115="CO",2,(IF(E2115="IM",3,(IF(E2115="MI",4,(IF(E2115="RP",5,(IF(E2115="SC",6,0)))))))))))))))))))))))))))))))))))))))</f>
        <v>3</v>
      </c>
      <c r="G2115" s="52">
        <v>5</v>
      </c>
      <c r="H2115" s="90" t="s">
        <v>115</v>
      </c>
      <c r="I2115" s="94" t="s">
        <v>77</v>
      </c>
      <c r="J2115" s="128" t="s">
        <v>1400</v>
      </c>
      <c r="K2115" s="103" t="s">
        <v>2389</v>
      </c>
      <c r="L2115" s="117">
        <f>IF(O2115="","",N2115*O2115*M2115)</f>
        <v>0</v>
      </c>
      <c r="M2115" s="108">
        <v>1</v>
      </c>
      <c r="N2115" s="95">
        <v>1</v>
      </c>
      <c r="O2115" s="109">
        <f>IF(Key!D$1="ON",P2115,IF(SUM(Q2115:DL2115)&lt;1,"",SUM(Q2115:DL2115)/COUNTIF(Q2115:DL2115,"&gt;0")))</f>
        <v>0</v>
      </c>
      <c r="P2115" s="109">
        <f>SUMIFS(Q2115:DK2115,Q$1:DK$1,Dashboard!$K$31)</f>
        <v>0</v>
      </c>
      <c r="U2115" s="95">
        <v>33</v>
      </c>
      <c r="AA2115" s="95">
        <v>25</v>
      </c>
      <c r="AH2115" s="95">
        <v>75</v>
      </c>
    </row>
    <row r="2116" spans="1:34" x14ac:dyDescent="0.3">
      <c r="A2116" s="89" t="str">
        <f>CONCATENATE(D2116,".",F2116,"-",G2116,".",H2116,"")</f>
        <v>2.3-5.1</v>
      </c>
      <c r="B2116" s="89" t="str">
        <f>IF(CONCATENATE(I2116,Key!F$2)=CONCATENATE(INDEX(Dashboard!J:J,MATCH(I2116,Dashboard!J:J,0),1),INDEX(Dashboard!J:K,MATCH(I2116,Dashboard!J:J,0),2)),"ON",IF(Dashboard!K$32="ALL","ON","-"))</f>
        <v>-</v>
      </c>
      <c r="C2116" s="88" t="s">
        <v>152</v>
      </c>
      <c r="D2116" s="89">
        <f>IF(C2116="ID",1,(IF(C2116="PR",2,(IF(C2116="DE",3,(IF(C2116="RS",4,(IF(C2116="RC",5,0)))))))))</f>
        <v>2</v>
      </c>
      <c r="E2116" s="89" t="s">
        <v>210</v>
      </c>
      <c r="F2116" s="89">
        <f>IF(E2116="AM",1,(IF(E2116="BE",2,(IF(E2116="GV",3,(IF(E2116="RA",4,(IF(E2116="RM",5,(IF(E2116="AC",1,(IF(E2116="AT",2,(IF(E2116="DS",3,(IF(E2116="IP",4,(IF(E2116="MA",5,(IF(E2116="PT",6,(IF(E2116="AE",1,(IF(E2116="CM",2,(IF(E2116="DP",3,(IF(E2116="AN",1,(IF(E2116="CO",2,(IF(E2116="IM",3,(IF(E2116="MI",4,(IF(E2116="RP",5,(IF(E2116="SC",6,0)))))))))))))))))))))))))))))))))))))))</f>
        <v>3</v>
      </c>
      <c r="G2116" s="52">
        <v>5</v>
      </c>
      <c r="H2116" s="90" t="s">
        <v>115</v>
      </c>
      <c r="I2116" s="94" t="s">
        <v>77</v>
      </c>
      <c r="J2116" s="128" t="s">
        <v>1401</v>
      </c>
      <c r="K2116" s="103" t="s">
        <v>2390</v>
      </c>
      <c r="L2116" s="117">
        <f>IF(O2116="","",N2116*O2116*M2116)</f>
        <v>0</v>
      </c>
      <c r="M2116" s="108">
        <v>1</v>
      </c>
      <c r="N2116" s="95">
        <v>1</v>
      </c>
      <c r="O2116" s="109">
        <f>IF(Key!D$1="ON",P2116,IF(SUM(Q2116:DL2116)&lt;1,"",SUM(Q2116:DL2116)/COUNTIF(Q2116:DL2116,"&gt;0")))</f>
        <v>0</v>
      </c>
      <c r="P2116" s="109">
        <f>SUMIFS(Q2116:DK2116,Q$1:DK$1,Dashboard!$K$31)</f>
        <v>0</v>
      </c>
      <c r="U2116" s="95">
        <v>33</v>
      </c>
      <c r="AA2116" s="95">
        <v>25</v>
      </c>
      <c r="AH2116" s="95">
        <v>75</v>
      </c>
    </row>
    <row r="2117" spans="1:34" x14ac:dyDescent="0.3">
      <c r="A2117" s="89" t="str">
        <f>CONCATENATE(D2117,".",F2117,"-",G2117,".",H2117,"")</f>
        <v>2.3-5.1</v>
      </c>
      <c r="B2117" s="89" t="str">
        <f>IF(CONCATENATE(I2117,Key!F$2)=CONCATENATE(INDEX(Dashboard!J:J,MATCH(I2117,Dashboard!J:J,0),1),INDEX(Dashboard!J:K,MATCH(I2117,Dashboard!J:J,0),2)),"ON",IF(Dashboard!K$32="ALL","ON","-"))</f>
        <v>-</v>
      </c>
      <c r="C2117" s="96" t="s">
        <v>152</v>
      </c>
      <c r="D2117" s="89">
        <f>IF(C2117="ID",1,(IF(C2117="PR",2,(IF(C2117="DE",3,(IF(C2117="RS",4,(IF(C2117="RC",5,0)))))))))</f>
        <v>2</v>
      </c>
      <c r="E2117" s="89" t="s">
        <v>210</v>
      </c>
      <c r="F2117" s="89">
        <f>IF(E2117="AM",1,(IF(E2117="BE",2,(IF(E2117="GV",3,(IF(E2117="RA",4,(IF(E2117="RM",5,(IF(E2117="AC",1,(IF(E2117="AT",2,(IF(E2117="DS",3,(IF(E2117="IP",4,(IF(E2117="MA",5,(IF(E2117="PT",6,(IF(E2117="AE",1,(IF(E2117="CM",2,(IF(E2117="DP",3,(IF(E2117="AN",1,(IF(E2117="CO",2,(IF(E2117="IM",3,(IF(E2117="MI",4,(IF(E2117="RP",5,(IF(E2117="SC",6,0)))))))))))))))))))))))))))))))))))))))</f>
        <v>3</v>
      </c>
      <c r="G2117" s="98">
        <v>5</v>
      </c>
      <c r="H2117" s="90" t="s">
        <v>115</v>
      </c>
      <c r="I2117" s="94" t="s">
        <v>77</v>
      </c>
      <c r="J2117" s="128" t="s">
        <v>1402</v>
      </c>
      <c r="K2117" s="102" t="s">
        <v>2391</v>
      </c>
      <c r="L2117" s="117">
        <f>IF(O2117="","",N2117*O2117*M2117)</f>
        <v>0</v>
      </c>
      <c r="M2117" s="108">
        <v>1</v>
      </c>
      <c r="N2117" s="95">
        <v>1</v>
      </c>
      <c r="O2117" s="109">
        <f>IF(Key!D$1="ON",P2117,IF(SUM(Q2117:DL2117)&lt;1,"",SUM(Q2117:DL2117)/COUNTIF(Q2117:DL2117,"&gt;0")))</f>
        <v>0</v>
      </c>
      <c r="P2117" s="109">
        <f>SUMIFS(Q2117:DK2117,Q$1:DK$1,Dashboard!$K$31)</f>
        <v>0</v>
      </c>
      <c r="U2117" s="95">
        <v>33</v>
      </c>
      <c r="AA2117" s="95">
        <v>25</v>
      </c>
      <c r="AH2117" s="95">
        <v>75</v>
      </c>
    </row>
    <row r="2118" spans="1:34" x14ac:dyDescent="0.3">
      <c r="A2118" s="89" t="str">
        <f>CONCATENATE(D2118,".",F2118,"-",G2118,".",H2118,"")</f>
        <v>2.3-5.1</v>
      </c>
      <c r="B2118" s="89" t="str">
        <f>IF(CONCATENATE(I2118,Key!F$2)=CONCATENATE(INDEX(Dashboard!J:J,MATCH(I2118,Dashboard!J:J,0),1),INDEX(Dashboard!J:K,MATCH(I2118,Dashboard!J:J,0),2)),"ON",IF(Dashboard!K$32="ALL","ON","-"))</f>
        <v>-</v>
      </c>
      <c r="C2118" s="88" t="s">
        <v>152</v>
      </c>
      <c r="D2118" s="89">
        <f>IF(C2118="ID",1,(IF(C2118="PR",2,(IF(C2118="DE",3,(IF(C2118="RS",4,(IF(C2118="RC",5,0)))))))))</f>
        <v>2</v>
      </c>
      <c r="E2118" s="89" t="s">
        <v>210</v>
      </c>
      <c r="F2118" s="89">
        <f>IF(E2118="AM",1,(IF(E2118="BE",2,(IF(E2118="GV",3,(IF(E2118="RA",4,(IF(E2118="RM",5,(IF(E2118="AC",1,(IF(E2118="AT",2,(IF(E2118="DS",3,(IF(E2118="IP",4,(IF(E2118="MA",5,(IF(E2118="PT",6,(IF(E2118="AE",1,(IF(E2118="CM",2,(IF(E2118="DP",3,(IF(E2118="AN",1,(IF(E2118="CO",2,(IF(E2118="IM",3,(IF(E2118="MI",4,(IF(E2118="RP",5,(IF(E2118="SC",6,0)))))))))))))))))))))))))))))))))))))))</f>
        <v>3</v>
      </c>
      <c r="G2118" s="52">
        <v>5</v>
      </c>
      <c r="H2118" s="90" t="s">
        <v>115</v>
      </c>
      <c r="I2118" s="94" t="s">
        <v>77</v>
      </c>
      <c r="J2118" s="128" t="s">
        <v>1404</v>
      </c>
      <c r="K2118" s="102" t="s">
        <v>2392</v>
      </c>
      <c r="L2118" s="117">
        <f>IF(O2118="","",N2118*O2118*M2118)</f>
        <v>0</v>
      </c>
      <c r="M2118" s="108">
        <v>1</v>
      </c>
      <c r="N2118" s="95">
        <v>1</v>
      </c>
      <c r="O2118" s="109">
        <f>IF(Key!D$1="ON",P2118,IF(SUM(Q2118:DL2118)&lt;1,"",SUM(Q2118:DL2118)/COUNTIF(Q2118:DL2118,"&gt;0")))</f>
        <v>0</v>
      </c>
      <c r="P2118" s="109">
        <f>SUMIFS(Q2118:DK2118,Q$1:DK$1,Dashboard!$K$31)</f>
        <v>0</v>
      </c>
      <c r="U2118" s="95">
        <v>33</v>
      </c>
      <c r="AA2118" s="95">
        <v>25</v>
      </c>
      <c r="AH2118" s="95">
        <v>75</v>
      </c>
    </row>
    <row r="2119" spans="1:34" x14ac:dyDescent="0.3">
      <c r="A2119" s="89" t="str">
        <f>CONCATENATE(D2119,".",F2119,"-",G2119,".",H2119,"")</f>
        <v>2.3-5.1</v>
      </c>
      <c r="B2119" s="89" t="str">
        <f>IF(CONCATENATE(I2119,Key!F$2)=CONCATENATE(INDEX(Dashboard!J:J,MATCH(I2119,Dashboard!J:J,0),1),INDEX(Dashboard!J:K,MATCH(I2119,Dashboard!J:J,0),2)),"ON",IF(Dashboard!K$32="ALL","ON","-"))</f>
        <v>-</v>
      </c>
      <c r="C2119" s="96" t="s">
        <v>152</v>
      </c>
      <c r="D2119" s="89">
        <f>IF(C2119="ID",1,(IF(C2119="PR",2,(IF(C2119="DE",3,(IF(C2119="RS",4,(IF(C2119="RC",5,0)))))))))</f>
        <v>2</v>
      </c>
      <c r="E2119" s="89" t="s">
        <v>210</v>
      </c>
      <c r="F2119" s="89">
        <f>IF(E2119="AM",1,(IF(E2119="BE",2,(IF(E2119="GV",3,(IF(E2119="RA",4,(IF(E2119="RM",5,(IF(E2119="AC",1,(IF(E2119="AT",2,(IF(E2119="DS",3,(IF(E2119="IP",4,(IF(E2119="MA",5,(IF(E2119="PT",6,(IF(E2119="AE",1,(IF(E2119="CM",2,(IF(E2119="DP",3,(IF(E2119="AN",1,(IF(E2119="CO",2,(IF(E2119="IM",3,(IF(E2119="MI",4,(IF(E2119="RP",5,(IF(E2119="SC",6,0)))))))))))))))))))))))))))))))))))))))</f>
        <v>3</v>
      </c>
      <c r="G2119" s="98">
        <v>5</v>
      </c>
      <c r="H2119" s="90" t="s">
        <v>115</v>
      </c>
      <c r="I2119" s="94" t="s">
        <v>77</v>
      </c>
      <c r="J2119" s="128" t="s">
        <v>1405</v>
      </c>
      <c r="K2119" s="102" t="s">
        <v>2393</v>
      </c>
      <c r="L2119" s="117">
        <f>IF(O2119="","",N2119*O2119*M2119)</f>
        <v>0</v>
      </c>
      <c r="M2119" s="108">
        <v>1</v>
      </c>
      <c r="N2119" s="95">
        <v>1</v>
      </c>
      <c r="O2119" s="109">
        <f>IF(Key!D$1="ON",P2119,IF(SUM(Q2119:DL2119)&lt;1,"",SUM(Q2119:DL2119)/COUNTIF(Q2119:DL2119,"&gt;0")))</f>
        <v>0</v>
      </c>
      <c r="P2119" s="109">
        <f>SUMIFS(Q2119:DK2119,Q$1:DK$1,Dashboard!$K$31)</f>
        <v>0</v>
      </c>
      <c r="U2119" s="95">
        <v>33</v>
      </c>
      <c r="AA2119" s="95">
        <v>25</v>
      </c>
      <c r="AH2119" s="95">
        <v>75</v>
      </c>
    </row>
    <row r="2120" spans="1:34" x14ac:dyDescent="0.3">
      <c r="A2120" s="89" t="str">
        <f>CONCATENATE(D2120,".",F2120,"-",G2120,".",H2120,"")</f>
        <v>2.3-5.1</v>
      </c>
      <c r="B2120" s="89" t="str">
        <f>IF(CONCATENATE(I2120,Key!F$2)=CONCATENATE(INDEX(Dashboard!J:J,MATCH(I2120,Dashboard!J:J,0),1),INDEX(Dashboard!J:K,MATCH(I2120,Dashboard!J:J,0),2)),"ON",IF(Dashboard!K$32="ALL","ON","-"))</f>
        <v>-</v>
      </c>
      <c r="C2120" s="88" t="s">
        <v>152</v>
      </c>
      <c r="D2120" s="89">
        <f>IF(C2120="ID",1,(IF(C2120="PR",2,(IF(C2120="DE",3,(IF(C2120="RS",4,(IF(C2120="RC",5,0)))))))))</f>
        <v>2</v>
      </c>
      <c r="E2120" s="89" t="s">
        <v>210</v>
      </c>
      <c r="F2120" s="89">
        <f>IF(E2120="AM",1,(IF(E2120="BE",2,(IF(E2120="GV",3,(IF(E2120="RA",4,(IF(E2120="RM",5,(IF(E2120="AC",1,(IF(E2120="AT",2,(IF(E2120="DS",3,(IF(E2120="IP",4,(IF(E2120="MA",5,(IF(E2120="PT",6,(IF(E2120="AE",1,(IF(E2120="CM",2,(IF(E2120="DP",3,(IF(E2120="AN",1,(IF(E2120="CO",2,(IF(E2120="IM",3,(IF(E2120="MI",4,(IF(E2120="RP",5,(IF(E2120="SC",6,0)))))))))))))))))))))))))))))))))))))))</f>
        <v>3</v>
      </c>
      <c r="G2120" s="52">
        <v>5</v>
      </c>
      <c r="H2120" s="90" t="s">
        <v>115</v>
      </c>
      <c r="I2120" s="94" t="s">
        <v>77</v>
      </c>
      <c r="J2120" s="128" t="s">
        <v>1407</v>
      </c>
      <c r="K2120" s="102" t="s">
        <v>2394</v>
      </c>
      <c r="L2120" s="117">
        <f>IF(O2120="","",N2120*O2120*M2120)</f>
        <v>0</v>
      </c>
      <c r="M2120" s="108">
        <v>1</v>
      </c>
      <c r="N2120" s="95">
        <v>1</v>
      </c>
      <c r="O2120" s="109">
        <f>IF(Key!D$1="ON",P2120,IF(SUM(Q2120:DL2120)&lt;1,"",SUM(Q2120:DL2120)/COUNTIF(Q2120:DL2120,"&gt;0")))</f>
        <v>0</v>
      </c>
      <c r="P2120" s="109">
        <f>SUMIFS(Q2120:DK2120,Q$1:DK$1,Dashboard!$K$31)</f>
        <v>0</v>
      </c>
      <c r="U2120" s="95">
        <v>33</v>
      </c>
      <c r="AA2120" s="95">
        <v>25</v>
      </c>
      <c r="AH2120" s="95">
        <v>75</v>
      </c>
    </row>
    <row r="2121" spans="1:34" x14ac:dyDescent="0.3">
      <c r="A2121" s="89" t="str">
        <f>CONCATENATE(D2121,".",F2121,"-",G2121,".",H2121,"")</f>
        <v>2.3-5.1</v>
      </c>
      <c r="B2121" s="89" t="str">
        <f>IF(CONCATENATE(I2121,Key!F$2)=CONCATENATE(INDEX(Dashboard!J:J,MATCH(I2121,Dashboard!J:J,0),1),INDEX(Dashboard!J:K,MATCH(I2121,Dashboard!J:J,0),2)),"ON",IF(Dashboard!K$32="ALL","ON","-"))</f>
        <v>-</v>
      </c>
      <c r="C2121" s="88" t="s">
        <v>152</v>
      </c>
      <c r="D2121" s="89">
        <f>IF(C2121="ID",1,(IF(C2121="PR",2,(IF(C2121="DE",3,(IF(C2121="RS",4,(IF(C2121="RC",5,0)))))))))</f>
        <v>2</v>
      </c>
      <c r="E2121" s="89" t="s">
        <v>210</v>
      </c>
      <c r="F2121" s="89">
        <f>IF(E2121="AM",1,(IF(E2121="BE",2,(IF(E2121="GV",3,(IF(E2121="RA",4,(IF(E2121="RM",5,(IF(E2121="AC",1,(IF(E2121="AT",2,(IF(E2121="DS",3,(IF(E2121="IP",4,(IF(E2121="MA",5,(IF(E2121="PT",6,(IF(E2121="AE",1,(IF(E2121="CM",2,(IF(E2121="DP",3,(IF(E2121="AN",1,(IF(E2121="CO",2,(IF(E2121="IM",3,(IF(E2121="MI",4,(IF(E2121="RP",5,(IF(E2121="SC",6,0)))))))))))))))))))))))))))))))))))))))</f>
        <v>3</v>
      </c>
      <c r="G2121" s="52">
        <v>5</v>
      </c>
      <c r="H2121" s="90" t="s">
        <v>115</v>
      </c>
      <c r="I2121" s="94" t="s">
        <v>77</v>
      </c>
      <c r="J2121" s="128" t="s">
        <v>1408</v>
      </c>
      <c r="K2121" s="102" t="s">
        <v>2395</v>
      </c>
      <c r="L2121" s="117">
        <f>IF(O2121="","",N2121*O2121*M2121)</f>
        <v>0</v>
      </c>
      <c r="M2121" s="108">
        <v>1</v>
      </c>
      <c r="N2121" s="95">
        <v>1</v>
      </c>
      <c r="O2121" s="109">
        <f>IF(Key!D$1="ON",P2121,IF(SUM(Q2121:DL2121)&lt;1,"",SUM(Q2121:DL2121)/COUNTIF(Q2121:DL2121,"&gt;0")))</f>
        <v>0</v>
      </c>
      <c r="P2121" s="109">
        <f>SUMIFS(Q2121:DK2121,Q$1:DK$1,Dashboard!$K$31)</f>
        <v>0</v>
      </c>
      <c r="U2121" s="95">
        <v>33</v>
      </c>
      <c r="AA2121" s="95">
        <v>25</v>
      </c>
      <c r="AH2121" s="95">
        <v>75</v>
      </c>
    </row>
    <row r="2122" spans="1:34" x14ac:dyDescent="0.3">
      <c r="A2122" s="89" t="str">
        <f>CONCATENATE(D2122,".",F2122,"-",G2122,".",H2122,"")</f>
        <v>2.3-5.1</v>
      </c>
      <c r="B2122" s="89" t="str">
        <f>IF(CONCATENATE(I2122,Key!F$2)=CONCATENATE(INDEX(Dashboard!J:J,MATCH(I2122,Dashboard!J:J,0),1),INDEX(Dashboard!J:K,MATCH(I2122,Dashboard!J:J,0),2)),"ON",IF(Dashboard!K$32="ALL","ON","-"))</f>
        <v>-</v>
      </c>
      <c r="C2122" s="88" t="s">
        <v>152</v>
      </c>
      <c r="D2122" s="89">
        <f>IF(C2122="ID",1,(IF(C2122="PR",2,(IF(C2122="DE",3,(IF(C2122="RS",4,(IF(C2122="RC",5,0)))))))))</f>
        <v>2</v>
      </c>
      <c r="E2122" s="89" t="s">
        <v>210</v>
      </c>
      <c r="F2122" s="89">
        <f>IF(E2122="AM",1,(IF(E2122="BE",2,(IF(E2122="GV",3,(IF(E2122="RA",4,(IF(E2122="RM",5,(IF(E2122="AC",1,(IF(E2122="AT",2,(IF(E2122="DS",3,(IF(E2122="IP",4,(IF(E2122="MA",5,(IF(E2122="PT",6,(IF(E2122="AE",1,(IF(E2122="CM",2,(IF(E2122="DP",3,(IF(E2122="AN",1,(IF(E2122="CO",2,(IF(E2122="IM",3,(IF(E2122="MI",4,(IF(E2122="RP",5,(IF(E2122="SC",6,0)))))))))))))))))))))))))))))))))))))))</f>
        <v>3</v>
      </c>
      <c r="G2122" s="52">
        <v>5</v>
      </c>
      <c r="H2122" s="90" t="s">
        <v>115</v>
      </c>
      <c r="I2122" s="94" t="s">
        <v>77</v>
      </c>
      <c r="J2122" s="128" t="s">
        <v>1409</v>
      </c>
      <c r="K2122" s="102" t="s">
        <v>2396</v>
      </c>
      <c r="L2122" s="117">
        <f>IF(O2122="","",N2122*O2122*M2122)</f>
        <v>0</v>
      </c>
      <c r="M2122" s="108">
        <v>1</v>
      </c>
      <c r="N2122" s="95">
        <v>1</v>
      </c>
      <c r="O2122" s="109">
        <f>IF(Key!D$1="ON",P2122,IF(SUM(Q2122:DL2122)&lt;1,"",SUM(Q2122:DL2122)/COUNTIF(Q2122:DL2122,"&gt;0")))</f>
        <v>0</v>
      </c>
      <c r="P2122" s="109">
        <f>SUMIFS(Q2122:DK2122,Q$1:DK$1,Dashboard!$K$31)</f>
        <v>0</v>
      </c>
      <c r="U2122" s="95">
        <v>33</v>
      </c>
      <c r="AA2122" s="95">
        <v>25</v>
      </c>
      <c r="AH2122" s="95">
        <v>75</v>
      </c>
    </row>
    <row r="2123" spans="1:34" ht="15.6" x14ac:dyDescent="0.3">
      <c r="A2123" s="89" t="str">
        <f>CONCATENATE(D2123,".",F2123,"-",G2123,".",H2123,"")</f>
        <v>2.3-5.1</v>
      </c>
      <c r="B2123" s="89" t="str">
        <f>IF(CONCATENATE(I2123,Key!F$2)=CONCATENATE(INDEX(Dashboard!J:J,MATCH(I2123,Dashboard!J:J,0),1),INDEX(Dashboard!J:K,MATCH(I2123,Dashboard!J:J,0),2)),"ON",IF(Dashboard!K$32="ALL","ON","-"))</f>
        <v>-</v>
      </c>
      <c r="C2123" s="96" t="s">
        <v>152</v>
      </c>
      <c r="D2123" s="89">
        <f>IF(C2123="ID",1,(IF(C2123="PR",2,(IF(C2123="DE",3,(IF(C2123="RS",4,(IF(C2123="RC",5,0)))))))))</f>
        <v>2</v>
      </c>
      <c r="E2123" s="89" t="s">
        <v>210</v>
      </c>
      <c r="F2123" s="89">
        <f>IF(E2123="AM",1,(IF(E2123="BE",2,(IF(E2123="GV",3,(IF(E2123="RA",4,(IF(E2123="RM",5,(IF(E2123="AC",1,(IF(E2123="AT",2,(IF(E2123="DS",3,(IF(E2123="IP",4,(IF(E2123="MA",5,(IF(E2123="PT",6,(IF(E2123="AE",1,(IF(E2123="CM",2,(IF(E2123="DP",3,(IF(E2123="AN",1,(IF(E2123="CO",2,(IF(E2123="IM",3,(IF(E2123="MI",4,(IF(E2123="RP",5,(IF(E2123="SC",6,0)))))))))))))))))))))))))))))))))))))))</f>
        <v>3</v>
      </c>
      <c r="G2123" s="98">
        <v>5</v>
      </c>
      <c r="H2123" s="90" t="s">
        <v>115</v>
      </c>
      <c r="I2123" s="94" t="s">
        <v>77</v>
      </c>
      <c r="J2123" s="128" t="s">
        <v>1410</v>
      </c>
      <c r="K2123" s="102" t="s">
        <v>2397</v>
      </c>
      <c r="L2123" s="117">
        <f>IF(O2123="","",N2123*O2123*M2123)</f>
        <v>0</v>
      </c>
      <c r="M2123" s="108">
        <v>1</v>
      </c>
      <c r="N2123" s="95">
        <v>1</v>
      </c>
      <c r="O2123" s="109">
        <f>IF(Key!D$1="ON",P2123,IF(SUM(Q2123:DL2123)&lt;1,"",SUM(Q2123:DL2123)/COUNTIF(Q2123:DL2123,"&gt;0")))</f>
        <v>0</v>
      </c>
      <c r="P2123" s="109">
        <f>SUMIFS(Q2123:DK2123,Q$1:DK$1,Dashboard!$K$31)</f>
        <v>0</v>
      </c>
      <c r="U2123" s="95">
        <v>33</v>
      </c>
      <c r="AA2123" s="95">
        <v>25</v>
      </c>
      <c r="AH2123" s="95">
        <v>75</v>
      </c>
    </row>
    <row r="2124" spans="1:34" x14ac:dyDescent="0.3">
      <c r="A2124" s="89" t="str">
        <f>CONCATENATE(D2124,".",F2124,"-",G2124,".",H2124,"")</f>
        <v>2.3-5.1</v>
      </c>
      <c r="B2124" s="89" t="str">
        <f>IF(CONCATENATE(I2124,Key!F$2)=CONCATENATE(INDEX(Dashboard!J:J,MATCH(I2124,Dashboard!J:J,0),1),INDEX(Dashboard!J:K,MATCH(I2124,Dashboard!J:J,0),2)),"ON",IF(Dashboard!K$32="ALL","ON","-"))</f>
        <v>-</v>
      </c>
      <c r="C2124" s="88" t="s">
        <v>152</v>
      </c>
      <c r="D2124" s="89">
        <f>IF(C2124="ID",1,(IF(C2124="PR",2,(IF(C2124="DE",3,(IF(C2124="RS",4,(IF(C2124="RC",5,0)))))))))</f>
        <v>2</v>
      </c>
      <c r="E2124" s="89" t="s">
        <v>210</v>
      </c>
      <c r="F2124" s="89">
        <f>IF(E2124="AM",1,(IF(E2124="BE",2,(IF(E2124="GV",3,(IF(E2124="RA",4,(IF(E2124="RM",5,(IF(E2124="AC",1,(IF(E2124="AT",2,(IF(E2124="DS",3,(IF(E2124="IP",4,(IF(E2124="MA",5,(IF(E2124="PT",6,(IF(E2124="AE",1,(IF(E2124="CM",2,(IF(E2124="DP",3,(IF(E2124="AN",1,(IF(E2124="CO",2,(IF(E2124="IM",3,(IF(E2124="MI",4,(IF(E2124="RP",5,(IF(E2124="SC",6,0)))))))))))))))))))))))))))))))))))))))</f>
        <v>3</v>
      </c>
      <c r="G2124" s="52">
        <v>5</v>
      </c>
      <c r="H2124" s="90" t="s">
        <v>115</v>
      </c>
      <c r="I2124" s="94" t="s">
        <v>77</v>
      </c>
      <c r="J2124" s="87" t="s">
        <v>1412</v>
      </c>
      <c r="K2124" s="102" t="s">
        <v>2398</v>
      </c>
      <c r="L2124" s="117">
        <f>IF(O2124="","",N2124*O2124*M2124)</f>
        <v>0</v>
      </c>
      <c r="M2124" s="108">
        <v>1</v>
      </c>
      <c r="N2124" s="95">
        <v>1</v>
      </c>
      <c r="O2124" s="109">
        <f>IF(Key!D$1="ON",P2124,IF(SUM(Q2124:DL2124)&lt;1,"",SUM(Q2124:DL2124)/COUNTIF(Q2124:DL2124,"&gt;0")))</f>
        <v>0</v>
      </c>
      <c r="P2124" s="109">
        <f>SUMIFS(Q2124:DK2124,Q$1:DK$1,Dashboard!$K$31)</f>
        <v>0</v>
      </c>
      <c r="U2124" s="95">
        <v>33</v>
      </c>
      <c r="AA2124" s="95">
        <v>25</v>
      </c>
      <c r="AH2124" s="95">
        <v>75</v>
      </c>
    </row>
    <row r="2125" spans="1:34" x14ac:dyDescent="0.3">
      <c r="A2125" s="89" t="str">
        <f>CONCATENATE(D2125,".",F2125,"-",G2125,".",H2125,"")</f>
        <v>2.3-5.1</v>
      </c>
      <c r="B2125" s="89" t="str">
        <f>IF(CONCATENATE(I2125,Key!F$2)=CONCATENATE(INDEX(Dashboard!J:J,MATCH(I2125,Dashboard!J:J,0),1),INDEX(Dashboard!J:K,MATCH(I2125,Dashboard!J:J,0),2)),"ON",IF(Dashboard!K$32="ALL","ON","-"))</f>
        <v>-</v>
      </c>
      <c r="C2125" s="88" t="s">
        <v>152</v>
      </c>
      <c r="D2125" s="89">
        <f>IF(C2125="ID",1,(IF(C2125="PR",2,(IF(C2125="DE",3,(IF(C2125="RS",4,(IF(C2125="RC",5,0)))))))))</f>
        <v>2</v>
      </c>
      <c r="E2125" s="89" t="s">
        <v>210</v>
      </c>
      <c r="F2125" s="89">
        <f>IF(E2125="AM",1,(IF(E2125="BE",2,(IF(E2125="GV",3,(IF(E2125="RA",4,(IF(E2125="RM",5,(IF(E2125="AC",1,(IF(E2125="AT",2,(IF(E2125="DS",3,(IF(E2125="IP",4,(IF(E2125="MA",5,(IF(E2125="PT",6,(IF(E2125="AE",1,(IF(E2125="CM",2,(IF(E2125="DP",3,(IF(E2125="AN",1,(IF(E2125="CO",2,(IF(E2125="IM",3,(IF(E2125="MI",4,(IF(E2125="RP",5,(IF(E2125="SC",6,0)))))))))))))))))))))))))))))))))))))))</f>
        <v>3</v>
      </c>
      <c r="G2125" s="52">
        <v>5</v>
      </c>
      <c r="H2125" s="90" t="s">
        <v>115</v>
      </c>
      <c r="I2125" s="94" t="s">
        <v>77</v>
      </c>
      <c r="J2125" s="87" t="s">
        <v>1413</v>
      </c>
      <c r="K2125" s="102" t="s">
        <v>2399</v>
      </c>
      <c r="L2125" s="117">
        <f>IF(O2125="","",N2125*O2125*M2125)</f>
        <v>0</v>
      </c>
      <c r="M2125" s="108">
        <v>1</v>
      </c>
      <c r="N2125" s="95">
        <v>1</v>
      </c>
      <c r="O2125" s="109">
        <f>IF(Key!D$1="ON",P2125,IF(SUM(Q2125:DL2125)&lt;1,"",SUM(Q2125:DL2125)/COUNTIF(Q2125:DL2125,"&gt;0")))</f>
        <v>0</v>
      </c>
      <c r="P2125" s="109">
        <f>SUMIFS(Q2125:DK2125,Q$1:DK$1,Dashboard!$K$31)</f>
        <v>0</v>
      </c>
      <c r="U2125" s="95">
        <v>33</v>
      </c>
      <c r="AA2125" s="95">
        <v>25</v>
      </c>
      <c r="AH2125" s="95">
        <v>75</v>
      </c>
    </row>
    <row r="2126" spans="1:34" x14ac:dyDescent="0.3">
      <c r="A2126" s="89" t="str">
        <f>CONCATENATE(D2126,".",F2126,"-",G2126,".",H2126,"")</f>
        <v>2.3-5.1</v>
      </c>
      <c r="B2126" s="89" t="str">
        <f>IF(CONCATENATE(I2126,Key!F$2)=CONCATENATE(INDEX(Dashboard!J:J,MATCH(I2126,Dashboard!J:J,0),1),INDEX(Dashboard!J:K,MATCH(I2126,Dashboard!J:J,0),2)),"ON",IF(Dashboard!K$32="ALL","ON","-"))</f>
        <v>-</v>
      </c>
      <c r="C2126" s="96" t="s">
        <v>152</v>
      </c>
      <c r="D2126" s="89">
        <f>IF(C2126="ID",1,(IF(C2126="PR",2,(IF(C2126="DE",3,(IF(C2126="RS",4,(IF(C2126="RC",5,0)))))))))</f>
        <v>2</v>
      </c>
      <c r="E2126" s="89" t="s">
        <v>210</v>
      </c>
      <c r="F2126" s="89">
        <f>IF(E2126="AM",1,(IF(E2126="BE",2,(IF(E2126="GV",3,(IF(E2126="RA",4,(IF(E2126="RM",5,(IF(E2126="AC",1,(IF(E2126="AT",2,(IF(E2126="DS",3,(IF(E2126="IP",4,(IF(E2126="MA",5,(IF(E2126="PT",6,(IF(E2126="AE",1,(IF(E2126="CM",2,(IF(E2126="DP",3,(IF(E2126="AN",1,(IF(E2126="CO",2,(IF(E2126="IM",3,(IF(E2126="MI",4,(IF(E2126="RP",5,(IF(E2126="SC",6,0)))))))))))))))))))))))))))))))))))))))</f>
        <v>3</v>
      </c>
      <c r="G2126" s="98">
        <v>5</v>
      </c>
      <c r="H2126" s="90" t="s">
        <v>115</v>
      </c>
      <c r="I2126" s="94" t="s">
        <v>77</v>
      </c>
      <c r="J2126" s="87" t="s">
        <v>1414</v>
      </c>
      <c r="K2126" s="102" t="s">
        <v>2400</v>
      </c>
      <c r="L2126" s="117">
        <f>IF(O2126="","",N2126*O2126*M2126)</f>
        <v>0</v>
      </c>
      <c r="M2126" s="108">
        <v>1</v>
      </c>
      <c r="N2126" s="95">
        <v>1</v>
      </c>
      <c r="O2126" s="109">
        <f>IF(Key!D$1="ON",P2126,IF(SUM(Q2126:DL2126)&lt;1,"",SUM(Q2126:DL2126)/COUNTIF(Q2126:DL2126,"&gt;0")))</f>
        <v>0</v>
      </c>
      <c r="P2126" s="109">
        <f>SUMIFS(Q2126:DK2126,Q$1:DK$1,Dashboard!$K$31)</f>
        <v>0</v>
      </c>
      <c r="U2126" s="95">
        <v>33</v>
      </c>
      <c r="AA2126" s="95">
        <v>25</v>
      </c>
      <c r="AH2126" s="95">
        <v>75</v>
      </c>
    </row>
    <row r="2127" spans="1:34" x14ac:dyDescent="0.3">
      <c r="A2127" s="89" t="str">
        <f>CONCATENATE(D2127,".",F2127,"-",G2127,".",H2127,"")</f>
        <v>2.3-5.1</v>
      </c>
      <c r="B2127" s="89" t="str">
        <f>IF(CONCATENATE(I2127,Key!F$2)=CONCATENATE(INDEX(Dashboard!J:J,MATCH(I2127,Dashboard!J:J,0),1),INDEX(Dashboard!J:K,MATCH(I2127,Dashboard!J:J,0),2)),"ON",IF(Dashboard!K$32="ALL","ON","-"))</f>
        <v>-</v>
      </c>
      <c r="C2127" s="96" t="s">
        <v>152</v>
      </c>
      <c r="D2127" s="89">
        <f>IF(C2127="ID",1,(IF(C2127="PR",2,(IF(C2127="DE",3,(IF(C2127="RS",4,(IF(C2127="RC",5,0)))))))))</f>
        <v>2</v>
      </c>
      <c r="E2127" s="89" t="s">
        <v>210</v>
      </c>
      <c r="F2127" s="89">
        <f>IF(E2127="AM",1,(IF(E2127="BE",2,(IF(E2127="GV",3,(IF(E2127="RA",4,(IF(E2127="RM",5,(IF(E2127="AC",1,(IF(E2127="AT",2,(IF(E2127="DS",3,(IF(E2127="IP",4,(IF(E2127="MA",5,(IF(E2127="PT",6,(IF(E2127="AE",1,(IF(E2127="CM",2,(IF(E2127="DP",3,(IF(E2127="AN",1,(IF(E2127="CO",2,(IF(E2127="IM",3,(IF(E2127="MI",4,(IF(E2127="RP",5,(IF(E2127="SC",6,0)))))))))))))))))))))))))))))))))))))))</f>
        <v>3</v>
      </c>
      <c r="G2127" s="98">
        <v>5</v>
      </c>
      <c r="H2127" s="90" t="s">
        <v>115</v>
      </c>
      <c r="I2127" s="94" t="s">
        <v>77</v>
      </c>
      <c r="J2127" s="87" t="s">
        <v>1416</v>
      </c>
      <c r="K2127" s="102" t="s">
        <v>2401</v>
      </c>
      <c r="L2127" s="117">
        <f>IF(O2127="","",N2127*O2127*M2127)</f>
        <v>0</v>
      </c>
      <c r="M2127" s="108">
        <v>1</v>
      </c>
      <c r="N2127" s="95">
        <v>1</v>
      </c>
      <c r="O2127" s="109">
        <f>IF(Key!D$1="ON",P2127,IF(SUM(Q2127:DL2127)&lt;1,"",SUM(Q2127:DL2127)/COUNTIF(Q2127:DL2127,"&gt;0")))</f>
        <v>0</v>
      </c>
      <c r="P2127" s="109">
        <f>SUMIFS(Q2127:DK2127,Q$1:DK$1,Dashboard!$K$31)</f>
        <v>0</v>
      </c>
      <c r="U2127" s="95">
        <v>33</v>
      </c>
      <c r="AA2127" s="95">
        <v>25</v>
      </c>
      <c r="AH2127" s="95">
        <v>75</v>
      </c>
    </row>
    <row r="2128" spans="1:34" x14ac:dyDescent="0.3">
      <c r="A2128" s="89" t="str">
        <f>CONCATENATE(D2128,".",F2128,"-",G2128,".",H2128,"")</f>
        <v>2.3-5.1</v>
      </c>
      <c r="B2128" s="89" t="str">
        <f>IF(CONCATENATE(I2128,Key!F$2)=CONCATENATE(INDEX(Dashboard!J:J,MATCH(I2128,Dashboard!J:J,0),1),INDEX(Dashboard!J:K,MATCH(I2128,Dashboard!J:J,0),2)),"ON",IF(Dashboard!K$32="ALL","ON","-"))</f>
        <v>-</v>
      </c>
      <c r="C2128" s="88" t="s">
        <v>152</v>
      </c>
      <c r="D2128" s="89">
        <f>IF(C2128="ID",1,(IF(C2128="PR",2,(IF(C2128="DE",3,(IF(C2128="RS",4,(IF(C2128="RC",5,0)))))))))</f>
        <v>2</v>
      </c>
      <c r="E2128" s="89" t="s">
        <v>210</v>
      </c>
      <c r="F2128" s="89">
        <f>IF(E2128="AM",1,(IF(E2128="BE",2,(IF(E2128="GV",3,(IF(E2128="RA",4,(IF(E2128="RM",5,(IF(E2128="AC",1,(IF(E2128="AT",2,(IF(E2128="DS",3,(IF(E2128="IP",4,(IF(E2128="MA",5,(IF(E2128="PT",6,(IF(E2128="AE",1,(IF(E2128="CM",2,(IF(E2128="DP",3,(IF(E2128="AN",1,(IF(E2128="CO",2,(IF(E2128="IM",3,(IF(E2128="MI",4,(IF(E2128="RP",5,(IF(E2128="SC",6,0)))))))))))))))))))))))))))))))))))))))</f>
        <v>3</v>
      </c>
      <c r="G2128" s="52">
        <v>5</v>
      </c>
      <c r="H2128" s="90" t="s">
        <v>115</v>
      </c>
      <c r="I2128" s="94" t="s">
        <v>77</v>
      </c>
      <c r="J2128" s="87" t="s">
        <v>1418</v>
      </c>
      <c r="K2128" s="102" t="s">
        <v>2402</v>
      </c>
      <c r="L2128" s="117">
        <f>IF(O2128="","",N2128*O2128*M2128)</f>
        <v>0</v>
      </c>
      <c r="M2128" s="108">
        <v>1</v>
      </c>
      <c r="N2128" s="95">
        <v>1</v>
      </c>
      <c r="O2128" s="109">
        <f>IF(Key!D$1="ON",P2128,IF(SUM(Q2128:DL2128)&lt;1,"",SUM(Q2128:DL2128)/COUNTIF(Q2128:DL2128,"&gt;0")))</f>
        <v>0</v>
      </c>
      <c r="P2128" s="109">
        <f>SUMIFS(Q2128:DK2128,Q$1:DK$1,Dashboard!$K$31)</f>
        <v>0</v>
      </c>
      <c r="U2128" s="95">
        <v>33</v>
      </c>
      <c r="AA2128" s="95">
        <v>25</v>
      </c>
      <c r="AH2128" s="95">
        <v>75</v>
      </c>
    </row>
    <row r="2129" spans="1:34" x14ac:dyDescent="0.3">
      <c r="A2129" s="89" t="str">
        <f>CONCATENATE(D2129,".",F2129,"-",G2129,".",H2129,"")</f>
        <v>2.3-5.1</v>
      </c>
      <c r="B2129" s="89" t="str">
        <f>IF(CONCATENATE(I2129,Key!F$2)=CONCATENATE(INDEX(Dashboard!J:J,MATCH(I2129,Dashboard!J:J,0),1),INDEX(Dashboard!J:K,MATCH(I2129,Dashboard!J:J,0),2)),"ON",IF(Dashboard!K$32="ALL","ON","-"))</f>
        <v>-</v>
      </c>
      <c r="C2129" s="88" t="s">
        <v>152</v>
      </c>
      <c r="D2129" s="89">
        <f>IF(C2129="ID",1,(IF(C2129="PR",2,(IF(C2129="DE",3,(IF(C2129="RS",4,(IF(C2129="RC",5,0)))))))))</f>
        <v>2</v>
      </c>
      <c r="E2129" s="89" t="s">
        <v>210</v>
      </c>
      <c r="F2129" s="89">
        <f>IF(E2129="AM",1,(IF(E2129="BE",2,(IF(E2129="GV",3,(IF(E2129="RA",4,(IF(E2129="RM",5,(IF(E2129="AC",1,(IF(E2129="AT",2,(IF(E2129="DS",3,(IF(E2129="IP",4,(IF(E2129="MA",5,(IF(E2129="PT",6,(IF(E2129="AE",1,(IF(E2129="CM",2,(IF(E2129="DP",3,(IF(E2129="AN",1,(IF(E2129="CO",2,(IF(E2129="IM",3,(IF(E2129="MI",4,(IF(E2129="RP",5,(IF(E2129="SC",6,0)))))))))))))))))))))))))))))))))))))))</f>
        <v>3</v>
      </c>
      <c r="G2129" s="52">
        <v>5</v>
      </c>
      <c r="H2129" s="90" t="s">
        <v>115</v>
      </c>
      <c r="I2129" s="94" t="s">
        <v>77</v>
      </c>
      <c r="J2129" s="87" t="s">
        <v>1419</v>
      </c>
      <c r="K2129" s="102" t="s">
        <v>2403</v>
      </c>
      <c r="L2129" s="117">
        <f>IF(O2129="","",N2129*O2129*M2129)</f>
        <v>0</v>
      </c>
      <c r="M2129" s="108">
        <v>1</v>
      </c>
      <c r="N2129" s="95">
        <v>1</v>
      </c>
      <c r="O2129" s="109">
        <f>IF(Key!D$1="ON",P2129,IF(SUM(Q2129:DL2129)&lt;1,"",SUM(Q2129:DL2129)/COUNTIF(Q2129:DL2129,"&gt;0")))</f>
        <v>0</v>
      </c>
      <c r="P2129" s="109">
        <f>SUMIFS(Q2129:DK2129,Q$1:DK$1,Dashboard!$K$31)</f>
        <v>0</v>
      </c>
      <c r="U2129" s="95">
        <v>33</v>
      </c>
      <c r="AA2129" s="95">
        <v>25</v>
      </c>
      <c r="AH2129" s="95">
        <v>75</v>
      </c>
    </row>
    <row r="2130" spans="1:34" x14ac:dyDescent="0.3">
      <c r="A2130" s="89" t="str">
        <f>CONCATENATE(D2130,".",F2130,"-",G2130,".",H2130,"")</f>
        <v>2.3-5.1</v>
      </c>
      <c r="B2130" s="89" t="str">
        <f>IF(CONCATENATE(I2130,Key!F$2)=CONCATENATE(INDEX(Dashboard!J:J,MATCH(I2130,Dashboard!J:J,0),1),INDEX(Dashboard!J:K,MATCH(I2130,Dashboard!J:J,0),2)),"ON",IF(Dashboard!K$32="ALL","ON","-"))</f>
        <v>-</v>
      </c>
      <c r="C2130" s="88" t="s">
        <v>152</v>
      </c>
      <c r="D2130" s="89">
        <f>IF(C2130="ID",1,(IF(C2130="PR",2,(IF(C2130="DE",3,(IF(C2130="RS",4,(IF(C2130="RC",5,0)))))))))</f>
        <v>2</v>
      </c>
      <c r="E2130" s="89" t="s">
        <v>210</v>
      </c>
      <c r="F2130" s="89">
        <f>IF(E2130="AM",1,(IF(E2130="BE",2,(IF(E2130="GV",3,(IF(E2130="RA",4,(IF(E2130="RM",5,(IF(E2130="AC",1,(IF(E2130="AT",2,(IF(E2130="DS",3,(IF(E2130="IP",4,(IF(E2130="MA",5,(IF(E2130="PT",6,(IF(E2130="AE",1,(IF(E2130="CM",2,(IF(E2130="DP",3,(IF(E2130="AN",1,(IF(E2130="CO",2,(IF(E2130="IM",3,(IF(E2130="MI",4,(IF(E2130="RP",5,(IF(E2130="SC",6,0)))))))))))))))))))))))))))))))))))))))</f>
        <v>3</v>
      </c>
      <c r="G2130" s="52">
        <v>5</v>
      </c>
      <c r="H2130" s="90" t="s">
        <v>115</v>
      </c>
      <c r="I2130" s="94" t="s">
        <v>77</v>
      </c>
      <c r="J2130" s="87" t="s">
        <v>1420</v>
      </c>
      <c r="K2130" s="102" t="s">
        <v>2404</v>
      </c>
      <c r="L2130" s="117">
        <f>IF(O2130="","",N2130*O2130*M2130)</f>
        <v>0</v>
      </c>
      <c r="M2130" s="108">
        <v>1</v>
      </c>
      <c r="N2130" s="95">
        <v>1</v>
      </c>
      <c r="O2130" s="109">
        <f>IF(Key!D$1="ON",P2130,IF(SUM(Q2130:DL2130)&lt;1,"",SUM(Q2130:DL2130)/COUNTIF(Q2130:DL2130,"&gt;0")))</f>
        <v>0</v>
      </c>
      <c r="P2130" s="109">
        <f>SUMIFS(Q2130:DK2130,Q$1:DK$1,Dashboard!$K$31)</f>
        <v>0</v>
      </c>
      <c r="U2130" s="95">
        <v>33</v>
      </c>
      <c r="AA2130" s="95">
        <v>25</v>
      </c>
      <c r="AH2130" s="95">
        <v>75</v>
      </c>
    </row>
    <row r="2131" spans="1:34" ht="15.6" x14ac:dyDescent="0.3">
      <c r="A2131" s="89" t="str">
        <f>CONCATENATE(D2131,".",F2131,"-",G2131,".",H2131,"")</f>
        <v>2.3-5.1</v>
      </c>
      <c r="B2131" s="89" t="str">
        <f>IF(CONCATENATE(I2131,Key!F$2)=CONCATENATE(INDEX(Dashboard!J:J,MATCH(I2131,Dashboard!J:J,0),1),INDEX(Dashboard!J:K,MATCH(I2131,Dashboard!J:J,0),2)),"ON",IF(Dashboard!K$32="ALL","ON","-"))</f>
        <v>-</v>
      </c>
      <c r="C2131" s="88" t="s">
        <v>152</v>
      </c>
      <c r="D2131" s="89">
        <f>IF(C2131="ID",1,(IF(C2131="PR",2,(IF(C2131="DE",3,(IF(C2131="RS",4,(IF(C2131="RC",5,0)))))))))</f>
        <v>2</v>
      </c>
      <c r="E2131" s="89" t="s">
        <v>210</v>
      </c>
      <c r="F2131" s="89">
        <f>IF(E2131="AM",1,(IF(E2131="BE",2,(IF(E2131="GV",3,(IF(E2131="RA",4,(IF(E2131="RM",5,(IF(E2131="AC",1,(IF(E2131="AT",2,(IF(E2131="DS",3,(IF(E2131="IP",4,(IF(E2131="MA",5,(IF(E2131="PT",6,(IF(E2131="AE",1,(IF(E2131="CM",2,(IF(E2131="DP",3,(IF(E2131="AN",1,(IF(E2131="CO",2,(IF(E2131="IM",3,(IF(E2131="MI",4,(IF(E2131="RP",5,(IF(E2131="SC",6,0)))))))))))))))))))))))))))))))))))))))</f>
        <v>3</v>
      </c>
      <c r="G2131" s="52">
        <v>5</v>
      </c>
      <c r="H2131" s="90" t="s">
        <v>115</v>
      </c>
      <c r="I2131" s="94" t="s">
        <v>77</v>
      </c>
      <c r="J2131" s="87" t="s">
        <v>1421</v>
      </c>
      <c r="K2131" s="102" t="s">
        <v>2405</v>
      </c>
      <c r="L2131" s="117">
        <f>IF(O2131="","",N2131*O2131*M2131)</f>
        <v>0</v>
      </c>
      <c r="M2131" s="108">
        <v>1</v>
      </c>
      <c r="N2131" s="95">
        <v>1</v>
      </c>
      <c r="O2131" s="109">
        <f>IF(Key!D$1="ON",P2131,IF(SUM(Q2131:DL2131)&lt;1,"",SUM(Q2131:DL2131)/COUNTIF(Q2131:DL2131,"&gt;0")))</f>
        <v>0</v>
      </c>
      <c r="P2131" s="109">
        <f>SUMIFS(Q2131:DK2131,Q$1:DK$1,Dashboard!$K$31)</f>
        <v>0</v>
      </c>
      <c r="U2131" s="95">
        <v>33</v>
      </c>
      <c r="AA2131" s="95">
        <v>25</v>
      </c>
      <c r="AH2131" s="95">
        <v>75</v>
      </c>
    </row>
    <row r="2132" spans="1:34" x14ac:dyDescent="0.3">
      <c r="A2132" s="89" t="str">
        <f>CONCATENATE(D2132,".",F2132,"-",G2132,".",H2132,"")</f>
        <v>2.3-5.1</v>
      </c>
      <c r="B2132" s="89" t="str">
        <f>IF(CONCATENATE(I2132,Key!F$2)=CONCATENATE(INDEX(Dashboard!J:J,MATCH(I2132,Dashboard!J:J,0),1),INDEX(Dashboard!J:K,MATCH(I2132,Dashboard!J:J,0),2)),"ON",IF(Dashboard!K$32="ALL","ON","-"))</f>
        <v>-</v>
      </c>
      <c r="C2132" s="88" t="s">
        <v>152</v>
      </c>
      <c r="D2132" s="89">
        <f>IF(C2132="ID",1,(IF(C2132="PR",2,(IF(C2132="DE",3,(IF(C2132="RS",4,(IF(C2132="RC",5,0)))))))))</f>
        <v>2</v>
      </c>
      <c r="E2132" s="89" t="s">
        <v>210</v>
      </c>
      <c r="F2132" s="89">
        <f>IF(E2132="AM",1,(IF(E2132="BE",2,(IF(E2132="GV",3,(IF(E2132="RA",4,(IF(E2132="RM",5,(IF(E2132="AC",1,(IF(E2132="AT",2,(IF(E2132="DS",3,(IF(E2132="IP",4,(IF(E2132="MA",5,(IF(E2132="PT",6,(IF(E2132="AE",1,(IF(E2132="CM",2,(IF(E2132="DP",3,(IF(E2132="AN",1,(IF(E2132="CO",2,(IF(E2132="IM",3,(IF(E2132="MI",4,(IF(E2132="RP",5,(IF(E2132="SC",6,0)))))))))))))))))))))))))))))))))))))))</f>
        <v>3</v>
      </c>
      <c r="G2132" s="52">
        <v>5</v>
      </c>
      <c r="H2132" s="90" t="s">
        <v>115</v>
      </c>
      <c r="I2132" s="94" t="s">
        <v>77</v>
      </c>
      <c r="J2132" s="87" t="s">
        <v>1422</v>
      </c>
      <c r="K2132" s="102" t="s">
        <v>2406</v>
      </c>
      <c r="L2132" s="117">
        <f>IF(O2132="","",N2132*O2132*M2132)</f>
        <v>0</v>
      </c>
      <c r="M2132" s="108">
        <v>1</v>
      </c>
      <c r="N2132" s="95">
        <v>1</v>
      </c>
      <c r="O2132" s="109">
        <f>IF(Key!D$1="ON",P2132,IF(SUM(Q2132:DL2132)&lt;1,"",SUM(Q2132:DL2132)/COUNTIF(Q2132:DL2132,"&gt;0")))</f>
        <v>0</v>
      </c>
      <c r="P2132" s="109">
        <f>SUMIFS(Q2132:DK2132,Q$1:DK$1,Dashboard!$K$31)</f>
        <v>0</v>
      </c>
      <c r="U2132" s="95">
        <v>33</v>
      </c>
      <c r="AA2132" s="95">
        <v>25</v>
      </c>
      <c r="AH2132" s="95">
        <v>75</v>
      </c>
    </row>
    <row r="2133" spans="1:34" x14ac:dyDescent="0.3">
      <c r="A2133" s="89" t="str">
        <f>CONCATENATE(D2133,".",F2133,"-",G2133,".",H2133,"")</f>
        <v>2.3-5.1</v>
      </c>
      <c r="B2133" s="89" t="str">
        <f>IF(CONCATENATE(I2133,Key!F$2)=CONCATENATE(INDEX(Dashboard!J:J,MATCH(I2133,Dashboard!J:J,0),1),INDEX(Dashboard!J:K,MATCH(I2133,Dashboard!J:J,0),2)),"ON",IF(Dashboard!K$32="ALL","ON","-"))</f>
        <v>-</v>
      </c>
      <c r="C2133" s="88" t="s">
        <v>152</v>
      </c>
      <c r="D2133" s="89">
        <f>IF(C2133="ID",1,(IF(C2133="PR",2,(IF(C2133="DE",3,(IF(C2133="RS",4,(IF(C2133="RC",5,0)))))))))</f>
        <v>2</v>
      </c>
      <c r="E2133" s="89" t="s">
        <v>210</v>
      </c>
      <c r="F2133" s="89">
        <f>IF(E2133="AM",1,(IF(E2133="BE",2,(IF(E2133="GV",3,(IF(E2133="RA",4,(IF(E2133="RM",5,(IF(E2133="AC",1,(IF(E2133="AT",2,(IF(E2133="DS",3,(IF(E2133="IP",4,(IF(E2133="MA",5,(IF(E2133="PT",6,(IF(E2133="AE",1,(IF(E2133="CM",2,(IF(E2133="DP",3,(IF(E2133="AN",1,(IF(E2133="CO",2,(IF(E2133="IM",3,(IF(E2133="MI",4,(IF(E2133="RP",5,(IF(E2133="SC",6,0)))))))))))))))))))))))))))))))))))))))</f>
        <v>3</v>
      </c>
      <c r="G2133" s="52">
        <v>5</v>
      </c>
      <c r="H2133" s="90" t="s">
        <v>115</v>
      </c>
      <c r="I2133" s="94" t="s">
        <v>77</v>
      </c>
      <c r="J2133" s="87" t="s">
        <v>1423</v>
      </c>
      <c r="K2133" s="102" t="s">
        <v>2407</v>
      </c>
      <c r="L2133" s="117">
        <f>IF(O2133="","",N2133*O2133*M2133)</f>
        <v>0</v>
      </c>
      <c r="M2133" s="108">
        <v>1</v>
      </c>
      <c r="N2133" s="95">
        <v>1</v>
      </c>
      <c r="O2133" s="109">
        <f>IF(Key!D$1="ON",P2133,IF(SUM(Q2133:DL2133)&lt;1,"",SUM(Q2133:DL2133)/COUNTIF(Q2133:DL2133,"&gt;0")))</f>
        <v>0</v>
      </c>
      <c r="P2133" s="109">
        <f>SUMIFS(Q2133:DK2133,Q$1:DK$1,Dashboard!$K$31)</f>
        <v>0</v>
      </c>
      <c r="U2133" s="95">
        <v>33</v>
      </c>
      <c r="AA2133" s="95">
        <v>25</v>
      </c>
      <c r="AH2133" s="95">
        <v>75</v>
      </c>
    </row>
    <row r="2134" spans="1:34" x14ac:dyDescent="0.3">
      <c r="A2134" s="89" t="str">
        <f>CONCATENATE(D2134,".",F2134,"-",G2134,".",H2134,"")</f>
        <v>2.3-5.1</v>
      </c>
      <c r="B2134" s="89" t="str">
        <f>IF(CONCATENATE(I2134,Key!F$2)=CONCATENATE(INDEX(Dashboard!J:J,MATCH(I2134,Dashboard!J:J,0),1),INDEX(Dashboard!J:K,MATCH(I2134,Dashboard!J:J,0),2)),"ON",IF(Dashboard!K$32="ALL","ON","-"))</f>
        <v>-</v>
      </c>
      <c r="C2134" s="88" t="s">
        <v>152</v>
      </c>
      <c r="D2134" s="89">
        <f>IF(C2134="ID",1,(IF(C2134="PR",2,(IF(C2134="DE",3,(IF(C2134="RS",4,(IF(C2134="RC",5,0)))))))))</f>
        <v>2</v>
      </c>
      <c r="E2134" s="89" t="s">
        <v>210</v>
      </c>
      <c r="F2134" s="89">
        <f>IF(E2134="AM",1,(IF(E2134="BE",2,(IF(E2134="GV",3,(IF(E2134="RA",4,(IF(E2134="RM",5,(IF(E2134="AC",1,(IF(E2134="AT",2,(IF(E2134="DS",3,(IF(E2134="IP",4,(IF(E2134="MA",5,(IF(E2134="PT",6,(IF(E2134="AE",1,(IF(E2134="CM",2,(IF(E2134="DP",3,(IF(E2134="AN",1,(IF(E2134="CO",2,(IF(E2134="IM",3,(IF(E2134="MI",4,(IF(E2134="RP",5,(IF(E2134="SC",6,0)))))))))))))))))))))))))))))))))))))))</f>
        <v>3</v>
      </c>
      <c r="G2134" s="52">
        <v>5</v>
      </c>
      <c r="H2134" s="90" t="s">
        <v>115</v>
      </c>
      <c r="I2134" s="94" t="s">
        <v>77</v>
      </c>
      <c r="J2134" s="87" t="s">
        <v>1424</v>
      </c>
      <c r="K2134" s="102" t="s">
        <v>2408</v>
      </c>
      <c r="L2134" s="117">
        <f>IF(O2134="","",N2134*O2134*M2134)</f>
        <v>0</v>
      </c>
      <c r="M2134" s="108">
        <v>1</v>
      </c>
      <c r="N2134" s="95">
        <v>1</v>
      </c>
      <c r="O2134" s="109">
        <f>IF(Key!D$1="ON",P2134,IF(SUM(Q2134:DL2134)&lt;1,"",SUM(Q2134:DL2134)/COUNTIF(Q2134:DL2134,"&gt;0")))</f>
        <v>0</v>
      </c>
      <c r="P2134" s="109">
        <f>SUMIFS(Q2134:DK2134,Q$1:DK$1,Dashboard!$K$31)</f>
        <v>0</v>
      </c>
      <c r="U2134" s="95">
        <v>33</v>
      </c>
      <c r="AA2134" s="95">
        <v>25</v>
      </c>
      <c r="AH2134" s="95">
        <v>75</v>
      </c>
    </row>
    <row r="2135" spans="1:34" x14ac:dyDescent="0.3">
      <c r="A2135" s="89" t="str">
        <f>CONCATENATE(D2135,".",F2135,"-",G2135,".",H2135,"")</f>
        <v>2.3-5.1</v>
      </c>
      <c r="B2135" s="89" t="str">
        <f>IF(CONCATENATE(I2135,Key!F$2)=CONCATENATE(INDEX(Dashboard!J:J,MATCH(I2135,Dashboard!J:J,0),1),INDEX(Dashboard!J:K,MATCH(I2135,Dashboard!J:J,0),2)),"ON",IF(Dashboard!K$32="ALL","ON","-"))</f>
        <v>-</v>
      </c>
      <c r="C2135" s="88" t="s">
        <v>152</v>
      </c>
      <c r="D2135" s="89">
        <f>IF(C2135="ID",1,(IF(C2135="PR",2,(IF(C2135="DE",3,(IF(C2135="RS",4,(IF(C2135="RC",5,0)))))))))</f>
        <v>2</v>
      </c>
      <c r="E2135" s="89" t="s">
        <v>210</v>
      </c>
      <c r="F2135" s="89">
        <f>IF(E2135="AM",1,(IF(E2135="BE",2,(IF(E2135="GV",3,(IF(E2135="RA",4,(IF(E2135="RM",5,(IF(E2135="AC",1,(IF(E2135="AT",2,(IF(E2135="DS",3,(IF(E2135="IP",4,(IF(E2135="MA",5,(IF(E2135="PT",6,(IF(E2135="AE",1,(IF(E2135="CM",2,(IF(E2135="DP",3,(IF(E2135="AN",1,(IF(E2135="CO",2,(IF(E2135="IM",3,(IF(E2135="MI",4,(IF(E2135="RP",5,(IF(E2135="SC",6,0)))))))))))))))))))))))))))))))))))))))</f>
        <v>3</v>
      </c>
      <c r="G2135" s="52">
        <v>5</v>
      </c>
      <c r="H2135" s="90" t="s">
        <v>115</v>
      </c>
      <c r="I2135" s="94" t="s">
        <v>77</v>
      </c>
      <c r="J2135" s="87" t="s">
        <v>1425</v>
      </c>
      <c r="K2135" s="102" t="s">
        <v>2409</v>
      </c>
      <c r="L2135" s="117">
        <f>IF(O2135="","",N2135*O2135*M2135)</f>
        <v>0</v>
      </c>
      <c r="M2135" s="108">
        <v>1</v>
      </c>
      <c r="N2135" s="95">
        <v>1</v>
      </c>
      <c r="O2135" s="109">
        <f>IF(Key!D$1="ON",P2135,IF(SUM(Q2135:DL2135)&lt;1,"",SUM(Q2135:DL2135)/COUNTIF(Q2135:DL2135,"&gt;0")))</f>
        <v>0</v>
      </c>
      <c r="P2135" s="109">
        <f>SUMIFS(Q2135:DK2135,Q$1:DK$1,Dashboard!$K$31)</f>
        <v>0</v>
      </c>
      <c r="U2135" s="95">
        <v>33</v>
      </c>
      <c r="AA2135" s="95">
        <v>25</v>
      </c>
      <c r="AH2135" s="95">
        <v>75</v>
      </c>
    </row>
    <row r="2136" spans="1:34" x14ac:dyDescent="0.3">
      <c r="A2136" s="89" t="str">
        <f>CONCATENATE(D2136,".",F2136,"-",G2136,".",H2136,"")</f>
        <v>2.3-5.1</v>
      </c>
      <c r="B2136" s="89" t="str">
        <f>IF(CONCATENATE(I2136,Key!F$2)=CONCATENATE(INDEX(Dashboard!J:J,MATCH(I2136,Dashboard!J:J,0),1),INDEX(Dashboard!J:K,MATCH(I2136,Dashboard!J:J,0),2)),"ON",IF(Dashboard!K$32="ALL","ON","-"))</f>
        <v>-</v>
      </c>
      <c r="C2136" s="88" t="s">
        <v>152</v>
      </c>
      <c r="D2136" s="89">
        <f>IF(C2136="ID",1,(IF(C2136="PR",2,(IF(C2136="DE",3,(IF(C2136="RS",4,(IF(C2136="RC",5,0)))))))))</f>
        <v>2</v>
      </c>
      <c r="E2136" s="89" t="s">
        <v>210</v>
      </c>
      <c r="F2136" s="89">
        <f>IF(E2136="AM",1,(IF(E2136="BE",2,(IF(E2136="GV",3,(IF(E2136="RA",4,(IF(E2136="RM",5,(IF(E2136="AC",1,(IF(E2136="AT",2,(IF(E2136="DS",3,(IF(E2136="IP",4,(IF(E2136="MA",5,(IF(E2136="PT",6,(IF(E2136="AE",1,(IF(E2136="CM",2,(IF(E2136="DP",3,(IF(E2136="AN",1,(IF(E2136="CO",2,(IF(E2136="IM",3,(IF(E2136="MI",4,(IF(E2136="RP",5,(IF(E2136="SC",6,0)))))))))))))))))))))))))))))))))))))))</f>
        <v>3</v>
      </c>
      <c r="G2136" s="52">
        <v>5</v>
      </c>
      <c r="H2136" s="90" t="s">
        <v>115</v>
      </c>
      <c r="I2136" s="94" t="s">
        <v>77</v>
      </c>
      <c r="J2136" s="87" t="s">
        <v>1426</v>
      </c>
      <c r="K2136" s="102" t="s">
        <v>2410</v>
      </c>
      <c r="L2136" s="117">
        <f>IF(O2136="","",N2136*O2136*M2136)</f>
        <v>0</v>
      </c>
      <c r="M2136" s="108">
        <v>1</v>
      </c>
      <c r="N2136" s="95">
        <v>1</v>
      </c>
      <c r="O2136" s="109">
        <f>IF(Key!D$1="ON",P2136,IF(SUM(Q2136:DL2136)&lt;1,"",SUM(Q2136:DL2136)/COUNTIF(Q2136:DL2136,"&gt;0")))</f>
        <v>0</v>
      </c>
      <c r="P2136" s="109">
        <f>SUMIFS(Q2136:DK2136,Q$1:DK$1,Dashboard!$K$31)</f>
        <v>0</v>
      </c>
      <c r="U2136" s="95">
        <v>33</v>
      </c>
      <c r="AA2136" s="95">
        <v>25</v>
      </c>
      <c r="AH2136" s="95">
        <v>75</v>
      </c>
    </row>
    <row r="2137" spans="1:34" x14ac:dyDescent="0.3">
      <c r="A2137" s="89" t="str">
        <f>CONCATENATE(D2137,".",F2137,"-",G2137,".",H2137,"")</f>
        <v>2.3-5.1</v>
      </c>
      <c r="B2137" s="89" t="str">
        <f>IF(CONCATENATE(I2137,Key!F$2)=CONCATENATE(INDEX(Dashboard!J:J,MATCH(I2137,Dashboard!J:J,0),1),INDEX(Dashboard!J:K,MATCH(I2137,Dashboard!J:J,0),2)),"ON",IF(Dashboard!K$32="ALL","ON","-"))</f>
        <v>-</v>
      </c>
      <c r="C2137" s="88" t="s">
        <v>152</v>
      </c>
      <c r="D2137" s="89">
        <f>IF(C2137="ID",1,(IF(C2137="PR",2,(IF(C2137="DE",3,(IF(C2137="RS",4,(IF(C2137="RC",5,0)))))))))</f>
        <v>2</v>
      </c>
      <c r="E2137" s="89" t="s">
        <v>210</v>
      </c>
      <c r="F2137" s="89">
        <f>IF(E2137="AM",1,(IF(E2137="BE",2,(IF(E2137="GV",3,(IF(E2137="RA",4,(IF(E2137="RM",5,(IF(E2137="AC",1,(IF(E2137="AT",2,(IF(E2137="DS",3,(IF(E2137="IP",4,(IF(E2137="MA",5,(IF(E2137="PT",6,(IF(E2137="AE",1,(IF(E2137="CM",2,(IF(E2137="DP",3,(IF(E2137="AN",1,(IF(E2137="CO",2,(IF(E2137="IM",3,(IF(E2137="MI",4,(IF(E2137="RP",5,(IF(E2137="SC",6,0)))))))))))))))))))))))))))))))))))))))</f>
        <v>3</v>
      </c>
      <c r="G2137" s="52">
        <v>5</v>
      </c>
      <c r="H2137" s="90" t="s">
        <v>115</v>
      </c>
      <c r="I2137" s="94" t="s">
        <v>85</v>
      </c>
      <c r="J2137" s="135" t="s">
        <v>691</v>
      </c>
      <c r="K2137" s="143" t="s">
        <v>4758</v>
      </c>
      <c r="L2137" s="117">
        <f>IF(O2137="","",N2137*O2137*M2137)</f>
        <v>0</v>
      </c>
      <c r="M2137" s="108">
        <v>1</v>
      </c>
      <c r="N2137" s="95">
        <v>1</v>
      </c>
      <c r="O2137" s="109">
        <f>IF(Key!D$1="ON",P2137,IF(SUM(Q2137:DL2137)&lt;1,"",SUM(Q2137:DL2137)/COUNTIF(Q2137:DL2137,"&gt;0")))</f>
        <v>0</v>
      </c>
      <c r="P2137" s="109">
        <f>SUMIFS(Q2137:DK2137,Q$1:DK$1,Dashboard!$K$31)</f>
        <v>0</v>
      </c>
      <c r="U2137" s="95">
        <v>33</v>
      </c>
      <c r="AA2137" s="95">
        <v>25</v>
      </c>
      <c r="AH2137" s="95">
        <v>75</v>
      </c>
    </row>
    <row r="2138" spans="1:34" x14ac:dyDescent="0.3">
      <c r="A2138" s="89" t="str">
        <f>CONCATENATE(D2138,".",F2138,"-",G2138,".",H2138,"")</f>
        <v>2.3-5.1</v>
      </c>
      <c r="B2138" s="89" t="str">
        <f>IF(CONCATENATE(I2138,Key!F$2)=CONCATENATE(INDEX(Dashboard!J:J,MATCH(I2138,Dashboard!J:J,0),1),INDEX(Dashboard!J:K,MATCH(I2138,Dashboard!J:J,0),2)),"ON",IF(Dashboard!K$32="ALL","ON","-"))</f>
        <v>-</v>
      </c>
      <c r="C2138" s="96" t="s">
        <v>152</v>
      </c>
      <c r="D2138" s="89">
        <f>IF(C2138="ID",1,(IF(C2138="PR",2,(IF(C2138="DE",3,(IF(C2138="RS",4,(IF(C2138="RC",5,0)))))))))</f>
        <v>2</v>
      </c>
      <c r="E2138" s="89" t="s">
        <v>210</v>
      </c>
      <c r="F2138" s="89">
        <f>IF(E2138="AM",1,(IF(E2138="BE",2,(IF(E2138="GV",3,(IF(E2138="RA",4,(IF(E2138="RM",5,(IF(E2138="AC",1,(IF(E2138="AT",2,(IF(E2138="DS",3,(IF(E2138="IP",4,(IF(E2138="MA",5,(IF(E2138="PT",6,(IF(E2138="AE",1,(IF(E2138="CM",2,(IF(E2138="DP",3,(IF(E2138="AN",1,(IF(E2138="CO",2,(IF(E2138="IM",3,(IF(E2138="MI",4,(IF(E2138="RP",5,(IF(E2138="SC",6,0)))))))))))))))))))))))))))))))))))))))</f>
        <v>3</v>
      </c>
      <c r="G2138" s="98">
        <v>5</v>
      </c>
      <c r="H2138" s="90" t="s">
        <v>115</v>
      </c>
      <c r="I2138" s="94" t="s">
        <v>85</v>
      </c>
      <c r="J2138" s="87" t="s">
        <v>1410</v>
      </c>
      <c r="K2138" s="119" t="s">
        <v>1411</v>
      </c>
      <c r="L2138" s="117">
        <f>IF(O2138="","",N2138*O2138*M2138)</f>
        <v>0</v>
      </c>
      <c r="M2138" s="108">
        <v>1</v>
      </c>
      <c r="N2138" s="95">
        <v>1</v>
      </c>
      <c r="O2138" s="109">
        <f>IF(Key!D$1="ON",P2138,IF(SUM(Q2138:DL2138)&lt;1,"",SUM(Q2138:DL2138)/COUNTIF(Q2138:DL2138,"&gt;0")))</f>
        <v>0</v>
      </c>
      <c r="P2138" s="109">
        <f>SUMIFS(Q2138:DK2138,Q$1:DK$1,Dashboard!$K$31)</f>
        <v>0</v>
      </c>
      <c r="U2138" s="95">
        <v>33</v>
      </c>
      <c r="AA2138" s="95">
        <v>25</v>
      </c>
      <c r="AH2138" s="95">
        <v>75</v>
      </c>
    </row>
    <row r="2139" spans="1:34" x14ac:dyDescent="0.3">
      <c r="A2139" s="89" t="str">
        <f>CONCATENATE(D2139,".",F2139,"-",G2139,".",H2139,"")</f>
        <v>2.3-5.1</v>
      </c>
      <c r="B2139" s="89" t="str">
        <f>IF(CONCATENATE(I2139,Key!F$2)=CONCATENATE(INDEX(Dashboard!J:J,MATCH(I2139,Dashboard!J:J,0),1),INDEX(Dashboard!J:K,MATCH(I2139,Dashboard!J:J,0),2)),"ON",IF(Dashboard!K$32="ALL","ON","-"))</f>
        <v>-</v>
      </c>
      <c r="C2139" s="88" t="s">
        <v>152</v>
      </c>
      <c r="D2139" s="89">
        <f>IF(C2139="ID",1,(IF(C2139="PR",2,(IF(C2139="DE",3,(IF(C2139="RS",4,(IF(C2139="RC",5,0)))))))))</f>
        <v>2</v>
      </c>
      <c r="E2139" s="89" t="s">
        <v>210</v>
      </c>
      <c r="F2139" s="89">
        <f>IF(E2139="AM",1,(IF(E2139="BE",2,(IF(E2139="GV",3,(IF(E2139="RA",4,(IF(E2139="RM",5,(IF(E2139="AC",1,(IF(E2139="AT",2,(IF(E2139="DS",3,(IF(E2139="IP",4,(IF(E2139="MA",5,(IF(E2139="PT",6,(IF(E2139="AE",1,(IF(E2139="CM",2,(IF(E2139="DP",3,(IF(E2139="AN",1,(IF(E2139="CO",2,(IF(E2139="IM",3,(IF(E2139="MI",4,(IF(E2139="RP",5,(IF(E2139="SC",6,0)))))))))))))))))))))))))))))))))))))))</f>
        <v>3</v>
      </c>
      <c r="G2139" s="52">
        <v>5</v>
      </c>
      <c r="H2139" s="90" t="s">
        <v>115</v>
      </c>
      <c r="I2139" s="94" t="s">
        <v>85</v>
      </c>
      <c r="J2139" s="87" t="s">
        <v>1192</v>
      </c>
      <c r="K2139" s="119" t="s">
        <v>4584</v>
      </c>
      <c r="L2139" s="117">
        <f>IF(O2139="","",N2139*O2139*M2139)</f>
        <v>0</v>
      </c>
      <c r="M2139" s="108">
        <v>1</v>
      </c>
      <c r="N2139" s="95">
        <v>1</v>
      </c>
      <c r="O2139" s="109">
        <f>IF(Key!D$1="ON",P2139,IF(SUM(Q2139:DL2139)&lt;1,"",SUM(Q2139:DL2139)/COUNTIF(Q2139:DL2139,"&gt;0")))</f>
        <v>0</v>
      </c>
      <c r="P2139" s="109">
        <f>SUMIFS(Q2139:DK2139,Q$1:DK$1,Dashboard!$K$31)</f>
        <v>0</v>
      </c>
      <c r="U2139" s="95">
        <v>33</v>
      </c>
      <c r="AA2139" s="95">
        <v>25</v>
      </c>
      <c r="AH2139" s="95">
        <v>75</v>
      </c>
    </row>
    <row r="2140" spans="1:34" x14ac:dyDescent="0.3">
      <c r="A2140" s="89" t="str">
        <f>CONCATENATE(D2140,".",F2140,"-",G2140,".",H2140,"")</f>
        <v>2.3-5.1</v>
      </c>
      <c r="B2140" s="89" t="str">
        <f>IF(CONCATENATE(I2140,Key!F$2)=CONCATENATE(INDEX(Dashboard!J:J,MATCH(I2140,Dashboard!J:J,0),1),INDEX(Dashboard!J:K,MATCH(I2140,Dashboard!J:J,0),2)),"ON",IF(Dashboard!K$32="ALL","ON","-"))</f>
        <v>-</v>
      </c>
      <c r="C2140" s="88" t="s">
        <v>152</v>
      </c>
      <c r="D2140" s="89">
        <f>IF(C2140="ID",1,(IF(C2140="PR",2,(IF(C2140="DE",3,(IF(C2140="RS",4,(IF(C2140="RC",5,0)))))))))</f>
        <v>2</v>
      </c>
      <c r="E2140" s="89" t="s">
        <v>210</v>
      </c>
      <c r="F2140" s="89">
        <f>IF(E2140="AM",1,(IF(E2140="BE",2,(IF(E2140="GV",3,(IF(E2140="RA",4,(IF(E2140="RM",5,(IF(E2140="AC",1,(IF(E2140="AT",2,(IF(E2140="DS",3,(IF(E2140="IP",4,(IF(E2140="MA",5,(IF(E2140="PT",6,(IF(E2140="AE",1,(IF(E2140="CM",2,(IF(E2140="DP",3,(IF(E2140="AN",1,(IF(E2140="CO",2,(IF(E2140="IM",3,(IF(E2140="MI",4,(IF(E2140="RP",5,(IF(E2140="SC",6,0)))))))))))))))))))))))))))))))))))))))</f>
        <v>3</v>
      </c>
      <c r="G2140" s="52">
        <v>5</v>
      </c>
      <c r="H2140" s="90" t="s">
        <v>115</v>
      </c>
      <c r="I2140" s="94" t="s">
        <v>85</v>
      </c>
      <c r="J2140" s="86" t="s">
        <v>641</v>
      </c>
      <c r="K2140" s="119" t="s">
        <v>4535</v>
      </c>
      <c r="L2140" s="117">
        <f>IF(O2140="","",N2140*O2140*M2140)</f>
        <v>0</v>
      </c>
      <c r="M2140" s="108">
        <v>1</v>
      </c>
      <c r="N2140" s="95">
        <v>1</v>
      </c>
      <c r="O2140" s="109">
        <f>IF(Key!D$1="ON",P2140,IF(SUM(Q2140:DL2140)&lt;1,"",SUM(Q2140:DL2140)/COUNTIF(Q2140:DL2140,"&gt;0")))</f>
        <v>0</v>
      </c>
      <c r="P2140" s="109">
        <f>SUMIFS(Q2140:DK2140,Q$1:DK$1,Dashboard!$K$31)</f>
        <v>0</v>
      </c>
      <c r="U2140" s="95">
        <v>33</v>
      </c>
      <c r="AA2140" s="95">
        <v>25</v>
      </c>
      <c r="AH2140" s="95">
        <v>75</v>
      </c>
    </row>
    <row r="2141" spans="1:34" x14ac:dyDescent="0.3">
      <c r="A2141" s="89" t="str">
        <f>CONCATENATE(D2141,".",F2141,"-",G2141,".",H2141,"")</f>
        <v>2.3-5.1</v>
      </c>
      <c r="B2141" s="89" t="str">
        <f>IF(CONCATENATE(I2141,Key!F$2)=CONCATENATE(INDEX(Dashboard!J:J,MATCH(I2141,Dashboard!J:J,0),1),INDEX(Dashboard!J:K,MATCH(I2141,Dashboard!J:J,0),2)),"ON",IF(Dashboard!K$32="ALL","ON","-"))</f>
        <v>-</v>
      </c>
      <c r="C2141" s="88" t="s">
        <v>152</v>
      </c>
      <c r="D2141" s="89">
        <f>IF(C2141="ID",1,(IF(C2141="PR",2,(IF(C2141="DE",3,(IF(C2141="RS",4,(IF(C2141="RC",5,0)))))))))</f>
        <v>2</v>
      </c>
      <c r="E2141" s="89" t="s">
        <v>210</v>
      </c>
      <c r="F2141" s="89">
        <f>IF(E2141="AM",1,(IF(E2141="BE",2,(IF(E2141="GV",3,(IF(E2141="RA",4,(IF(E2141="RM",5,(IF(E2141="AC",1,(IF(E2141="AT",2,(IF(E2141="DS",3,(IF(E2141="IP",4,(IF(E2141="MA",5,(IF(E2141="PT",6,(IF(E2141="AE",1,(IF(E2141="CM",2,(IF(E2141="DP",3,(IF(E2141="AN",1,(IF(E2141="CO",2,(IF(E2141="IM",3,(IF(E2141="MI",4,(IF(E2141="RP",5,(IF(E2141="SC",6,0)))))))))))))))))))))))))))))))))))))))</f>
        <v>3</v>
      </c>
      <c r="G2141" s="52">
        <v>5</v>
      </c>
      <c r="H2141" s="90" t="s">
        <v>115</v>
      </c>
      <c r="I2141" s="94" t="s">
        <v>85</v>
      </c>
      <c r="J2141" s="87" t="s">
        <v>1426</v>
      </c>
      <c r="K2141" s="119" t="s">
        <v>5104</v>
      </c>
      <c r="L2141" s="117">
        <f>IF(O2141="","",N2141*O2141*M2141)</f>
        <v>0</v>
      </c>
      <c r="M2141" s="108">
        <v>1</v>
      </c>
      <c r="N2141" s="95">
        <v>1</v>
      </c>
      <c r="O2141" s="109">
        <f>IF(Key!D$1="ON",P2141,IF(SUM(Q2141:DL2141)&lt;1,"",SUM(Q2141:DL2141)/COUNTIF(Q2141:DL2141,"&gt;0")))</f>
        <v>0</v>
      </c>
      <c r="P2141" s="109">
        <f>SUMIFS(Q2141:DK2141,Q$1:DK$1,Dashboard!$K$31)</f>
        <v>0</v>
      </c>
      <c r="U2141" s="95">
        <v>33</v>
      </c>
      <c r="AA2141" s="95">
        <v>25</v>
      </c>
      <c r="AH2141" s="95">
        <v>75</v>
      </c>
    </row>
    <row r="2142" spans="1:34" x14ac:dyDescent="0.3">
      <c r="A2142" s="89" t="str">
        <f>CONCATENATE(D2142,".",F2142,"-",G2142,".",H2142,"")</f>
        <v>2.3-5.1</v>
      </c>
      <c r="B2142" s="89" t="str">
        <f>IF(CONCATENATE(I2142,Key!F$2)=CONCATENATE(INDEX(Dashboard!J:J,MATCH(I2142,Dashboard!J:J,0),1),INDEX(Dashboard!J:K,MATCH(I2142,Dashboard!J:J,0),2)),"ON",IF(Dashboard!K$32="ALL","ON","-"))</f>
        <v>-</v>
      </c>
      <c r="C2142" s="88" t="s">
        <v>152</v>
      </c>
      <c r="D2142" s="89">
        <f>IF(C2142="ID",1,(IF(C2142="PR",2,(IF(C2142="DE",3,(IF(C2142="RS",4,(IF(C2142="RC",5,0)))))))))</f>
        <v>2</v>
      </c>
      <c r="E2142" s="89" t="s">
        <v>210</v>
      </c>
      <c r="F2142" s="89">
        <f>IF(E2142="AM",1,(IF(E2142="BE",2,(IF(E2142="GV",3,(IF(E2142="RA",4,(IF(E2142="RM",5,(IF(E2142="AC",1,(IF(E2142="AT",2,(IF(E2142="DS",3,(IF(E2142="IP",4,(IF(E2142="MA",5,(IF(E2142="PT",6,(IF(E2142="AE",1,(IF(E2142="CM",2,(IF(E2142="DP",3,(IF(E2142="AN",1,(IF(E2142="CO",2,(IF(E2142="IM",3,(IF(E2142="MI",4,(IF(E2142="RP",5,(IF(E2142="SC",6,0)))))))))))))))))))))))))))))))))))))))</f>
        <v>3</v>
      </c>
      <c r="G2142" s="52">
        <v>5</v>
      </c>
      <c r="H2142" s="90" t="s">
        <v>115</v>
      </c>
      <c r="I2142" s="94" t="s">
        <v>85</v>
      </c>
      <c r="J2142" s="87" t="s">
        <v>1422</v>
      </c>
      <c r="K2142" s="119" t="s">
        <v>5100</v>
      </c>
      <c r="L2142" s="117">
        <f>IF(O2142="","",N2142*O2142*M2142)</f>
        <v>0</v>
      </c>
      <c r="M2142" s="108">
        <v>1</v>
      </c>
      <c r="N2142" s="95">
        <v>1</v>
      </c>
      <c r="O2142" s="109">
        <f>IF(Key!D$1="ON",P2142,IF(SUM(Q2142:DL2142)&lt;1,"",SUM(Q2142:DL2142)/COUNTIF(Q2142:DL2142,"&gt;0")))</f>
        <v>0</v>
      </c>
      <c r="P2142" s="109">
        <f>SUMIFS(Q2142:DK2142,Q$1:DK$1,Dashboard!$K$31)</f>
        <v>0</v>
      </c>
      <c r="U2142" s="95">
        <v>33</v>
      </c>
      <c r="AA2142" s="95">
        <v>25</v>
      </c>
      <c r="AH2142" s="95">
        <v>75</v>
      </c>
    </row>
    <row r="2143" spans="1:34" x14ac:dyDescent="0.3">
      <c r="A2143" s="89" t="str">
        <f>CONCATENATE(D2143,".",F2143,"-",G2143,".",H2143,"")</f>
        <v>2.3-5.1</v>
      </c>
      <c r="B2143" s="89" t="str">
        <f>IF(CONCATENATE(I2143,Key!F$2)=CONCATENATE(INDEX(Dashboard!J:J,MATCH(I2143,Dashboard!J:J,0),1),INDEX(Dashboard!J:K,MATCH(I2143,Dashboard!J:J,0),2)),"ON",IF(Dashboard!K$32="ALL","ON","-"))</f>
        <v>-</v>
      </c>
      <c r="C2143" s="88" t="s">
        <v>152</v>
      </c>
      <c r="D2143" s="89">
        <f>IF(C2143="ID",1,(IF(C2143="PR",2,(IF(C2143="DE",3,(IF(C2143="RS",4,(IF(C2143="RC",5,0)))))))))</f>
        <v>2</v>
      </c>
      <c r="E2143" s="89" t="s">
        <v>210</v>
      </c>
      <c r="F2143" s="89">
        <f>IF(E2143="AM",1,(IF(E2143="BE",2,(IF(E2143="GV",3,(IF(E2143="RA",4,(IF(E2143="RM",5,(IF(E2143="AC",1,(IF(E2143="AT",2,(IF(E2143="DS",3,(IF(E2143="IP",4,(IF(E2143="MA",5,(IF(E2143="PT",6,(IF(E2143="AE",1,(IF(E2143="CM",2,(IF(E2143="DP",3,(IF(E2143="AN",1,(IF(E2143="CO",2,(IF(E2143="IM",3,(IF(E2143="MI",4,(IF(E2143="RP",5,(IF(E2143="SC",6,0)))))))))))))))))))))))))))))))))))))))</f>
        <v>3</v>
      </c>
      <c r="G2143" s="52">
        <v>5</v>
      </c>
      <c r="H2143" s="90" t="s">
        <v>115</v>
      </c>
      <c r="I2143" s="94" t="s">
        <v>85</v>
      </c>
      <c r="J2143" s="87" t="s">
        <v>1407</v>
      </c>
      <c r="K2143" s="119" t="s">
        <v>4840</v>
      </c>
      <c r="L2143" s="117">
        <f>IF(O2143="","",N2143*O2143*M2143)</f>
        <v>0</v>
      </c>
      <c r="M2143" s="108">
        <v>1</v>
      </c>
      <c r="N2143" s="95">
        <v>1</v>
      </c>
      <c r="O2143" s="109">
        <f>IF(Key!D$1="ON",P2143,IF(SUM(Q2143:DL2143)&lt;1,"",SUM(Q2143:DL2143)/COUNTIF(Q2143:DL2143,"&gt;0")))</f>
        <v>0</v>
      </c>
      <c r="P2143" s="109">
        <f>SUMIFS(Q2143:DK2143,Q$1:DK$1,Dashboard!$K$31)</f>
        <v>0</v>
      </c>
      <c r="U2143" s="95">
        <v>33</v>
      </c>
      <c r="AA2143" s="95">
        <v>25</v>
      </c>
      <c r="AH2143" s="95">
        <v>75</v>
      </c>
    </row>
    <row r="2144" spans="1:34" x14ac:dyDescent="0.3">
      <c r="A2144" s="89" t="str">
        <f>CONCATENATE(D2144,".",F2144,"-",G2144,".",H2144,"")</f>
        <v>2.3-5.1</v>
      </c>
      <c r="B2144" s="89" t="str">
        <f>IF(CONCATENATE(I2144,Key!F$2)=CONCATENATE(INDEX(Dashboard!J:J,MATCH(I2144,Dashboard!J:J,0),1),INDEX(Dashboard!J:K,MATCH(I2144,Dashboard!J:J,0),2)),"ON",IF(Dashboard!K$32="ALL","ON","-"))</f>
        <v>-</v>
      </c>
      <c r="C2144" s="88" t="s">
        <v>152</v>
      </c>
      <c r="D2144" s="89">
        <f>IF(C2144="ID",1,(IF(C2144="PR",2,(IF(C2144="DE",3,(IF(C2144="RS",4,(IF(C2144="RC",5,0)))))))))</f>
        <v>2</v>
      </c>
      <c r="E2144" s="89" t="s">
        <v>210</v>
      </c>
      <c r="F2144" s="89">
        <f>IF(E2144="AM",1,(IF(E2144="BE",2,(IF(E2144="GV",3,(IF(E2144="RA",4,(IF(E2144="RM",5,(IF(E2144="AC",1,(IF(E2144="AT",2,(IF(E2144="DS",3,(IF(E2144="IP",4,(IF(E2144="MA",5,(IF(E2144="PT",6,(IF(E2144="AE",1,(IF(E2144="CM",2,(IF(E2144="DP",3,(IF(E2144="AN",1,(IF(E2144="CO",2,(IF(E2144="IM",3,(IF(E2144="MI",4,(IF(E2144="RP",5,(IF(E2144="SC",6,0)))))))))))))))))))))))))))))))))))))))</f>
        <v>3</v>
      </c>
      <c r="G2144" s="52">
        <v>5</v>
      </c>
      <c r="H2144" s="90" t="s">
        <v>115</v>
      </c>
      <c r="I2144" s="94" t="s">
        <v>85</v>
      </c>
      <c r="J2144" s="87" t="s">
        <v>1412</v>
      </c>
      <c r="K2144" s="119" t="s">
        <v>4885</v>
      </c>
      <c r="L2144" s="117">
        <f>IF(O2144="","",N2144*O2144*M2144)</f>
        <v>0</v>
      </c>
      <c r="M2144" s="108">
        <v>1</v>
      </c>
      <c r="N2144" s="95">
        <v>1</v>
      </c>
      <c r="O2144" s="109">
        <f>IF(Key!D$1="ON",P2144,IF(SUM(Q2144:DL2144)&lt;1,"",SUM(Q2144:DL2144)/COUNTIF(Q2144:DL2144,"&gt;0")))</f>
        <v>0</v>
      </c>
      <c r="P2144" s="109">
        <f>SUMIFS(Q2144:DK2144,Q$1:DK$1,Dashboard!$K$31)</f>
        <v>0</v>
      </c>
      <c r="U2144" s="95">
        <v>33</v>
      </c>
      <c r="AA2144" s="95">
        <v>25</v>
      </c>
      <c r="AH2144" s="95">
        <v>75</v>
      </c>
    </row>
    <row r="2145" spans="1:34" ht="15.6" x14ac:dyDescent="0.3">
      <c r="A2145" s="89" t="str">
        <f>CONCATENATE(D2145,".",F2145,"-",G2145,".",H2145,"")</f>
        <v>2.3-5.1</v>
      </c>
      <c r="B2145" s="89" t="str">
        <f>IF(CONCATENATE(I2145,Key!F$2)=CONCATENATE(INDEX(Dashboard!J:J,MATCH(I2145,Dashboard!J:J,0),1),INDEX(Dashboard!J:K,MATCH(I2145,Dashboard!J:J,0),2)),"ON",IF(Dashboard!K$32="ALL","ON","-"))</f>
        <v>-</v>
      </c>
      <c r="C2145" s="88" t="s">
        <v>152</v>
      </c>
      <c r="D2145" s="89">
        <f>IF(C2145="ID",1,(IF(C2145="PR",2,(IF(C2145="DE",3,(IF(C2145="RS",4,(IF(C2145="RC",5,0)))))))))</f>
        <v>2</v>
      </c>
      <c r="E2145" s="89" t="s">
        <v>210</v>
      </c>
      <c r="F2145" s="89">
        <f>IF(E2145="AM",1,(IF(E2145="BE",2,(IF(E2145="GV",3,(IF(E2145="RA",4,(IF(E2145="RM",5,(IF(E2145="AC",1,(IF(E2145="AT",2,(IF(E2145="DS",3,(IF(E2145="IP",4,(IF(E2145="MA",5,(IF(E2145="PT",6,(IF(E2145="AE",1,(IF(E2145="CM",2,(IF(E2145="DP",3,(IF(E2145="AN",1,(IF(E2145="CO",2,(IF(E2145="IM",3,(IF(E2145="MI",4,(IF(E2145="RP",5,(IF(E2145="SC",6,0)))))))))))))))))))))))))))))))))))))))</f>
        <v>3</v>
      </c>
      <c r="G2145" s="52">
        <v>5</v>
      </c>
      <c r="H2145" s="90" t="s">
        <v>115</v>
      </c>
      <c r="I2145" s="94" t="s">
        <v>85</v>
      </c>
      <c r="J2145" s="86" t="s">
        <v>833</v>
      </c>
      <c r="K2145" s="119" t="s">
        <v>5084</v>
      </c>
      <c r="L2145" s="117">
        <f>IF(O2145="","",N2145*O2145*M2145)</f>
        <v>0</v>
      </c>
      <c r="M2145" s="108">
        <v>1</v>
      </c>
      <c r="N2145" s="95">
        <v>1</v>
      </c>
      <c r="O2145" s="109">
        <f>IF(Key!D$1="ON",P2145,IF(SUM(Q2145:DL2145)&lt;1,"",SUM(Q2145:DL2145)/COUNTIF(Q2145:DL2145,"&gt;0")))</f>
        <v>0</v>
      </c>
      <c r="P2145" s="109">
        <f>SUMIFS(Q2145:DK2145,Q$1:DK$1,Dashboard!$K$31)</f>
        <v>0</v>
      </c>
      <c r="U2145" s="95">
        <v>33</v>
      </c>
      <c r="AA2145" s="95">
        <v>25</v>
      </c>
      <c r="AH2145" s="95">
        <v>75</v>
      </c>
    </row>
    <row r="2146" spans="1:34" x14ac:dyDescent="0.3">
      <c r="A2146" s="89" t="str">
        <f>CONCATENATE(D2146,".",F2146,"-",G2146,".",H2146,"")</f>
        <v>2.3-5.1</v>
      </c>
      <c r="B2146" s="89" t="str">
        <f>IF(CONCATENATE(I2146,Key!F$2)=CONCATENATE(INDEX(Dashboard!J:J,MATCH(I2146,Dashboard!J:J,0),1),INDEX(Dashboard!J:K,MATCH(I2146,Dashboard!J:J,0),2)),"ON",IF(Dashboard!K$32="ALL","ON","-"))</f>
        <v>-</v>
      </c>
      <c r="C2146" s="88" t="s">
        <v>152</v>
      </c>
      <c r="D2146" s="89">
        <f>IF(C2146="ID",1,(IF(C2146="PR",2,(IF(C2146="DE",3,(IF(C2146="RS",4,(IF(C2146="RC",5,0)))))))))</f>
        <v>2</v>
      </c>
      <c r="E2146" s="89" t="s">
        <v>210</v>
      </c>
      <c r="F2146" s="89">
        <f>IF(E2146="AM",1,(IF(E2146="BE",2,(IF(E2146="GV",3,(IF(E2146="RA",4,(IF(E2146="RM",5,(IF(E2146="AC",1,(IF(E2146="AT",2,(IF(E2146="DS",3,(IF(E2146="IP",4,(IF(E2146="MA",5,(IF(E2146="PT",6,(IF(E2146="AE",1,(IF(E2146="CM",2,(IF(E2146="DP",3,(IF(E2146="AN",1,(IF(E2146="CO",2,(IF(E2146="IM",3,(IF(E2146="MI",4,(IF(E2146="RP",5,(IF(E2146="SC",6,0)))))))))))))))))))))))))))))))))))))))</f>
        <v>3</v>
      </c>
      <c r="G2146" s="52">
        <v>5</v>
      </c>
      <c r="H2146" s="90" t="s">
        <v>115</v>
      </c>
      <c r="I2146" s="94" t="s">
        <v>85</v>
      </c>
      <c r="J2146" s="87" t="s">
        <v>1397</v>
      </c>
      <c r="K2146" s="119" t="s">
        <v>4506</v>
      </c>
      <c r="L2146" s="117">
        <f>IF(O2146="","",N2146*O2146*M2146)</f>
        <v>0</v>
      </c>
      <c r="M2146" s="108">
        <v>1</v>
      </c>
      <c r="N2146" s="95">
        <v>1</v>
      </c>
      <c r="O2146" s="109">
        <f>IF(Key!D$1="ON",P2146,IF(SUM(Q2146:DL2146)&lt;1,"",SUM(Q2146:DL2146)/COUNTIF(Q2146:DL2146,"&gt;0")))</f>
        <v>0</v>
      </c>
      <c r="P2146" s="109">
        <f>SUMIFS(Q2146:DK2146,Q$1:DK$1,Dashboard!$K$31)</f>
        <v>0</v>
      </c>
      <c r="U2146" s="95">
        <v>33</v>
      </c>
      <c r="AA2146" s="95">
        <v>25</v>
      </c>
      <c r="AH2146" s="95">
        <v>75</v>
      </c>
    </row>
    <row r="2147" spans="1:34" x14ac:dyDescent="0.3">
      <c r="A2147" s="89" t="str">
        <f>CONCATENATE(D2147,".",F2147,"-",G2147,".",H2147,"")</f>
        <v>2.3-5.1</v>
      </c>
      <c r="B2147" s="89" t="str">
        <f>IF(CONCATENATE(I2147,Key!F$2)=CONCATENATE(INDEX(Dashboard!J:J,MATCH(I2147,Dashboard!J:J,0),1),INDEX(Dashboard!J:K,MATCH(I2147,Dashboard!J:J,0),2)),"ON",IF(Dashboard!K$32="ALL","ON","-"))</f>
        <v>-</v>
      </c>
      <c r="C2147" s="96" t="s">
        <v>152</v>
      </c>
      <c r="D2147" s="89">
        <f>IF(C2147="ID",1,(IF(C2147="PR",2,(IF(C2147="DE",3,(IF(C2147="RS",4,(IF(C2147="RC",5,0)))))))))</f>
        <v>2</v>
      </c>
      <c r="E2147" s="89" t="s">
        <v>210</v>
      </c>
      <c r="F2147" s="89">
        <f>IF(E2147="AM",1,(IF(E2147="BE",2,(IF(E2147="GV",3,(IF(E2147="RA",4,(IF(E2147="RM",5,(IF(E2147="AC",1,(IF(E2147="AT",2,(IF(E2147="DS",3,(IF(E2147="IP",4,(IF(E2147="MA",5,(IF(E2147="PT",6,(IF(E2147="AE",1,(IF(E2147="CM",2,(IF(E2147="DP",3,(IF(E2147="AN",1,(IF(E2147="CO",2,(IF(E2147="IM",3,(IF(E2147="MI",4,(IF(E2147="RP",5,(IF(E2147="SC",6,0)))))))))))))))))))))))))))))))))))))))</f>
        <v>3</v>
      </c>
      <c r="G2147" s="98">
        <v>5</v>
      </c>
      <c r="H2147" s="90" t="s">
        <v>115</v>
      </c>
      <c r="I2147" s="94" t="s">
        <v>85</v>
      </c>
      <c r="J2147" s="87" t="s">
        <v>1416</v>
      </c>
      <c r="K2147" s="119" t="s">
        <v>1417</v>
      </c>
      <c r="L2147" s="117">
        <f>IF(O2147="","",N2147*O2147*M2147)</f>
        <v>0</v>
      </c>
      <c r="M2147" s="108">
        <v>1</v>
      </c>
      <c r="N2147" s="95">
        <v>1</v>
      </c>
      <c r="O2147" s="109">
        <f>IF(Key!D$1="ON",P2147,IF(SUM(Q2147:DL2147)&lt;1,"",SUM(Q2147:DL2147)/COUNTIF(Q2147:DL2147,"&gt;0")))</f>
        <v>0</v>
      </c>
      <c r="P2147" s="109">
        <f>SUMIFS(Q2147:DK2147,Q$1:DK$1,Dashboard!$K$31)</f>
        <v>0</v>
      </c>
      <c r="U2147" s="95">
        <v>33</v>
      </c>
      <c r="AA2147" s="95">
        <v>25</v>
      </c>
      <c r="AH2147" s="95">
        <v>75</v>
      </c>
    </row>
    <row r="2148" spans="1:34" x14ac:dyDescent="0.3">
      <c r="A2148" s="89" t="str">
        <f>CONCATENATE(D2148,".",F2148,"-",G2148,".",H2148,"")</f>
        <v>2.3-5.1</v>
      </c>
      <c r="B2148" s="89" t="str">
        <f>IF(CONCATENATE(I2148,Key!F$2)=CONCATENATE(INDEX(Dashboard!J:J,MATCH(I2148,Dashboard!J:J,0),1),INDEX(Dashboard!J:K,MATCH(I2148,Dashboard!J:J,0),2)),"ON",IF(Dashboard!K$32="ALL","ON","-"))</f>
        <v>-</v>
      </c>
      <c r="C2148" s="96" t="s">
        <v>152</v>
      </c>
      <c r="D2148" s="89">
        <f>IF(C2148="ID",1,(IF(C2148="PR",2,(IF(C2148="DE",3,(IF(C2148="RS",4,(IF(C2148="RC",5,0)))))))))</f>
        <v>2</v>
      </c>
      <c r="E2148" s="89" t="s">
        <v>210</v>
      </c>
      <c r="F2148" s="89">
        <f>IF(E2148="AM",1,(IF(E2148="BE",2,(IF(E2148="GV",3,(IF(E2148="RA",4,(IF(E2148="RM",5,(IF(E2148="AC",1,(IF(E2148="AT",2,(IF(E2148="DS",3,(IF(E2148="IP",4,(IF(E2148="MA",5,(IF(E2148="PT",6,(IF(E2148="AE",1,(IF(E2148="CM",2,(IF(E2148="DP",3,(IF(E2148="AN",1,(IF(E2148="CO",2,(IF(E2148="IM",3,(IF(E2148="MI",4,(IF(E2148="RP",5,(IF(E2148="SC",6,0)))))))))))))))))))))))))))))))))))))))</f>
        <v>3</v>
      </c>
      <c r="G2148" s="98">
        <v>5</v>
      </c>
      <c r="H2148" s="90" t="s">
        <v>115</v>
      </c>
      <c r="I2148" s="94" t="s">
        <v>85</v>
      </c>
      <c r="J2148" s="87" t="s">
        <v>1414</v>
      </c>
      <c r="K2148" s="119" t="s">
        <v>1415</v>
      </c>
      <c r="L2148" s="117">
        <f>IF(O2148="","",N2148*O2148*M2148)</f>
        <v>0</v>
      </c>
      <c r="M2148" s="108">
        <v>1</v>
      </c>
      <c r="N2148" s="95">
        <v>1</v>
      </c>
      <c r="O2148" s="109">
        <f>IF(Key!D$1="ON",P2148,IF(SUM(Q2148:DL2148)&lt;1,"",SUM(Q2148:DL2148)/COUNTIF(Q2148:DL2148,"&gt;0")))</f>
        <v>0</v>
      </c>
      <c r="P2148" s="109">
        <f>SUMIFS(Q2148:DK2148,Q$1:DK$1,Dashboard!$K$31)</f>
        <v>0</v>
      </c>
      <c r="U2148" s="95">
        <v>33</v>
      </c>
      <c r="AA2148" s="95">
        <v>25</v>
      </c>
      <c r="AH2148" s="95">
        <v>75</v>
      </c>
    </row>
    <row r="2149" spans="1:34" ht="15.6" x14ac:dyDescent="0.3">
      <c r="A2149" s="89" t="str">
        <f>CONCATENATE(D2149,".",F2149,"-",G2149,".",H2149,"")</f>
        <v>2.3-5.1</v>
      </c>
      <c r="B2149" s="89" t="str">
        <f>IF(CONCATENATE(I2149,Key!F$2)=CONCATENATE(INDEX(Dashboard!J:J,MATCH(I2149,Dashboard!J:J,0),1),INDEX(Dashboard!J:K,MATCH(I2149,Dashboard!J:J,0),2)),"ON",IF(Dashboard!K$32="ALL","ON","-"))</f>
        <v>-</v>
      </c>
      <c r="C2149" s="88" t="s">
        <v>152</v>
      </c>
      <c r="D2149" s="89">
        <f>IF(C2149="ID",1,(IF(C2149="PR",2,(IF(C2149="DE",3,(IF(C2149="RS",4,(IF(C2149="RC",5,0)))))))))</f>
        <v>2</v>
      </c>
      <c r="E2149" s="89" t="s">
        <v>210</v>
      </c>
      <c r="F2149" s="89">
        <f>IF(E2149="AM",1,(IF(E2149="BE",2,(IF(E2149="GV",3,(IF(E2149="RA",4,(IF(E2149="RM",5,(IF(E2149="AC",1,(IF(E2149="AT",2,(IF(E2149="DS",3,(IF(E2149="IP",4,(IF(E2149="MA",5,(IF(E2149="PT",6,(IF(E2149="AE",1,(IF(E2149="CM",2,(IF(E2149="DP",3,(IF(E2149="AN",1,(IF(E2149="CO",2,(IF(E2149="IM",3,(IF(E2149="MI",4,(IF(E2149="RP",5,(IF(E2149="SC",6,0)))))))))))))))))))))))))))))))))))))))</f>
        <v>3</v>
      </c>
      <c r="G2149" s="52">
        <v>5</v>
      </c>
      <c r="H2149" s="90" t="s">
        <v>115</v>
      </c>
      <c r="I2149" s="94" t="s">
        <v>85</v>
      </c>
      <c r="J2149" s="87" t="s">
        <v>1395</v>
      </c>
      <c r="K2149" s="119" t="s">
        <v>1396</v>
      </c>
      <c r="L2149" s="117">
        <f>IF(O2149="","",N2149*O2149*M2149)</f>
        <v>0</v>
      </c>
      <c r="M2149" s="108">
        <v>1</v>
      </c>
      <c r="N2149" s="95">
        <v>1</v>
      </c>
      <c r="O2149" s="109">
        <f>IF(Key!D$1="ON",P2149,IF(SUM(Q2149:DL2149)&lt;1,"",SUM(Q2149:DL2149)/COUNTIF(Q2149:DL2149,"&gt;0")))</f>
        <v>0</v>
      </c>
      <c r="P2149" s="109">
        <f>SUMIFS(Q2149:DK2149,Q$1:DK$1,Dashboard!$K$31)</f>
        <v>0</v>
      </c>
      <c r="U2149" s="95">
        <v>33</v>
      </c>
      <c r="AA2149" s="95">
        <v>25</v>
      </c>
      <c r="AH2149" s="95">
        <v>75</v>
      </c>
    </row>
    <row r="2150" spans="1:34" x14ac:dyDescent="0.3">
      <c r="A2150" s="89" t="str">
        <f>CONCATENATE(D2150,".",F2150,"-",G2150,".",H2150,"")</f>
        <v>2.3-5.1</v>
      </c>
      <c r="B2150" s="89" t="str">
        <f>IF(CONCATENATE(I2150,Key!F$2)=CONCATENATE(INDEX(Dashboard!J:J,MATCH(I2150,Dashboard!J:J,0),1),INDEX(Dashboard!J:K,MATCH(I2150,Dashboard!J:J,0),2)),"ON",IF(Dashboard!K$32="ALL","ON","-"))</f>
        <v>-</v>
      </c>
      <c r="C2150" s="88" t="s">
        <v>152</v>
      </c>
      <c r="D2150" s="89">
        <f>IF(C2150="ID",1,(IF(C2150="PR",2,(IF(C2150="DE",3,(IF(C2150="RS",4,(IF(C2150="RC",5,0)))))))))</f>
        <v>2</v>
      </c>
      <c r="E2150" s="89" t="s">
        <v>210</v>
      </c>
      <c r="F2150" s="89">
        <f>IF(E2150="AM",1,(IF(E2150="BE",2,(IF(E2150="GV",3,(IF(E2150="RA",4,(IF(E2150="RM",5,(IF(E2150="AC",1,(IF(E2150="AT",2,(IF(E2150="DS",3,(IF(E2150="IP",4,(IF(E2150="MA",5,(IF(E2150="PT",6,(IF(E2150="AE",1,(IF(E2150="CM",2,(IF(E2150="DP",3,(IF(E2150="AN",1,(IF(E2150="CO",2,(IF(E2150="IM",3,(IF(E2150="MI",4,(IF(E2150="RP",5,(IF(E2150="SC",6,0)))))))))))))))))))))))))))))))))))))))</f>
        <v>3</v>
      </c>
      <c r="G2150" s="52">
        <v>5</v>
      </c>
      <c r="H2150" s="90" t="s">
        <v>115</v>
      </c>
      <c r="I2150" s="94" t="s">
        <v>85</v>
      </c>
      <c r="J2150" s="86" t="s">
        <v>644</v>
      </c>
      <c r="K2150" s="119" t="s">
        <v>4538</v>
      </c>
      <c r="L2150" s="117">
        <f>IF(O2150="","",N2150*O2150*M2150)</f>
        <v>0</v>
      </c>
      <c r="M2150" s="108">
        <v>1</v>
      </c>
      <c r="N2150" s="95">
        <v>1</v>
      </c>
      <c r="O2150" s="109">
        <f>IF(Key!D$1="ON",P2150,IF(SUM(Q2150:DL2150)&lt;1,"",SUM(Q2150:DL2150)/COUNTIF(Q2150:DL2150,"&gt;0")))</f>
        <v>0</v>
      </c>
      <c r="P2150" s="109">
        <f>SUMIFS(Q2150:DK2150,Q$1:DK$1,Dashboard!$K$31)</f>
        <v>0</v>
      </c>
      <c r="U2150" s="95">
        <v>33</v>
      </c>
      <c r="AA2150" s="95">
        <v>25</v>
      </c>
      <c r="AH2150" s="95">
        <v>75</v>
      </c>
    </row>
    <row r="2151" spans="1:34" x14ac:dyDescent="0.3">
      <c r="A2151" s="89" t="str">
        <f>CONCATENATE(D2151,".",F2151,"-",G2151,".",H2151,"")</f>
        <v>2.3-5.1</v>
      </c>
      <c r="B2151" s="89" t="str">
        <f>IF(CONCATENATE(I2151,Key!F$2)=CONCATENATE(INDEX(Dashboard!J:J,MATCH(I2151,Dashboard!J:J,0),1),INDEX(Dashboard!J:K,MATCH(I2151,Dashboard!J:J,0),2)),"ON",IF(Dashboard!K$32="ALL","ON","-"))</f>
        <v>-</v>
      </c>
      <c r="C2151" s="88" t="s">
        <v>152</v>
      </c>
      <c r="D2151" s="89">
        <f>IF(C2151="ID",1,(IF(C2151="PR",2,(IF(C2151="DE",3,(IF(C2151="RS",4,(IF(C2151="RC",5,0)))))))))</f>
        <v>2</v>
      </c>
      <c r="E2151" s="89" t="s">
        <v>210</v>
      </c>
      <c r="F2151" s="89">
        <f>IF(E2151="AM",1,(IF(E2151="BE",2,(IF(E2151="GV",3,(IF(E2151="RA",4,(IF(E2151="RM",5,(IF(E2151="AC",1,(IF(E2151="AT",2,(IF(E2151="DS",3,(IF(E2151="IP",4,(IF(E2151="MA",5,(IF(E2151="PT",6,(IF(E2151="AE",1,(IF(E2151="CM",2,(IF(E2151="DP",3,(IF(E2151="AN",1,(IF(E2151="CO",2,(IF(E2151="IM",3,(IF(E2151="MI",4,(IF(E2151="RP",5,(IF(E2151="SC",6,0)))))))))))))))))))))))))))))))))))))))</f>
        <v>3</v>
      </c>
      <c r="G2151" s="52">
        <v>5</v>
      </c>
      <c r="H2151" s="90" t="s">
        <v>115</v>
      </c>
      <c r="I2151" s="94" t="s">
        <v>85</v>
      </c>
      <c r="J2151" s="87" t="s">
        <v>1408</v>
      </c>
      <c r="K2151" s="119" t="s">
        <v>4880</v>
      </c>
      <c r="L2151" s="117">
        <f>IF(O2151="","",N2151*O2151*M2151)</f>
        <v>0</v>
      </c>
      <c r="M2151" s="108">
        <v>1</v>
      </c>
      <c r="N2151" s="95">
        <v>1</v>
      </c>
      <c r="O2151" s="109">
        <f>IF(Key!D$1="ON",P2151,IF(SUM(Q2151:DL2151)&lt;1,"",SUM(Q2151:DL2151)/COUNTIF(Q2151:DL2151,"&gt;0")))</f>
        <v>0</v>
      </c>
      <c r="P2151" s="109">
        <f>SUMIFS(Q2151:DK2151,Q$1:DK$1,Dashboard!$K$31)</f>
        <v>0</v>
      </c>
      <c r="U2151" s="95">
        <v>33</v>
      </c>
      <c r="AA2151" s="95">
        <v>25</v>
      </c>
      <c r="AH2151" s="95">
        <v>75</v>
      </c>
    </row>
    <row r="2152" spans="1:34" ht="15.6" x14ac:dyDescent="0.3">
      <c r="A2152" s="89" t="str">
        <f>CONCATENATE(D2152,".",F2152,"-",G2152,".",H2152,"")</f>
        <v>2.3-5.1</v>
      </c>
      <c r="B2152" s="89" t="str">
        <f>IF(CONCATENATE(I2152,Key!F$2)=CONCATENATE(INDEX(Dashboard!J:J,MATCH(I2152,Dashboard!J:J,0),1),INDEX(Dashboard!J:K,MATCH(I2152,Dashboard!J:J,0),2)),"ON",IF(Dashboard!K$32="ALL","ON","-"))</f>
        <v>-</v>
      </c>
      <c r="C2152" s="88" t="s">
        <v>152</v>
      </c>
      <c r="D2152" s="89">
        <f>IF(C2152="ID",1,(IF(C2152="PR",2,(IF(C2152="DE",3,(IF(C2152="RS",4,(IF(C2152="RC",5,0)))))))))</f>
        <v>2</v>
      </c>
      <c r="E2152" s="89" t="s">
        <v>210</v>
      </c>
      <c r="F2152" s="89">
        <f>IF(E2152="AM",1,(IF(E2152="BE",2,(IF(E2152="GV",3,(IF(E2152="RA",4,(IF(E2152="RM",5,(IF(E2152="AC",1,(IF(E2152="AT",2,(IF(E2152="DS",3,(IF(E2152="IP",4,(IF(E2152="MA",5,(IF(E2152="PT",6,(IF(E2152="AE",1,(IF(E2152="CM",2,(IF(E2152="DP",3,(IF(E2152="AN",1,(IF(E2152="CO",2,(IF(E2152="IM",3,(IF(E2152="MI",4,(IF(E2152="RP",5,(IF(E2152="SC",6,0)))))))))))))))))))))))))))))))))))))))</f>
        <v>3</v>
      </c>
      <c r="G2152" s="52">
        <v>5</v>
      </c>
      <c r="H2152" s="90" t="s">
        <v>115</v>
      </c>
      <c r="I2152" s="94" t="s">
        <v>85</v>
      </c>
      <c r="J2152" s="87" t="s">
        <v>1425</v>
      </c>
      <c r="K2152" s="119" t="s">
        <v>5120</v>
      </c>
      <c r="L2152" s="117">
        <f>IF(O2152="","",N2152*O2152*M2152)</f>
        <v>0</v>
      </c>
      <c r="M2152" s="108">
        <v>1</v>
      </c>
      <c r="N2152" s="95">
        <v>1</v>
      </c>
      <c r="O2152" s="109">
        <f>IF(Key!D$1="ON",P2152,IF(SUM(Q2152:DL2152)&lt;1,"",SUM(Q2152:DL2152)/COUNTIF(Q2152:DL2152,"&gt;0")))</f>
        <v>0</v>
      </c>
      <c r="P2152" s="109">
        <f>SUMIFS(Q2152:DK2152,Q$1:DK$1,Dashboard!$K$31)</f>
        <v>0</v>
      </c>
      <c r="U2152" s="95">
        <v>33</v>
      </c>
      <c r="AA2152" s="95">
        <v>25</v>
      </c>
      <c r="AH2152" s="95">
        <v>75</v>
      </c>
    </row>
    <row r="2153" spans="1:34" ht="15.6" x14ac:dyDescent="0.3">
      <c r="A2153" s="89" t="str">
        <f>CONCATENATE(D2153,".",F2153,"-",G2153,".",H2153,"")</f>
        <v>2.3-5.1</v>
      </c>
      <c r="B2153" s="89" t="str">
        <f>IF(CONCATENATE(I2153,Key!F$2)=CONCATENATE(INDEX(Dashboard!J:J,MATCH(I2153,Dashboard!J:J,0),1),INDEX(Dashboard!J:K,MATCH(I2153,Dashboard!J:J,0),2)),"ON",IF(Dashboard!K$32="ALL","ON","-"))</f>
        <v>-</v>
      </c>
      <c r="C2153" s="96" t="s">
        <v>152</v>
      </c>
      <c r="D2153" s="89">
        <f>IF(C2153="ID",1,(IF(C2153="PR",2,(IF(C2153="DE",3,(IF(C2153="RS",4,(IF(C2153="RC",5,0)))))))))</f>
        <v>2</v>
      </c>
      <c r="E2153" s="89" t="s">
        <v>210</v>
      </c>
      <c r="F2153" s="89">
        <f>IF(E2153="AM",1,(IF(E2153="BE",2,(IF(E2153="GV",3,(IF(E2153="RA",4,(IF(E2153="RM",5,(IF(E2153="AC",1,(IF(E2153="AT",2,(IF(E2153="DS",3,(IF(E2153="IP",4,(IF(E2153="MA",5,(IF(E2153="PT",6,(IF(E2153="AE",1,(IF(E2153="CM",2,(IF(E2153="DP",3,(IF(E2153="AN",1,(IF(E2153="CO",2,(IF(E2153="IM",3,(IF(E2153="MI",4,(IF(E2153="RP",5,(IF(E2153="SC",6,0)))))))))))))))))))))))))))))))))))))))</f>
        <v>3</v>
      </c>
      <c r="G2153" s="98">
        <v>5</v>
      </c>
      <c r="H2153" s="90" t="s">
        <v>115</v>
      </c>
      <c r="I2153" s="94" t="s">
        <v>85</v>
      </c>
      <c r="J2153" s="87" t="s">
        <v>1402</v>
      </c>
      <c r="K2153" s="119" t="s">
        <v>1403</v>
      </c>
      <c r="L2153" s="117">
        <f>IF(O2153="","",N2153*O2153*M2153)</f>
        <v>0</v>
      </c>
      <c r="M2153" s="108">
        <v>1</v>
      </c>
      <c r="N2153" s="95">
        <v>1</v>
      </c>
      <c r="O2153" s="109">
        <f>IF(Key!D$1="ON",P2153,IF(SUM(Q2153:DL2153)&lt;1,"",SUM(Q2153:DL2153)/COUNTIF(Q2153:DL2153,"&gt;0")))</f>
        <v>0</v>
      </c>
      <c r="P2153" s="109">
        <f>SUMIFS(Q2153:DK2153,Q$1:DK$1,Dashboard!$K$31)</f>
        <v>0</v>
      </c>
      <c r="U2153" s="95">
        <v>33</v>
      </c>
      <c r="AA2153" s="95">
        <v>25</v>
      </c>
      <c r="AH2153" s="95">
        <v>75</v>
      </c>
    </row>
    <row r="2154" spans="1:34" ht="15.6" x14ac:dyDescent="0.3">
      <c r="A2154" s="89" t="str">
        <f>CONCATENATE(D2154,".",F2154,"-",G2154,".",H2154,"")</f>
        <v>2.3-5.1</v>
      </c>
      <c r="B2154" s="89" t="str">
        <f>IF(CONCATENATE(I2154,Key!F$2)=CONCATENATE(INDEX(Dashboard!J:J,MATCH(I2154,Dashboard!J:J,0),1),INDEX(Dashboard!J:K,MATCH(I2154,Dashboard!J:J,0),2)),"ON",IF(Dashboard!K$32="ALL","ON","-"))</f>
        <v>-</v>
      </c>
      <c r="C2154" s="88" t="s">
        <v>152</v>
      </c>
      <c r="D2154" s="89">
        <f>IF(C2154="ID",1,(IF(C2154="PR",2,(IF(C2154="DE",3,(IF(C2154="RS",4,(IF(C2154="RC",5,0)))))))))</f>
        <v>2</v>
      </c>
      <c r="E2154" s="89" t="s">
        <v>210</v>
      </c>
      <c r="F2154" s="89">
        <f>IF(E2154="AM",1,(IF(E2154="BE",2,(IF(E2154="GV",3,(IF(E2154="RA",4,(IF(E2154="RM",5,(IF(E2154="AC",1,(IF(E2154="AT",2,(IF(E2154="DS",3,(IF(E2154="IP",4,(IF(E2154="MA",5,(IF(E2154="PT",6,(IF(E2154="AE",1,(IF(E2154="CM",2,(IF(E2154="DP",3,(IF(E2154="AN",1,(IF(E2154="CO",2,(IF(E2154="IM",3,(IF(E2154="MI",4,(IF(E2154="RP",5,(IF(E2154="SC",6,0)))))))))))))))))))))))))))))))))))))))</f>
        <v>3</v>
      </c>
      <c r="G2154" s="52">
        <v>5</v>
      </c>
      <c r="H2154" s="90" t="s">
        <v>115</v>
      </c>
      <c r="I2154" s="94" t="s">
        <v>85</v>
      </c>
      <c r="J2154" s="87" t="s">
        <v>1429</v>
      </c>
      <c r="K2154" s="119" t="s">
        <v>1430</v>
      </c>
      <c r="L2154" s="117">
        <f>IF(O2154="","",N2154*O2154*M2154)</f>
        <v>0</v>
      </c>
      <c r="M2154" s="108">
        <v>1</v>
      </c>
      <c r="N2154" s="95">
        <v>1</v>
      </c>
      <c r="O2154" s="109">
        <f>IF(Key!D$1="ON",P2154,IF(SUM(Q2154:DL2154)&lt;1,"",SUM(Q2154:DL2154)/COUNTIF(Q2154:DL2154,"&gt;0")))</f>
        <v>0</v>
      </c>
      <c r="P2154" s="109">
        <f>SUMIFS(Q2154:DK2154,Q$1:DK$1,Dashboard!$K$31)</f>
        <v>0</v>
      </c>
      <c r="U2154" s="95">
        <v>33</v>
      </c>
      <c r="AA2154" s="95">
        <v>25</v>
      </c>
      <c r="AH2154" s="95">
        <v>75</v>
      </c>
    </row>
    <row r="2155" spans="1:34" ht="15.6" x14ac:dyDescent="0.3">
      <c r="A2155" s="89" t="str">
        <f>CONCATENATE(D2155,".",F2155,"-",G2155,".",H2155,"")</f>
        <v>2.3-5.1</v>
      </c>
      <c r="B2155" s="89" t="str">
        <f>IF(CONCATENATE(I2155,Key!F$2)=CONCATENATE(INDEX(Dashboard!J:J,MATCH(I2155,Dashboard!J:J,0),1),INDEX(Dashboard!J:K,MATCH(I2155,Dashboard!J:J,0),2)),"ON",IF(Dashboard!K$32="ALL","ON","-"))</f>
        <v>-</v>
      </c>
      <c r="C2155" s="88" t="s">
        <v>152</v>
      </c>
      <c r="D2155" s="89">
        <f>IF(C2155="ID",1,(IF(C2155="PR",2,(IF(C2155="DE",3,(IF(C2155="RS",4,(IF(C2155="RC",5,0)))))))))</f>
        <v>2</v>
      </c>
      <c r="E2155" s="89" t="s">
        <v>210</v>
      </c>
      <c r="F2155" s="89">
        <f>IF(E2155="AM",1,(IF(E2155="BE",2,(IF(E2155="GV",3,(IF(E2155="RA",4,(IF(E2155="RM",5,(IF(E2155="AC",1,(IF(E2155="AT",2,(IF(E2155="DS",3,(IF(E2155="IP",4,(IF(E2155="MA",5,(IF(E2155="PT",6,(IF(E2155="AE",1,(IF(E2155="CM",2,(IF(E2155="DP",3,(IF(E2155="AN",1,(IF(E2155="CO",2,(IF(E2155="IM",3,(IF(E2155="MI",4,(IF(E2155="RP",5,(IF(E2155="SC",6,0)))))))))))))))))))))))))))))))))))))))</f>
        <v>3</v>
      </c>
      <c r="G2155" s="52">
        <v>5</v>
      </c>
      <c r="H2155" s="90" t="s">
        <v>115</v>
      </c>
      <c r="I2155" s="94" t="s">
        <v>85</v>
      </c>
      <c r="J2155" s="87" t="s">
        <v>1394</v>
      </c>
      <c r="K2155" s="119" t="s">
        <v>4593</v>
      </c>
      <c r="L2155" s="117">
        <f>IF(O2155="","",N2155*O2155*M2155)</f>
        <v>0</v>
      </c>
      <c r="M2155" s="108">
        <v>1</v>
      </c>
      <c r="N2155" s="95">
        <v>1</v>
      </c>
      <c r="O2155" s="109">
        <f>IF(Key!D$1="ON",P2155,IF(SUM(Q2155:DL2155)&lt;1,"",SUM(Q2155:DL2155)/COUNTIF(Q2155:DL2155,"&gt;0")))</f>
        <v>0</v>
      </c>
      <c r="P2155" s="109">
        <f>SUMIFS(Q2155:DK2155,Q$1:DK$1,Dashboard!$K$31)</f>
        <v>0</v>
      </c>
      <c r="U2155" s="95">
        <v>33</v>
      </c>
      <c r="AA2155" s="95">
        <v>25</v>
      </c>
      <c r="AH2155" s="95">
        <v>75</v>
      </c>
    </row>
    <row r="2156" spans="1:34" ht="15.6" x14ac:dyDescent="0.3">
      <c r="A2156" s="89" t="str">
        <f>CONCATENATE(D2156,".",F2156,"-",G2156,".",H2156,"")</f>
        <v>2.3-5.1</v>
      </c>
      <c r="B2156" s="89" t="str">
        <f>IF(CONCATENATE(I2156,Key!F$2)=CONCATENATE(INDEX(Dashboard!J:J,MATCH(I2156,Dashboard!J:J,0),1),INDEX(Dashboard!J:K,MATCH(I2156,Dashboard!J:J,0),2)),"ON",IF(Dashboard!K$32="ALL","ON","-"))</f>
        <v>-</v>
      </c>
      <c r="C2156" s="88" t="s">
        <v>152</v>
      </c>
      <c r="D2156" s="89">
        <f>IF(C2156="ID",1,(IF(C2156="PR",2,(IF(C2156="DE",3,(IF(C2156="RS",4,(IF(C2156="RC",5,0)))))))))</f>
        <v>2</v>
      </c>
      <c r="E2156" s="89" t="s">
        <v>210</v>
      </c>
      <c r="F2156" s="89">
        <f>IF(E2156="AM",1,(IF(E2156="BE",2,(IF(E2156="GV",3,(IF(E2156="RA",4,(IF(E2156="RM",5,(IF(E2156="AC",1,(IF(E2156="AT",2,(IF(E2156="DS",3,(IF(E2156="IP",4,(IF(E2156="MA",5,(IF(E2156="PT",6,(IF(E2156="AE",1,(IF(E2156="CM",2,(IF(E2156="DP",3,(IF(E2156="AN",1,(IF(E2156="CO",2,(IF(E2156="IM",3,(IF(E2156="MI",4,(IF(E2156="RP",5,(IF(E2156="SC",6,0)))))))))))))))))))))))))))))))))))))))</f>
        <v>3</v>
      </c>
      <c r="G2156" s="52">
        <v>5</v>
      </c>
      <c r="H2156" s="90" t="s">
        <v>115</v>
      </c>
      <c r="I2156" s="94" t="s">
        <v>85</v>
      </c>
      <c r="J2156" s="87" t="s">
        <v>1409</v>
      </c>
      <c r="K2156" s="119" t="s">
        <v>4881</v>
      </c>
      <c r="L2156" s="117">
        <f>IF(O2156="","",N2156*O2156*M2156)</f>
        <v>0</v>
      </c>
      <c r="M2156" s="108">
        <v>1</v>
      </c>
      <c r="N2156" s="95">
        <v>1</v>
      </c>
      <c r="O2156" s="109">
        <f>IF(Key!D$1="ON",P2156,IF(SUM(Q2156:DL2156)&lt;1,"",SUM(Q2156:DL2156)/COUNTIF(Q2156:DL2156,"&gt;0")))</f>
        <v>0</v>
      </c>
      <c r="P2156" s="109">
        <f>SUMIFS(Q2156:DK2156,Q$1:DK$1,Dashboard!$K$31)</f>
        <v>0</v>
      </c>
      <c r="U2156" s="95">
        <v>33</v>
      </c>
      <c r="AA2156" s="95">
        <v>25</v>
      </c>
      <c r="AH2156" s="95">
        <v>75</v>
      </c>
    </row>
    <row r="2157" spans="1:34" ht="15.6" x14ac:dyDescent="0.3">
      <c r="A2157" s="89" t="str">
        <f>CONCATENATE(D2157,".",F2157,"-",G2157,".",H2157,"")</f>
        <v>2.3-5.1</v>
      </c>
      <c r="B2157" s="89" t="str">
        <f>IF(CONCATENATE(I2157,Key!F$2)=CONCATENATE(INDEX(Dashboard!J:J,MATCH(I2157,Dashboard!J:J,0),1),INDEX(Dashboard!J:K,MATCH(I2157,Dashboard!J:J,0),2)),"ON",IF(Dashboard!K$32="ALL","ON","-"))</f>
        <v>-</v>
      </c>
      <c r="C2157" s="88" t="s">
        <v>152</v>
      </c>
      <c r="D2157" s="89">
        <f>IF(C2157="ID",1,(IF(C2157="PR",2,(IF(C2157="DE",3,(IF(C2157="RS",4,(IF(C2157="RC",5,0)))))))))</f>
        <v>2</v>
      </c>
      <c r="E2157" s="89" t="s">
        <v>210</v>
      </c>
      <c r="F2157" s="89">
        <f>IF(E2157="AM",1,(IF(E2157="BE",2,(IF(E2157="GV",3,(IF(E2157="RA",4,(IF(E2157="RM",5,(IF(E2157="AC",1,(IF(E2157="AT",2,(IF(E2157="DS",3,(IF(E2157="IP",4,(IF(E2157="MA",5,(IF(E2157="PT",6,(IF(E2157="AE",1,(IF(E2157="CM",2,(IF(E2157="DP",3,(IF(E2157="AN",1,(IF(E2157="CO",2,(IF(E2157="IM",3,(IF(E2157="MI",4,(IF(E2157="RP",5,(IF(E2157="SC",6,0)))))))))))))))))))))))))))))))))))))))</f>
        <v>3</v>
      </c>
      <c r="G2157" s="52">
        <v>5</v>
      </c>
      <c r="H2157" s="90" t="s">
        <v>115</v>
      </c>
      <c r="I2157" s="94" t="s">
        <v>85</v>
      </c>
      <c r="J2157" s="86" t="s">
        <v>639</v>
      </c>
      <c r="K2157" s="119" t="s">
        <v>4533</v>
      </c>
      <c r="L2157" s="117">
        <f>IF(O2157="","",N2157*O2157*M2157)</f>
        <v>0</v>
      </c>
      <c r="M2157" s="108">
        <v>1</v>
      </c>
      <c r="N2157" s="95">
        <v>1</v>
      </c>
      <c r="O2157" s="109">
        <f>IF(Key!D$1="ON",P2157,IF(SUM(Q2157:DL2157)&lt;1,"",SUM(Q2157:DL2157)/COUNTIF(Q2157:DL2157,"&gt;0")))</f>
        <v>0</v>
      </c>
      <c r="P2157" s="109">
        <f>SUMIFS(Q2157:DK2157,Q$1:DK$1,Dashboard!$K$31)</f>
        <v>0</v>
      </c>
      <c r="U2157" s="95">
        <v>33</v>
      </c>
      <c r="AA2157" s="95">
        <v>25</v>
      </c>
      <c r="AH2157" s="95">
        <v>75</v>
      </c>
    </row>
    <row r="2158" spans="1:34" ht="15.6" x14ac:dyDescent="0.3">
      <c r="A2158" s="89" t="str">
        <f>CONCATENATE(D2158,".",F2158,"-",G2158,".",H2158,"")</f>
        <v>2.3-5.1</v>
      </c>
      <c r="B2158" s="89" t="str">
        <f>IF(CONCATENATE(I2158,Key!F$2)=CONCATENATE(INDEX(Dashboard!J:J,MATCH(I2158,Dashboard!J:J,0),1),INDEX(Dashboard!J:K,MATCH(I2158,Dashboard!J:J,0),2)),"ON",IF(Dashboard!K$32="ALL","ON","-"))</f>
        <v>-</v>
      </c>
      <c r="C2158" s="88" t="s">
        <v>152</v>
      </c>
      <c r="D2158" s="89">
        <f>IF(C2158="ID",1,(IF(C2158="PR",2,(IF(C2158="DE",3,(IF(C2158="RS",4,(IF(C2158="RC",5,0)))))))))</f>
        <v>2</v>
      </c>
      <c r="E2158" s="89" t="s">
        <v>210</v>
      </c>
      <c r="F2158" s="89">
        <f>IF(E2158="AM",1,(IF(E2158="BE",2,(IF(E2158="GV",3,(IF(E2158="RA",4,(IF(E2158="RM",5,(IF(E2158="AC",1,(IF(E2158="AT",2,(IF(E2158="DS",3,(IF(E2158="IP",4,(IF(E2158="MA",5,(IF(E2158="PT",6,(IF(E2158="AE",1,(IF(E2158="CM",2,(IF(E2158="DP",3,(IF(E2158="AN",1,(IF(E2158="CO",2,(IF(E2158="IM",3,(IF(E2158="MI",4,(IF(E2158="RP",5,(IF(E2158="SC",6,0)))))))))))))))))))))))))))))))))))))))</f>
        <v>3</v>
      </c>
      <c r="G2158" s="52">
        <v>5</v>
      </c>
      <c r="H2158" s="90" t="s">
        <v>115</v>
      </c>
      <c r="I2158" s="94" t="s">
        <v>85</v>
      </c>
      <c r="J2158" s="86" t="s">
        <v>658</v>
      </c>
      <c r="K2158" s="119" t="s">
        <v>4607</v>
      </c>
      <c r="L2158" s="117">
        <f>IF(O2158="","",N2158*O2158*M2158)</f>
        <v>0</v>
      </c>
      <c r="M2158" s="108">
        <v>1</v>
      </c>
      <c r="N2158" s="95">
        <v>1</v>
      </c>
      <c r="O2158" s="109">
        <f>IF(Key!D$1="ON",P2158,IF(SUM(Q2158:DL2158)&lt;1,"",SUM(Q2158:DL2158)/COUNTIF(Q2158:DL2158,"&gt;0")))</f>
        <v>0</v>
      </c>
      <c r="P2158" s="109">
        <f>SUMIFS(Q2158:DK2158,Q$1:DK$1,Dashboard!$K$31)</f>
        <v>0</v>
      </c>
      <c r="U2158" s="95">
        <v>33</v>
      </c>
      <c r="AA2158" s="95">
        <v>25</v>
      </c>
      <c r="AH2158" s="95">
        <v>75</v>
      </c>
    </row>
    <row r="2159" spans="1:34" x14ac:dyDescent="0.3">
      <c r="A2159" s="89" t="str">
        <f>CONCATENATE(D2159,".",F2159,"-",G2159,".",H2159,"")</f>
        <v>2.3-5.1</v>
      </c>
      <c r="B2159" s="89" t="str">
        <f>IF(CONCATENATE(I2159,Key!F$2)=CONCATENATE(INDEX(Dashboard!J:J,MATCH(I2159,Dashboard!J:J,0),1),INDEX(Dashboard!J:K,MATCH(I2159,Dashboard!J:J,0),2)),"ON",IF(Dashboard!K$32="ALL","ON","-"))</f>
        <v>-</v>
      </c>
      <c r="C2159" s="88" t="s">
        <v>152</v>
      </c>
      <c r="D2159" s="89">
        <f>IF(C2159="ID",1,(IF(C2159="PR",2,(IF(C2159="DE",3,(IF(C2159="RS",4,(IF(C2159="RC",5,0)))))))))</f>
        <v>2</v>
      </c>
      <c r="E2159" s="89" t="s">
        <v>210</v>
      </c>
      <c r="F2159" s="89">
        <f>IF(E2159="AM",1,(IF(E2159="BE",2,(IF(E2159="GV",3,(IF(E2159="RA",4,(IF(E2159="RM",5,(IF(E2159="AC",1,(IF(E2159="AT",2,(IF(E2159="DS",3,(IF(E2159="IP",4,(IF(E2159="MA",5,(IF(E2159="PT",6,(IF(E2159="AE",1,(IF(E2159="CM",2,(IF(E2159="DP",3,(IF(E2159="AN",1,(IF(E2159="CO",2,(IF(E2159="IM",3,(IF(E2159="MI",4,(IF(E2159="RP",5,(IF(E2159="SC",6,0)))))))))))))))))))))))))))))))))))))))</f>
        <v>3</v>
      </c>
      <c r="G2159" s="52">
        <v>5</v>
      </c>
      <c r="H2159" s="90" t="s">
        <v>115</v>
      </c>
      <c r="I2159" s="94" t="s">
        <v>85</v>
      </c>
      <c r="J2159" s="86" t="s">
        <v>643</v>
      </c>
      <c r="K2159" s="119" t="s">
        <v>4537</v>
      </c>
      <c r="L2159" s="117">
        <f>IF(O2159="","",N2159*O2159*M2159)</f>
        <v>0</v>
      </c>
      <c r="M2159" s="108">
        <v>1</v>
      </c>
      <c r="N2159" s="95">
        <v>1</v>
      </c>
      <c r="O2159" s="109">
        <f>IF(Key!D$1="ON",P2159,IF(SUM(Q2159:DL2159)&lt;1,"",SUM(Q2159:DL2159)/COUNTIF(Q2159:DL2159,"&gt;0")))</f>
        <v>0</v>
      </c>
      <c r="P2159" s="109">
        <f>SUMIFS(Q2159:DK2159,Q$1:DK$1,Dashboard!$K$31)</f>
        <v>0</v>
      </c>
      <c r="U2159" s="95">
        <v>33</v>
      </c>
      <c r="AA2159" s="95">
        <v>25</v>
      </c>
      <c r="AH2159" s="95">
        <v>75</v>
      </c>
    </row>
    <row r="2160" spans="1:34" x14ac:dyDescent="0.3">
      <c r="A2160" s="89" t="str">
        <f>CONCATENATE(D2160,".",F2160,"-",G2160,".",H2160,"")</f>
        <v>2.3-5.1</v>
      </c>
      <c r="B2160" s="89" t="str">
        <f>IF(CONCATENATE(I2160,Key!F$2)=CONCATENATE(INDEX(Dashboard!J:J,MATCH(I2160,Dashboard!J:J,0),1),INDEX(Dashboard!J:K,MATCH(I2160,Dashboard!J:J,0),2)),"ON",IF(Dashboard!K$32="ALL","ON","-"))</f>
        <v>-</v>
      </c>
      <c r="C2160" s="88" t="s">
        <v>152</v>
      </c>
      <c r="D2160" s="89">
        <f>IF(C2160="ID",1,(IF(C2160="PR",2,(IF(C2160="DE",3,(IF(C2160="RS",4,(IF(C2160="RC",5,0)))))))))</f>
        <v>2</v>
      </c>
      <c r="E2160" s="89" t="s">
        <v>210</v>
      </c>
      <c r="F2160" s="89">
        <f>IF(E2160="AM",1,(IF(E2160="BE",2,(IF(E2160="GV",3,(IF(E2160="RA",4,(IF(E2160="RM",5,(IF(E2160="AC",1,(IF(E2160="AT",2,(IF(E2160="DS",3,(IF(E2160="IP",4,(IF(E2160="MA",5,(IF(E2160="PT",6,(IF(E2160="AE",1,(IF(E2160="CM",2,(IF(E2160="DP",3,(IF(E2160="AN",1,(IF(E2160="CO",2,(IF(E2160="IM",3,(IF(E2160="MI",4,(IF(E2160="RP",5,(IF(E2160="SC",6,0)))))))))))))))))))))))))))))))))))))))</f>
        <v>3</v>
      </c>
      <c r="G2160" s="52">
        <v>5</v>
      </c>
      <c r="H2160" s="90" t="s">
        <v>115</v>
      </c>
      <c r="I2160" s="94" t="s">
        <v>85</v>
      </c>
      <c r="J2160" s="87" t="s">
        <v>1419</v>
      </c>
      <c r="K2160" s="119" t="s">
        <v>5066</v>
      </c>
      <c r="L2160" s="117">
        <f>IF(O2160="","",N2160*O2160*M2160)</f>
        <v>0</v>
      </c>
      <c r="M2160" s="108">
        <v>1</v>
      </c>
      <c r="N2160" s="95">
        <v>1</v>
      </c>
      <c r="O2160" s="109">
        <f>IF(Key!D$1="ON",P2160,IF(SUM(Q2160:DL2160)&lt;1,"",SUM(Q2160:DL2160)/COUNTIF(Q2160:DL2160,"&gt;0")))</f>
        <v>0</v>
      </c>
      <c r="P2160" s="109">
        <f>SUMIFS(Q2160:DK2160,Q$1:DK$1,Dashboard!$K$31)</f>
        <v>0</v>
      </c>
      <c r="U2160" s="95">
        <v>33</v>
      </c>
      <c r="AA2160" s="95">
        <v>25</v>
      </c>
      <c r="AH2160" s="95">
        <v>75</v>
      </c>
    </row>
    <row r="2161" spans="1:34" ht="15.6" x14ac:dyDescent="0.3">
      <c r="A2161" s="89" t="str">
        <f>CONCATENATE(D2161,".",F2161,"-",G2161,".",H2161,"")</f>
        <v>2.3-5.1</v>
      </c>
      <c r="B2161" s="89" t="str">
        <f>IF(CONCATENATE(I2161,Key!F$2)=CONCATENATE(INDEX(Dashboard!J:J,MATCH(I2161,Dashboard!J:J,0),1),INDEX(Dashboard!J:K,MATCH(I2161,Dashboard!J:J,0),2)),"ON",IF(Dashboard!K$32="ALL","ON","-"))</f>
        <v>-</v>
      </c>
      <c r="C2161" s="88" t="s">
        <v>152</v>
      </c>
      <c r="D2161" s="89">
        <f>IF(C2161="ID",1,(IF(C2161="PR",2,(IF(C2161="DE",3,(IF(C2161="RS",4,(IF(C2161="RC",5,0)))))))))</f>
        <v>2</v>
      </c>
      <c r="E2161" s="89" t="s">
        <v>210</v>
      </c>
      <c r="F2161" s="89">
        <f>IF(E2161="AM",1,(IF(E2161="BE",2,(IF(E2161="GV",3,(IF(E2161="RA",4,(IF(E2161="RM",5,(IF(E2161="AC",1,(IF(E2161="AT",2,(IF(E2161="DS",3,(IF(E2161="IP",4,(IF(E2161="MA",5,(IF(E2161="PT",6,(IF(E2161="AE",1,(IF(E2161="CM",2,(IF(E2161="DP",3,(IF(E2161="AN",1,(IF(E2161="CO",2,(IF(E2161="IM",3,(IF(E2161="MI",4,(IF(E2161="RP",5,(IF(E2161="SC",6,0)))))))))))))))))))))))))))))))))))))))</f>
        <v>3</v>
      </c>
      <c r="G2161" s="52">
        <v>5</v>
      </c>
      <c r="H2161" s="90" t="s">
        <v>115</v>
      </c>
      <c r="I2161" s="94" t="s">
        <v>85</v>
      </c>
      <c r="J2161" s="87" t="s">
        <v>1420</v>
      </c>
      <c r="K2161" s="119" t="s">
        <v>5067</v>
      </c>
      <c r="L2161" s="117">
        <f>IF(O2161="","",N2161*O2161*M2161)</f>
        <v>0</v>
      </c>
      <c r="M2161" s="108">
        <v>1</v>
      </c>
      <c r="N2161" s="95">
        <v>1</v>
      </c>
      <c r="O2161" s="109">
        <f>IF(Key!D$1="ON",P2161,IF(SUM(Q2161:DL2161)&lt;1,"",SUM(Q2161:DL2161)/COUNTIF(Q2161:DL2161,"&gt;0")))</f>
        <v>0</v>
      </c>
      <c r="P2161" s="109">
        <f>SUMIFS(Q2161:DK2161,Q$1:DK$1,Dashboard!$K$31)</f>
        <v>0</v>
      </c>
      <c r="U2161" s="95">
        <v>33</v>
      </c>
      <c r="AA2161" s="95">
        <v>25</v>
      </c>
      <c r="AH2161" s="95">
        <v>75</v>
      </c>
    </row>
    <row r="2162" spans="1:34" x14ac:dyDescent="0.3">
      <c r="A2162" s="89" t="str">
        <f>CONCATENATE(D2162,".",F2162,"-",G2162,".",H2162,"")</f>
        <v>2.3-5.1</v>
      </c>
      <c r="B2162" s="89" t="str">
        <f>IF(CONCATENATE(I2162,Key!F$2)=CONCATENATE(INDEX(Dashboard!J:J,MATCH(I2162,Dashboard!J:J,0),1),INDEX(Dashboard!J:K,MATCH(I2162,Dashboard!J:J,0),2)),"ON",IF(Dashboard!K$32="ALL","ON","-"))</f>
        <v>-</v>
      </c>
      <c r="C2162" s="88" t="s">
        <v>152</v>
      </c>
      <c r="D2162" s="89">
        <f>IF(C2162="ID",1,(IF(C2162="PR",2,(IF(C2162="DE",3,(IF(C2162="RS",4,(IF(C2162="RC",5,0)))))))))</f>
        <v>2</v>
      </c>
      <c r="E2162" s="89" t="s">
        <v>210</v>
      </c>
      <c r="F2162" s="89">
        <f>IF(E2162="AM",1,(IF(E2162="BE",2,(IF(E2162="GV",3,(IF(E2162="RA",4,(IF(E2162="RM",5,(IF(E2162="AC",1,(IF(E2162="AT",2,(IF(E2162="DS",3,(IF(E2162="IP",4,(IF(E2162="MA",5,(IF(E2162="PT",6,(IF(E2162="AE",1,(IF(E2162="CM",2,(IF(E2162="DP",3,(IF(E2162="AN",1,(IF(E2162="CO",2,(IF(E2162="IM",3,(IF(E2162="MI",4,(IF(E2162="RP",5,(IF(E2162="SC",6,0)))))))))))))))))))))))))))))))))))))))</f>
        <v>3</v>
      </c>
      <c r="G2162" s="52">
        <v>5</v>
      </c>
      <c r="H2162" s="90" t="s">
        <v>115</v>
      </c>
      <c r="I2162" s="94" t="s">
        <v>85</v>
      </c>
      <c r="J2162" s="86" t="s">
        <v>638</v>
      </c>
      <c r="K2162" s="119" t="s">
        <v>4532</v>
      </c>
      <c r="L2162" s="117">
        <f>IF(O2162="","",N2162*O2162*M2162)</f>
        <v>0</v>
      </c>
      <c r="M2162" s="108">
        <v>1</v>
      </c>
      <c r="N2162" s="95">
        <v>1</v>
      </c>
      <c r="O2162" s="109">
        <f>IF(Key!D$1="ON",P2162,IF(SUM(Q2162:DL2162)&lt;1,"",SUM(Q2162:DL2162)/COUNTIF(Q2162:DL2162,"&gt;0")))</f>
        <v>0</v>
      </c>
      <c r="P2162" s="109">
        <f>SUMIFS(Q2162:DK2162,Q$1:DK$1,Dashboard!$K$31)</f>
        <v>0</v>
      </c>
      <c r="U2162" s="95">
        <v>33</v>
      </c>
      <c r="AA2162" s="95">
        <v>25</v>
      </c>
      <c r="AH2162" s="95">
        <v>75</v>
      </c>
    </row>
    <row r="2163" spans="1:34" x14ac:dyDescent="0.3">
      <c r="A2163" s="89" t="str">
        <f>CONCATENATE(D2163,".",F2163,"-",G2163,".",H2163,"")</f>
        <v>2.3-5.1</v>
      </c>
      <c r="B2163" s="89" t="str">
        <f>IF(CONCATENATE(I2163,Key!F$2)=CONCATENATE(INDEX(Dashboard!J:J,MATCH(I2163,Dashboard!J:J,0),1),INDEX(Dashboard!J:K,MATCH(I2163,Dashboard!J:J,0),2)),"ON",IF(Dashboard!K$32="ALL","ON","-"))</f>
        <v>-</v>
      </c>
      <c r="C2163" s="88" t="s">
        <v>152</v>
      </c>
      <c r="D2163" s="89">
        <f>IF(C2163="ID",1,(IF(C2163="PR",2,(IF(C2163="DE",3,(IF(C2163="RS",4,(IF(C2163="RC",5,0)))))))))</f>
        <v>2</v>
      </c>
      <c r="E2163" s="89" t="s">
        <v>210</v>
      </c>
      <c r="F2163" s="89">
        <f>IF(E2163="AM",1,(IF(E2163="BE",2,(IF(E2163="GV",3,(IF(E2163="RA",4,(IF(E2163="RM",5,(IF(E2163="AC",1,(IF(E2163="AT",2,(IF(E2163="DS",3,(IF(E2163="IP",4,(IF(E2163="MA",5,(IF(E2163="PT",6,(IF(E2163="AE",1,(IF(E2163="CM",2,(IF(E2163="DP",3,(IF(E2163="AN",1,(IF(E2163="CO",2,(IF(E2163="IM",3,(IF(E2163="MI",4,(IF(E2163="RP",5,(IF(E2163="SC",6,0)))))))))))))))))))))))))))))))))))))))</f>
        <v>3</v>
      </c>
      <c r="G2163" s="52">
        <v>5</v>
      </c>
      <c r="H2163" s="90" t="s">
        <v>115</v>
      </c>
      <c r="I2163" s="94" t="s">
        <v>85</v>
      </c>
      <c r="J2163" s="87" t="s">
        <v>1398</v>
      </c>
      <c r="K2163" s="119" t="s">
        <v>1399</v>
      </c>
      <c r="L2163" s="117">
        <f>IF(O2163="","",N2163*O2163*M2163)</f>
        <v>0</v>
      </c>
      <c r="M2163" s="108">
        <v>1</v>
      </c>
      <c r="N2163" s="95">
        <v>1</v>
      </c>
      <c r="O2163" s="109">
        <f>IF(Key!D$1="ON",P2163,IF(SUM(Q2163:DL2163)&lt;1,"",SUM(Q2163:DL2163)/COUNTIF(Q2163:DL2163,"&gt;0")))</f>
        <v>0</v>
      </c>
      <c r="P2163" s="109">
        <f>SUMIFS(Q2163:DK2163,Q$1:DK$1,Dashboard!$K$31)</f>
        <v>0</v>
      </c>
      <c r="U2163" s="95">
        <v>33</v>
      </c>
      <c r="AA2163" s="95">
        <v>25</v>
      </c>
      <c r="AH2163" s="95">
        <v>75</v>
      </c>
    </row>
    <row r="2164" spans="1:34" x14ac:dyDescent="0.3">
      <c r="A2164" s="89" t="str">
        <f>CONCATENATE(D2164,".",F2164,"-",G2164,".",H2164,"")</f>
        <v>2.3-5.1</v>
      </c>
      <c r="B2164" s="89" t="str">
        <f>IF(CONCATENATE(I2164,Key!F$2)=CONCATENATE(INDEX(Dashboard!J:J,MATCH(I2164,Dashboard!J:J,0),1),INDEX(Dashboard!J:K,MATCH(I2164,Dashboard!J:J,0),2)),"ON",IF(Dashboard!K$32="ALL","ON","-"))</f>
        <v>-</v>
      </c>
      <c r="C2164" s="88" t="s">
        <v>152</v>
      </c>
      <c r="D2164" s="89">
        <f>IF(C2164="ID",1,(IF(C2164="PR",2,(IF(C2164="DE",3,(IF(C2164="RS",4,(IF(C2164="RC",5,0)))))))))</f>
        <v>2</v>
      </c>
      <c r="E2164" s="89" t="s">
        <v>210</v>
      </c>
      <c r="F2164" s="89">
        <f>IF(E2164="AM",1,(IF(E2164="BE",2,(IF(E2164="GV",3,(IF(E2164="RA",4,(IF(E2164="RM",5,(IF(E2164="AC",1,(IF(E2164="AT",2,(IF(E2164="DS",3,(IF(E2164="IP",4,(IF(E2164="MA",5,(IF(E2164="PT",6,(IF(E2164="AE",1,(IF(E2164="CM",2,(IF(E2164="DP",3,(IF(E2164="AN",1,(IF(E2164="CO",2,(IF(E2164="IM",3,(IF(E2164="MI",4,(IF(E2164="RP",5,(IF(E2164="SC",6,0)))))))))))))))))))))))))))))))))))))))</f>
        <v>3</v>
      </c>
      <c r="G2164" s="52">
        <v>5</v>
      </c>
      <c r="H2164" s="90" t="s">
        <v>115</v>
      </c>
      <c r="I2164" s="94" t="s">
        <v>85</v>
      </c>
      <c r="J2164" s="87" t="s">
        <v>1404</v>
      </c>
      <c r="K2164" s="119" t="s">
        <v>4871</v>
      </c>
      <c r="L2164" s="117">
        <f>IF(O2164="","",N2164*O2164*M2164)</f>
        <v>0</v>
      </c>
      <c r="M2164" s="108">
        <v>1</v>
      </c>
      <c r="N2164" s="95">
        <v>1</v>
      </c>
      <c r="O2164" s="109">
        <f>IF(Key!D$1="ON",P2164,IF(SUM(Q2164:DL2164)&lt;1,"",SUM(Q2164:DL2164)/COUNTIF(Q2164:DL2164,"&gt;0")))</f>
        <v>0</v>
      </c>
      <c r="P2164" s="109">
        <f>SUMIFS(Q2164:DK2164,Q$1:DK$1,Dashboard!$K$31)</f>
        <v>0</v>
      </c>
      <c r="U2164" s="95">
        <v>33</v>
      </c>
      <c r="AA2164" s="95">
        <v>25</v>
      </c>
      <c r="AH2164" s="95">
        <v>75</v>
      </c>
    </row>
    <row r="2165" spans="1:34" x14ac:dyDescent="0.3">
      <c r="A2165" s="89" t="str">
        <f>CONCATENATE(D2165,".",F2165,"-",G2165,".",H2165,"")</f>
        <v>2.3-5.1</v>
      </c>
      <c r="B2165" s="89" t="str">
        <f>IF(CONCATENATE(I2165,Key!F$2)=CONCATENATE(INDEX(Dashboard!J:J,MATCH(I2165,Dashboard!J:J,0),1),INDEX(Dashboard!J:K,MATCH(I2165,Dashboard!J:J,0),2)),"ON",IF(Dashboard!K$32="ALL","ON","-"))</f>
        <v>-</v>
      </c>
      <c r="C2165" s="88" t="s">
        <v>152</v>
      </c>
      <c r="D2165" s="89">
        <f>IF(C2165="ID",1,(IF(C2165="PR",2,(IF(C2165="DE",3,(IF(C2165="RS",4,(IF(C2165="RC",5,0)))))))))</f>
        <v>2</v>
      </c>
      <c r="E2165" s="89" t="s">
        <v>210</v>
      </c>
      <c r="F2165" s="89">
        <f>IF(E2165="AM",1,(IF(E2165="BE",2,(IF(E2165="GV",3,(IF(E2165="RA",4,(IF(E2165="RM",5,(IF(E2165="AC",1,(IF(E2165="AT",2,(IF(E2165="DS",3,(IF(E2165="IP",4,(IF(E2165="MA",5,(IF(E2165="PT",6,(IF(E2165="AE",1,(IF(E2165="CM",2,(IF(E2165="DP",3,(IF(E2165="AN",1,(IF(E2165="CO",2,(IF(E2165="IM",3,(IF(E2165="MI",4,(IF(E2165="RP",5,(IF(E2165="SC",6,0)))))))))))))))))))))))))))))))))))))))</f>
        <v>3</v>
      </c>
      <c r="G2165" s="52">
        <v>5</v>
      </c>
      <c r="H2165" s="90" t="s">
        <v>115</v>
      </c>
      <c r="I2165" s="94" t="s">
        <v>85</v>
      </c>
      <c r="J2165" s="86" t="s">
        <v>817</v>
      </c>
      <c r="K2165" s="119" t="s">
        <v>4961</v>
      </c>
      <c r="L2165" s="117">
        <f>IF(O2165="","",N2165*O2165*M2165)</f>
        <v>0</v>
      </c>
      <c r="M2165" s="108">
        <v>1</v>
      </c>
      <c r="N2165" s="95">
        <v>1</v>
      </c>
      <c r="O2165" s="109">
        <f>IF(Key!D$1="ON",P2165,IF(SUM(Q2165:DL2165)&lt;1,"",SUM(Q2165:DL2165)/COUNTIF(Q2165:DL2165,"&gt;0")))</f>
        <v>0</v>
      </c>
      <c r="P2165" s="109">
        <f>SUMIFS(Q2165:DK2165,Q$1:DK$1,Dashboard!$K$31)</f>
        <v>0</v>
      </c>
      <c r="U2165" s="95">
        <v>33</v>
      </c>
      <c r="AA2165" s="95">
        <v>25</v>
      </c>
      <c r="AH2165" s="95">
        <v>75</v>
      </c>
    </row>
    <row r="2166" spans="1:34" x14ac:dyDescent="0.3">
      <c r="A2166" s="89" t="str">
        <f>CONCATENATE(D2166,".",F2166,"-",G2166,".",H2166,"")</f>
        <v>2.3-5.1</v>
      </c>
      <c r="B2166" s="89" t="str">
        <f>IF(CONCATENATE(I2166,Key!F$2)=CONCATENATE(INDEX(Dashboard!J:J,MATCH(I2166,Dashboard!J:J,0),1),INDEX(Dashboard!J:K,MATCH(I2166,Dashboard!J:J,0),2)),"ON",IF(Dashboard!K$32="ALL","ON","-"))</f>
        <v>-</v>
      </c>
      <c r="C2166" s="96" t="s">
        <v>152</v>
      </c>
      <c r="D2166" s="89">
        <f>IF(C2166="ID",1,(IF(C2166="PR",2,(IF(C2166="DE",3,(IF(C2166="RS",4,(IF(C2166="RC",5,0)))))))))</f>
        <v>2</v>
      </c>
      <c r="E2166" s="89" t="s">
        <v>210</v>
      </c>
      <c r="F2166" s="89">
        <f>IF(E2166="AM",1,(IF(E2166="BE",2,(IF(E2166="GV",3,(IF(E2166="RA",4,(IF(E2166="RM",5,(IF(E2166="AC",1,(IF(E2166="AT",2,(IF(E2166="DS",3,(IF(E2166="IP",4,(IF(E2166="MA",5,(IF(E2166="PT",6,(IF(E2166="AE",1,(IF(E2166="CM",2,(IF(E2166="DP",3,(IF(E2166="AN",1,(IF(E2166="CO",2,(IF(E2166="IM",3,(IF(E2166="MI",4,(IF(E2166="RP",5,(IF(E2166="SC",6,0)))))))))))))))))))))))))))))))))))))))</f>
        <v>3</v>
      </c>
      <c r="G2166" s="98">
        <v>5</v>
      </c>
      <c r="H2166" s="90" t="s">
        <v>115</v>
      </c>
      <c r="I2166" s="94" t="s">
        <v>85</v>
      </c>
      <c r="J2166" s="87" t="s">
        <v>1405</v>
      </c>
      <c r="K2166" s="119" t="s">
        <v>1406</v>
      </c>
      <c r="L2166" s="117">
        <f>IF(O2166="","",N2166*O2166*M2166)</f>
        <v>0</v>
      </c>
      <c r="M2166" s="108">
        <v>1</v>
      </c>
      <c r="N2166" s="95">
        <v>1</v>
      </c>
      <c r="O2166" s="109">
        <f>IF(Key!D$1="ON",P2166,IF(SUM(Q2166:DL2166)&lt;1,"",SUM(Q2166:DL2166)/COUNTIF(Q2166:DL2166,"&gt;0")))</f>
        <v>0</v>
      </c>
      <c r="P2166" s="109">
        <f>SUMIFS(Q2166:DK2166,Q$1:DK$1,Dashboard!$K$31)</f>
        <v>0</v>
      </c>
      <c r="U2166" s="95">
        <v>33</v>
      </c>
      <c r="AA2166" s="95">
        <v>25</v>
      </c>
      <c r="AH2166" s="95">
        <v>75</v>
      </c>
    </row>
    <row r="2167" spans="1:34" x14ac:dyDescent="0.3">
      <c r="A2167" s="89" t="str">
        <f>CONCATENATE(D2167,".",F2167,"-",G2167,".",H2167,"")</f>
        <v>2.3-5.1</v>
      </c>
      <c r="B2167" s="89" t="str">
        <f>IF(CONCATENATE(I2167,Key!F$2)=CONCATENATE(INDEX(Dashboard!J:J,MATCH(I2167,Dashboard!J:J,0),1),INDEX(Dashboard!J:K,MATCH(I2167,Dashboard!J:J,0),2)),"ON",IF(Dashboard!K$32="ALL","ON","-"))</f>
        <v>-</v>
      </c>
      <c r="C2167" s="88" t="s">
        <v>152</v>
      </c>
      <c r="D2167" s="89">
        <f>IF(C2167="ID",1,(IF(C2167="PR",2,(IF(C2167="DE",3,(IF(C2167="RS",4,(IF(C2167="RC",5,0)))))))))</f>
        <v>2</v>
      </c>
      <c r="E2167" s="89" t="s">
        <v>210</v>
      </c>
      <c r="F2167" s="89">
        <f>IF(E2167="AM",1,(IF(E2167="BE",2,(IF(E2167="GV",3,(IF(E2167="RA",4,(IF(E2167="RM",5,(IF(E2167="AC",1,(IF(E2167="AT",2,(IF(E2167="DS",3,(IF(E2167="IP",4,(IF(E2167="MA",5,(IF(E2167="PT",6,(IF(E2167="AE",1,(IF(E2167="CM",2,(IF(E2167="DP",3,(IF(E2167="AN",1,(IF(E2167="CO",2,(IF(E2167="IM",3,(IF(E2167="MI",4,(IF(E2167="RP",5,(IF(E2167="SC",6,0)))))))))))))))))))))))))))))))))))))))</f>
        <v>3</v>
      </c>
      <c r="G2167" s="52">
        <v>5</v>
      </c>
      <c r="H2167" s="90" t="s">
        <v>115</v>
      </c>
      <c r="I2167" s="94" t="s">
        <v>85</v>
      </c>
      <c r="J2167" s="87" t="s">
        <v>1413</v>
      </c>
      <c r="K2167" s="119" t="s">
        <v>4883</v>
      </c>
      <c r="L2167" s="117">
        <f>IF(O2167="","",N2167*O2167*M2167)</f>
        <v>0</v>
      </c>
      <c r="M2167" s="108">
        <v>1</v>
      </c>
      <c r="N2167" s="95">
        <v>1</v>
      </c>
      <c r="O2167" s="109">
        <f>IF(Key!D$1="ON",P2167,IF(SUM(Q2167:DL2167)&lt;1,"",SUM(Q2167:DL2167)/COUNTIF(Q2167:DL2167,"&gt;0")))</f>
        <v>0</v>
      </c>
      <c r="P2167" s="109">
        <f>SUMIFS(Q2167:DK2167,Q$1:DK$1,Dashboard!$K$31)</f>
        <v>0</v>
      </c>
      <c r="U2167" s="95">
        <v>33</v>
      </c>
      <c r="AA2167" s="95">
        <v>25</v>
      </c>
      <c r="AH2167" s="95">
        <v>75</v>
      </c>
    </row>
    <row r="2168" spans="1:34" x14ac:dyDescent="0.3">
      <c r="A2168" s="89" t="str">
        <f>CONCATENATE(D2168,".",F2168,"-",G2168,".",H2168,"")</f>
        <v>2.3-5.1</v>
      </c>
      <c r="B2168" s="89" t="str">
        <f>IF(CONCATENATE(I2168,Key!F$2)=CONCATENATE(INDEX(Dashboard!J:J,MATCH(I2168,Dashboard!J:J,0),1),INDEX(Dashboard!J:K,MATCH(I2168,Dashboard!J:J,0),2)),"ON",IF(Dashboard!K$32="ALL","ON","-"))</f>
        <v>-</v>
      </c>
      <c r="C2168" s="88" t="s">
        <v>152</v>
      </c>
      <c r="D2168" s="89">
        <f>IF(C2168="ID",1,(IF(C2168="PR",2,(IF(C2168="DE",3,(IF(C2168="RS",4,(IF(C2168="RC",5,0)))))))))</f>
        <v>2</v>
      </c>
      <c r="E2168" s="89" t="s">
        <v>210</v>
      </c>
      <c r="F2168" s="89">
        <f>IF(E2168="AM",1,(IF(E2168="BE",2,(IF(E2168="GV",3,(IF(E2168="RA",4,(IF(E2168="RM",5,(IF(E2168="AC",1,(IF(E2168="AT",2,(IF(E2168="DS",3,(IF(E2168="IP",4,(IF(E2168="MA",5,(IF(E2168="PT",6,(IF(E2168="AE",1,(IF(E2168="CM",2,(IF(E2168="DP",3,(IF(E2168="AN",1,(IF(E2168="CO",2,(IF(E2168="IM",3,(IF(E2168="MI",4,(IF(E2168="RP",5,(IF(E2168="SC",6,0)))))))))))))))))))))))))))))))))))))))</f>
        <v>3</v>
      </c>
      <c r="G2168" s="52">
        <v>5</v>
      </c>
      <c r="H2168" s="90" t="s">
        <v>115</v>
      </c>
      <c r="I2168" s="94" t="s">
        <v>85</v>
      </c>
      <c r="J2168" s="87" t="s">
        <v>1423</v>
      </c>
      <c r="K2168" s="119" t="s">
        <v>5117</v>
      </c>
      <c r="L2168" s="117">
        <f>IF(O2168="","",N2168*O2168*M2168)</f>
        <v>0</v>
      </c>
      <c r="M2168" s="108">
        <v>1</v>
      </c>
      <c r="N2168" s="95">
        <v>1</v>
      </c>
      <c r="O2168" s="109">
        <f>IF(Key!D$1="ON",P2168,IF(SUM(Q2168:DL2168)&lt;1,"",SUM(Q2168:DL2168)/COUNTIF(Q2168:DL2168,"&gt;0")))</f>
        <v>0</v>
      </c>
      <c r="P2168" s="109">
        <f>SUMIFS(Q2168:DK2168,Q$1:DK$1,Dashboard!$K$31)</f>
        <v>0</v>
      </c>
      <c r="U2168" s="95">
        <v>33</v>
      </c>
      <c r="AA2168" s="95">
        <v>25</v>
      </c>
      <c r="AH2168" s="95">
        <v>75</v>
      </c>
    </row>
    <row r="2169" spans="1:34" x14ac:dyDescent="0.3">
      <c r="A2169" s="89" t="str">
        <f>CONCATENATE(D2169,".",F2169,"-",G2169,".",H2169,"")</f>
        <v>2.3-5.1</v>
      </c>
      <c r="B2169" s="89" t="str">
        <f>IF(CONCATENATE(I2169,Key!F$2)=CONCATENATE(INDEX(Dashboard!J:J,MATCH(I2169,Dashboard!J:J,0),1),INDEX(Dashboard!J:K,MATCH(I2169,Dashboard!J:J,0),2)),"ON",IF(Dashboard!K$32="ALL","ON","-"))</f>
        <v>-</v>
      </c>
      <c r="C2169" s="88" t="s">
        <v>152</v>
      </c>
      <c r="D2169" s="89">
        <f>IF(C2169="ID",1,(IF(C2169="PR",2,(IF(C2169="DE",3,(IF(C2169="RS",4,(IF(C2169="RC",5,0)))))))))</f>
        <v>2</v>
      </c>
      <c r="E2169" s="89" t="s">
        <v>210</v>
      </c>
      <c r="F2169" s="89">
        <f>IF(E2169="AM",1,(IF(E2169="BE",2,(IF(E2169="GV",3,(IF(E2169="RA",4,(IF(E2169="RM",5,(IF(E2169="AC",1,(IF(E2169="AT",2,(IF(E2169="DS",3,(IF(E2169="IP",4,(IF(E2169="MA",5,(IF(E2169="PT",6,(IF(E2169="AE",1,(IF(E2169="CM",2,(IF(E2169="DP",3,(IF(E2169="AN",1,(IF(E2169="CO",2,(IF(E2169="IM",3,(IF(E2169="MI",4,(IF(E2169="RP",5,(IF(E2169="SC",6,0)))))))))))))))))))))))))))))))))))))))</f>
        <v>3</v>
      </c>
      <c r="G2169" s="52">
        <v>5</v>
      </c>
      <c r="H2169" s="90" t="s">
        <v>115</v>
      </c>
      <c r="I2169" s="94" t="s">
        <v>85</v>
      </c>
      <c r="J2169" s="86" t="s">
        <v>819</v>
      </c>
      <c r="K2169" s="119" t="s">
        <v>4963</v>
      </c>
      <c r="L2169" s="117">
        <f>IF(O2169="","",N2169*O2169*M2169)</f>
        <v>0</v>
      </c>
      <c r="M2169" s="108">
        <v>1</v>
      </c>
      <c r="N2169" s="95">
        <v>1</v>
      </c>
      <c r="O2169" s="109">
        <f>IF(Key!D$1="ON",P2169,IF(SUM(Q2169:DL2169)&lt;1,"",SUM(Q2169:DL2169)/COUNTIF(Q2169:DL2169,"&gt;0")))</f>
        <v>0</v>
      </c>
      <c r="P2169" s="109">
        <f>SUMIFS(Q2169:DK2169,Q$1:DK$1,Dashboard!$K$31)</f>
        <v>0</v>
      </c>
      <c r="U2169" s="95">
        <v>33</v>
      </c>
      <c r="AA2169" s="95">
        <v>25</v>
      </c>
      <c r="AH2169" s="95">
        <v>75</v>
      </c>
    </row>
    <row r="2170" spans="1:34" x14ac:dyDescent="0.3">
      <c r="A2170" s="89" t="str">
        <f>CONCATENATE(D2170,".",F2170,"-",G2170,".",H2170,"")</f>
        <v>2.3-5.1</v>
      </c>
      <c r="B2170" s="89" t="str">
        <f>IF(CONCATENATE(I2170,Key!F$2)=CONCATENATE(INDEX(Dashboard!J:J,MATCH(I2170,Dashboard!J:J,0),1),INDEX(Dashboard!J:K,MATCH(I2170,Dashboard!J:J,0),2)),"ON",IF(Dashboard!K$32="ALL","ON","-"))</f>
        <v>-</v>
      </c>
      <c r="C2170" s="88" t="s">
        <v>152</v>
      </c>
      <c r="D2170" s="89">
        <f>IF(C2170="ID",1,(IF(C2170="PR",2,(IF(C2170="DE",3,(IF(C2170="RS",4,(IF(C2170="RC",5,0)))))))))</f>
        <v>2</v>
      </c>
      <c r="E2170" s="89" t="s">
        <v>210</v>
      </c>
      <c r="F2170" s="89">
        <f>IF(E2170="AM",1,(IF(E2170="BE",2,(IF(E2170="GV",3,(IF(E2170="RA",4,(IF(E2170="RM",5,(IF(E2170="AC",1,(IF(E2170="AT",2,(IF(E2170="DS",3,(IF(E2170="IP",4,(IF(E2170="MA",5,(IF(E2170="PT",6,(IF(E2170="AE",1,(IF(E2170="CM",2,(IF(E2170="DP",3,(IF(E2170="AN",1,(IF(E2170="CO",2,(IF(E2170="IM",3,(IF(E2170="MI",4,(IF(E2170="RP",5,(IF(E2170="SC",6,0)))))))))))))))))))))))))))))))))))))))</f>
        <v>3</v>
      </c>
      <c r="G2170" s="52">
        <v>5</v>
      </c>
      <c r="H2170" s="90" t="s">
        <v>115</v>
      </c>
      <c r="I2170" s="94" t="s">
        <v>85</v>
      </c>
      <c r="J2170" s="86" t="s">
        <v>642</v>
      </c>
      <c r="K2170" s="119" t="s">
        <v>4536</v>
      </c>
      <c r="L2170" s="117">
        <f>IF(O2170="","",N2170*O2170*M2170)</f>
        <v>0</v>
      </c>
      <c r="M2170" s="108">
        <v>1</v>
      </c>
      <c r="N2170" s="95">
        <v>1</v>
      </c>
      <c r="O2170" s="109">
        <f>IF(Key!D$1="ON",P2170,IF(SUM(Q2170:DL2170)&lt;1,"",SUM(Q2170:DL2170)/COUNTIF(Q2170:DL2170,"&gt;0")))</f>
        <v>0</v>
      </c>
      <c r="P2170" s="109">
        <f>SUMIFS(Q2170:DK2170,Q$1:DK$1,Dashboard!$K$31)</f>
        <v>0</v>
      </c>
      <c r="U2170" s="95">
        <v>33</v>
      </c>
      <c r="AA2170" s="95">
        <v>25</v>
      </c>
      <c r="AH2170" s="95">
        <v>75</v>
      </c>
    </row>
    <row r="2171" spans="1:34" x14ac:dyDescent="0.3">
      <c r="A2171" s="89" t="str">
        <f>CONCATENATE(D2171,".",F2171,"-",G2171,".",H2171,"")</f>
        <v>2.3-5.1</v>
      </c>
      <c r="B2171" s="89" t="str">
        <f>IF(CONCATENATE(I2171,Key!F$2)=CONCATENATE(INDEX(Dashboard!J:J,MATCH(I2171,Dashboard!J:J,0),1),INDEX(Dashboard!J:K,MATCH(I2171,Dashboard!J:J,0),2)),"ON",IF(Dashboard!K$32="ALL","ON","-"))</f>
        <v>-</v>
      </c>
      <c r="C2171" s="88" t="s">
        <v>152</v>
      </c>
      <c r="D2171" s="89">
        <f>IF(C2171="ID",1,(IF(C2171="PR",2,(IF(C2171="DE",3,(IF(C2171="RS",4,(IF(C2171="RC",5,0)))))))))</f>
        <v>2</v>
      </c>
      <c r="E2171" s="89" t="s">
        <v>210</v>
      </c>
      <c r="F2171" s="89">
        <f>IF(E2171="AM",1,(IF(E2171="BE",2,(IF(E2171="GV",3,(IF(E2171="RA",4,(IF(E2171="RM",5,(IF(E2171="AC",1,(IF(E2171="AT",2,(IF(E2171="DS",3,(IF(E2171="IP",4,(IF(E2171="MA",5,(IF(E2171="PT",6,(IF(E2171="AE",1,(IF(E2171="CM",2,(IF(E2171="DP",3,(IF(E2171="AN",1,(IF(E2171="CO",2,(IF(E2171="IM",3,(IF(E2171="MI",4,(IF(E2171="RP",5,(IF(E2171="SC",6,0)))))))))))))))))))))))))))))))))))))))</f>
        <v>3</v>
      </c>
      <c r="G2171" s="52">
        <v>5</v>
      </c>
      <c r="H2171" s="90" t="s">
        <v>115</v>
      </c>
      <c r="I2171" s="94" t="s">
        <v>85</v>
      </c>
      <c r="J2171" s="87" t="s">
        <v>1401</v>
      </c>
      <c r="K2171" s="119" t="s">
        <v>4640</v>
      </c>
      <c r="L2171" s="117">
        <f>IF(O2171="","",N2171*O2171*M2171)</f>
        <v>0</v>
      </c>
      <c r="M2171" s="108">
        <v>1</v>
      </c>
      <c r="N2171" s="95">
        <v>1</v>
      </c>
      <c r="O2171" s="109">
        <f>IF(Key!D$1="ON",P2171,IF(SUM(Q2171:DL2171)&lt;1,"",SUM(Q2171:DL2171)/COUNTIF(Q2171:DL2171,"&gt;0")))</f>
        <v>0</v>
      </c>
      <c r="P2171" s="109">
        <f>SUMIFS(Q2171:DK2171,Q$1:DK$1,Dashboard!$K$31)</f>
        <v>0</v>
      </c>
      <c r="U2171" s="95">
        <v>33</v>
      </c>
      <c r="AA2171" s="95">
        <v>25</v>
      </c>
      <c r="AH2171" s="95">
        <v>75</v>
      </c>
    </row>
    <row r="2172" spans="1:34" x14ac:dyDescent="0.3">
      <c r="A2172" s="89" t="str">
        <f>CONCATENATE(D2172,".",F2172,"-",G2172,".",H2172,"")</f>
        <v>2.3-5.1</v>
      </c>
      <c r="B2172" s="89" t="str">
        <f>IF(CONCATENATE(I2172,Key!F$2)=CONCATENATE(INDEX(Dashboard!J:J,MATCH(I2172,Dashboard!J:J,0),1),INDEX(Dashboard!J:K,MATCH(I2172,Dashboard!J:J,0),2)),"ON",IF(Dashboard!K$32="ALL","ON","-"))</f>
        <v>-</v>
      </c>
      <c r="C2172" s="88" t="s">
        <v>152</v>
      </c>
      <c r="D2172" s="89">
        <f>IF(C2172="ID",1,(IF(C2172="PR",2,(IF(C2172="DE",3,(IF(C2172="RS",4,(IF(C2172="RC",5,0)))))))))</f>
        <v>2</v>
      </c>
      <c r="E2172" s="89" t="s">
        <v>210</v>
      </c>
      <c r="F2172" s="89">
        <f>IF(E2172="AM",1,(IF(E2172="BE",2,(IF(E2172="GV",3,(IF(E2172="RA",4,(IF(E2172="RM",5,(IF(E2172="AC",1,(IF(E2172="AT",2,(IF(E2172="DS",3,(IF(E2172="IP",4,(IF(E2172="MA",5,(IF(E2172="PT",6,(IF(E2172="AE",1,(IF(E2172="CM",2,(IF(E2172="DP",3,(IF(E2172="AN",1,(IF(E2172="CO",2,(IF(E2172="IM",3,(IF(E2172="MI",4,(IF(E2172="RP",5,(IF(E2172="SC",6,0)))))))))))))))))))))))))))))))))))))))</f>
        <v>3</v>
      </c>
      <c r="G2172" s="52">
        <v>5</v>
      </c>
      <c r="H2172" s="90" t="s">
        <v>115</v>
      </c>
      <c r="I2172" s="94" t="s">
        <v>85</v>
      </c>
      <c r="J2172" s="87" t="s">
        <v>1421</v>
      </c>
      <c r="K2172" s="119" t="s">
        <v>5115</v>
      </c>
      <c r="L2172" s="117">
        <f>IF(O2172="","",N2172*O2172*M2172)</f>
        <v>0</v>
      </c>
      <c r="M2172" s="108">
        <v>1</v>
      </c>
      <c r="N2172" s="95">
        <v>1</v>
      </c>
      <c r="O2172" s="109">
        <f>IF(Key!D$1="ON",P2172,IF(SUM(Q2172:DL2172)&lt;1,"",SUM(Q2172:DL2172)/COUNTIF(Q2172:DL2172,"&gt;0")))</f>
        <v>0</v>
      </c>
      <c r="P2172" s="109">
        <f>SUMIFS(Q2172:DK2172,Q$1:DK$1,Dashboard!$K$31)</f>
        <v>0</v>
      </c>
      <c r="U2172" s="95">
        <v>33</v>
      </c>
      <c r="AA2172" s="95">
        <v>25</v>
      </c>
      <c r="AH2172" s="95">
        <v>75</v>
      </c>
    </row>
    <row r="2173" spans="1:34" ht="15.6" x14ac:dyDescent="0.3">
      <c r="A2173" s="89" t="str">
        <f>CONCATENATE(D2173,".",F2173,"-",G2173,".",H2173,"")</f>
        <v>2.3-5.1</v>
      </c>
      <c r="B2173" s="89" t="str">
        <f>IF(CONCATENATE(I2173,Key!F$2)=CONCATENATE(INDEX(Dashboard!J:J,MATCH(I2173,Dashboard!J:J,0),1),INDEX(Dashboard!J:K,MATCH(I2173,Dashboard!J:J,0),2)),"ON",IF(Dashboard!K$32="ALL","ON","-"))</f>
        <v>-</v>
      </c>
      <c r="C2173" s="88" t="s">
        <v>152</v>
      </c>
      <c r="D2173" s="89">
        <f>IF(C2173="ID",1,(IF(C2173="PR",2,(IF(C2173="DE",3,(IF(C2173="RS",4,(IF(C2173="RC",5,0)))))))))</f>
        <v>2</v>
      </c>
      <c r="E2173" s="89" t="s">
        <v>210</v>
      </c>
      <c r="F2173" s="89">
        <f>IF(E2173="AM",1,(IF(E2173="BE",2,(IF(E2173="GV",3,(IF(E2173="RA",4,(IF(E2173="RM",5,(IF(E2173="AC",1,(IF(E2173="AT",2,(IF(E2173="DS",3,(IF(E2173="IP",4,(IF(E2173="MA",5,(IF(E2173="PT",6,(IF(E2173="AE",1,(IF(E2173="CM",2,(IF(E2173="DP",3,(IF(E2173="AN",1,(IF(E2173="CO",2,(IF(E2173="IM",3,(IF(E2173="MI",4,(IF(E2173="RP",5,(IF(E2173="SC",6,0)))))))))))))))))))))))))))))))))))))))</f>
        <v>3</v>
      </c>
      <c r="G2173" s="52">
        <v>5</v>
      </c>
      <c r="H2173" s="89">
        <v>1</v>
      </c>
      <c r="I2173" s="94" t="s">
        <v>85</v>
      </c>
      <c r="J2173" s="86" t="s">
        <v>875</v>
      </c>
      <c r="K2173" s="119" t="s">
        <v>876</v>
      </c>
      <c r="L2173" s="117">
        <f>IF(O2173="","",N2173*O2173*M2173)</f>
        <v>0</v>
      </c>
      <c r="M2173" s="108">
        <v>1</v>
      </c>
      <c r="N2173" s="95">
        <v>1</v>
      </c>
      <c r="O2173" s="109">
        <f>IF(Key!D$1="ON",P2173,IF(SUM(Q2173:DL2173)&lt;1,"",SUM(Q2173:DL2173)/COUNTIF(Q2173:DL2173,"&gt;0")))</f>
        <v>0</v>
      </c>
      <c r="P2173" s="109">
        <f>SUMIFS(Q2173:DK2173,Q$1:DK$1,Dashboard!$K$31)</f>
        <v>0</v>
      </c>
      <c r="U2173" s="95">
        <v>33</v>
      </c>
      <c r="AA2173" s="95">
        <v>25</v>
      </c>
      <c r="AH2173" s="95">
        <v>75</v>
      </c>
    </row>
    <row r="2174" spans="1:34" x14ac:dyDescent="0.3">
      <c r="A2174" s="89" t="str">
        <f>CONCATENATE(D2174,".",F2174,"-",G2174,".",H2174,"")</f>
        <v>2.3-5.1</v>
      </c>
      <c r="B2174" s="89" t="str">
        <f>IF(CONCATENATE(I2174,Key!F$2)=CONCATENATE(INDEX(Dashboard!J:J,MATCH(I2174,Dashboard!J:J,0),1),INDEX(Dashboard!J:K,MATCH(I2174,Dashboard!J:J,0),2)),"ON",IF(Dashboard!K$32="ALL","ON","-"))</f>
        <v>-</v>
      </c>
      <c r="C2174" s="88" t="s">
        <v>152</v>
      </c>
      <c r="D2174" s="89">
        <f>IF(C2174="ID",1,(IF(C2174="PR",2,(IF(C2174="DE",3,(IF(C2174="RS",4,(IF(C2174="RC",5,0)))))))))</f>
        <v>2</v>
      </c>
      <c r="E2174" s="89" t="s">
        <v>210</v>
      </c>
      <c r="F2174" s="89">
        <f>IF(E2174="AM",1,(IF(E2174="BE",2,(IF(E2174="GV",3,(IF(E2174="RA",4,(IF(E2174="RM",5,(IF(E2174="AC",1,(IF(E2174="AT",2,(IF(E2174="DS",3,(IF(E2174="IP",4,(IF(E2174="MA",5,(IF(E2174="PT",6,(IF(E2174="AE",1,(IF(E2174="CM",2,(IF(E2174="DP",3,(IF(E2174="AN",1,(IF(E2174="CO",2,(IF(E2174="IM",3,(IF(E2174="MI",4,(IF(E2174="RP",5,(IF(E2174="SC",6,0)))))))))))))))))))))))))))))))))))))))</f>
        <v>3</v>
      </c>
      <c r="G2174" s="52">
        <v>5</v>
      </c>
      <c r="H2174" s="90" t="s">
        <v>115</v>
      </c>
      <c r="I2174" s="94" t="s">
        <v>85</v>
      </c>
      <c r="J2174" s="87" t="s">
        <v>1418</v>
      </c>
      <c r="K2174" s="119" t="s">
        <v>5065</v>
      </c>
      <c r="L2174" s="117">
        <f>IF(O2174="","",N2174*O2174*M2174)</f>
        <v>0</v>
      </c>
      <c r="M2174" s="108">
        <v>1</v>
      </c>
      <c r="N2174" s="95">
        <v>1</v>
      </c>
      <c r="O2174" s="109">
        <f>IF(Key!D$1="ON",P2174,IF(SUM(Q2174:DL2174)&lt;1,"",SUM(Q2174:DL2174)/COUNTIF(Q2174:DL2174,"&gt;0")))</f>
        <v>0</v>
      </c>
      <c r="P2174" s="109">
        <f>SUMIFS(Q2174:DK2174,Q$1:DK$1,Dashboard!$K$31)</f>
        <v>0</v>
      </c>
      <c r="U2174" s="95">
        <v>33</v>
      </c>
      <c r="AA2174" s="95">
        <v>25</v>
      </c>
      <c r="AH2174" s="95">
        <v>75</v>
      </c>
    </row>
    <row r="2175" spans="1:34" x14ac:dyDescent="0.3">
      <c r="A2175" s="89" t="str">
        <f>CONCATENATE(D2175,".",F2175,"-",G2175,".",H2175,"")</f>
        <v>2.3-5.1</v>
      </c>
      <c r="B2175" s="89" t="str">
        <f>IF(CONCATENATE(I2175,Key!F$2)=CONCATENATE(INDEX(Dashboard!J:J,MATCH(I2175,Dashboard!J:J,0),1),INDEX(Dashboard!J:K,MATCH(I2175,Dashboard!J:J,0),2)),"ON",IF(Dashboard!K$32="ALL","ON","-"))</f>
        <v>-</v>
      </c>
      <c r="C2175" s="88" t="s">
        <v>152</v>
      </c>
      <c r="D2175" s="89">
        <f>IF(C2175="ID",1,(IF(C2175="PR",2,(IF(C2175="DE",3,(IF(C2175="RS",4,(IF(C2175="RC",5,0)))))))))</f>
        <v>2</v>
      </c>
      <c r="E2175" s="89" t="s">
        <v>210</v>
      </c>
      <c r="F2175" s="89">
        <f>IF(E2175="AM",1,(IF(E2175="BE",2,(IF(E2175="GV",3,(IF(E2175="RA",4,(IF(E2175="RM",5,(IF(E2175="AC",1,(IF(E2175="AT",2,(IF(E2175="DS",3,(IF(E2175="IP",4,(IF(E2175="MA",5,(IF(E2175="PT",6,(IF(E2175="AE",1,(IF(E2175="CM",2,(IF(E2175="DP",3,(IF(E2175="AN",1,(IF(E2175="CO",2,(IF(E2175="IM",3,(IF(E2175="MI",4,(IF(E2175="RP",5,(IF(E2175="SC",6,0)))))))))))))))))))))))))))))))))))))))</f>
        <v>3</v>
      </c>
      <c r="G2175" s="52">
        <v>5</v>
      </c>
      <c r="H2175" s="90" t="s">
        <v>115</v>
      </c>
      <c r="I2175" s="94" t="s">
        <v>85</v>
      </c>
      <c r="J2175" s="87" t="s">
        <v>1427</v>
      </c>
      <c r="K2175" s="119" t="s">
        <v>1428</v>
      </c>
      <c r="L2175" s="117">
        <f>IF(O2175="","",N2175*O2175*M2175)</f>
        <v>0</v>
      </c>
      <c r="M2175" s="108">
        <v>1</v>
      </c>
      <c r="N2175" s="95">
        <v>1</v>
      </c>
      <c r="O2175" s="109">
        <f>IF(Key!D$1="ON",P2175,IF(SUM(Q2175:DL2175)&lt;1,"",SUM(Q2175:DL2175)/COUNTIF(Q2175:DL2175,"&gt;0")))</f>
        <v>0</v>
      </c>
      <c r="P2175" s="109">
        <f>SUMIFS(Q2175:DK2175,Q$1:DK$1,Dashboard!$K$31)</f>
        <v>0</v>
      </c>
      <c r="U2175" s="95">
        <v>33</v>
      </c>
      <c r="AA2175" s="95">
        <v>25</v>
      </c>
      <c r="AH2175" s="95">
        <v>75</v>
      </c>
    </row>
    <row r="2176" spans="1:34" x14ac:dyDescent="0.3">
      <c r="A2176" s="89" t="str">
        <f>CONCATENATE(D2176,".",F2176,"-",G2176,".",H2176,"")</f>
        <v>2.3-5.1</v>
      </c>
      <c r="B2176" s="89" t="str">
        <f>IF(CONCATENATE(I2176,Key!F$2)=CONCATENATE(INDEX(Dashboard!J:J,MATCH(I2176,Dashboard!J:J,0),1),INDEX(Dashboard!J:K,MATCH(I2176,Dashboard!J:J,0),2)),"ON",IF(Dashboard!K$32="ALL","ON","-"))</f>
        <v>-</v>
      </c>
      <c r="C2176" s="88" t="s">
        <v>152</v>
      </c>
      <c r="D2176" s="89">
        <f>IF(C2176="ID",1,(IF(C2176="PR",2,(IF(C2176="DE",3,(IF(C2176="RS",4,(IF(C2176="RC",5,0)))))))))</f>
        <v>2</v>
      </c>
      <c r="E2176" s="89" t="s">
        <v>210</v>
      </c>
      <c r="F2176" s="89">
        <f>IF(E2176="AM",1,(IF(E2176="BE",2,(IF(E2176="GV",3,(IF(E2176="RA",4,(IF(E2176="RM",5,(IF(E2176="AC",1,(IF(E2176="AT",2,(IF(E2176="DS",3,(IF(E2176="IP",4,(IF(E2176="MA",5,(IF(E2176="PT",6,(IF(E2176="AE",1,(IF(E2176="CM",2,(IF(E2176="DP",3,(IF(E2176="AN",1,(IF(E2176="CO",2,(IF(E2176="IM",3,(IF(E2176="MI",4,(IF(E2176="RP",5,(IF(E2176="SC",6,0)))))))))))))))))))))))))))))))))))))))</f>
        <v>3</v>
      </c>
      <c r="G2176" s="52">
        <v>5</v>
      </c>
      <c r="H2176" s="90" t="s">
        <v>115</v>
      </c>
      <c r="I2176" s="94" t="s">
        <v>85</v>
      </c>
      <c r="J2176" s="87" t="s">
        <v>1424</v>
      </c>
      <c r="K2176" s="119" t="s">
        <v>5118</v>
      </c>
      <c r="L2176" s="117">
        <f>IF(O2176="","",N2176*O2176*M2176)</f>
        <v>0</v>
      </c>
      <c r="M2176" s="108">
        <v>1</v>
      </c>
      <c r="N2176" s="95">
        <v>1</v>
      </c>
      <c r="O2176" s="109">
        <f>IF(Key!D$1="ON",P2176,IF(SUM(Q2176:DL2176)&lt;1,"",SUM(Q2176:DL2176)/COUNTIF(Q2176:DL2176,"&gt;0")))</f>
        <v>0</v>
      </c>
      <c r="P2176" s="109">
        <f>SUMIFS(Q2176:DK2176,Q$1:DK$1,Dashboard!$K$31)</f>
        <v>0</v>
      </c>
      <c r="U2176" s="95">
        <v>33</v>
      </c>
      <c r="AA2176" s="95">
        <v>25</v>
      </c>
      <c r="AH2176" s="95">
        <v>75</v>
      </c>
    </row>
    <row r="2177" spans="1:34" x14ac:dyDescent="0.3">
      <c r="A2177" s="89" t="str">
        <f>CONCATENATE(D2177,".",F2177,"-",G2177,".",H2177,"")</f>
        <v>2.3-5.1</v>
      </c>
      <c r="B2177" s="89" t="str">
        <f>IF(CONCATENATE(I2177,Key!F$2)=CONCATENATE(INDEX(Dashboard!J:J,MATCH(I2177,Dashboard!J:J,0),1),INDEX(Dashboard!J:K,MATCH(I2177,Dashboard!J:J,0),2)),"ON",IF(Dashboard!K$32="ALL","ON","-"))</f>
        <v>-</v>
      </c>
      <c r="C2177" s="88" t="s">
        <v>152</v>
      </c>
      <c r="D2177" s="89">
        <f>IF(C2177="ID",1,(IF(C2177="PR",2,(IF(C2177="DE",3,(IF(C2177="RS",4,(IF(C2177="RC",5,0)))))))))</f>
        <v>2</v>
      </c>
      <c r="E2177" s="89" t="s">
        <v>210</v>
      </c>
      <c r="F2177" s="89">
        <f>IF(E2177="AM",1,(IF(E2177="BE",2,(IF(E2177="GV",3,(IF(E2177="RA",4,(IF(E2177="RM",5,(IF(E2177="AC",1,(IF(E2177="AT",2,(IF(E2177="DS",3,(IF(E2177="IP",4,(IF(E2177="MA",5,(IF(E2177="PT",6,(IF(E2177="AE",1,(IF(E2177="CM",2,(IF(E2177="DP",3,(IF(E2177="AN",1,(IF(E2177="CO",2,(IF(E2177="IM",3,(IF(E2177="MI",4,(IF(E2177="RP",5,(IF(E2177="SC",6,0)))))))))))))))))))))))))))))))))))))))</f>
        <v>3</v>
      </c>
      <c r="G2177" s="52">
        <v>5</v>
      </c>
      <c r="H2177" s="90" t="s">
        <v>115</v>
      </c>
      <c r="I2177" s="94" t="s">
        <v>85</v>
      </c>
      <c r="J2177" s="87" t="s">
        <v>1400</v>
      </c>
      <c r="K2177" s="119" t="s">
        <v>4639</v>
      </c>
      <c r="L2177" s="117">
        <f>IF(O2177="","",N2177*O2177*M2177)</f>
        <v>0</v>
      </c>
      <c r="M2177" s="108">
        <v>1</v>
      </c>
      <c r="N2177" s="95">
        <v>1</v>
      </c>
      <c r="O2177" s="109">
        <f>IF(Key!D$1="ON",P2177,IF(SUM(Q2177:DL2177)&lt;1,"",SUM(Q2177:DL2177)/COUNTIF(Q2177:DL2177,"&gt;0")))</f>
        <v>0</v>
      </c>
      <c r="P2177" s="109">
        <f>SUMIFS(Q2177:DK2177,Q$1:DK$1,Dashboard!$K$31)</f>
        <v>0</v>
      </c>
      <c r="U2177" s="95">
        <v>33</v>
      </c>
      <c r="AA2177" s="95">
        <v>25</v>
      </c>
      <c r="AH2177" s="95">
        <v>75</v>
      </c>
    </row>
    <row r="2178" spans="1:34" x14ac:dyDescent="0.3">
      <c r="A2178" s="89" t="str">
        <f>CONCATENATE(D2178,".",F2178,"-",G2178,".",H2178,"")</f>
        <v>2.3-5.1</v>
      </c>
      <c r="B2178" s="89" t="str">
        <f>IF(CONCATENATE(I2178,Key!F$2)=CONCATENATE(INDEX(Dashboard!J:J,MATCH(I2178,Dashboard!J:J,0),1),INDEX(Dashboard!J:K,MATCH(I2178,Dashboard!J:J,0),2)),"ON",IF(Dashboard!K$32="ALL","ON","-"))</f>
        <v>-</v>
      </c>
      <c r="C2178" s="88" t="s">
        <v>152</v>
      </c>
      <c r="D2178" s="89">
        <f>IF(C2178="ID",1,(IF(C2178="PR",2,(IF(C2178="DE",3,(IF(C2178="RS",4,(IF(C2178="RC",5,0)))))))))</f>
        <v>2</v>
      </c>
      <c r="E2178" s="89" t="s">
        <v>210</v>
      </c>
      <c r="F2178" s="89">
        <f>IF(E2178="AM",1,(IF(E2178="BE",2,(IF(E2178="GV",3,(IF(E2178="RA",4,(IF(E2178="RM",5,(IF(E2178="AC",1,(IF(E2178="AT",2,(IF(E2178="DS",3,(IF(E2178="IP",4,(IF(E2178="MA",5,(IF(E2178="PT",6,(IF(E2178="AE",1,(IF(E2178="CM",2,(IF(E2178="DP",3,(IF(E2178="AN",1,(IF(E2178="CO",2,(IF(E2178="IM",3,(IF(E2178="MI",4,(IF(E2178="RP",5,(IF(E2178="SC",6,0)))))))))))))))))))))))))))))))))))))))</f>
        <v>3</v>
      </c>
      <c r="G2178" s="52">
        <v>5</v>
      </c>
      <c r="H2178" s="90" t="s">
        <v>115</v>
      </c>
      <c r="I2178" s="94" t="s">
        <v>85</v>
      </c>
      <c r="J2178" s="86" t="s">
        <v>820</v>
      </c>
      <c r="K2178" s="119" t="s">
        <v>5041</v>
      </c>
      <c r="L2178" s="117">
        <f>IF(O2178="","",N2178*O2178*M2178)</f>
        <v>0</v>
      </c>
      <c r="M2178" s="108">
        <v>1</v>
      </c>
      <c r="N2178" s="95">
        <v>1</v>
      </c>
      <c r="O2178" s="109">
        <f>IF(Key!D$1="ON",P2178,IF(SUM(Q2178:DL2178)&lt;1,"",SUM(Q2178:DL2178)/COUNTIF(Q2178:DL2178,"&gt;0")))</f>
        <v>0</v>
      </c>
      <c r="P2178" s="109">
        <f>SUMIFS(Q2178:DK2178,Q$1:DK$1,Dashboard!$K$31)</f>
        <v>0</v>
      </c>
      <c r="U2178" s="95">
        <v>33</v>
      </c>
      <c r="AA2178" s="95">
        <v>25</v>
      </c>
      <c r="AH2178" s="95">
        <v>75</v>
      </c>
    </row>
    <row r="2179" spans="1:34" x14ac:dyDescent="0.3">
      <c r="A2179" s="89" t="str">
        <f>CONCATENATE(D2179,".",F2179,"-",G2179,".",H2179,"")</f>
        <v>2.3-5.1</v>
      </c>
      <c r="B2179" s="89" t="str">
        <f>IF(CONCATENATE(I2179,Key!F$2)=CONCATENATE(INDEX(Dashboard!J:J,MATCH(I2179,Dashboard!J:J,0),1),INDEX(Dashboard!J:K,MATCH(I2179,Dashboard!J:J,0),2)),"ON",IF(Dashboard!K$32="ALL","ON","-"))</f>
        <v>-</v>
      </c>
      <c r="C2179" s="88" t="s">
        <v>152</v>
      </c>
      <c r="D2179" s="89">
        <f>IF(C2179="ID",1,(IF(C2179="PR",2,(IF(C2179="DE",3,(IF(C2179="RS",4,(IF(C2179="RC",5,0)))))))))</f>
        <v>2</v>
      </c>
      <c r="E2179" s="89" t="s">
        <v>210</v>
      </c>
      <c r="F2179" s="89">
        <f>IF(E2179="AM",1,(IF(E2179="BE",2,(IF(E2179="GV",3,(IF(E2179="RA",4,(IF(E2179="RM",5,(IF(E2179="AC",1,(IF(E2179="AT",2,(IF(E2179="DS",3,(IF(E2179="IP",4,(IF(E2179="MA",5,(IF(E2179="PT",6,(IF(E2179="AE",1,(IF(E2179="CM",2,(IF(E2179="DP",3,(IF(E2179="AN",1,(IF(E2179="CO",2,(IF(E2179="IM",3,(IF(E2179="MI",4,(IF(E2179="RP",5,(IF(E2179="SC",6,0)))))))))))))))))))))))))))))))))))))))</f>
        <v>3</v>
      </c>
      <c r="G2179" s="52">
        <v>5</v>
      </c>
      <c r="H2179" s="90" t="s">
        <v>115</v>
      </c>
      <c r="I2179" s="94" t="s">
        <v>85</v>
      </c>
      <c r="J2179" s="135" t="s">
        <v>653</v>
      </c>
      <c r="K2179" s="143" t="s">
        <v>4638</v>
      </c>
      <c r="L2179" s="117">
        <f>IF(O2179="","",N2179*O2179*M2179)</f>
        <v>0</v>
      </c>
      <c r="M2179" s="108">
        <v>1</v>
      </c>
      <c r="N2179" s="95">
        <v>1</v>
      </c>
      <c r="O2179" s="109">
        <f>IF(Key!D$1="ON",P2179,IF(SUM(Q2179:DL2179)&lt;1,"",SUM(Q2179:DL2179)/COUNTIF(Q2179:DL2179,"&gt;0")))</f>
        <v>0</v>
      </c>
      <c r="P2179" s="109">
        <f>SUMIFS(Q2179:DK2179,Q$1:DK$1,Dashboard!$K$31)</f>
        <v>0</v>
      </c>
      <c r="U2179" s="95">
        <v>33</v>
      </c>
      <c r="AA2179" s="95">
        <v>25</v>
      </c>
      <c r="AH2179" s="95">
        <v>75</v>
      </c>
    </row>
    <row r="2180" spans="1:34" x14ac:dyDescent="0.3">
      <c r="A2180" s="89" t="str">
        <f>CONCATENATE(D2180,".",F2180,"-",G2180,".",H2180,"")</f>
        <v>2.3-5.1</v>
      </c>
      <c r="B2180" s="89" t="str">
        <f>IF(CONCATENATE(I2180,Key!F$2)=CONCATENATE(INDEX(Dashboard!J:J,MATCH(I2180,Dashboard!J:J,0),1),INDEX(Dashboard!J:K,MATCH(I2180,Dashboard!J:J,0),2)),"ON",IF(Dashboard!K$32="ALL","ON","-"))</f>
        <v>-</v>
      </c>
      <c r="C2180" s="88" t="s">
        <v>152</v>
      </c>
      <c r="D2180" s="89">
        <f>IF(C2180="ID",1,(IF(C2180="PR",2,(IF(C2180="DE",3,(IF(C2180="RS",4,(IF(C2180="RC",5,0)))))))))</f>
        <v>2</v>
      </c>
      <c r="E2180" s="89" t="s">
        <v>210</v>
      </c>
      <c r="F2180" s="89">
        <f>IF(E2180="AM",1,(IF(E2180="BE",2,(IF(E2180="GV",3,(IF(E2180="RA",4,(IF(E2180="RM",5,(IF(E2180="AC",1,(IF(E2180="AT",2,(IF(E2180="DS",3,(IF(E2180="IP",4,(IF(E2180="MA",5,(IF(E2180="PT",6,(IF(E2180="AE",1,(IF(E2180="CM",2,(IF(E2180="DP",3,(IF(E2180="AN",1,(IF(E2180="CO",2,(IF(E2180="IM",3,(IF(E2180="MI",4,(IF(E2180="RP",5,(IF(E2180="SC",6,0)))))))))))))))))))))))))))))))))))))))</f>
        <v>3</v>
      </c>
      <c r="G2180" s="52">
        <v>5</v>
      </c>
      <c r="H2180" s="90" t="s">
        <v>115</v>
      </c>
      <c r="I2180" s="94" t="s">
        <v>85</v>
      </c>
      <c r="J2180" s="135" t="s">
        <v>654</v>
      </c>
      <c r="K2180" s="143" t="s">
        <v>4641</v>
      </c>
      <c r="L2180" s="117">
        <f>IF(O2180="","",N2180*O2180*M2180)</f>
        <v>0</v>
      </c>
      <c r="M2180" s="108">
        <v>1</v>
      </c>
      <c r="N2180" s="95">
        <v>1</v>
      </c>
      <c r="O2180" s="109">
        <f>IF(Key!D$1="ON",P2180,IF(SUM(Q2180:DL2180)&lt;1,"",SUM(Q2180:DL2180)/COUNTIF(Q2180:DL2180,"&gt;0")))</f>
        <v>0</v>
      </c>
      <c r="P2180" s="109">
        <f>SUMIFS(Q2180:DK2180,Q$1:DK$1,Dashboard!$K$31)</f>
        <v>0</v>
      </c>
      <c r="U2180" s="95">
        <v>33</v>
      </c>
      <c r="AA2180" s="95">
        <v>25</v>
      </c>
      <c r="AH2180" s="95">
        <v>75</v>
      </c>
    </row>
    <row r="2181" spans="1:34" x14ac:dyDescent="0.3">
      <c r="A2181" s="89" t="str">
        <f>CONCATENATE(D2181,".",F2181,"-",G2181,".",H2181,"")</f>
        <v>2.3-5.1</v>
      </c>
      <c r="B2181" s="89" t="str">
        <f>IF(CONCATENATE(I2181,Key!F$2)=CONCATENATE(INDEX(Dashboard!J:J,MATCH(I2181,Dashboard!J:J,0),1),INDEX(Dashboard!J:K,MATCH(I2181,Dashboard!J:J,0),2)),"ON",IF(Dashboard!K$32="ALL","ON","-"))</f>
        <v>-</v>
      </c>
      <c r="C2181" s="96" t="s">
        <v>152</v>
      </c>
      <c r="D2181" s="89">
        <f>IF(C2181="ID",1,(IF(C2181="PR",2,(IF(C2181="DE",3,(IF(C2181="RS",4,(IF(C2181="RC",5,0)))))))))</f>
        <v>2</v>
      </c>
      <c r="E2181" s="89" t="s">
        <v>210</v>
      </c>
      <c r="F2181" s="89">
        <f>IF(E2181="AM",1,(IF(E2181="BE",2,(IF(E2181="GV",3,(IF(E2181="RA",4,(IF(E2181="RM",5,(IF(E2181="AC",1,(IF(E2181="AT",2,(IF(E2181="DS",3,(IF(E2181="IP",4,(IF(E2181="MA",5,(IF(E2181="PT",6,(IF(E2181="AE",1,(IF(E2181="CM",2,(IF(E2181="DP",3,(IF(E2181="AN",1,(IF(E2181="CO",2,(IF(E2181="IM",3,(IF(E2181="MI",4,(IF(E2181="RP",5,(IF(E2181="SC",6,0)))))))))))))))))))))))))))))))))))))))</f>
        <v>3</v>
      </c>
      <c r="G2181" s="52">
        <v>5</v>
      </c>
      <c r="H2181" s="90" t="s">
        <v>115</v>
      </c>
      <c r="I2181" s="94" t="s">
        <v>85</v>
      </c>
      <c r="J2181" s="135" t="s">
        <v>3914</v>
      </c>
      <c r="K2181" s="143" t="s">
        <v>4607</v>
      </c>
      <c r="L2181" s="117">
        <f>IF(O2181="","",N2181*O2181*M2181)</f>
        <v>0</v>
      </c>
      <c r="M2181" s="108">
        <v>1</v>
      </c>
      <c r="N2181" s="95">
        <v>1</v>
      </c>
      <c r="O2181" s="109">
        <f>IF(Key!D$1="ON",P2181,IF(SUM(Q2181:DL2181)&lt;1,"",SUM(Q2181:DL2181)/COUNTIF(Q2181:DL2181,"&gt;0")))</f>
        <v>0</v>
      </c>
      <c r="P2181" s="109">
        <f>SUMIFS(Q2181:DK2181,Q$1:DK$1,Dashboard!$K$31)</f>
        <v>0</v>
      </c>
      <c r="U2181" s="95">
        <v>33</v>
      </c>
      <c r="AA2181" s="95">
        <v>25</v>
      </c>
      <c r="AH2181" s="95">
        <v>75</v>
      </c>
    </row>
    <row r="2182" spans="1:34" x14ac:dyDescent="0.3">
      <c r="A2182" s="89" t="str">
        <f>CONCATENATE(D2182,".",F2182,"-",G2182,".",H2182,"")</f>
        <v>2.3-5.1</v>
      </c>
      <c r="B2182" s="89" t="str">
        <f>IF(CONCATENATE(I2182,Key!F$2)=CONCATENATE(INDEX(Dashboard!J:J,MATCH(I2182,Dashboard!J:J,0),1),INDEX(Dashboard!J:K,MATCH(I2182,Dashboard!J:J,0),2)),"ON",IF(Dashboard!K$32="ALL","ON","-"))</f>
        <v>-</v>
      </c>
      <c r="C2182" s="88" t="s">
        <v>152</v>
      </c>
      <c r="D2182" s="89">
        <f>IF(C2182="ID",1,(IF(C2182="PR",2,(IF(C2182="DE",3,(IF(C2182="RS",4,(IF(C2182="RC",5,0)))))))))</f>
        <v>2</v>
      </c>
      <c r="E2182" s="89" t="s">
        <v>210</v>
      </c>
      <c r="F2182" s="89">
        <f>IF(E2182="AM",1,(IF(E2182="BE",2,(IF(E2182="GV",3,(IF(E2182="RA",4,(IF(E2182="RM",5,(IF(E2182="AC",1,(IF(E2182="AT",2,(IF(E2182="DS",3,(IF(E2182="IP",4,(IF(E2182="MA",5,(IF(E2182="PT",6,(IF(E2182="AE",1,(IF(E2182="CM",2,(IF(E2182="DP",3,(IF(E2182="AN",1,(IF(E2182="CO",2,(IF(E2182="IM",3,(IF(E2182="MI",4,(IF(E2182="RP",5,(IF(E2182="SC",6,0)))))))))))))))))))))))))))))))))))))))</f>
        <v>3</v>
      </c>
      <c r="G2182" s="52">
        <v>5</v>
      </c>
      <c r="H2182" s="89">
        <v>1</v>
      </c>
      <c r="I2182" s="94" t="s">
        <v>85</v>
      </c>
      <c r="J2182" s="135" t="s">
        <v>861</v>
      </c>
      <c r="K2182" s="143" t="s">
        <v>5153</v>
      </c>
      <c r="L2182" s="117">
        <f>IF(O2182="","",N2182*O2182*M2182)</f>
        <v>0</v>
      </c>
      <c r="M2182" s="108">
        <v>1</v>
      </c>
      <c r="N2182" s="95">
        <v>1</v>
      </c>
      <c r="O2182" s="109">
        <f>IF(Key!D$1="ON",P2182,IF(SUM(Q2182:DL2182)&lt;1,"",SUM(Q2182:DL2182)/COUNTIF(Q2182:DL2182,"&gt;0")))</f>
        <v>0</v>
      </c>
      <c r="P2182" s="109">
        <f>SUMIFS(Q2182:DK2182,Q$1:DK$1,Dashboard!$K$31)</f>
        <v>0</v>
      </c>
      <c r="U2182" s="95">
        <v>33</v>
      </c>
      <c r="AA2182" s="95">
        <v>25</v>
      </c>
      <c r="AH2182" s="95">
        <v>75</v>
      </c>
    </row>
    <row r="2183" spans="1:34" x14ac:dyDescent="0.3">
      <c r="A2183" s="89" t="str">
        <f>CONCATENATE(D2183,".",F2183,"-",G2183,".",H2183,"")</f>
        <v>2.3-5.1</v>
      </c>
      <c r="B2183" s="89" t="str">
        <f>IF(CONCATENATE(I2183,Key!F$2)=CONCATENATE(INDEX(Dashboard!J:J,MATCH(I2183,Dashboard!J:J,0),1),INDEX(Dashboard!J:K,MATCH(I2183,Dashboard!J:J,0),2)),"ON",IF(Dashboard!K$32="ALL","ON","-"))</f>
        <v>-</v>
      </c>
      <c r="C2183" s="88" t="s">
        <v>152</v>
      </c>
      <c r="D2183" s="89">
        <f>IF(C2183="ID",1,(IF(C2183="PR",2,(IF(C2183="DE",3,(IF(C2183="RS",4,(IF(C2183="RC",5,0)))))))))</f>
        <v>2</v>
      </c>
      <c r="E2183" s="89" t="s">
        <v>210</v>
      </c>
      <c r="F2183" s="89">
        <f>IF(E2183="AM",1,(IF(E2183="BE",2,(IF(E2183="GV",3,(IF(E2183="RA",4,(IF(E2183="RM",5,(IF(E2183="AC",1,(IF(E2183="AT",2,(IF(E2183="DS",3,(IF(E2183="IP",4,(IF(E2183="MA",5,(IF(E2183="PT",6,(IF(E2183="AE",1,(IF(E2183="CM",2,(IF(E2183="DP",3,(IF(E2183="AN",1,(IF(E2183="CO",2,(IF(E2183="IM",3,(IF(E2183="MI",4,(IF(E2183="RP",5,(IF(E2183="SC",6,0)))))))))))))))))))))))))))))))))))))))</f>
        <v>3</v>
      </c>
      <c r="G2183" s="52">
        <v>5</v>
      </c>
      <c r="H2183" s="89">
        <v>1</v>
      </c>
      <c r="I2183" s="94" t="s">
        <v>85</v>
      </c>
      <c r="J2183" s="135" t="s">
        <v>881</v>
      </c>
      <c r="K2183" s="143" t="s">
        <v>882</v>
      </c>
      <c r="L2183" s="117">
        <f>IF(O2183="","",N2183*O2183*M2183)</f>
        <v>0</v>
      </c>
      <c r="M2183" s="108">
        <v>1</v>
      </c>
      <c r="N2183" s="95">
        <v>1</v>
      </c>
      <c r="O2183" s="109">
        <f>IF(Key!D$1="ON",P2183,IF(SUM(Q2183:DL2183)&lt;1,"",SUM(Q2183:DL2183)/COUNTIF(Q2183:DL2183,"&gt;0")))</f>
        <v>0</v>
      </c>
      <c r="P2183" s="109">
        <f>SUMIFS(Q2183:DK2183,Q$1:DK$1,Dashboard!$K$31)</f>
        <v>0</v>
      </c>
      <c r="U2183" s="95">
        <v>33</v>
      </c>
      <c r="AA2183" s="95">
        <v>25</v>
      </c>
      <c r="AH2183" s="95">
        <v>75</v>
      </c>
    </row>
    <row r="2184" spans="1:34" x14ac:dyDescent="0.3">
      <c r="A2184" s="89" t="str">
        <f>CONCATENATE(D2184,".",F2184,"-",G2184,".",H2184,"")</f>
        <v>2.3-5.1</v>
      </c>
      <c r="B2184" s="89" t="str">
        <f>IF(CONCATENATE(I2184,Key!F$2)=CONCATENATE(INDEX(Dashboard!J:J,MATCH(I2184,Dashboard!J:J,0),1),INDEX(Dashboard!J:K,MATCH(I2184,Dashboard!J:J,0),2)),"ON",IF(Dashboard!K$32="ALL","ON","-"))</f>
        <v>-</v>
      </c>
      <c r="C2184" s="96" t="s">
        <v>152</v>
      </c>
      <c r="D2184" s="89">
        <f>IF(C2184="ID",1,(IF(C2184="PR",2,(IF(C2184="DE",3,(IF(C2184="RS",4,(IF(C2184="RC",5,0)))))))))</f>
        <v>2</v>
      </c>
      <c r="E2184" s="89" t="s">
        <v>210</v>
      </c>
      <c r="F2184" s="89">
        <f>IF(E2184="AM",1,(IF(E2184="BE",2,(IF(E2184="GV",3,(IF(E2184="RA",4,(IF(E2184="RM",5,(IF(E2184="AC",1,(IF(E2184="AT",2,(IF(E2184="DS",3,(IF(E2184="IP",4,(IF(E2184="MA",5,(IF(E2184="PT",6,(IF(E2184="AE",1,(IF(E2184="CM",2,(IF(E2184="DP",3,(IF(E2184="AN",1,(IF(E2184="CO",2,(IF(E2184="IM",3,(IF(E2184="MI",4,(IF(E2184="RP",5,(IF(E2184="SC",6,0)))))))))))))))))))))))))))))))))))))))</f>
        <v>3</v>
      </c>
      <c r="G2184" s="98">
        <v>5</v>
      </c>
      <c r="H2184" s="90" t="s">
        <v>115</v>
      </c>
      <c r="I2184" s="94" t="s">
        <v>92</v>
      </c>
      <c r="J2184" s="88">
        <v>4.2</v>
      </c>
      <c r="K2184" s="102" t="s">
        <v>5226</v>
      </c>
      <c r="L2184" s="117">
        <f>IF(O2184="","",N2184*O2184*M2184)</f>
        <v>0</v>
      </c>
      <c r="M2184" s="108">
        <v>1</v>
      </c>
      <c r="N2184" s="95">
        <v>1</v>
      </c>
      <c r="O2184" s="109">
        <f>IF(Key!D$1="ON",P2184,IF(SUM(Q2184:DL2184)&lt;1,"",SUM(Q2184:DL2184)/COUNTIF(Q2184:DL2184,"&gt;0")))</f>
        <v>0</v>
      </c>
      <c r="P2184" s="109">
        <f>SUMIFS(Q2184:DK2184,Q$1:DK$1,Dashboard!$K$31)</f>
        <v>0</v>
      </c>
      <c r="U2184" s="95">
        <v>33</v>
      </c>
      <c r="AA2184" s="95">
        <v>25</v>
      </c>
      <c r="AH2184" s="95">
        <v>75</v>
      </c>
    </row>
    <row r="2185" spans="1:34" ht="15.6" x14ac:dyDescent="0.3">
      <c r="A2185" s="89" t="str">
        <f>CONCATENATE(D2185,".",F2185,"-",G2185,".",H2185,"")</f>
        <v>2.3-5.1</v>
      </c>
      <c r="B2185" s="89" t="str">
        <f>IF(CONCATENATE(I2185,Key!F$2)=CONCATENATE(INDEX(Dashboard!J:J,MATCH(I2185,Dashboard!J:J,0),1),INDEX(Dashboard!J:K,MATCH(I2185,Dashboard!J:J,0),2)),"ON",IF(Dashboard!K$32="ALL","ON","-"))</f>
        <v>-</v>
      </c>
      <c r="C2185" s="96" t="s">
        <v>152</v>
      </c>
      <c r="D2185" s="89">
        <f>IF(C2185="ID",1,(IF(C2185="PR",2,(IF(C2185="DE",3,(IF(C2185="RS",4,(IF(C2185="RC",5,0)))))))))</f>
        <v>2</v>
      </c>
      <c r="E2185" s="89" t="s">
        <v>210</v>
      </c>
      <c r="F2185" s="89">
        <f>IF(E2185="AM",1,(IF(E2185="BE",2,(IF(E2185="GV",3,(IF(E2185="RA",4,(IF(E2185="RM",5,(IF(E2185="AC",1,(IF(E2185="AT",2,(IF(E2185="DS",3,(IF(E2185="IP",4,(IF(E2185="MA",5,(IF(E2185="PT",6,(IF(E2185="AE",1,(IF(E2185="CM",2,(IF(E2185="DP",3,(IF(E2185="AN",1,(IF(E2185="CO",2,(IF(E2185="IM",3,(IF(E2185="MI",4,(IF(E2185="RP",5,(IF(E2185="SC",6,0)))))))))))))))))))))))))))))))))))))))</f>
        <v>3</v>
      </c>
      <c r="G2185" s="98">
        <v>5</v>
      </c>
      <c r="H2185" s="90" t="s">
        <v>115</v>
      </c>
      <c r="I2185" s="94" t="s">
        <v>92</v>
      </c>
      <c r="J2185" s="87">
        <v>11.4</v>
      </c>
      <c r="K2185" s="102" t="s">
        <v>5226</v>
      </c>
      <c r="L2185" s="117">
        <f>IF(O2185="","",N2185*O2185*M2185)</f>
        <v>0</v>
      </c>
      <c r="M2185" s="108">
        <v>1</v>
      </c>
      <c r="N2185" s="95">
        <v>1</v>
      </c>
      <c r="O2185" s="109">
        <f>IF(Key!D$1="ON",P2185,IF(SUM(Q2185:DL2185)&lt;1,"",SUM(Q2185:DL2185)/COUNTIF(Q2185:DL2185,"&gt;0")))</f>
        <v>0</v>
      </c>
      <c r="P2185" s="109">
        <f>SUMIFS(Q2185:DK2185,Q$1:DK$1,Dashboard!$K$31)</f>
        <v>0</v>
      </c>
      <c r="U2185" s="95">
        <v>33</v>
      </c>
      <c r="AA2185" s="95">
        <v>25</v>
      </c>
      <c r="AH2185" s="95">
        <v>75</v>
      </c>
    </row>
    <row r="2186" spans="1:34" x14ac:dyDescent="0.3">
      <c r="A2186" s="89" t="str">
        <f>CONCATENATE(D2186,".",F2186,"-",G2186,".",H2186,"")</f>
        <v>2.3-5.1</v>
      </c>
      <c r="B2186" s="89" t="str">
        <f>IF(CONCATENATE(I2186,Key!F$2)=CONCATENATE(INDEX(Dashboard!J:J,MATCH(I2186,Dashboard!J:J,0),1),INDEX(Dashboard!J:K,MATCH(I2186,Dashboard!J:J,0),2)),"ON",IF(Dashboard!K$32="ALL","ON","-"))</f>
        <v>-</v>
      </c>
      <c r="C2186" s="88" t="s">
        <v>152</v>
      </c>
      <c r="D2186" s="89">
        <f>IF(C2186="ID",1,(IF(C2186="PR",2,(IF(C2186="DE",3,(IF(C2186="RS",4,(IF(C2186="RC",5,0)))))))))</f>
        <v>2</v>
      </c>
      <c r="E2186" s="89" t="s">
        <v>210</v>
      </c>
      <c r="F2186" s="89">
        <f>IF(E2186="AM",1,(IF(E2186="BE",2,(IF(E2186="GV",3,(IF(E2186="RA",4,(IF(E2186="RM",5,(IF(E2186="AC",1,(IF(E2186="AT",2,(IF(E2186="DS",3,(IF(E2186="IP",4,(IF(E2186="MA",5,(IF(E2186="PT",6,(IF(E2186="AE",1,(IF(E2186="CM",2,(IF(E2186="DP",3,(IF(E2186="AN",1,(IF(E2186="CO",2,(IF(E2186="IM",3,(IF(E2186="MI",4,(IF(E2186="RP",5,(IF(E2186="SC",6,0)))))))))))))))))))))))))))))))))))))))</f>
        <v>3</v>
      </c>
      <c r="G2186" s="52">
        <v>5</v>
      </c>
      <c r="H2186" s="90" t="s">
        <v>115</v>
      </c>
      <c r="I2186" s="94" t="s">
        <v>92</v>
      </c>
      <c r="J2186" s="88" t="s">
        <v>222</v>
      </c>
      <c r="K2186" s="102" t="s">
        <v>5226</v>
      </c>
      <c r="L2186" s="117">
        <f>IF(O2186="","",N2186*O2186*M2186)</f>
        <v>0</v>
      </c>
      <c r="M2186" s="108">
        <v>1</v>
      </c>
      <c r="N2186" s="95">
        <v>1</v>
      </c>
      <c r="O2186" s="109">
        <f>IF(Key!D$1="ON",P2186,IF(SUM(Q2186:DL2186)&lt;1,"",SUM(Q2186:DL2186)/COUNTIF(Q2186:DL2186,"&gt;0")))</f>
        <v>0</v>
      </c>
      <c r="P2186" s="109">
        <f>SUMIFS(Q2186:DK2186,Q$1:DK$1,Dashboard!$K$31)</f>
        <v>0</v>
      </c>
      <c r="U2186" s="95">
        <v>33</v>
      </c>
      <c r="AA2186" s="95">
        <v>25</v>
      </c>
      <c r="AH2186" s="95">
        <v>75</v>
      </c>
    </row>
    <row r="2187" spans="1:34" x14ac:dyDescent="0.3">
      <c r="A2187" s="89" t="str">
        <f>CONCATENATE(D2187,".",F2187,"-",G2187,".",H2187,"")</f>
        <v>2.3-5.1</v>
      </c>
      <c r="B2187" s="89" t="str">
        <f>IF(CONCATENATE(I2187,Key!F$2)=CONCATENATE(INDEX(Dashboard!J:J,MATCH(I2187,Dashboard!J:J,0),1),INDEX(Dashboard!J:K,MATCH(I2187,Dashboard!J:J,0),2)),"ON",IF(Dashboard!K$32="ALL","ON","-"))</f>
        <v>-</v>
      </c>
      <c r="C2187" s="88" t="s">
        <v>152</v>
      </c>
      <c r="D2187" s="89">
        <f>IF(C2187="ID",1,(IF(C2187="PR",2,(IF(C2187="DE",3,(IF(C2187="RS",4,(IF(C2187="RC",5,0)))))))))</f>
        <v>2</v>
      </c>
      <c r="E2187" s="89" t="s">
        <v>210</v>
      </c>
      <c r="F2187" s="89">
        <f>IF(E2187="AM",1,(IF(E2187="BE",2,(IF(E2187="GV",3,(IF(E2187="RA",4,(IF(E2187="RM",5,(IF(E2187="AC",1,(IF(E2187="AT",2,(IF(E2187="DS",3,(IF(E2187="IP",4,(IF(E2187="MA",5,(IF(E2187="PT",6,(IF(E2187="AE",1,(IF(E2187="CM",2,(IF(E2187="DP",3,(IF(E2187="AN",1,(IF(E2187="CO",2,(IF(E2187="IM",3,(IF(E2187="MI",4,(IF(E2187="RP",5,(IF(E2187="SC",6,0)))))))))))))))))))))))))))))))))))))))</f>
        <v>3</v>
      </c>
      <c r="G2187" s="52">
        <v>5</v>
      </c>
      <c r="H2187" s="90" t="s">
        <v>115</v>
      </c>
      <c r="I2187" s="94" t="s">
        <v>92</v>
      </c>
      <c r="J2187" s="88" t="s">
        <v>223</v>
      </c>
      <c r="K2187" s="102" t="s">
        <v>5226</v>
      </c>
      <c r="L2187" s="117">
        <f>IF(O2187="","",N2187*O2187*M2187)</f>
        <v>0</v>
      </c>
      <c r="M2187" s="108">
        <v>1</v>
      </c>
      <c r="N2187" s="95">
        <v>1</v>
      </c>
      <c r="O2187" s="109">
        <f>IF(Key!D$1="ON",P2187,IF(SUM(Q2187:DL2187)&lt;1,"",SUM(Q2187:DL2187)/COUNTIF(Q2187:DL2187,"&gt;0")))</f>
        <v>0</v>
      </c>
      <c r="P2187" s="109">
        <f>SUMIFS(Q2187:DK2187,Q$1:DK$1,Dashboard!$K$31)</f>
        <v>0</v>
      </c>
      <c r="U2187" s="95">
        <v>33</v>
      </c>
      <c r="AA2187" s="95">
        <v>25</v>
      </c>
      <c r="AH2187" s="95">
        <v>75</v>
      </c>
    </row>
    <row r="2188" spans="1:34" x14ac:dyDescent="0.3">
      <c r="A2188" s="89" t="str">
        <f>CONCATENATE(D2188,".",F2188,"-",G2188,".",H2188,"")</f>
        <v>2.3-5.1</v>
      </c>
      <c r="B2188" s="89" t="str">
        <f>IF(CONCATENATE(I2188,Key!F$2)=CONCATENATE(INDEX(Dashboard!J:J,MATCH(I2188,Dashboard!J:J,0),1),INDEX(Dashboard!J:K,MATCH(I2188,Dashboard!J:J,0),2)),"ON",IF(Dashboard!K$32="ALL","ON","-"))</f>
        <v>-</v>
      </c>
      <c r="C2188" s="96" t="s">
        <v>152</v>
      </c>
      <c r="D2188" s="89">
        <f>IF(C2188="ID",1,(IF(C2188="PR",2,(IF(C2188="DE",3,(IF(C2188="RS",4,(IF(C2188="RC",5,0)))))))))</f>
        <v>2</v>
      </c>
      <c r="E2188" s="89" t="s">
        <v>210</v>
      </c>
      <c r="F2188" s="89">
        <f>IF(E2188="AM",1,(IF(E2188="BE",2,(IF(E2188="GV",3,(IF(E2188="RA",4,(IF(E2188="RM",5,(IF(E2188="AC",1,(IF(E2188="AT",2,(IF(E2188="DS",3,(IF(E2188="IP",4,(IF(E2188="MA",5,(IF(E2188="PT",6,(IF(E2188="AE",1,(IF(E2188="CM",2,(IF(E2188="DP",3,(IF(E2188="AN",1,(IF(E2188="CO",2,(IF(E2188="IM",3,(IF(E2188="MI",4,(IF(E2188="RP",5,(IF(E2188="SC",6,0)))))))))))))))))))))))))))))))))))))))</f>
        <v>3</v>
      </c>
      <c r="G2188" s="52">
        <v>5</v>
      </c>
      <c r="H2188" s="90" t="s">
        <v>115</v>
      </c>
      <c r="I2188" s="94" t="s">
        <v>92</v>
      </c>
      <c r="J2188" s="88" t="s">
        <v>224</v>
      </c>
      <c r="K2188" s="102" t="s">
        <v>5226</v>
      </c>
      <c r="L2188" s="117">
        <f>IF(O2188="","",N2188*O2188*M2188)</f>
        <v>0</v>
      </c>
      <c r="M2188" s="108">
        <v>1</v>
      </c>
      <c r="N2188" s="95">
        <v>1</v>
      </c>
      <c r="O2188" s="109">
        <f>IF(Key!D$1="ON",P2188,IF(SUM(Q2188:DL2188)&lt;1,"",SUM(Q2188:DL2188)/COUNTIF(Q2188:DL2188,"&gt;0")))</f>
        <v>0</v>
      </c>
      <c r="P2188" s="109">
        <f>SUMIFS(Q2188:DK2188,Q$1:DK$1,Dashboard!$K$31)</f>
        <v>0</v>
      </c>
      <c r="U2188" s="95">
        <v>33</v>
      </c>
      <c r="AA2188" s="95">
        <v>25</v>
      </c>
      <c r="AH2188" s="95">
        <v>75</v>
      </c>
    </row>
    <row r="2189" spans="1:34" x14ac:dyDescent="0.3">
      <c r="A2189" s="89" t="str">
        <f>CONCATENATE(D2189,".",F2189,"-",G2189,".",H2189,"")</f>
        <v>2.3-5.1</v>
      </c>
      <c r="B2189" s="89" t="str">
        <f>IF(CONCATENATE(I2189,Key!F$2)=CONCATENATE(INDEX(Dashboard!J:J,MATCH(I2189,Dashboard!J:J,0),1),INDEX(Dashboard!J:K,MATCH(I2189,Dashboard!J:J,0),2)),"ON",IF(Dashboard!K$32="ALL","ON","-"))</f>
        <v>-</v>
      </c>
      <c r="C2189" s="96" t="s">
        <v>152</v>
      </c>
      <c r="D2189" s="89">
        <f>IF(C2189="ID",1,(IF(C2189="PR",2,(IF(C2189="DE",3,(IF(C2189="RS",4,(IF(C2189="RC",5,0)))))))))</f>
        <v>2</v>
      </c>
      <c r="E2189" s="89" t="s">
        <v>210</v>
      </c>
      <c r="F2189" s="89">
        <f>IF(E2189="AM",1,(IF(E2189="BE",2,(IF(E2189="GV",3,(IF(E2189="RA",4,(IF(E2189="RM",5,(IF(E2189="AC",1,(IF(E2189="AT",2,(IF(E2189="DS",3,(IF(E2189="IP",4,(IF(E2189="MA",5,(IF(E2189="PT",6,(IF(E2189="AE",1,(IF(E2189="CM",2,(IF(E2189="DP",3,(IF(E2189="AN",1,(IF(E2189="CO",2,(IF(E2189="IM",3,(IF(E2189="MI",4,(IF(E2189="RP",5,(IF(E2189="SC",6,0)))))))))))))))))))))))))))))))))))))))</f>
        <v>3</v>
      </c>
      <c r="G2189" s="52">
        <v>5</v>
      </c>
      <c r="H2189" s="90" t="s">
        <v>115</v>
      </c>
      <c r="I2189" s="94" t="s">
        <v>92</v>
      </c>
      <c r="J2189" s="88" t="s">
        <v>225</v>
      </c>
      <c r="K2189" s="102" t="s">
        <v>5226</v>
      </c>
      <c r="L2189" s="117">
        <f>IF(O2189="","",N2189*O2189*M2189)</f>
        <v>0</v>
      </c>
      <c r="M2189" s="108">
        <v>1</v>
      </c>
      <c r="N2189" s="95">
        <v>1</v>
      </c>
      <c r="O2189" s="109">
        <f>IF(Key!D$1="ON",P2189,IF(SUM(Q2189:DL2189)&lt;1,"",SUM(Q2189:DL2189)/COUNTIF(Q2189:DL2189,"&gt;0")))</f>
        <v>0</v>
      </c>
      <c r="P2189" s="109">
        <f>SUMIFS(Q2189:DK2189,Q$1:DK$1,Dashboard!$K$31)</f>
        <v>0</v>
      </c>
      <c r="U2189" s="95">
        <v>33</v>
      </c>
      <c r="AA2189" s="95">
        <v>25</v>
      </c>
      <c r="AH2189" s="95">
        <v>75</v>
      </c>
    </row>
    <row r="2190" spans="1:34" x14ac:dyDescent="0.3">
      <c r="A2190" s="89" t="str">
        <f>CONCATENATE(D2190,".",F2190,"-",G2190,".",H2190,"")</f>
        <v>2.3-5.2</v>
      </c>
      <c r="B2190" s="89" t="str">
        <f>IF(CONCATENATE(I2190,Key!F$2)=CONCATENATE(INDEX(Dashboard!J:J,MATCH(I2190,Dashboard!J:J,0),1),INDEX(Dashboard!J:K,MATCH(I2190,Dashboard!J:J,0),2)),"ON",IF(Dashboard!K$32="ALL","ON","-"))</f>
        <v>-</v>
      </c>
      <c r="C2190" s="88" t="s">
        <v>152</v>
      </c>
      <c r="D2190" s="89">
        <f>IF(C2190="ID",1,(IF(C2190="PR",2,(IF(C2190="DE",3,(IF(C2190="RS",4,(IF(C2190="RC",5,0)))))))))</f>
        <v>2</v>
      </c>
      <c r="E2190" s="89" t="s">
        <v>210</v>
      </c>
      <c r="F2190" s="89">
        <f>IF(E2190="AM",1,(IF(E2190="BE",2,(IF(E2190="GV",3,(IF(E2190="RA",4,(IF(E2190="RM",5,(IF(E2190="AC",1,(IF(E2190="AT",2,(IF(E2190="DS",3,(IF(E2190="IP",4,(IF(E2190="MA",5,(IF(E2190="PT",6,(IF(E2190="AE",1,(IF(E2190="CM",2,(IF(E2190="DP",3,(IF(E2190="AN",1,(IF(E2190="CO",2,(IF(E2190="IM",3,(IF(E2190="MI",4,(IF(E2190="RP",5,(IF(E2190="SC",6,0)))))))))))))))))))))))))))))))))))))))</f>
        <v>3</v>
      </c>
      <c r="G2190" s="52">
        <v>5</v>
      </c>
      <c r="H2190" s="90" t="s">
        <v>112</v>
      </c>
      <c r="I2190" s="94" t="s">
        <v>60</v>
      </c>
      <c r="J2190" s="87" t="s">
        <v>3227</v>
      </c>
      <c r="K2190" s="51" t="s">
        <v>5340</v>
      </c>
      <c r="L2190" s="117">
        <f>IF(O2190="","",N2190*O2190*M2190)</f>
        <v>0</v>
      </c>
      <c r="M2190" s="108">
        <v>1</v>
      </c>
      <c r="N2190" s="95">
        <v>1</v>
      </c>
      <c r="O2190" s="109">
        <f>IF(Key!D$1="ON",P2190,IF(SUM(Q2190:DL2190)&lt;1,"",SUM(Q2190:DL2190)/COUNTIF(Q2190:DL2190,"&gt;0")))</f>
        <v>0</v>
      </c>
      <c r="P2190" s="109">
        <f>SUMIFS(Q2190:DK2190,Q$1:DK$1,Dashboard!$K$31)</f>
        <v>0</v>
      </c>
      <c r="U2190" s="95">
        <v>33</v>
      </c>
      <c r="AA2190" s="95">
        <v>25</v>
      </c>
      <c r="AH2190" s="95">
        <v>75</v>
      </c>
    </row>
    <row r="2191" spans="1:34" x14ac:dyDescent="0.3">
      <c r="A2191" s="89" t="str">
        <f>CONCATENATE(D2191,".",F2191,"-",G2191,".",H2191,"")</f>
        <v>2.3-5.5</v>
      </c>
      <c r="B2191" s="89" t="str">
        <f>IF(CONCATENATE(I2191,Key!F$2)=CONCATENATE(INDEX(Dashboard!J:J,MATCH(I2191,Dashboard!J:J,0),1),INDEX(Dashboard!J:K,MATCH(I2191,Dashboard!J:J,0),2)),"ON",IF(Dashboard!K$32="ALL","ON","-"))</f>
        <v>-</v>
      </c>
      <c r="C2191" s="88" t="s">
        <v>152</v>
      </c>
      <c r="D2191" s="89">
        <f>IF(C2191="ID",1,(IF(C2191="PR",2,(IF(C2191="DE",3,(IF(C2191="RS",4,(IF(C2191="RC",5,0)))))))))</f>
        <v>2</v>
      </c>
      <c r="E2191" s="89" t="s">
        <v>210</v>
      </c>
      <c r="F2191" s="89">
        <f>IF(E2191="AM",1,(IF(E2191="BE",2,(IF(E2191="GV",3,(IF(E2191="RA",4,(IF(E2191="RM",5,(IF(E2191="AC",1,(IF(E2191="AT",2,(IF(E2191="DS",3,(IF(E2191="IP",4,(IF(E2191="MA",5,(IF(E2191="PT",6,(IF(E2191="AE",1,(IF(E2191="CM",2,(IF(E2191="DP",3,(IF(E2191="AN",1,(IF(E2191="CO",2,(IF(E2191="IM",3,(IF(E2191="MI",4,(IF(E2191="RP",5,(IF(E2191="SC",6,0)))))))))))))))))))))))))))))))))))))))</f>
        <v>3</v>
      </c>
      <c r="G2191" s="52">
        <v>5</v>
      </c>
      <c r="H2191" s="90" t="s">
        <v>123</v>
      </c>
      <c r="I2191" s="94" t="s">
        <v>77</v>
      </c>
      <c r="J2191" s="87" t="s">
        <v>1427</v>
      </c>
      <c r="K2191" s="102" t="s">
        <v>2411</v>
      </c>
      <c r="L2191" s="117">
        <f>IF(O2191="","",N2191*O2191*M2191)</f>
        <v>0</v>
      </c>
      <c r="M2191" s="108">
        <v>1</v>
      </c>
      <c r="N2191" s="95">
        <v>1</v>
      </c>
      <c r="O2191" s="109">
        <f>IF(Key!D$1="ON",P2191,IF(SUM(Q2191:DL2191)&lt;1,"",SUM(Q2191:DL2191)/COUNTIF(Q2191:DL2191,"&gt;0")))</f>
        <v>0</v>
      </c>
      <c r="P2191" s="109">
        <f>SUMIFS(Q2191:DK2191,Q$1:DK$1,Dashboard!$K$31)</f>
        <v>0</v>
      </c>
      <c r="U2191" s="95">
        <v>33</v>
      </c>
      <c r="AA2191" s="95">
        <v>25</v>
      </c>
      <c r="AH2191" s="95">
        <v>75</v>
      </c>
    </row>
    <row r="2192" spans="1:34" x14ac:dyDescent="0.3">
      <c r="A2192" s="89" t="str">
        <f>CONCATENATE(D2192,".",F2192,"-",G2192,".",H2192,"")</f>
        <v>2.3-5.5</v>
      </c>
      <c r="B2192" s="89" t="str">
        <f>IF(CONCATENATE(I2192,Key!F$2)=CONCATENATE(INDEX(Dashboard!J:J,MATCH(I2192,Dashboard!J:J,0),1),INDEX(Dashboard!J:K,MATCH(I2192,Dashboard!J:J,0),2)),"ON",IF(Dashboard!K$32="ALL","ON","-"))</f>
        <v>-</v>
      </c>
      <c r="C2192" s="88" t="s">
        <v>152</v>
      </c>
      <c r="D2192" s="89">
        <f>IF(C2192="ID",1,(IF(C2192="PR",2,(IF(C2192="DE",3,(IF(C2192="RS",4,(IF(C2192="RC",5,0)))))))))</f>
        <v>2</v>
      </c>
      <c r="E2192" s="89" t="s">
        <v>210</v>
      </c>
      <c r="F2192" s="89">
        <f>IF(E2192="AM",1,(IF(E2192="BE",2,(IF(E2192="GV",3,(IF(E2192="RA",4,(IF(E2192="RM",5,(IF(E2192="AC",1,(IF(E2192="AT",2,(IF(E2192="DS",3,(IF(E2192="IP",4,(IF(E2192="MA",5,(IF(E2192="PT",6,(IF(E2192="AE",1,(IF(E2192="CM",2,(IF(E2192="DP",3,(IF(E2192="AN",1,(IF(E2192="CO",2,(IF(E2192="IM",3,(IF(E2192="MI",4,(IF(E2192="RP",5,(IF(E2192="SC",6,0)))))))))))))))))))))))))))))))))))))))</f>
        <v>3</v>
      </c>
      <c r="G2192" s="52">
        <v>5</v>
      </c>
      <c r="H2192" s="90" t="s">
        <v>123</v>
      </c>
      <c r="I2192" s="94" t="s">
        <v>77</v>
      </c>
      <c r="J2192" s="87" t="s">
        <v>1429</v>
      </c>
      <c r="K2192" s="102" t="s">
        <v>2412</v>
      </c>
      <c r="L2192" s="117">
        <f>IF(O2192="","",N2192*O2192*M2192)</f>
        <v>0</v>
      </c>
      <c r="M2192" s="108">
        <v>1</v>
      </c>
      <c r="N2192" s="95">
        <v>1</v>
      </c>
      <c r="O2192" s="109">
        <f>IF(Key!D$1="ON",P2192,IF(SUM(Q2192:DL2192)&lt;1,"",SUM(Q2192:DL2192)/COUNTIF(Q2192:DL2192,"&gt;0")))</f>
        <v>0</v>
      </c>
      <c r="P2192" s="109">
        <f>SUMIFS(Q2192:DK2192,Q$1:DK$1,Dashboard!$K$31)</f>
        <v>0</v>
      </c>
      <c r="U2192" s="95">
        <v>33</v>
      </c>
      <c r="AA2192" s="95">
        <v>25</v>
      </c>
      <c r="AH2192" s="95">
        <v>75</v>
      </c>
    </row>
    <row r="2193" spans="1:34" x14ac:dyDescent="0.3">
      <c r="A2193" s="89" t="str">
        <f>CONCATENATE(D2193,".",F2193,"-",G2193,".",H2193,"")</f>
        <v>2.3-5.5</v>
      </c>
      <c r="B2193" s="89" t="str">
        <f>IF(CONCATENATE(I2193,Key!F$2)=CONCATENATE(INDEX(Dashboard!J:J,MATCH(I2193,Dashboard!J:J,0),1),INDEX(Dashboard!J:K,MATCH(I2193,Dashboard!J:J,0),2)),"ON",IF(Dashboard!K$32="ALL","ON","-"))</f>
        <v>-</v>
      </c>
      <c r="C2193" s="88" t="s">
        <v>152</v>
      </c>
      <c r="D2193" s="89">
        <f>IF(C2193="ID",1,(IF(C2193="PR",2,(IF(C2193="DE",3,(IF(C2193="RS",4,(IF(C2193="RC",5,0)))))))))</f>
        <v>2</v>
      </c>
      <c r="E2193" s="89" t="s">
        <v>210</v>
      </c>
      <c r="F2193" s="89">
        <f>IF(E2193="AM",1,(IF(E2193="BE",2,(IF(E2193="GV",3,(IF(E2193="RA",4,(IF(E2193="RM",5,(IF(E2193="AC",1,(IF(E2193="AT",2,(IF(E2193="DS",3,(IF(E2193="IP",4,(IF(E2193="MA",5,(IF(E2193="PT",6,(IF(E2193="AE",1,(IF(E2193="CM",2,(IF(E2193="DP",3,(IF(E2193="AN",1,(IF(E2193="CO",2,(IF(E2193="IM",3,(IF(E2193="MI",4,(IF(E2193="RP",5,(IF(E2193="SC",6,0)))))))))))))))))))))))))))))))))))))))</f>
        <v>3</v>
      </c>
      <c r="G2193" s="52">
        <v>5</v>
      </c>
      <c r="H2193" s="90" t="s">
        <v>123</v>
      </c>
      <c r="I2193" s="94" t="s">
        <v>77</v>
      </c>
      <c r="J2193" s="87" t="s">
        <v>1431</v>
      </c>
      <c r="K2193" s="102" t="s">
        <v>2413</v>
      </c>
      <c r="L2193" s="117">
        <f>IF(O2193="","",N2193*O2193*M2193)</f>
        <v>0</v>
      </c>
      <c r="M2193" s="108">
        <v>1</v>
      </c>
      <c r="N2193" s="95">
        <v>1</v>
      </c>
      <c r="O2193" s="109">
        <f>IF(Key!D$1="ON",P2193,IF(SUM(Q2193:DL2193)&lt;1,"",SUM(Q2193:DL2193)/COUNTIF(Q2193:DL2193,"&gt;0")))</f>
        <v>0</v>
      </c>
      <c r="P2193" s="109">
        <f>SUMIFS(Q2193:DK2193,Q$1:DK$1,Dashboard!$K$31)</f>
        <v>0</v>
      </c>
      <c r="U2193" s="95">
        <v>33</v>
      </c>
      <c r="AA2193" s="95">
        <v>25</v>
      </c>
      <c r="AH2193" s="95">
        <v>75</v>
      </c>
    </row>
    <row r="2194" spans="1:34" ht="15.6" x14ac:dyDescent="0.3">
      <c r="A2194" s="89" t="str">
        <f>CONCATENATE(D2194,".",F2194,"-",G2194,".",H2194,"")</f>
        <v>2.3-6.0</v>
      </c>
      <c r="B2194" s="89" t="str">
        <f>IF(CONCATENATE(I2194,Key!F$2)=CONCATENATE(INDEX(Dashboard!J:J,MATCH(I2194,Dashboard!J:J,0),1),INDEX(Dashboard!J:K,MATCH(I2194,Dashboard!J:J,0),2)),"ON",IF(Dashboard!K$32="ALL","ON","-"))</f>
        <v>-</v>
      </c>
      <c r="C2194" s="88" t="s">
        <v>152</v>
      </c>
      <c r="D2194" s="89">
        <f>IF(C2194="ID",1,(IF(C2194="PR",2,(IF(C2194="DE",3,(IF(C2194="RS",4,(IF(C2194="RC",5,0)))))))))</f>
        <v>2</v>
      </c>
      <c r="E2194" s="89" t="s">
        <v>210</v>
      </c>
      <c r="F2194" s="89">
        <f>IF(E2194="AM",1,(IF(E2194="BE",2,(IF(E2194="GV",3,(IF(E2194="RA",4,(IF(E2194="RM",5,(IF(E2194="AC",1,(IF(E2194="AT",2,(IF(E2194="DS",3,(IF(E2194="IP",4,(IF(E2194="MA",5,(IF(E2194="PT",6,(IF(E2194="AE",1,(IF(E2194="CM",2,(IF(E2194="DP",3,(IF(E2194="AN",1,(IF(E2194="CO",2,(IF(E2194="IM",3,(IF(E2194="MI",4,(IF(E2194="RP",5,(IF(E2194="SC",6,0)))))))))))))))))))))))))))))))))))))))</f>
        <v>3</v>
      </c>
      <c r="G2194" s="52">
        <v>6</v>
      </c>
      <c r="H2194" s="90" t="s">
        <v>347</v>
      </c>
      <c r="I2194" s="94" t="s">
        <v>2835</v>
      </c>
      <c r="J2194" s="53" t="s">
        <v>2953</v>
      </c>
      <c r="K2194" s="150" t="s">
        <v>2954</v>
      </c>
      <c r="L2194" s="117">
        <f>IF(O2194="","",N2194*O2194*M2194)</f>
        <v>0</v>
      </c>
      <c r="M2194" s="108">
        <v>1</v>
      </c>
      <c r="N2194" s="95">
        <v>1</v>
      </c>
      <c r="O2194" s="109">
        <f>IF(Key!D$1="ON",P2194,IF(SUM(Q2194:DL2194)&lt;1,"",SUM(Q2194:DL2194)/COUNTIF(Q2194:DL2194,"&gt;0")))</f>
        <v>0</v>
      </c>
      <c r="P2194" s="109">
        <f>SUMIFS(Q2194:DK2194,Q$1:DK$1,Dashboard!$K$31)</f>
        <v>0</v>
      </c>
      <c r="U2194" s="95">
        <v>33</v>
      </c>
    </row>
    <row r="2195" spans="1:34" ht="15.6" x14ac:dyDescent="0.3">
      <c r="A2195" s="89" t="str">
        <f>CONCATENATE(D2195,".",F2195,"-",G2195,".",H2195,"")</f>
        <v>2.3-6.1</v>
      </c>
      <c r="B2195" s="89" t="str">
        <f>IF(CONCATENATE(I2195,Key!F$2)=CONCATENATE(INDEX(Dashboard!J:J,MATCH(I2195,Dashboard!J:J,0),1),INDEX(Dashboard!J:K,MATCH(I2195,Dashboard!J:J,0),2)),"ON",IF(Dashboard!K$32="ALL","ON","-"))</f>
        <v>ON</v>
      </c>
      <c r="C2195" s="88" t="s">
        <v>152</v>
      </c>
      <c r="D2195" s="89">
        <f>IF(C2195="ID",1,(IF(C2195="PR",2,(IF(C2195="DE",3,(IF(C2195="RS",4,(IF(C2195="RC",5,0)))))))))</f>
        <v>2</v>
      </c>
      <c r="E2195" s="89" t="s">
        <v>210</v>
      </c>
      <c r="F2195" s="89">
        <f>IF(E2195="AM",1,(IF(E2195="BE",2,(IF(E2195="GV",3,(IF(E2195="RA",4,(IF(E2195="RM",5,(IF(E2195="AC",1,(IF(E2195="AT",2,(IF(E2195="DS",3,(IF(E2195="IP",4,(IF(E2195="MA",5,(IF(E2195="PT",6,(IF(E2195="AE",1,(IF(E2195="CM",2,(IF(E2195="DP",3,(IF(E2195="AN",1,(IF(E2195="CO",2,(IF(E2195="IM",3,(IF(E2195="MI",4,(IF(E2195="RP",5,(IF(E2195="SC",6,0)))))))))))))))))))))))))))))))))))))))</f>
        <v>3</v>
      </c>
      <c r="G2195" s="98">
        <v>6</v>
      </c>
      <c r="H2195" s="90" t="s">
        <v>115</v>
      </c>
      <c r="I2195" s="94" t="s">
        <v>4107</v>
      </c>
      <c r="J2195" s="86" t="s">
        <v>3958</v>
      </c>
      <c r="K2195" s="101" t="s">
        <v>4360</v>
      </c>
      <c r="L2195" s="117">
        <f>IF(O2195="","",N2195*O2195*M2195)</f>
        <v>0</v>
      </c>
      <c r="M2195" s="108">
        <v>1</v>
      </c>
      <c r="N2195" s="95">
        <v>1</v>
      </c>
      <c r="O2195" s="109">
        <f>IF(Key!D$1="ON",P2195,IF(SUM(Q2195:DL2195)&lt;1,"",SUM(Q2195:DL2195)/COUNTIF(Q2195:DL2195,"&gt;0")))</f>
        <v>0</v>
      </c>
      <c r="P2195" s="109">
        <f>SUMIFS(Q2195:DK2195,Q$1:DK$1,Dashboard!$K$31)</f>
        <v>0</v>
      </c>
      <c r="U2195" s="95">
        <v>33</v>
      </c>
      <c r="AA2195" s="95">
        <v>25</v>
      </c>
      <c r="AH2195" s="95">
        <v>75</v>
      </c>
    </row>
    <row r="2196" spans="1:34" ht="15.6" x14ac:dyDescent="0.3">
      <c r="A2196" s="89" t="str">
        <f>CONCATENATE(D2196,".",F2196,"-",G2196,".",H2196,"")</f>
        <v>2.3-6.1</v>
      </c>
      <c r="B2196" s="89" t="str">
        <f>IF(CONCATENATE(I2196,Key!F$2)=CONCATENATE(INDEX(Dashboard!J:J,MATCH(I2196,Dashboard!J:J,0),1),INDEX(Dashboard!J:K,MATCH(I2196,Dashboard!J:J,0),2)),"ON",IF(Dashboard!K$32="ALL","ON","-"))</f>
        <v>ON</v>
      </c>
      <c r="C2196" s="130" t="s">
        <v>152</v>
      </c>
      <c r="D2196" s="89">
        <f>IF(C2196="ID",1,(IF(C2196="PR",2,(IF(C2196="DE",3,(IF(C2196="RS",4,(IF(C2196="RC",5,0)))))))))</f>
        <v>2</v>
      </c>
      <c r="E2196" s="95" t="s">
        <v>210</v>
      </c>
      <c r="F2196" s="89">
        <f>IF(E2196="AM",1,(IF(E2196="BE",2,(IF(E2196="GV",3,(IF(E2196="RA",4,(IF(E2196="RM",5,(IF(E2196="AC",1,(IF(E2196="AT",2,(IF(E2196="DS",3,(IF(E2196="IP",4,(IF(E2196="MA",5,(IF(E2196="PT",6,(IF(E2196="AE",1,(IF(E2196="CM",2,(IF(E2196="DP",3,(IF(E2196="AN",1,(IF(E2196="CO",2,(IF(E2196="IM",3,(IF(E2196="MI",4,(IF(E2196="RP",5,(IF(E2196="SC",6,0)))))))))))))))))))))))))))))))))))))))</f>
        <v>3</v>
      </c>
      <c r="G2196" s="52">
        <v>6</v>
      </c>
      <c r="H2196" s="90" t="s">
        <v>115</v>
      </c>
      <c r="I2196" s="94" t="s">
        <v>4107</v>
      </c>
      <c r="J2196" s="86" t="s">
        <v>3993</v>
      </c>
      <c r="K2196" s="101" t="s">
        <v>4443</v>
      </c>
      <c r="L2196" s="117">
        <f>IF(O2196="","",N2196*O2196*M2196)</f>
        <v>0</v>
      </c>
      <c r="M2196" s="108">
        <v>1</v>
      </c>
      <c r="N2196" s="95">
        <v>1</v>
      </c>
      <c r="O2196" s="109">
        <f>IF(Key!D$1="ON",P2196,IF(SUM(Q2196:DL2196)&lt;1,"",SUM(Q2196:DL2196)/COUNTIF(Q2196:DL2196,"&gt;0")))</f>
        <v>0</v>
      </c>
      <c r="P2196" s="109">
        <f>SUMIFS(Q2196:DK2196,Q$1:DK$1,Dashboard!$K$31)</f>
        <v>0</v>
      </c>
      <c r="U2196" s="95">
        <v>33</v>
      </c>
      <c r="AA2196" s="95">
        <v>25</v>
      </c>
      <c r="AH2196" s="95">
        <v>75</v>
      </c>
    </row>
    <row r="2197" spans="1:34" x14ac:dyDescent="0.3">
      <c r="A2197" s="89" t="str">
        <f>CONCATENATE(D2197,".",F2197,"-",G2197,".",H2197,"")</f>
        <v>2.3-6.1</v>
      </c>
      <c r="B2197" s="89" t="str">
        <f>IF(CONCATENATE(I2197,Key!F$2)=CONCATENATE(INDEX(Dashboard!J:J,MATCH(I2197,Dashboard!J:J,0),1),INDEX(Dashboard!J:K,MATCH(I2197,Dashboard!J:J,0),2)),"ON",IF(Dashboard!K$32="ALL","ON","-"))</f>
        <v>ON</v>
      </c>
      <c r="C2197" s="88" t="s">
        <v>152</v>
      </c>
      <c r="D2197" s="89">
        <f>IF(C2197="ID",1,(IF(C2197="PR",2,(IF(C2197="DE",3,(IF(C2197="RS",4,(IF(C2197="RC",5,0)))))))))</f>
        <v>2</v>
      </c>
      <c r="E2197" s="89" t="s">
        <v>210</v>
      </c>
      <c r="F2197" s="89">
        <f>IF(E2197="AM",1,(IF(E2197="BE",2,(IF(E2197="GV",3,(IF(E2197="RA",4,(IF(E2197="RM",5,(IF(E2197="AC",1,(IF(E2197="AT",2,(IF(E2197="DS",3,(IF(E2197="IP",4,(IF(E2197="MA",5,(IF(E2197="PT",6,(IF(E2197="AE",1,(IF(E2197="CM",2,(IF(E2197="DP",3,(IF(E2197="AN",1,(IF(E2197="CO",2,(IF(E2197="IM",3,(IF(E2197="MI",4,(IF(E2197="RP",5,(IF(E2197="SC",6,0)))))))))))))))))))))))))))))))))))))))</f>
        <v>3</v>
      </c>
      <c r="G2197" s="52">
        <v>6</v>
      </c>
      <c r="H2197" s="90" t="s">
        <v>115</v>
      </c>
      <c r="I2197" s="94" t="s">
        <v>4107</v>
      </c>
      <c r="J2197" s="86" t="s">
        <v>4082</v>
      </c>
      <c r="K2197" s="101" t="s">
        <v>4238</v>
      </c>
      <c r="L2197" s="117">
        <f>IF(O2197="","",N2197*O2197*M2197)</f>
        <v>0</v>
      </c>
      <c r="M2197" s="108">
        <v>1</v>
      </c>
      <c r="N2197" s="95">
        <v>1</v>
      </c>
      <c r="O2197" s="109">
        <f>IF(Key!D$1="ON",P2197,IF(SUM(Q2197:DL2197)&lt;1,"",SUM(Q2197:DL2197)/COUNTIF(Q2197:DL2197,"&gt;0")))</f>
        <v>0</v>
      </c>
      <c r="P2197" s="109">
        <f>SUMIFS(Q2197:DK2197,Q$1:DK$1,Dashboard!$K$31)</f>
        <v>0</v>
      </c>
      <c r="U2197" s="95">
        <v>33</v>
      </c>
      <c r="AA2197" s="95">
        <v>25</v>
      </c>
      <c r="AH2197" s="95">
        <v>75</v>
      </c>
    </row>
    <row r="2198" spans="1:34" ht="15.6" x14ac:dyDescent="0.3">
      <c r="A2198" s="89" t="str">
        <f>CONCATENATE(D2198,".",F2198,"-",G2198,".",H2198,"")</f>
        <v>2.3-6.1</v>
      </c>
      <c r="B2198" s="89" t="str">
        <f>IF(CONCATENATE(I2198,Key!F$2)=CONCATENATE(INDEX(Dashboard!J:J,MATCH(I2198,Dashboard!J:J,0),1),INDEX(Dashboard!J:K,MATCH(I2198,Dashboard!J:J,0),2)),"ON",IF(Dashboard!K$32="ALL","ON","-"))</f>
        <v>-</v>
      </c>
      <c r="C2198" s="88" t="s">
        <v>152</v>
      </c>
      <c r="D2198" s="89">
        <f>IF(C2198="ID",1,(IF(C2198="PR",2,(IF(C2198="DE",3,(IF(C2198="RS",4,(IF(C2198="RC",5,0)))))))))</f>
        <v>2</v>
      </c>
      <c r="E2198" s="89" t="s">
        <v>210</v>
      </c>
      <c r="F2198" s="89">
        <f>IF(E2198="AM",1,(IF(E2198="BE",2,(IF(E2198="GV",3,(IF(E2198="RA",4,(IF(E2198="RM",5,(IF(E2198="AC",1,(IF(E2198="AT",2,(IF(E2198="DS",3,(IF(E2198="IP",4,(IF(E2198="MA",5,(IF(E2198="PT",6,(IF(E2198="AE",1,(IF(E2198="CM",2,(IF(E2198="DP",3,(IF(E2198="AN",1,(IF(E2198="CO",2,(IF(E2198="IM",3,(IF(E2198="MI",4,(IF(E2198="RP",5,(IF(E2198="SC",6,0)))))))))))))))))))))))))))))))))))))))</f>
        <v>3</v>
      </c>
      <c r="G2198" s="52">
        <v>6</v>
      </c>
      <c r="H2198" s="99">
        <v>1</v>
      </c>
      <c r="I2198" s="94" t="s">
        <v>37</v>
      </c>
      <c r="J2198" s="86">
        <v>3.5</v>
      </c>
      <c r="K2198" s="102" t="s">
        <v>3755</v>
      </c>
      <c r="L2198" s="117">
        <f>IF(O2198="","",N2198*O2198*M2198)</f>
        <v>0</v>
      </c>
      <c r="M2198" s="108">
        <v>1</v>
      </c>
      <c r="N2198" s="95">
        <v>1</v>
      </c>
      <c r="O2198" s="109">
        <f>IF(Key!D$1="ON",P2198,IF(SUM(Q2198:DL2198)&lt;1,"",SUM(Q2198:DL2198)/COUNTIF(Q2198:DL2198,"&gt;0")))</f>
        <v>0</v>
      </c>
      <c r="P2198" s="109">
        <f>SUMIFS(Q2198:DK2198,Q$1:DK$1,Dashboard!$K$31)</f>
        <v>0</v>
      </c>
      <c r="U2198" s="95">
        <v>33</v>
      </c>
      <c r="AA2198" s="95">
        <v>25</v>
      </c>
      <c r="AH2198" s="95">
        <v>75</v>
      </c>
    </row>
    <row r="2199" spans="1:34" x14ac:dyDescent="0.3">
      <c r="A2199" s="89" t="str">
        <f>CONCATENATE(D2199,".",F2199,"-",G2199,".",H2199,"")</f>
        <v>2.3-6.1</v>
      </c>
      <c r="B2199" s="89" t="str">
        <f>IF(CONCATENATE(I2199,Key!F$2)=CONCATENATE(INDEX(Dashboard!J:J,MATCH(I2199,Dashboard!J:J,0),1),INDEX(Dashboard!J:K,MATCH(I2199,Dashboard!J:J,0),2)),"ON",IF(Dashboard!K$32="ALL","ON","-"))</f>
        <v>-</v>
      </c>
      <c r="C2199" s="88" t="s">
        <v>152</v>
      </c>
      <c r="D2199" s="89">
        <f>IF(C2199="ID",1,(IF(C2199="PR",2,(IF(C2199="DE",3,(IF(C2199="RS",4,(IF(C2199="RC",5,0)))))))))</f>
        <v>2</v>
      </c>
      <c r="E2199" s="89" t="s">
        <v>210</v>
      </c>
      <c r="F2199" s="89">
        <f>IF(E2199="AM",1,(IF(E2199="BE",2,(IF(E2199="GV",3,(IF(E2199="RA",4,(IF(E2199="RM",5,(IF(E2199="AC",1,(IF(E2199="AT",2,(IF(E2199="DS",3,(IF(E2199="IP",4,(IF(E2199="MA",5,(IF(E2199="PT",6,(IF(E2199="AE",1,(IF(E2199="CM",2,(IF(E2199="DP",3,(IF(E2199="AN",1,(IF(E2199="CO",2,(IF(E2199="IM",3,(IF(E2199="MI",4,(IF(E2199="RP",5,(IF(E2199="SC",6,0)))))))))))))))))))))))))))))))))))))))</f>
        <v>3</v>
      </c>
      <c r="G2199" s="52">
        <v>6</v>
      </c>
      <c r="H2199" s="99">
        <v>1</v>
      </c>
      <c r="I2199" s="94" t="s">
        <v>37</v>
      </c>
      <c r="J2199" s="86">
        <v>2.1</v>
      </c>
      <c r="K2199" s="102" t="s">
        <v>3688</v>
      </c>
      <c r="L2199" s="117">
        <f>IF(O2199="","",N2199*O2199*M2199)</f>
        <v>0</v>
      </c>
      <c r="M2199" s="108">
        <v>1</v>
      </c>
      <c r="N2199" s="95">
        <v>1</v>
      </c>
      <c r="O2199" s="109">
        <f>IF(Key!D$1="ON",P2199,IF(SUM(Q2199:DL2199)&lt;1,"",SUM(Q2199:DL2199)/COUNTIF(Q2199:DL2199,"&gt;0")))</f>
        <v>0</v>
      </c>
      <c r="P2199" s="109">
        <f>SUMIFS(Q2199:DK2199,Q$1:DK$1,Dashboard!$K$31)</f>
        <v>0</v>
      </c>
      <c r="U2199" s="95">
        <v>33</v>
      </c>
      <c r="AA2199" s="95">
        <v>25</v>
      </c>
      <c r="AH2199" s="95">
        <v>75</v>
      </c>
    </row>
    <row r="2200" spans="1:34" ht="15.6" x14ac:dyDescent="0.3">
      <c r="A2200" s="89" t="str">
        <f>CONCATENATE(D2200,".",F2200,"-",G2200,".",H2200,"")</f>
        <v>2.3-6.1</v>
      </c>
      <c r="B2200" s="89" t="str">
        <f>IF(CONCATENATE(I2200,Key!F$2)=CONCATENATE(INDEX(Dashboard!J:J,MATCH(I2200,Dashboard!J:J,0),1),INDEX(Dashboard!J:K,MATCH(I2200,Dashboard!J:J,0),2)),"ON",IF(Dashboard!K$32="ALL","ON","-"))</f>
        <v>-</v>
      </c>
      <c r="C2200" s="88" t="s">
        <v>152</v>
      </c>
      <c r="D2200" s="89">
        <f>IF(C2200="ID",1,(IF(C2200="PR",2,(IF(C2200="DE",3,(IF(C2200="RS",4,(IF(C2200="RC",5,0)))))))))</f>
        <v>2</v>
      </c>
      <c r="E2200" s="89" t="s">
        <v>210</v>
      </c>
      <c r="F2200" s="89">
        <f>IF(E2200="AM",1,(IF(E2200="BE",2,(IF(E2200="GV",3,(IF(E2200="RA",4,(IF(E2200="RM",5,(IF(E2200="AC",1,(IF(E2200="AT",2,(IF(E2200="DS",3,(IF(E2200="IP",4,(IF(E2200="MA",5,(IF(E2200="PT",6,(IF(E2200="AE",1,(IF(E2200="CM",2,(IF(E2200="DP",3,(IF(E2200="AN",1,(IF(E2200="CO",2,(IF(E2200="IM",3,(IF(E2200="MI",4,(IF(E2200="RP",5,(IF(E2200="SC",6,0)))))))))))))))))))))))))))))))))))))))</f>
        <v>3</v>
      </c>
      <c r="G2200" s="52">
        <v>6</v>
      </c>
      <c r="H2200" s="99">
        <v>1</v>
      </c>
      <c r="I2200" s="94" t="s">
        <v>37</v>
      </c>
      <c r="J2200" s="86">
        <v>3.3</v>
      </c>
      <c r="K2200" s="102" t="s">
        <v>3754</v>
      </c>
      <c r="L2200" s="117">
        <f>IF(O2200="","",N2200*O2200*M2200)</f>
        <v>0</v>
      </c>
      <c r="M2200" s="108">
        <v>1</v>
      </c>
      <c r="N2200" s="95">
        <v>1</v>
      </c>
      <c r="O2200" s="109">
        <f>IF(Key!D$1="ON",P2200,IF(SUM(Q2200:DL2200)&lt;1,"",SUM(Q2200:DL2200)/COUNTIF(Q2200:DL2200,"&gt;0")))</f>
        <v>0</v>
      </c>
      <c r="P2200" s="109">
        <f>SUMIFS(Q2200:DK2200,Q$1:DK$1,Dashboard!$K$31)</f>
        <v>0</v>
      </c>
      <c r="U2200" s="95">
        <v>33</v>
      </c>
      <c r="AA2200" s="95">
        <v>25</v>
      </c>
      <c r="AH2200" s="95">
        <v>75</v>
      </c>
    </row>
    <row r="2201" spans="1:34" x14ac:dyDescent="0.3">
      <c r="A2201" s="89" t="str">
        <f>CONCATENATE(D2201,".",F2201,"-",G2201,".",H2201,"")</f>
        <v>2.3-6.1</v>
      </c>
      <c r="B2201" s="89" t="str">
        <f>IF(CONCATENATE(I2201,Key!F$2)=CONCATENATE(INDEX(Dashboard!J:J,MATCH(I2201,Dashboard!J:J,0),1),INDEX(Dashboard!J:K,MATCH(I2201,Dashboard!J:J,0),2)),"ON",IF(Dashboard!K$32="ALL","ON","-"))</f>
        <v>-</v>
      </c>
      <c r="C2201" s="88" t="s">
        <v>152</v>
      </c>
      <c r="D2201" s="89">
        <f>IF(C2201="ID",1,(IF(C2201="PR",2,(IF(C2201="DE",3,(IF(C2201="RS",4,(IF(C2201="RC",5,0)))))))))</f>
        <v>2</v>
      </c>
      <c r="E2201" s="89" t="s">
        <v>210</v>
      </c>
      <c r="F2201" s="89">
        <f>IF(E2201="AM",1,(IF(E2201="BE",2,(IF(E2201="GV",3,(IF(E2201="RA",4,(IF(E2201="RM",5,(IF(E2201="AC",1,(IF(E2201="AT",2,(IF(E2201="DS",3,(IF(E2201="IP",4,(IF(E2201="MA",5,(IF(E2201="PT",6,(IF(E2201="AE",1,(IF(E2201="CM",2,(IF(E2201="DP",3,(IF(E2201="AN",1,(IF(E2201="CO",2,(IF(E2201="IM",3,(IF(E2201="MI",4,(IF(E2201="RP",5,(IF(E2201="SC",6,0)))))))))))))))))))))))))))))))))))))))</f>
        <v>3</v>
      </c>
      <c r="G2201" s="52">
        <v>6</v>
      </c>
      <c r="H2201" s="99">
        <v>1</v>
      </c>
      <c r="I2201" s="94" t="s">
        <v>37</v>
      </c>
      <c r="J2201" s="86">
        <v>7.7</v>
      </c>
      <c r="K2201" s="102" t="s">
        <v>3756</v>
      </c>
      <c r="L2201" s="117">
        <f>IF(O2201="","",N2201*O2201*M2201)</f>
        <v>0</v>
      </c>
      <c r="M2201" s="108">
        <v>0.9</v>
      </c>
      <c r="N2201" s="95">
        <v>1</v>
      </c>
      <c r="O2201" s="109">
        <f>IF(Key!D$1="ON",P2201,IF(SUM(Q2201:DL2201)&lt;1,"",SUM(Q2201:DL2201)/COUNTIF(Q2201:DL2201,"&gt;0")))</f>
        <v>0</v>
      </c>
      <c r="P2201" s="109">
        <f>SUMIFS(Q2201:DK2201,Q$1:DK$1,Dashboard!$K$31)</f>
        <v>0</v>
      </c>
      <c r="S2201" s="95">
        <v>75</v>
      </c>
      <c r="T2201" s="95">
        <v>80</v>
      </c>
      <c r="U2201" s="95">
        <v>33</v>
      </c>
      <c r="AA2201" s="95">
        <v>25</v>
      </c>
      <c r="AH2201" s="95">
        <v>75</v>
      </c>
    </row>
    <row r="2202" spans="1:34" x14ac:dyDescent="0.3">
      <c r="A2202" s="89" t="str">
        <f>CONCATENATE(D2202,".",F2202,"-",G2202,".",H2202,"")</f>
        <v>2.3-6.1</v>
      </c>
      <c r="B2202" s="89" t="str">
        <f>IF(CONCATENATE(I2202,Key!F$2)=CONCATENATE(INDEX(Dashboard!J:J,MATCH(I2202,Dashboard!J:J,0),1),INDEX(Dashboard!J:K,MATCH(I2202,Dashboard!J:J,0),2)),"ON",IF(Dashboard!K$32="ALL","ON","-"))</f>
        <v>-</v>
      </c>
      <c r="C2202" s="88" t="s">
        <v>152</v>
      </c>
      <c r="D2202" s="89">
        <f>IF(C2202="ID",1,(IF(C2202="PR",2,(IF(C2202="DE",3,(IF(C2202="RS",4,(IF(C2202="RC",5,0)))))))))</f>
        <v>2</v>
      </c>
      <c r="E2202" s="89" t="s">
        <v>210</v>
      </c>
      <c r="F2202" s="89">
        <f>IF(E2202="AM",1,(IF(E2202="BE",2,(IF(E2202="GV",3,(IF(E2202="RA",4,(IF(E2202="RM",5,(IF(E2202="AC",1,(IF(E2202="AT",2,(IF(E2202="DS",3,(IF(E2202="IP",4,(IF(E2202="MA",5,(IF(E2202="PT",6,(IF(E2202="AE",1,(IF(E2202="CM",2,(IF(E2202="DP",3,(IF(E2202="AN",1,(IF(E2202="CO",2,(IF(E2202="IM",3,(IF(E2202="MI",4,(IF(E2202="RP",5,(IF(E2202="SC",6,0)))))))))))))))))))))))))))))))))))))))</f>
        <v>3</v>
      </c>
      <c r="G2202" s="52">
        <v>6</v>
      </c>
      <c r="H2202" s="99">
        <v>1</v>
      </c>
      <c r="I2202" s="94" t="s">
        <v>37</v>
      </c>
      <c r="J2202" s="86">
        <v>12.7</v>
      </c>
      <c r="K2202" s="102" t="s">
        <v>3757</v>
      </c>
      <c r="L2202" s="117">
        <f>IF(O2202="","",N2202*O2202*M2202)</f>
        <v>0</v>
      </c>
      <c r="M2202" s="108">
        <v>1</v>
      </c>
      <c r="N2202" s="95">
        <v>1</v>
      </c>
      <c r="O2202" s="109">
        <f>IF(Key!D$1="ON",P2202,IF(SUM(Q2202:DL2202)&lt;1,"",SUM(Q2202:DL2202)/COUNTIF(Q2202:DL2202,"&gt;0")))</f>
        <v>0</v>
      </c>
      <c r="P2202" s="109">
        <f>SUMIFS(Q2202:DK2202,Q$1:DK$1,Dashboard!$K$31)</f>
        <v>0</v>
      </c>
      <c r="U2202" s="95">
        <v>33</v>
      </c>
      <c r="AA2202" s="95">
        <v>25</v>
      </c>
      <c r="AH2202" s="95">
        <v>75</v>
      </c>
    </row>
    <row r="2203" spans="1:34" x14ac:dyDescent="0.3">
      <c r="A2203" s="89" t="str">
        <f>CONCATENATE(D2203,".",F2203,"-",G2203,".",H2203,"")</f>
        <v>2.3-6.1</v>
      </c>
      <c r="B2203" s="89" t="str">
        <f>IF(CONCATENATE(I2203,Key!F$2)=CONCATENATE(INDEX(Dashboard!J:J,MATCH(I2203,Dashboard!J:J,0),1),INDEX(Dashboard!J:K,MATCH(I2203,Dashboard!J:J,0),2)),"ON",IF(Dashboard!K$32="ALL","ON","-"))</f>
        <v>-</v>
      </c>
      <c r="C2203" s="88" t="s">
        <v>152</v>
      </c>
      <c r="D2203" s="89">
        <f>IF(C2203="ID",1,(IF(C2203="PR",2,(IF(C2203="DE",3,(IF(C2203="RS",4,(IF(C2203="RC",5,0)))))))))</f>
        <v>2</v>
      </c>
      <c r="E2203" s="89" t="s">
        <v>210</v>
      </c>
      <c r="F2203" s="89">
        <f>IF(E2203="AM",1,(IF(E2203="BE",2,(IF(E2203="GV",3,(IF(E2203="RA",4,(IF(E2203="RM",5,(IF(E2203="AC",1,(IF(E2203="AT",2,(IF(E2203="DS",3,(IF(E2203="IP",4,(IF(E2203="MA",5,(IF(E2203="PT",6,(IF(E2203="AE",1,(IF(E2203="CM",2,(IF(E2203="DP",3,(IF(E2203="AN",1,(IF(E2203="CO",2,(IF(E2203="IM",3,(IF(E2203="MI",4,(IF(E2203="RP",5,(IF(E2203="SC",6,0)))))))))))))))))))))))))))))))))))))))</f>
        <v>3</v>
      </c>
      <c r="G2203" s="52">
        <v>6</v>
      </c>
      <c r="H2203" s="99">
        <v>1</v>
      </c>
      <c r="I2203" s="94" t="s">
        <v>41</v>
      </c>
      <c r="J2203" s="86">
        <v>2.1</v>
      </c>
      <c r="K2203" s="103" t="s">
        <v>3461</v>
      </c>
      <c r="L2203" s="117">
        <f>IF(O2203="","",N2203*O2203*M2203)</f>
        <v>0</v>
      </c>
      <c r="M2203" s="108">
        <v>1</v>
      </c>
      <c r="N2203" s="95">
        <v>1</v>
      </c>
      <c r="O2203" s="109">
        <f>IF(Key!D$1="ON",P2203,IF(SUM(Q2203:DL2203)&lt;1,"",SUM(Q2203:DL2203)/COUNTIF(Q2203:DL2203,"&gt;0")))</f>
        <v>0</v>
      </c>
      <c r="P2203" s="109">
        <f>SUMIFS(Q2203:DK2203,Q$1:DK$1,Dashboard!$K$31)</f>
        <v>0</v>
      </c>
      <c r="U2203" s="95">
        <v>33</v>
      </c>
    </row>
    <row r="2204" spans="1:34" ht="15.6" x14ac:dyDescent="0.3">
      <c r="A2204" s="89" t="str">
        <f>CONCATENATE(D2204,".",F2204,"-",G2204,".",H2204,"")</f>
        <v>2.3-6.1</v>
      </c>
      <c r="B2204" s="89" t="str">
        <f>IF(CONCATENATE(I2204,Key!F$2)=CONCATENATE(INDEX(Dashboard!J:J,MATCH(I2204,Dashboard!J:J,0),1),INDEX(Dashboard!J:K,MATCH(I2204,Dashboard!J:J,0),2)),"ON",IF(Dashboard!K$32="ALL","ON","-"))</f>
        <v>-</v>
      </c>
      <c r="C2204" s="88" t="s">
        <v>152</v>
      </c>
      <c r="D2204" s="89">
        <f>IF(C2204="ID",1,(IF(C2204="PR",2,(IF(C2204="DE",3,(IF(C2204="RS",4,(IF(C2204="RC",5,0)))))))))</f>
        <v>2</v>
      </c>
      <c r="E2204" s="89" t="s">
        <v>210</v>
      </c>
      <c r="F2204" s="89">
        <f>IF(E2204="AM",1,(IF(E2204="BE",2,(IF(E2204="GV",3,(IF(E2204="RA",4,(IF(E2204="RM",5,(IF(E2204="AC",1,(IF(E2204="AT",2,(IF(E2204="DS",3,(IF(E2204="IP",4,(IF(E2204="MA",5,(IF(E2204="PT",6,(IF(E2204="AE",1,(IF(E2204="CM",2,(IF(E2204="DP",3,(IF(E2204="AN",1,(IF(E2204="CO",2,(IF(E2204="IM",3,(IF(E2204="MI",4,(IF(E2204="RP",5,(IF(E2204="SC",6,0)))))))))))))))))))))))))))))))))))))))</f>
        <v>3</v>
      </c>
      <c r="G2204" s="52">
        <v>6</v>
      </c>
      <c r="H2204" s="99">
        <v>1</v>
      </c>
      <c r="I2204" s="94" t="s">
        <v>41</v>
      </c>
      <c r="J2204" s="86">
        <v>5.3</v>
      </c>
      <c r="K2204" s="103" t="s">
        <v>3489</v>
      </c>
      <c r="L2204" s="117">
        <f>IF(O2204="","",N2204*O2204*M2204)</f>
        <v>0</v>
      </c>
      <c r="M2204" s="108">
        <v>1</v>
      </c>
      <c r="N2204" s="95">
        <v>1</v>
      </c>
      <c r="O2204" s="109">
        <f>IF(Key!D$1="ON",P2204,IF(SUM(Q2204:DL2204)&lt;1,"",SUM(Q2204:DL2204)/COUNTIF(Q2204:DL2204,"&gt;0")))</f>
        <v>0</v>
      </c>
      <c r="P2204" s="109">
        <f>SUMIFS(Q2204:DK2204,Q$1:DK$1,Dashboard!$K$31)</f>
        <v>0</v>
      </c>
      <c r="U2204" s="95">
        <v>33</v>
      </c>
    </row>
    <row r="2205" spans="1:34" x14ac:dyDescent="0.3">
      <c r="A2205" s="89" t="str">
        <f>CONCATENATE(D2205,".",F2205,"-",G2205,".",H2205,"")</f>
        <v>2.3-6.1</v>
      </c>
      <c r="B2205" s="89" t="str">
        <f>IF(CONCATENATE(I2205,Key!F$2)=CONCATENATE(INDEX(Dashboard!J:J,MATCH(I2205,Dashboard!J:J,0),1),INDEX(Dashboard!J:K,MATCH(I2205,Dashboard!J:J,0),2)),"ON",IF(Dashboard!K$32="ALL","ON","-"))</f>
        <v>-</v>
      </c>
      <c r="C2205" s="88" t="s">
        <v>152</v>
      </c>
      <c r="D2205" s="89">
        <f>IF(C2205="ID",1,(IF(C2205="PR",2,(IF(C2205="DE",3,(IF(C2205="RS",4,(IF(C2205="RC",5,0)))))))))</f>
        <v>2</v>
      </c>
      <c r="E2205" s="89" t="s">
        <v>210</v>
      </c>
      <c r="F2205" s="89">
        <f>IF(E2205="AM",1,(IF(E2205="BE",2,(IF(E2205="GV",3,(IF(E2205="RA",4,(IF(E2205="RM",5,(IF(E2205="AC",1,(IF(E2205="AT",2,(IF(E2205="DS",3,(IF(E2205="IP",4,(IF(E2205="MA",5,(IF(E2205="PT",6,(IF(E2205="AE",1,(IF(E2205="CM",2,(IF(E2205="DP",3,(IF(E2205="AN",1,(IF(E2205="CO",2,(IF(E2205="IM",3,(IF(E2205="MI",4,(IF(E2205="RP",5,(IF(E2205="SC",6,0)))))))))))))))))))))))))))))))))))))))</f>
        <v>3</v>
      </c>
      <c r="G2205" s="52">
        <v>6</v>
      </c>
      <c r="H2205" s="99">
        <v>1</v>
      </c>
      <c r="I2205" s="94" t="s">
        <v>41</v>
      </c>
      <c r="J2205" s="86">
        <v>7.8</v>
      </c>
      <c r="K2205" s="103" t="s">
        <v>3509</v>
      </c>
      <c r="L2205" s="117">
        <f>IF(O2205="","",N2205*O2205*M2205)</f>
        <v>0</v>
      </c>
      <c r="M2205" s="108">
        <v>1</v>
      </c>
      <c r="N2205" s="95">
        <v>1</v>
      </c>
      <c r="O2205" s="109">
        <f>IF(Key!D$1="ON",P2205,IF(SUM(Q2205:DL2205)&lt;1,"",SUM(Q2205:DL2205)/COUNTIF(Q2205:DL2205,"&gt;0")))</f>
        <v>0</v>
      </c>
      <c r="P2205" s="109">
        <f>SUMIFS(Q2205:DK2205,Q$1:DK$1,Dashboard!$K$31)</f>
        <v>0</v>
      </c>
      <c r="U2205" s="95">
        <v>33</v>
      </c>
    </row>
    <row r="2206" spans="1:34" x14ac:dyDescent="0.3">
      <c r="A2206" s="89" t="str">
        <f>CONCATENATE(D2206,".",F2206,"-",G2206,".",H2206,"")</f>
        <v>2.3-6.1</v>
      </c>
      <c r="B2206" s="89" t="str">
        <f>IF(CONCATENATE(I2206,Key!F$2)=CONCATENATE(INDEX(Dashboard!J:J,MATCH(I2206,Dashboard!J:J,0),1),INDEX(Dashboard!J:K,MATCH(I2206,Dashboard!J:J,0),2)),"ON",IF(Dashboard!K$32="ALL","ON","-"))</f>
        <v>-</v>
      </c>
      <c r="C2206" s="88" t="s">
        <v>152</v>
      </c>
      <c r="D2206" s="89">
        <f>IF(C2206="ID",1,(IF(C2206="PR",2,(IF(C2206="DE",3,(IF(C2206="RS",4,(IF(C2206="RC",5,0)))))))))</f>
        <v>2</v>
      </c>
      <c r="E2206" s="89" t="s">
        <v>210</v>
      </c>
      <c r="F2206" s="89">
        <f>IF(E2206="AM",1,(IF(E2206="BE",2,(IF(E2206="GV",3,(IF(E2206="RA",4,(IF(E2206="RM",5,(IF(E2206="AC",1,(IF(E2206="AT",2,(IF(E2206="DS",3,(IF(E2206="IP",4,(IF(E2206="MA",5,(IF(E2206="PT",6,(IF(E2206="AE",1,(IF(E2206="CM",2,(IF(E2206="DP",3,(IF(E2206="AN",1,(IF(E2206="CO",2,(IF(E2206="IM",3,(IF(E2206="MI",4,(IF(E2206="RP",5,(IF(E2206="SC",6,0)))))))))))))))))))))))))))))))))))))))</f>
        <v>3</v>
      </c>
      <c r="G2206" s="52">
        <v>6</v>
      </c>
      <c r="H2206" s="99">
        <v>1</v>
      </c>
      <c r="I2206" s="94" t="s">
        <v>41</v>
      </c>
      <c r="J2206" s="86" t="s">
        <v>3628</v>
      </c>
      <c r="K2206" s="103" t="s">
        <v>3629</v>
      </c>
      <c r="L2206" s="117">
        <f>IF(O2206="","",N2206*O2206*M2206)</f>
        <v>0</v>
      </c>
      <c r="M2206" s="108">
        <v>1</v>
      </c>
      <c r="N2206" s="95">
        <v>1</v>
      </c>
      <c r="O2206" s="109">
        <f>IF(Key!D$1="ON",P2206,IF(SUM(Q2206:DL2206)&lt;1,"",SUM(Q2206:DL2206)/COUNTIF(Q2206:DL2206,"&gt;0")))</f>
        <v>0</v>
      </c>
      <c r="P2206" s="109">
        <f>SUMIFS(Q2206:DK2206,Q$1:DK$1,Dashboard!$K$31)</f>
        <v>0</v>
      </c>
      <c r="U2206" s="95">
        <v>33</v>
      </c>
    </row>
    <row r="2207" spans="1:34" ht="15.6" x14ac:dyDescent="0.3">
      <c r="A2207" s="89" t="str">
        <f>CONCATENATE(D2207,".",F2207,"-",G2207,".",H2207,"")</f>
        <v>2.3-6.1</v>
      </c>
      <c r="B2207" s="89" t="str">
        <f>IF(CONCATENATE(I2207,Key!F$2)=CONCATENATE(INDEX(Dashboard!J:J,MATCH(I2207,Dashboard!J:J,0),1),INDEX(Dashboard!J:K,MATCH(I2207,Dashboard!J:J,0),2)),"ON",IF(Dashboard!K$32="ALL","ON","-"))</f>
        <v>-</v>
      </c>
      <c r="C2207" s="96" t="s">
        <v>152</v>
      </c>
      <c r="D2207" s="89">
        <f>IF(C2207="ID",1,(IF(C2207="PR",2,(IF(C2207="DE",3,(IF(C2207="RS",4,(IF(C2207="RC",5,0)))))))))</f>
        <v>2</v>
      </c>
      <c r="E2207" s="89" t="s">
        <v>210</v>
      </c>
      <c r="F2207" s="89">
        <f>IF(E2207="AM",1,(IF(E2207="BE",2,(IF(E2207="GV",3,(IF(E2207="RA",4,(IF(E2207="RM",5,(IF(E2207="AC",1,(IF(E2207="AT",2,(IF(E2207="DS",3,(IF(E2207="IP",4,(IF(E2207="MA",5,(IF(E2207="PT",6,(IF(E2207="AE",1,(IF(E2207="CM",2,(IF(E2207="DP",3,(IF(E2207="AN",1,(IF(E2207="CO",2,(IF(E2207="IM",3,(IF(E2207="MI",4,(IF(E2207="RP",5,(IF(E2207="SC",6,0)))))))))))))))))))))))))))))))))))))))</f>
        <v>3</v>
      </c>
      <c r="G2207" s="98">
        <v>6</v>
      </c>
      <c r="H2207" s="90" t="s">
        <v>115</v>
      </c>
      <c r="I2207" s="94" t="s">
        <v>52</v>
      </c>
      <c r="J2207" s="88" t="s">
        <v>3418</v>
      </c>
      <c r="K2207" s="103" t="s">
        <v>3419</v>
      </c>
      <c r="L2207" s="117">
        <f>IF(O2207="","",N2207*O2207*M2207)</f>
        <v>0</v>
      </c>
      <c r="M2207" s="108">
        <v>1</v>
      </c>
      <c r="N2207" s="95">
        <v>1</v>
      </c>
      <c r="O2207" s="109">
        <f>IF(Key!D$1="ON",P2207,IF(SUM(Q2207:DL2207)&lt;1,"",SUM(Q2207:DL2207)/COUNTIF(Q2207:DL2207,"&gt;0")))</f>
        <v>0</v>
      </c>
      <c r="P2207" s="109">
        <f>SUMIFS(Q2207:DK2207,Q$1:DK$1,Dashboard!$K$31)</f>
        <v>0</v>
      </c>
      <c r="U2207" s="95">
        <v>33</v>
      </c>
      <c r="AA2207" s="95">
        <v>25</v>
      </c>
      <c r="AH2207" s="95">
        <v>75</v>
      </c>
    </row>
    <row r="2208" spans="1:34" x14ac:dyDescent="0.3">
      <c r="A2208" s="89" t="str">
        <f>CONCATENATE(D2208,".",F2208,"-",G2208,".",H2208,"")</f>
        <v>2.3-6.1</v>
      </c>
      <c r="B2208" s="89" t="str">
        <f>IF(CONCATENATE(I2208,Key!F$2)=CONCATENATE(INDEX(Dashboard!J:J,MATCH(I2208,Dashboard!J:J,0),1),INDEX(Dashboard!J:K,MATCH(I2208,Dashboard!J:J,0),2)),"ON",IF(Dashboard!K$32="ALL","ON","-"))</f>
        <v>-</v>
      </c>
      <c r="C2208" s="96" t="s">
        <v>152</v>
      </c>
      <c r="D2208" s="89">
        <f>IF(C2208="ID",1,(IF(C2208="PR",2,(IF(C2208="DE",3,(IF(C2208="RS",4,(IF(C2208="RC",5,0)))))))))</f>
        <v>2</v>
      </c>
      <c r="E2208" s="89" t="s">
        <v>210</v>
      </c>
      <c r="F2208" s="89">
        <f>IF(E2208="AM",1,(IF(E2208="BE",2,(IF(E2208="GV",3,(IF(E2208="RA",4,(IF(E2208="RM",5,(IF(E2208="AC",1,(IF(E2208="AT",2,(IF(E2208="DS",3,(IF(E2208="IP",4,(IF(E2208="MA",5,(IF(E2208="PT",6,(IF(E2208="AE",1,(IF(E2208="CM",2,(IF(E2208="DP",3,(IF(E2208="AN",1,(IF(E2208="CO",2,(IF(E2208="IM",3,(IF(E2208="MI",4,(IF(E2208="RP",5,(IF(E2208="SC",6,0)))))))))))))))))))))))))))))))))))))))</f>
        <v>3</v>
      </c>
      <c r="G2208" s="98">
        <v>6</v>
      </c>
      <c r="H2208" s="90" t="s">
        <v>115</v>
      </c>
      <c r="I2208" s="94" t="s">
        <v>52</v>
      </c>
      <c r="J2208" s="88" t="s">
        <v>3420</v>
      </c>
      <c r="K2208" s="103" t="s">
        <v>3421</v>
      </c>
      <c r="L2208" s="117">
        <f>IF(O2208="","",N2208*O2208*M2208)</f>
        <v>0</v>
      </c>
      <c r="M2208" s="108">
        <v>1</v>
      </c>
      <c r="N2208" s="95">
        <v>1</v>
      </c>
      <c r="O2208" s="109">
        <f>IF(Key!D$1="ON",P2208,IF(SUM(Q2208:DL2208)&lt;1,"",SUM(Q2208:DL2208)/COUNTIF(Q2208:DL2208,"&gt;0")))</f>
        <v>0</v>
      </c>
      <c r="P2208" s="109">
        <f>SUMIFS(Q2208:DK2208,Q$1:DK$1,Dashboard!$K$31)</f>
        <v>0</v>
      </c>
      <c r="U2208" s="95">
        <v>33</v>
      </c>
      <c r="AA2208" s="95">
        <v>25</v>
      </c>
      <c r="AH2208" s="95">
        <v>75</v>
      </c>
    </row>
    <row r="2209" spans="1:34" ht="15.6" x14ac:dyDescent="0.3">
      <c r="A2209" s="89" t="str">
        <f>CONCATENATE(D2209,".",F2209,"-",G2209,".",H2209,"")</f>
        <v>2.3-6.1</v>
      </c>
      <c r="B2209" s="89" t="str">
        <f>IF(CONCATENATE(I2209,Key!F$2)=CONCATENATE(INDEX(Dashboard!J:J,MATCH(I2209,Dashboard!J:J,0),1),INDEX(Dashboard!J:K,MATCH(I2209,Dashboard!J:J,0),2)),"ON",IF(Dashboard!K$32="ALL","ON","-"))</f>
        <v>-</v>
      </c>
      <c r="C2209" s="96" t="s">
        <v>152</v>
      </c>
      <c r="D2209" s="89">
        <f>IF(C2209="ID",1,(IF(C2209="PR",2,(IF(C2209="DE",3,(IF(C2209="RS",4,(IF(C2209="RC",5,0)))))))))</f>
        <v>2</v>
      </c>
      <c r="E2209" s="89" t="s">
        <v>210</v>
      </c>
      <c r="F2209" s="89">
        <f>IF(E2209="AM",1,(IF(E2209="BE",2,(IF(E2209="GV",3,(IF(E2209="RA",4,(IF(E2209="RM",5,(IF(E2209="AC",1,(IF(E2209="AT",2,(IF(E2209="DS",3,(IF(E2209="IP",4,(IF(E2209="MA",5,(IF(E2209="PT",6,(IF(E2209="AE",1,(IF(E2209="CM",2,(IF(E2209="DP",3,(IF(E2209="AN",1,(IF(E2209="CO",2,(IF(E2209="IM",3,(IF(E2209="MI",4,(IF(E2209="RP",5,(IF(E2209="SC",6,0)))))))))))))))))))))))))))))))))))))))</f>
        <v>3</v>
      </c>
      <c r="G2209" s="98">
        <v>6</v>
      </c>
      <c r="H2209" s="90" t="s">
        <v>115</v>
      </c>
      <c r="I2209" s="94" t="s">
        <v>52</v>
      </c>
      <c r="J2209" s="88" t="s">
        <v>3414</v>
      </c>
      <c r="K2209" s="103" t="s">
        <v>3415</v>
      </c>
      <c r="L2209" s="117">
        <f>IF(O2209="","",N2209*O2209*M2209)</f>
        <v>0</v>
      </c>
      <c r="M2209" s="108">
        <v>1</v>
      </c>
      <c r="N2209" s="95">
        <v>1</v>
      </c>
      <c r="O2209" s="109">
        <f>IF(Key!D$1="ON",P2209,IF(SUM(Q2209:DL2209)&lt;1,"",SUM(Q2209:DL2209)/COUNTIF(Q2209:DL2209,"&gt;0")))</f>
        <v>0</v>
      </c>
      <c r="P2209" s="109">
        <f>SUMIFS(Q2209:DK2209,Q$1:DK$1,Dashboard!$K$31)</f>
        <v>0</v>
      </c>
      <c r="U2209" s="95">
        <v>33</v>
      </c>
      <c r="AA2209" s="95">
        <v>25</v>
      </c>
      <c r="AH2209" s="95">
        <v>75</v>
      </c>
    </row>
    <row r="2210" spans="1:34" ht="15.6" x14ac:dyDescent="0.3">
      <c r="A2210" s="89" t="str">
        <f>CONCATENATE(D2210,".",F2210,"-",G2210,".",H2210,"")</f>
        <v>2.3-6.1</v>
      </c>
      <c r="B2210" s="89" t="str">
        <f>IF(CONCATENATE(I2210,Key!F$2)=CONCATENATE(INDEX(Dashboard!J:J,MATCH(I2210,Dashboard!J:J,0),1),INDEX(Dashboard!J:K,MATCH(I2210,Dashboard!J:J,0),2)),"ON",IF(Dashboard!K$32="ALL","ON","-"))</f>
        <v>-</v>
      </c>
      <c r="C2210" s="88" t="s">
        <v>152</v>
      </c>
      <c r="D2210" s="89">
        <f>IF(C2210="ID",1,(IF(C2210="PR",2,(IF(C2210="DE",3,(IF(C2210="RS",4,(IF(C2210="RC",5,0)))))))))</f>
        <v>2</v>
      </c>
      <c r="E2210" s="89" t="s">
        <v>210</v>
      </c>
      <c r="F2210" s="89">
        <f>IF(E2210="AM",1,(IF(E2210="BE",2,(IF(E2210="GV",3,(IF(E2210="RA",4,(IF(E2210="RM",5,(IF(E2210="AC",1,(IF(E2210="AT",2,(IF(E2210="DS",3,(IF(E2210="IP",4,(IF(E2210="MA",5,(IF(E2210="PT",6,(IF(E2210="AE",1,(IF(E2210="CM",2,(IF(E2210="DP",3,(IF(E2210="AN",1,(IF(E2210="CO",2,(IF(E2210="IM",3,(IF(E2210="MI",4,(IF(E2210="RP",5,(IF(E2210="SC",6,0)))))))))))))))))))))))))))))))))))))))</f>
        <v>3</v>
      </c>
      <c r="G2210" s="52">
        <v>6</v>
      </c>
      <c r="H2210" s="90" t="s">
        <v>115</v>
      </c>
      <c r="I2210" s="94" t="s">
        <v>60</v>
      </c>
      <c r="J2210" s="87" t="s">
        <v>3228</v>
      </c>
      <c r="K2210" s="51" t="s">
        <v>5341</v>
      </c>
      <c r="L2210" s="117">
        <f>IF(O2210="","",N2210*O2210*M2210)</f>
        <v>0</v>
      </c>
      <c r="M2210" s="108">
        <v>1</v>
      </c>
      <c r="N2210" s="95">
        <v>1</v>
      </c>
      <c r="O2210" s="109">
        <f>IF(Key!D$1="ON",P2210,IF(SUM(Q2210:DL2210)&lt;1,"",SUM(Q2210:DL2210)/COUNTIF(Q2210:DL2210,"&gt;0")))</f>
        <v>0</v>
      </c>
      <c r="P2210" s="109">
        <f>SUMIFS(Q2210:DK2210,Q$1:DK$1,Dashboard!$K$31)</f>
        <v>0</v>
      </c>
      <c r="U2210" s="95">
        <v>33</v>
      </c>
      <c r="AA2210" s="95">
        <v>25</v>
      </c>
      <c r="AH2210" s="95">
        <v>75</v>
      </c>
    </row>
    <row r="2211" spans="1:34" ht="15.6" x14ac:dyDescent="0.3">
      <c r="A2211" s="89" t="str">
        <f>CONCATENATE(D2211,".",F2211,"-",G2211,".",H2211,"")</f>
        <v>2.3-6.1</v>
      </c>
      <c r="B2211" s="89" t="str">
        <f>IF(CONCATENATE(I2211,Key!F$2)=CONCATENATE(INDEX(Dashboard!J:J,MATCH(I2211,Dashboard!J:J,0),1),INDEX(Dashboard!J:K,MATCH(I2211,Dashboard!J:J,0),2)),"ON",IF(Dashboard!K$32="ALL","ON","-"))</f>
        <v>-</v>
      </c>
      <c r="C2211" s="88" t="s">
        <v>152</v>
      </c>
      <c r="D2211" s="89">
        <f>IF(C2211="ID",1,(IF(C2211="PR",2,(IF(C2211="DE",3,(IF(C2211="RS",4,(IF(C2211="RC",5,0)))))))))</f>
        <v>2</v>
      </c>
      <c r="E2211" s="89" t="s">
        <v>210</v>
      </c>
      <c r="F2211" s="89">
        <f>IF(E2211="AM",1,(IF(E2211="BE",2,(IF(E2211="GV",3,(IF(E2211="RA",4,(IF(E2211="RM",5,(IF(E2211="AC",1,(IF(E2211="AT",2,(IF(E2211="DS",3,(IF(E2211="IP",4,(IF(E2211="MA",5,(IF(E2211="PT",6,(IF(E2211="AE",1,(IF(E2211="CM",2,(IF(E2211="DP",3,(IF(E2211="AN",1,(IF(E2211="CO",2,(IF(E2211="IM",3,(IF(E2211="MI",4,(IF(E2211="RP",5,(IF(E2211="SC",6,0)))))))))))))))))))))))))))))))))))))))</f>
        <v>3</v>
      </c>
      <c r="G2211" s="52">
        <v>6</v>
      </c>
      <c r="H2211" s="90" t="s">
        <v>115</v>
      </c>
      <c r="I2211" s="94" t="s">
        <v>60</v>
      </c>
      <c r="J2211" s="87" t="s">
        <v>3193</v>
      </c>
      <c r="K2211" s="51" t="s">
        <v>5306</v>
      </c>
      <c r="L2211" s="117">
        <f>IF(O2211="","",N2211*O2211*M2211)</f>
        <v>0</v>
      </c>
      <c r="M2211" s="108">
        <v>1</v>
      </c>
      <c r="N2211" s="95">
        <v>1</v>
      </c>
      <c r="O2211" s="109">
        <f>IF(Key!D$1="ON",P2211,IF(SUM(Q2211:DL2211)&lt;1,"",SUM(Q2211:DL2211)/COUNTIF(Q2211:DL2211,"&gt;0")))</f>
        <v>0</v>
      </c>
      <c r="P2211" s="109">
        <f>SUMIFS(Q2211:DK2211,Q$1:DK$1,Dashboard!$K$31)</f>
        <v>0</v>
      </c>
      <c r="U2211" s="95">
        <v>33</v>
      </c>
      <c r="AA2211" s="95">
        <v>25</v>
      </c>
      <c r="AH2211" s="95">
        <v>75</v>
      </c>
    </row>
    <row r="2212" spans="1:34" ht="15.6" x14ac:dyDescent="0.3">
      <c r="A2212" s="89" t="str">
        <f>CONCATENATE(D2212,".",F2212,"-",G2212,".",H2212,"")</f>
        <v>2.3-6.1</v>
      </c>
      <c r="B2212" s="89" t="str">
        <f>IF(CONCATENATE(I2212,Key!F$2)=CONCATENATE(INDEX(Dashboard!J:J,MATCH(I2212,Dashboard!J:J,0),1),INDEX(Dashboard!J:K,MATCH(I2212,Dashboard!J:J,0),2)),"ON",IF(Dashboard!K$32="ALL","ON","-"))</f>
        <v>-</v>
      </c>
      <c r="C2212" s="88" t="s">
        <v>152</v>
      </c>
      <c r="D2212" s="89">
        <f>IF(C2212="ID",1,(IF(C2212="PR",2,(IF(C2212="DE",3,(IF(C2212="RS",4,(IF(C2212="RC",5,0)))))))))</f>
        <v>2</v>
      </c>
      <c r="E2212" s="89" t="s">
        <v>210</v>
      </c>
      <c r="F2212" s="89">
        <f>IF(E2212="AM",1,(IF(E2212="BE",2,(IF(E2212="GV",3,(IF(E2212="RA",4,(IF(E2212="RM",5,(IF(E2212="AC",1,(IF(E2212="AT",2,(IF(E2212="DS",3,(IF(E2212="IP",4,(IF(E2212="MA",5,(IF(E2212="PT",6,(IF(E2212="AE",1,(IF(E2212="CM",2,(IF(E2212="DP",3,(IF(E2212="AN",1,(IF(E2212="CO",2,(IF(E2212="IM",3,(IF(E2212="MI",4,(IF(E2212="RP",5,(IF(E2212="SC",6,0)))))))))))))))))))))))))))))))))))))))</f>
        <v>3</v>
      </c>
      <c r="G2212" s="98">
        <v>6</v>
      </c>
      <c r="H2212" s="89">
        <v>1</v>
      </c>
      <c r="I2212" s="94" t="s">
        <v>60</v>
      </c>
      <c r="J2212" s="88" t="s">
        <v>3229</v>
      </c>
      <c r="K2212" s="51" t="s">
        <v>5342</v>
      </c>
      <c r="L2212" s="117">
        <f>IF(O2212="","",N2212*O2212*M2212)</f>
        <v>0</v>
      </c>
      <c r="M2212" s="108">
        <v>1</v>
      </c>
      <c r="N2212" s="95">
        <v>1</v>
      </c>
      <c r="O2212" s="109">
        <f>IF(Key!D$1="ON",P2212,IF(SUM(Q2212:DL2212)&lt;1,"",SUM(Q2212:DL2212)/COUNTIF(Q2212:DL2212,"&gt;0")))</f>
        <v>0</v>
      </c>
      <c r="P2212" s="109">
        <f>SUMIFS(Q2212:DK2212,Q$1:DK$1,Dashboard!$K$31)</f>
        <v>0</v>
      </c>
      <c r="U2212" s="95">
        <v>33</v>
      </c>
      <c r="AA2212" s="95">
        <v>25</v>
      </c>
      <c r="AH2212" s="95">
        <v>75</v>
      </c>
    </row>
    <row r="2213" spans="1:34" ht="15.6" x14ac:dyDescent="0.3">
      <c r="A2213" s="89" t="str">
        <f>CONCATENATE(D2213,".",F2213,"-",G2213,".",H2213,"")</f>
        <v>2.3-6.1</v>
      </c>
      <c r="B2213" s="89" t="str">
        <f>IF(CONCATENATE(I2213,Key!F$2)=CONCATENATE(INDEX(Dashboard!J:J,MATCH(I2213,Dashboard!J:J,0),1),INDEX(Dashboard!J:K,MATCH(I2213,Dashboard!J:J,0),2)),"ON",IF(Dashboard!K$32="ALL","ON","-"))</f>
        <v>-</v>
      </c>
      <c r="C2213" s="88" t="s">
        <v>152</v>
      </c>
      <c r="D2213" s="89">
        <f>IF(C2213="ID",1,(IF(C2213="PR",2,(IF(C2213="DE",3,(IF(C2213="RS",4,(IF(C2213="RC",5,0)))))))))</f>
        <v>2</v>
      </c>
      <c r="E2213" s="89" t="s">
        <v>210</v>
      </c>
      <c r="F2213" s="89">
        <f>IF(E2213="AM",1,(IF(E2213="BE",2,(IF(E2213="GV",3,(IF(E2213="RA",4,(IF(E2213="RM",5,(IF(E2213="AC",1,(IF(E2213="AT",2,(IF(E2213="DS",3,(IF(E2213="IP",4,(IF(E2213="MA",5,(IF(E2213="PT",6,(IF(E2213="AE",1,(IF(E2213="CM",2,(IF(E2213="DP",3,(IF(E2213="AN",1,(IF(E2213="CO",2,(IF(E2213="IM",3,(IF(E2213="MI",4,(IF(E2213="RP",5,(IF(E2213="SC",6,0)))))))))))))))))))))))))))))))))))))))</f>
        <v>3</v>
      </c>
      <c r="G2213" s="52">
        <v>6</v>
      </c>
      <c r="H2213" s="90" t="s">
        <v>115</v>
      </c>
      <c r="I2213" s="94" t="s">
        <v>64</v>
      </c>
      <c r="J2213" s="87" t="s">
        <v>1443</v>
      </c>
      <c r="K2213" s="102" t="s">
        <v>2423</v>
      </c>
      <c r="L2213" s="117">
        <f>IF(O2213="","",N2213*O2213*M2213)</f>
        <v>0</v>
      </c>
      <c r="M2213" s="108">
        <v>1</v>
      </c>
      <c r="N2213" s="95">
        <v>1</v>
      </c>
      <c r="O2213" s="109">
        <f>IF(Key!D$1="ON",P2213,IF(SUM(Q2213:DL2213)&lt;1,"",SUM(Q2213:DL2213)/COUNTIF(Q2213:DL2213,"&gt;0")))</f>
        <v>0</v>
      </c>
      <c r="P2213" s="109">
        <f>SUMIFS(Q2213:DK2213,Q$1:DK$1,Dashboard!$K$31)</f>
        <v>0</v>
      </c>
      <c r="U2213" s="95">
        <v>33</v>
      </c>
      <c r="AA2213" s="95">
        <v>25</v>
      </c>
      <c r="AH2213" s="95">
        <v>75</v>
      </c>
    </row>
    <row r="2214" spans="1:34" ht="15.6" x14ac:dyDescent="0.3">
      <c r="A2214" s="89" t="str">
        <f>CONCATENATE(D2214,".",F2214,"-",G2214,".",H2214,"")</f>
        <v>2.3-6.1</v>
      </c>
      <c r="B2214" s="89" t="str">
        <f>IF(CONCATENATE(I2214,Key!F$2)=CONCATENATE(INDEX(Dashboard!J:J,MATCH(I2214,Dashboard!J:J,0),1),INDEX(Dashboard!J:K,MATCH(I2214,Dashboard!J:J,0),2)),"ON",IF(Dashboard!K$32="ALL","ON","-"))</f>
        <v>-</v>
      </c>
      <c r="C2214" s="88" t="s">
        <v>152</v>
      </c>
      <c r="D2214" s="89">
        <f>IF(C2214="ID",1,(IF(C2214="PR",2,(IF(C2214="DE",3,(IF(C2214="RS",4,(IF(C2214="RC",5,0)))))))))</f>
        <v>2</v>
      </c>
      <c r="E2214" s="89" t="s">
        <v>210</v>
      </c>
      <c r="F2214" s="89">
        <f>IF(E2214="AM",1,(IF(E2214="BE",2,(IF(E2214="GV",3,(IF(E2214="RA",4,(IF(E2214="RM",5,(IF(E2214="AC",1,(IF(E2214="AT",2,(IF(E2214="DS",3,(IF(E2214="IP",4,(IF(E2214="MA",5,(IF(E2214="PT",6,(IF(E2214="AE",1,(IF(E2214="CM",2,(IF(E2214="DP",3,(IF(E2214="AN",1,(IF(E2214="CO",2,(IF(E2214="IM",3,(IF(E2214="MI",4,(IF(E2214="RP",5,(IF(E2214="SC",6,0)))))))))))))))))))))))))))))))))))))))</f>
        <v>3</v>
      </c>
      <c r="G2214" s="52">
        <v>6</v>
      </c>
      <c r="H2214" s="90" t="s">
        <v>115</v>
      </c>
      <c r="I2214" s="94" t="s">
        <v>64</v>
      </c>
      <c r="J2214" s="87" t="s">
        <v>1114</v>
      </c>
      <c r="K2214" s="102" t="s">
        <v>2150</v>
      </c>
      <c r="L2214" s="117">
        <f>IF(O2214="","",N2214*O2214*M2214)</f>
        <v>0</v>
      </c>
      <c r="M2214" s="108">
        <v>1</v>
      </c>
      <c r="N2214" s="95">
        <v>1</v>
      </c>
      <c r="O2214" s="109">
        <f>IF(Key!D$1="ON",P2214,IF(SUM(Q2214:DL2214)&lt;1,"",SUM(Q2214:DL2214)/COUNTIF(Q2214:DL2214,"&gt;0")))</f>
        <v>0</v>
      </c>
      <c r="P2214" s="109">
        <f>SUMIFS(Q2214:DK2214,Q$1:DK$1,Dashboard!$K$31)</f>
        <v>0</v>
      </c>
      <c r="U2214" s="95">
        <v>33</v>
      </c>
      <c r="AA2214" s="95">
        <v>25</v>
      </c>
      <c r="AH2214" s="95">
        <v>75</v>
      </c>
    </row>
    <row r="2215" spans="1:34" ht="15.6" x14ac:dyDescent="0.3">
      <c r="A2215" s="89" t="str">
        <f>CONCATENATE(D2215,".",F2215,"-",G2215,".",H2215,"")</f>
        <v>2.3-6.1</v>
      </c>
      <c r="B2215" s="89" t="str">
        <f>IF(CONCATENATE(I2215,Key!F$2)=CONCATENATE(INDEX(Dashboard!J:J,MATCH(I2215,Dashboard!J:J,0),1),INDEX(Dashboard!J:K,MATCH(I2215,Dashboard!J:J,0),2)),"ON",IF(Dashboard!K$32="ALL","ON","-"))</f>
        <v>-</v>
      </c>
      <c r="C2215" s="96" t="s">
        <v>152</v>
      </c>
      <c r="D2215" s="89">
        <f>IF(C2215="ID",1,(IF(C2215="PR",2,(IF(C2215="DE",3,(IF(C2215="RS",4,(IF(C2215="RC",5,0)))))))))</f>
        <v>2</v>
      </c>
      <c r="E2215" s="89" t="s">
        <v>210</v>
      </c>
      <c r="F2215" s="89">
        <f>IF(E2215="AM",1,(IF(E2215="BE",2,(IF(E2215="GV",3,(IF(E2215="RA",4,(IF(E2215="RM",5,(IF(E2215="AC",1,(IF(E2215="AT",2,(IF(E2215="DS",3,(IF(E2215="IP",4,(IF(E2215="MA",5,(IF(E2215="PT",6,(IF(E2215="AE",1,(IF(E2215="CM",2,(IF(E2215="DP",3,(IF(E2215="AN",1,(IF(E2215="CO",2,(IF(E2215="IM",3,(IF(E2215="MI",4,(IF(E2215="RP",5,(IF(E2215="SC",6,0)))))))))))))))))))))))))))))))))))))))</f>
        <v>3</v>
      </c>
      <c r="G2215" s="98">
        <v>6</v>
      </c>
      <c r="H2215" s="90" t="s">
        <v>115</v>
      </c>
      <c r="I2215" s="94" t="s">
        <v>64</v>
      </c>
      <c r="J2215" s="86" t="s">
        <v>1414</v>
      </c>
      <c r="K2215" s="103" t="s">
        <v>2400</v>
      </c>
      <c r="L2215" s="117">
        <f>IF(O2215="","",N2215*O2215*M2215)</f>
        <v>0</v>
      </c>
      <c r="M2215" s="108">
        <v>1</v>
      </c>
      <c r="N2215" s="95">
        <v>1</v>
      </c>
      <c r="O2215" s="109">
        <f>IF(Key!D$1="ON",P2215,IF(SUM(Q2215:DL2215)&lt;1,"",SUM(Q2215:DL2215)/COUNTIF(Q2215:DL2215,"&gt;0")))</f>
        <v>0</v>
      </c>
      <c r="P2215" s="109">
        <f>SUMIFS(Q2215:DK2215,Q$1:DK$1,Dashboard!$K$31)</f>
        <v>0</v>
      </c>
      <c r="U2215" s="95">
        <v>33</v>
      </c>
      <c r="AA2215" s="95">
        <v>25</v>
      </c>
      <c r="AH2215" s="95">
        <v>75</v>
      </c>
    </row>
    <row r="2216" spans="1:34" ht="15.6" x14ac:dyDescent="0.3">
      <c r="A2216" s="89" t="str">
        <f>CONCATENATE(D2216,".",F2216,"-",G2216,".",H2216,"")</f>
        <v>2.3-6.1</v>
      </c>
      <c r="B2216" s="89" t="str">
        <f>IF(CONCATENATE(I2216,Key!F$2)=CONCATENATE(INDEX(Dashboard!J:J,MATCH(I2216,Dashboard!J:J,0),1),INDEX(Dashboard!J:K,MATCH(I2216,Dashboard!J:J,0),2)),"ON",IF(Dashboard!K$32="ALL","ON","-"))</f>
        <v>-</v>
      </c>
      <c r="C2216" s="88" t="s">
        <v>152</v>
      </c>
      <c r="D2216" s="89">
        <f>IF(C2216="ID",1,(IF(C2216="PR",2,(IF(C2216="DE",3,(IF(C2216="RS",4,(IF(C2216="RC",5,0)))))))))</f>
        <v>2</v>
      </c>
      <c r="E2216" s="89" t="s">
        <v>210</v>
      </c>
      <c r="F2216" s="89">
        <f>IF(E2216="AM",1,(IF(E2216="BE",2,(IF(E2216="GV",3,(IF(E2216="RA",4,(IF(E2216="RM",5,(IF(E2216="AC",1,(IF(E2216="AT",2,(IF(E2216="DS",3,(IF(E2216="IP",4,(IF(E2216="MA",5,(IF(E2216="PT",6,(IF(E2216="AE",1,(IF(E2216="CM",2,(IF(E2216="DP",3,(IF(E2216="AN",1,(IF(E2216="CO",2,(IF(E2216="IM",3,(IF(E2216="MI",4,(IF(E2216="RP",5,(IF(E2216="SC",6,0)))))))))))))))))))))))))))))))))))))))</f>
        <v>3</v>
      </c>
      <c r="G2216" s="52">
        <v>6</v>
      </c>
      <c r="H2216" s="90" t="s">
        <v>115</v>
      </c>
      <c r="I2216" s="94" t="s">
        <v>77</v>
      </c>
      <c r="J2216" s="87" t="s">
        <v>1433</v>
      </c>
      <c r="K2216" s="102" t="s">
        <v>2414</v>
      </c>
      <c r="L2216" s="117">
        <f>IF(O2216="","",N2216*O2216*M2216)</f>
        <v>0</v>
      </c>
      <c r="M2216" s="108">
        <v>1</v>
      </c>
      <c r="N2216" s="95">
        <v>1</v>
      </c>
      <c r="O2216" s="109">
        <f>IF(Key!D$1="ON",P2216,IF(SUM(Q2216:DL2216)&lt;1,"",SUM(Q2216:DL2216)/COUNTIF(Q2216:DL2216,"&gt;0")))</f>
        <v>0</v>
      </c>
      <c r="P2216" s="109">
        <f>SUMIFS(Q2216:DK2216,Q$1:DK$1,Dashboard!$K$31)</f>
        <v>0</v>
      </c>
      <c r="U2216" s="95">
        <v>33</v>
      </c>
      <c r="AA2216" s="95">
        <v>25</v>
      </c>
      <c r="AH2216" s="95">
        <v>75</v>
      </c>
    </row>
    <row r="2217" spans="1:34" ht="15.6" x14ac:dyDescent="0.3">
      <c r="A2217" s="89" t="str">
        <f>CONCATENATE(D2217,".",F2217,"-",G2217,".",H2217,"")</f>
        <v>2.3-6.1</v>
      </c>
      <c r="B2217" s="89" t="str">
        <f>IF(CONCATENATE(I2217,Key!F$2)=CONCATENATE(INDEX(Dashboard!J:J,MATCH(I2217,Dashboard!J:J,0),1),INDEX(Dashboard!J:K,MATCH(I2217,Dashboard!J:J,0),2)),"ON",IF(Dashboard!K$32="ALL","ON","-"))</f>
        <v>-</v>
      </c>
      <c r="C2217" s="88" t="s">
        <v>152</v>
      </c>
      <c r="D2217" s="89">
        <f>IF(C2217="ID",1,(IF(C2217="PR",2,(IF(C2217="DE",3,(IF(C2217="RS",4,(IF(C2217="RC",5,0)))))))))</f>
        <v>2</v>
      </c>
      <c r="E2217" s="89" t="s">
        <v>210</v>
      </c>
      <c r="F2217" s="89">
        <f>IF(E2217="AM",1,(IF(E2217="BE",2,(IF(E2217="GV",3,(IF(E2217="RA",4,(IF(E2217="RM",5,(IF(E2217="AC",1,(IF(E2217="AT",2,(IF(E2217="DS",3,(IF(E2217="IP",4,(IF(E2217="MA",5,(IF(E2217="PT",6,(IF(E2217="AE",1,(IF(E2217="CM",2,(IF(E2217="DP",3,(IF(E2217="AN",1,(IF(E2217="CO",2,(IF(E2217="IM",3,(IF(E2217="MI",4,(IF(E2217="RP",5,(IF(E2217="SC",6,0)))))))))))))))))))))))))))))))))))))))</f>
        <v>3</v>
      </c>
      <c r="G2217" s="52">
        <v>6</v>
      </c>
      <c r="H2217" s="90" t="s">
        <v>115</v>
      </c>
      <c r="I2217" s="94" t="s">
        <v>77</v>
      </c>
      <c r="J2217" s="87" t="s">
        <v>1434</v>
      </c>
      <c r="K2217" s="102" t="s">
        <v>2415</v>
      </c>
      <c r="L2217" s="117">
        <f>IF(O2217="","",N2217*O2217*M2217)</f>
        <v>0</v>
      </c>
      <c r="M2217" s="108">
        <v>1</v>
      </c>
      <c r="N2217" s="95">
        <v>1</v>
      </c>
      <c r="O2217" s="109">
        <f>IF(Key!D$1="ON",P2217,IF(SUM(Q2217:DL2217)&lt;1,"",SUM(Q2217:DL2217)/COUNTIF(Q2217:DL2217,"&gt;0")))</f>
        <v>0</v>
      </c>
      <c r="P2217" s="109">
        <f>SUMIFS(Q2217:DK2217,Q$1:DK$1,Dashboard!$K$31)</f>
        <v>0</v>
      </c>
      <c r="U2217" s="95">
        <v>33</v>
      </c>
      <c r="AA2217" s="95">
        <v>25</v>
      </c>
      <c r="AH2217" s="95">
        <v>75</v>
      </c>
    </row>
    <row r="2218" spans="1:34" ht="15.6" x14ac:dyDescent="0.3">
      <c r="A2218" s="89" t="str">
        <f>CONCATENATE(D2218,".",F2218,"-",G2218,".",H2218,"")</f>
        <v>2.3-6.1</v>
      </c>
      <c r="B2218" s="89" t="str">
        <f>IF(CONCATENATE(I2218,Key!F$2)=CONCATENATE(INDEX(Dashboard!J:J,MATCH(I2218,Dashboard!J:J,0),1),INDEX(Dashboard!J:K,MATCH(I2218,Dashboard!J:J,0),2)),"ON",IF(Dashboard!K$32="ALL","ON","-"))</f>
        <v>-</v>
      </c>
      <c r="C2218" s="88" t="s">
        <v>152</v>
      </c>
      <c r="D2218" s="89">
        <f>IF(C2218="ID",1,(IF(C2218="PR",2,(IF(C2218="DE",3,(IF(C2218="RS",4,(IF(C2218="RC",5,0)))))))))</f>
        <v>2</v>
      </c>
      <c r="E2218" s="89" t="s">
        <v>210</v>
      </c>
      <c r="F2218" s="89">
        <f>IF(E2218="AM",1,(IF(E2218="BE",2,(IF(E2218="GV",3,(IF(E2218="RA",4,(IF(E2218="RM",5,(IF(E2218="AC",1,(IF(E2218="AT",2,(IF(E2218="DS",3,(IF(E2218="IP",4,(IF(E2218="MA",5,(IF(E2218="PT",6,(IF(E2218="AE",1,(IF(E2218="CM",2,(IF(E2218="DP",3,(IF(E2218="AN",1,(IF(E2218="CO",2,(IF(E2218="IM",3,(IF(E2218="MI",4,(IF(E2218="RP",5,(IF(E2218="SC",6,0)))))))))))))))))))))))))))))))))))))))</f>
        <v>3</v>
      </c>
      <c r="G2218" s="98">
        <v>6</v>
      </c>
      <c r="H2218" s="90" t="s">
        <v>115</v>
      </c>
      <c r="I2218" s="94" t="s">
        <v>77</v>
      </c>
      <c r="J2218" s="87" t="s">
        <v>1435</v>
      </c>
      <c r="K2218" s="102" t="s">
        <v>2416</v>
      </c>
      <c r="L2218" s="117">
        <f>IF(O2218="","",N2218*O2218*M2218)</f>
        <v>0</v>
      </c>
      <c r="M2218" s="108">
        <v>1</v>
      </c>
      <c r="N2218" s="95">
        <v>1</v>
      </c>
      <c r="O2218" s="109">
        <f>IF(Key!D$1="ON",P2218,IF(SUM(Q2218:DL2218)&lt;1,"",SUM(Q2218:DL2218)/COUNTIF(Q2218:DL2218,"&gt;0")))</f>
        <v>0</v>
      </c>
      <c r="P2218" s="109">
        <f>SUMIFS(Q2218:DK2218,Q$1:DK$1,Dashboard!$K$31)</f>
        <v>0</v>
      </c>
      <c r="U2218" s="95">
        <v>33</v>
      </c>
      <c r="AA2218" s="95">
        <v>25</v>
      </c>
      <c r="AH2218" s="95">
        <v>75</v>
      </c>
    </row>
    <row r="2219" spans="1:34" ht="15.6" x14ac:dyDescent="0.3">
      <c r="A2219" s="89" t="str">
        <f>CONCATENATE(D2219,".",F2219,"-",G2219,".",H2219,"")</f>
        <v>2.3-6.1</v>
      </c>
      <c r="B2219" s="89" t="str">
        <f>IF(CONCATENATE(I2219,Key!F$2)=CONCATENATE(INDEX(Dashboard!J:J,MATCH(I2219,Dashboard!J:J,0),1),INDEX(Dashboard!J:K,MATCH(I2219,Dashboard!J:J,0),2)),"ON",IF(Dashboard!K$32="ALL","ON","-"))</f>
        <v>-</v>
      </c>
      <c r="C2219" s="88" t="s">
        <v>152</v>
      </c>
      <c r="D2219" s="89">
        <f>IF(C2219="ID",1,(IF(C2219="PR",2,(IF(C2219="DE",3,(IF(C2219="RS",4,(IF(C2219="RC",5,0)))))))))</f>
        <v>2</v>
      </c>
      <c r="E2219" s="89" t="s">
        <v>210</v>
      </c>
      <c r="F2219" s="89">
        <f>IF(E2219="AM",1,(IF(E2219="BE",2,(IF(E2219="GV",3,(IF(E2219="RA",4,(IF(E2219="RM",5,(IF(E2219="AC",1,(IF(E2219="AT",2,(IF(E2219="DS",3,(IF(E2219="IP",4,(IF(E2219="MA",5,(IF(E2219="PT",6,(IF(E2219="AE",1,(IF(E2219="CM",2,(IF(E2219="DP",3,(IF(E2219="AN",1,(IF(E2219="CO",2,(IF(E2219="IM",3,(IF(E2219="MI",4,(IF(E2219="RP",5,(IF(E2219="SC",6,0)))))))))))))))))))))))))))))))))))))))</f>
        <v>3</v>
      </c>
      <c r="G2219" s="98">
        <v>6</v>
      </c>
      <c r="H2219" s="90" t="s">
        <v>115</v>
      </c>
      <c r="I2219" s="94" t="s">
        <v>77</v>
      </c>
      <c r="J2219" s="87" t="s">
        <v>1436</v>
      </c>
      <c r="K2219" s="102" t="s">
        <v>2417</v>
      </c>
      <c r="L2219" s="117">
        <f>IF(O2219="","",N2219*O2219*M2219)</f>
        <v>0</v>
      </c>
      <c r="M2219" s="108">
        <v>1</v>
      </c>
      <c r="N2219" s="95">
        <v>1</v>
      </c>
      <c r="O2219" s="109">
        <f>IF(Key!D$1="ON",P2219,IF(SUM(Q2219:DL2219)&lt;1,"",SUM(Q2219:DL2219)/COUNTIF(Q2219:DL2219,"&gt;0")))</f>
        <v>0</v>
      </c>
      <c r="P2219" s="109">
        <f>SUMIFS(Q2219:DK2219,Q$1:DK$1,Dashboard!$K$31)</f>
        <v>0</v>
      </c>
      <c r="U2219" s="95">
        <v>33</v>
      </c>
      <c r="AA2219" s="95">
        <v>25</v>
      </c>
      <c r="AH2219" s="95">
        <v>75</v>
      </c>
    </row>
    <row r="2220" spans="1:34" ht="15.6" x14ac:dyDescent="0.3">
      <c r="A2220" s="89" t="str">
        <f>CONCATENATE(D2220,".",F2220,"-",G2220,".",H2220,"")</f>
        <v>2.3-6.1</v>
      </c>
      <c r="B2220" s="89" t="str">
        <f>IF(CONCATENATE(I2220,Key!F$2)=CONCATENATE(INDEX(Dashboard!J:J,MATCH(I2220,Dashboard!J:J,0),1),INDEX(Dashboard!J:K,MATCH(I2220,Dashboard!J:J,0),2)),"ON",IF(Dashboard!K$32="ALL","ON","-"))</f>
        <v>-</v>
      </c>
      <c r="C2220" s="88" t="s">
        <v>152</v>
      </c>
      <c r="D2220" s="89">
        <f>IF(C2220="ID",1,(IF(C2220="PR",2,(IF(C2220="DE",3,(IF(C2220="RS",4,(IF(C2220="RC",5,0)))))))))</f>
        <v>2</v>
      </c>
      <c r="E2220" s="89" t="s">
        <v>210</v>
      </c>
      <c r="F2220" s="89">
        <f>IF(E2220="AM",1,(IF(E2220="BE",2,(IF(E2220="GV",3,(IF(E2220="RA",4,(IF(E2220="RM",5,(IF(E2220="AC",1,(IF(E2220="AT",2,(IF(E2220="DS",3,(IF(E2220="IP",4,(IF(E2220="MA",5,(IF(E2220="PT",6,(IF(E2220="AE",1,(IF(E2220="CM",2,(IF(E2220="DP",3,(IF(E2220="AN",1,(IF(E2220="CO",2,(IF(E2220="IM",3,(IF(E2220="MI",4,(IF(E2220="RP",5,(IF(E2220="SC",6,0)))))))))))))))))))))))))))))))))))))))</f>
        <v>3</v>
      </c>
      <c r="G2220" s="52">
        <v>6</v>
      </c>
      <c r="H2220" s="90" t="s">
        <v>115</v>
      </c>
      <c r="I2220" s="94" t="s">
        <v>77</v>
      </c>
      <c r="J2220" s="87" t="s">
        <v>1437</v>
      </c>
      <c r="K2220" s="102" t="s">
        <v>2418</v>
      </c>
      <c r="L2220" s="117">
        <f>IF(O2220="","",N2220*O2220*M2220)</f>
        <v>0</v>
      </c>
      <c r="M2220" s="108">
        <v>1</v>
      </c>
      <c r="N2220" s="95">
        <v>1</v>
      </c>
      <c r="O2220" s="109">
        <f>IF(Key!D$1="ON",P2220,IF(SUM(Q2220:DL2220)&lt;1,"",SUM(Q2220:DL2220)/COUNTIF(Q2220:DL2220,"&gt;0")))</f>
        <v>0</v>
      </c>
      <c r="P2220" s="109">
        <f>SUMIFS(Q2220:DK2220,Q$1:DK$1,Dashboard!$K$31)</f>
        <v>0</v>
      </c>
      <c r="U2220" s="95">
        <v>33</v>
      </c>
      <c r="AA2220" s="95">
        <v>25</v>
      </c>
      <c r="AH2220" s="95">
        <v>75</v>
      </c>
    </row>
    <row r="2221" spans="1:34" ht="15.6" x14ac:dyDescent="0.3">
      <c r="A2221" s="89" t="str">
        <f>CONCATENATE(D2221,".",F2221,"-",G2221,".",H2221,"")</f>
        <v>2.3-6.1</v>
      </c>
      <c r="B2221" s="89" t="str">
        <f>IF(CONCATENATE(I2221,Key!F$2)=CONCATENATE(INDEX(Dashboard!J:J,MATCH(I2221,Dashboard!J:J,0),1),INDEX(Dashboard!J:K,MATCH(I2221,Dashboard!J:J,0),2)),"ON",IF(Dashboard!K$32="ALL","ON","-"))</f>
        <v>-</v>
      </c>
      <c r="C2221" s="88" t="s">
        <v>152</v>
      </c>
      <c r="D2221" s="89">
        <f>IF(C2221="ID",1,(IF(C2221="PR",2,(IF(C2221="DE",3,(IF(C2221="RS",4,(IF(C2221="RC",5,0)))))))))</f>
        <v>2</v>
      </c>
      <c r="E2221" s="89" t="s">
        <v>210</v>
      </c>
      <c r="F2221" s="89">
        <f>IF(E2221="AM",1,(IF(E2221="BE",2,(IF(E2221="GV",3,(IF(E2221="RA",4,(IF(E2221="RM",5,(IF(E2221="AC",1,(IF(E2221="AT",2,(IF(E2221="DS",3,(IF(E2221="IP",4,(IF(E2221="MA",5,(IF(E2221="PT",6,(IF(E2221="AE",1,(IF(E2221="CM",2,(IF(E2221="DP",3,(IF(E2221="AN",1,(IF(E2221="CO",2,(IF(E2221="IM",3,(IF(E2221="MI",4,(IF(E2221="RP",5,(IF(E2221="SC",6,0)))))))))))))))))))))))))))))))))))))))</f>
        <v>3</v>
      </c>
      <c r="G2221" s="52">
        <v>6</v>
      </c>
      <c r="H2221" s="90" t="s">
        <v>115</v>
      </c>
      <c r="I2221" s="94" t="s">
        <v>77</v>
      </c>
      <c r="J2221" s="87" t="s">
        <v>1439</v>
      </c>
      <c r="K2221" s="102" t="s">
        <v>2419</v>
      </c>
      <c r="L2221" s="117">
        <f>IF(O2221="","",N2221*O2221*M2221)</f>
        <v>0</v>
      </c>
      <c r="M2221" s="108">
        <v>1</v>
      </c>
      <c r="N2221" s="95">
        <v>1</v>
      </c>
      <c r="O2221" s="109">
        <f>IF(Key!D$1="ON",P2221,IF(SUM(Q2221:DL2221)&lt;1,"",SUM(Q2221:DL2221)/COUNTIF(Q2221:DL2221,"&gt;0")))</f>
        <v>0</v>
      </c>
      <c r="P2221" s="109">
        <f>SUMIFS(Q2221:DK2221,Q$1:DK$1,Dashboard!$K$31)</f>
        <v>0</v>
      </c>
      <c r="U2221" s="95">
        <v>33</v>
      </c>
      <c r="AA2221" s="95">
        <v>25</v>
      </c>
      <c r="AH2221" s="95">
        <v>75</v>
      </c>
    </row>
    <row r="2222" spans="1:34" ht="15.6" x14ac:dyDescent="0.3">
      <c r="A2222" s="89" t="str">
        <f>CONCATENATE(D2222,".",F2222,"-",G2222,".",H2222,"")</f>
        <v>2.3-6.1</v>
      </c>
      <c r="B2222" s="89" t="str">
        <f>IF(CONCATENATE(I2222,Key!F$2)=CONCATENATE(INDEX(Dashboard!J:J,MATCH(I2222,Dashboard!J:J,0),1),INDEX(Dashboard!J:K,MATCH(I2222,Dashboard!J:J,0),2)),"ON",IF(Dashboard!K$32="ALL","ON","-"))</f>
        <v>-</v>
      </c>
      <c r="C2222" s="88" t="s">
        <v>152</v>
      </c>
      <c r="D2222" s="89">
        <f>IF(C2222="ID",1,(IF(C2222="PR",2,(IF(C2222="DE",3,(IF(C2222="RS",4,(IF(C2222="RC",5,0)))))))))</f>
        <v>2</v>
      </c>
      <c r="E2222" s="89" t="s">
        <v>210</v>
      </c>
      <c r="F2222" s="89">
        <f>IF(E2222="AM",1,(IF(E2222="BE",2,(IF(E2222="GV",3,(IF(E2222="RA",4,(IF(E2222="RM",5,(IF(E2222="AC",1,(IF(E2222="AT",2,(IF(E2222="DS",3,(IF(E2222="IP",4,(IF(E2222="MA",5,(IF(E2222="PT",6,(IF(E2222="AE",1,(IF(E2222="CM",2,(IF(E2222="DP",3,(IF(E2222="AN",1,(IF(E2222="CO",2,(IF(E2222="IM",3,(IF(E2222="MI",4,(IF(E2222="RP",5,(IF(E2222="SC",6,0)))))))))))))))))))))))))))))))))))))))</f>
        <v>3</v>
      </c>
      <c r="G2222" s="52">
        <v>6</v>
      </c>
      <c r="H2222" s="90" t="s">
        <v>115</v>
      </c>
      <c r="I2222" s="94" t="s">
        <v>77</v>
      </c>
      <c r="J2222" s="87" t="s">
        <v>1440</v>
      </c>
      <c r="K2222" s="102" t="s">
        <v>2420</v>
      </c>
      <c r="L2222" s="117">
        <f>IF(O2222="","",N2222*O2222*M2222)</f>
        <v>0</v>
      </c>
      <c r="M2222" s="108">
        <v>1</v>
      </c>
      <c r="N2222" s="95">
        <v>1</v>
      </c>
      <c r="O2222" s="109">
        <f>IF(Key!D$1="ON",P2222,IF(SUM(Q2222:DL2222)&lt;1,"",SUM(Q2222:DL2222)/COUNTIF(Q2222:DL2222,"&gt;0")))</f>
        <v>0</v>
      </c>
      <c r="P2222" s="109">
        <f>SUMIFS(Q2222:DK2222,Q$1:DK$1,Dashboard!$K$31)</f>
        <v>0</v>
      </c>
      <c r="U2222" s="95">
        <v>33</v>
      </c>
      <c r="AA2222" s="95">
        <v>25</v>
      </c>
      <c r="AH2222" s="95">
        <v>75</v>
      </c>
    </row>
    <row r="2223" spans="1:34" ht="15.6" x14ac:dyDescent="0.3">
      <c r="A2223" s="89" t="str">
        <f>CONCATENATE(D2223,".",F2223,"-",G2223,".",H2223,"")</f>
        <v>2.3-6.1</v>
      </c>
      <c r="B2223" s="89" t="str">
        <f>IF(CONCATENATE(I2223,Key!F$2)=CONCATENATE(INDEX(Dashboard!J:J,MATCH(I2223,Dashboard!J:J,0),1),INDEX(Dashboard!J:K,MATCH(I2223,Dashboard!J:J,0),2)),"ON",IF(Dashboard!K$32="ALL","ON","-"))</f>
        <v>-</v>
      </c>
      <c r="C2223" s="88" t="s">
        <v>152</v>
      </c>
      <c r="D2223" s="89">
        <f>IF(C2223="ID",1,(IF(C2223="PR",2,(IF(C2223="DE",3,(IF(C2223="RS",4,(IF(C2223="RC",5,0)))))))))</f>
        <v>2</v>
      </c>
      <c r="E2223" s="89" t="s">
        <v>210</v>
      </c>
      <c r="F2223" s="89">
        <f>IF(E2223="AM",1,(IF(E2223="BE",2,(IF(E2223="GV",3,(IF(E2223="RA",4,(IF(E2223="RM",5,(IF(E2223="AC",1,(IF(E2223="AT",2,(IF(E2223="DS",3,(IF(E2223="IP",4,(IF(E2223="MA",5,(IF(E2223="PT",6,(IF(E2223="AE",1,(IF(E2223="CM",2,(IF(E2223="DP",3,(IF(E2223="AN",1,(IF(E2223="CO",2,(IF(E2223="IM",3,(IF(E2223="MI",4,(IF(E2223="RP",5,(IF(E2223="SC",6,0)))))))))))))))))))))))))))))))))))))))</f>
        <v>3</v>
      </c>
      <c r="G2223" s="52">
        <v>6</v>
      </c>
      <c r="H2223" s="90" t="s">
        <v>115</v>
      </c>
      <c r="I2223" s="94" t="s">
        <v>77</v>
      </c>
      <c r="J2223" s="87" t="s">
        <v>1441</v>
      </c>
      <c r="K2223" s="102" t="s">
        <v>2421</v>
      </c>
      <c r="L2223" s="117">
        <f>IF(O2223="","",N2223*O2223*M2223)</f>
        <v>0</v>
      </c>
      <c r="M2223" s="108">
        <v>1</v>
      </c>
      <c r="N2223" s="95">
        <v>1</v>
      </c>
      <c r="O2223" s="109">
        <f>IF(Key!D$1="ON",P2223,IF(SUM(Q2223:DL2223)&lt;1,"",SUM(Q2223:DL2223)/COUNTIF(Q2223:DL2223,"&gt;0")))</f>
        <v>0</v>
      </c>
      <c r="P2223" s="109">
        <f>SUMIFS(Q2223:DK2223,Q$1:DK$1,Dashboard!$K$31)</f>
        <v>0</v>
      </c>
      <c r="U2223" s="95">
        <v>33</v>
      </c>
      <c r="AA2223" s="95">
        <v>25</v>
      </c>
      <c r="AH2223" s="95">
        <v>75</v>
      </c>
    </row>
    <row r="2224" spans="1:34" ht="15.6" x14ac:dyDescent="0.3">
      <c r="A2224" s="89" t="str">
        <f>CONCATENATE(D2224,".",F2224,"-",G2224,".",H2224,"")</f>
        <v>2.3-6.1</v>
      </c>
      <c r="B2224" s="89" t="str">
        <f>IF(CONCATENATE(I2224,Key!F$2)=CONCATENATE(INDEX(Dashboard!J:J,MATCH(I2224,Dashboard!J:J,0),1),INDEX(Dashboard!J:K,MATCH(I2224,Dashboard!J:J,0),2)),"ON",IF(Dashboard!K$32="ALL","ON","-"))</f>
        <v>-</v>
      </c>
      <c r="C2224" s="88" t="s">
        <v>152</v>
      </c>
      <c r="D2224" s="89">
        <f>IF(C2224="ID",1,(IF(C2224="PR",2,(IF(C2224="DE",3,(IF(C2224="RS",4,(IF(C2224="RC",5,0)))))))))</f>
        <v>2</v>
      </c>
      <c r="E2224" s="89" t="s">
        <v>210</v>
      </c>
      <c r="F2224" s="89">
        <f>IF(E2224="AM",1,(IF(E2224="BE",2,(IF(E2224="GV",3,(IF(E2224="RA",4,(IF(E2224="RM",5,(IF(E2224="AC",1,(IF(E2224="AT",2,(IF(E2224="DS",3,(IF(E2224="IP",4,(IF(E2224="MA",5,(IF(E2224="PT",6,(IF(E2224="AE",1,(IF(E2224="CM",2,(IF(E2224="DP",3,(IF(E2224="AN",1,(IF(E2224="CO",2,(IF(E2224="IM",3,(IF(E2224="MI",4,(IF(E2224="RP",5,(IF(E2224="SC",6,0)))))))))))))))))))))))))))))))))))))))</f>
        <v>3</v>
      </c>
      <c r="G2224" s="52">
        <v>6</v>
      </c>
      <c r="H2224" s="90" t="s">
        <v>115</v>
      </c>
      <c r="I2224" s="94" t="s">
        <v>77</v>
      </c>
      <c r="J2224" s="87" t="s">
        <v>1442</v>
      </c>
      <c r="K2224" s="102" t="s">
        <v>2422</v>
      </c>
      <c r="L2224" s="117">
        <f>IF(O2224="","",N2224*O2224*M2224)</f>
        <v>0</v>
      </c>
      <c r="M2224" s="108">
        <v>1</v>
      </c>
      <c r="N2224" s="95">
        <v>1</v>
      </c>
      <c r="O2224" s="109">
        <f>IF(Key!D$1="ON",P2224,IF(SUM(Q2224:DL2224)&lt;1,"",SUM(Q2224:DL2224)/COUNTIF(Q2224:DL2224,"&gt;0")))</f>
        <v>0</v>
      </c>
      <c r="P2224" s="109">
        <f>SUMIFS(Q2224:DK2224,Q$1:DK$1,Dashboard!$K$31)</f>
        <v>0</v>
      </c>
      <c r="U2224" s="95">
        <v>33</v>
      </c>
      <c r="AA2224" s="95">
        <v>25</v>
      </c>
      <c r="AH2224" s="95">
        <v>75</v>
      </c>
    </row>
    <row r="2225" spans="1:34" ht="15.6" x14ac:dyDescent="0.3">
      <c r="A2225" s="89" t="str">
        <f>CONCATENATE(D2225,".",F2225,"-",G2225,".",H2225,"")</f>
        <v>2.3-6.1</v>
      </c>
      <c r="B2225" s="89" t="str">
        <f>IF(CONCATENATE(I2225,Key!F$2)=CONCATENATE(INDEX(Dashboard!J:J,MATCH(I2225,Dashboard!J:J,0),1),INDEX(Dashboard!J:K,MATCH(I2225,Dashboard!J:J,0),2)),"ON",IF(Dashboard!K$32="ALL","ON","-"))</f>
        <v>-</v>
      </c>
      <c r="C2225" s="88" t="s">
        <v>152</v>
      </c>
      <c r="D2225" s="89">
        <f>IF(C2225="ID",1,(IF(C2225="PR",2,(IF(C2225="DE",3,(IF(C2225="RS",4,(IF(C2225="RC",5,0)))))))))</f>
        <v>2</v>
      </c>
      <c r="E2225" s="89" t="s">
        <v>210</v>
      </c>
      <c r="F2225" s="89">
        <f>IF(E2225="AM",1,(IF(E2225="BE",2,(IF(E2225="GV",3,(IF(E2225="RA",4,(IF(E2225="RM",5,(IF(E2225="AC",1,(IF(E2225="AT",2,(IF(E2225="DS",3,(IF(E2225="IP",4,(IF(E2225="MA",5,(IF(E2225="PT",6,(IF(E2225="AE",1,(IF(E2225="CM",2,(IF(E2225="DP",3,(IF(E2225="AN",1,(IF(E2225="CO",2,(IF(E2225="IM",3,(IF(E2225="MI",4,(IF(E2225="RP",5,(IF(E2225="SC",6,0)))))))))))))))))))))))))))))))))))))))</f>
        <v>3</v>
      </c>
      <c r="G2225" s="52">
        <v>6</v>
      </c>
      <c r="H2225" s="90" t="s">
        <v>115</v>
      </c>
      <c r="I2225" s="94" t="s">
        <v>77</v>
      </c>
      <c r="J2225" s="87" t="s">
        <v>1443</v>
      </c>
      <c r="K2225" s="102" t="s">
        <v>2423</v>
      </c>
      <c r="L2225" s="117">
        <f>IF(O2225="","",N2225*O2225*M2225)</f>
        <v>0</v>
      </c>
      <c r="M2225" s="108">
        <v>1</v>
      </c>
      <c r="N2225" s="95">
        <v>1</v>
      </c>
      <c r="O2225" s="109">
        <f>IF(Key!D$1="ON",P2225,IF(SUM(Q2225:DL2225)&lt;1,"",SUM(Q2225:DL2225)/COUNTIF(Q2225:DL2225,"&gt;0")))</f>
        <v>0</v>
      </c>
      <c r="P2225" s="109">
        <f>SUMIFS(Q2225:DK2225,Q$1:DK$1,Dashboard!$K$31)</f>
        <v>0</v>
      </c>
      <c r="U2225" s="95">
        <v>33</v>
      </c>
      <c r="AA2225" s="95">
        <v>25</v>
      </c>
      <c r="AH2225" s="95">
        <v>75</v>
      </c>
    </row>
    <row r="2226" spans="1:34" x14ac:dyDescent="0.3">
      <c r="A2226" s="89" t="str">
        <f>CONCATENATE(D2226,".",F2226,"-",G2226,".",H2226,"")</f>
        <v>2.3-6.1</v>
      </c>
      <c r="B2226" s="89" t="str">
        <f>IF(CONCATENATE(I2226,Key!F$2)=CONCATENATE(INDEX(Dashboard!J:J,MATCH(I2226,Dashboard!J:J,0),1),INDEX(Dashboard!J:K,MATCH(I2226,Dashboard!J:J,0),2)),"ON",IF(Dashboard!K$32="ALL","ON","-"))</f>
        <v>-</v>
      </c>
      <c r="C2226" s="88" t="s">
        <v>152</v>
      </c>
      <c r="D2226" s="89">
        <f>IF(C2226="ID",1,(IF(C2226="PR",2,(IF(C2226="DE",3,(IF(C2226="RS",4,(IF(C2226="RC",5,0)))))))))</f>
        <v>2</v>
      </c>
      <c r="E2226" s="89" t="s">
        <v>210</v>
      </c>
      <c r="F2226" s="89">
        <f>IF(E2226="AM",1,(IF(E2226="BE",2,(IF(E2226="GV",3,(IF(E2226="RA",4,(IF(E2226="RM",5,(IF(E2226="AC",1,(IF(E2226="AT",2,(IF(E2226="DS",3,(IF(E2226="IP",4,(IF(E2226="MA",5,(IF(E2226="PT",6,(IF(E2226="AE",1,(IF(E2226="CM",2,(IF(E2226="DP",3,(IF(E2226="AN",1,(IF(E2226="CO",2,(IF(E2226="IM",3,(IF(E2226="MI",4,(IF(E2226="RP",5,(IF(E2226="SC",6,0)))))))))))))))))))))))))))))))))))))))</f>
        <v>3</v>
      </c>
      <c r="G2226" s="52">
        <v>6</v>
      </c>
      <c r="H2226" s="90" t="s">
        <v>115</v>
      </c>
      <c r="I2226" s="94" t="s">
        <v>77</v>
      </c>
      <c r="J2226" s="87" t="s">
        <v>1114</v>
      </c>
      <c r="K2226" s="102" t="s">
        <v>2150</v>
      </c>
      <c r="L2226" s="117">
        <f>IF(O2226="","",N2226*O2226*M2226)</f>
        <v>0</v>
      </c>
      <c r="M2226" s="108">
        <v>1</v>
      </c>
      <c r="N2226" s="95">
        <v>1</v>
      </c>
      <c r="O2226" s="109">
        <f>IF(Key!D$1="ON",P2226,IF(SUM(Q2226:DL2226)&lt;1,"",SUM(Q2226:DL2226)/COUNTIF(Q2226:DL2226,"&gt;0")))</f>
        <v>0</v>
      </c>
      <c r="P2226" s="109">
        <f>SUMIFS(Q2226:DK2226,Q$1:DK$1,Dashboard!$K$31)</f>
        <v>0</v>
      </c>
      <c r="U2226" s="95">
        <v>33</v>
      </c>
      <c r="AA2226" s="95">
        <v>25</v>
      </c>
      <c r="AH2226" s="95">
        <v>75</v>
      </c>
    </row>
    <row r="2227" spans="1:34" x14ac:dyDescent="0.3">
      <c r="A2227" s="89" t="str">
        <f>CONCATENATE(D2227,".",F2227,"-",G2227,".",H2227,"")</f>
        <v>2.3-6.1</v>
      </c>
      <c r="B2227" s="89" t="str">
        <f>IF(CONCATENATE(I2227,Key!F$2)=CONCATENATE(INDEX(Dashboard!J:J,MATCH(I2227,Dashboard!J:J,0),1),INDEX(Dashboard!J:K,MATCH(I2227,Dashboard!J:J,0),2)),"ON",IF(Dashboard!K$32="ALL","ON","-"))</f>
        <v>-</v>
      </c>
      <c r="C2227" s="88" t="s">
        <v>152</v>
      </c>
      <c r="D2227" s="89">
        <f>IF(C2227="ID",1,(IF(C2227="PR",2,(IF(C2227="DE",3,(IF(C2227="RS",4,(IF(C2227="RC",5,0)))))))))</f>
        <v>2</v>
      </c>
      <c r="E2227" s="89" t="s">
        <v>210</v>
      </c>
      <c r="F2227" s="89">
        <f>IF(E2227="AM",1,(IF(E2227="BE",2,(IF(E2227="GV",3,(IF(E2227="RA",4,(IF(E2227="RM",5,(IF(E2227="AC",1,(IF(E2227="AT",2,(IF(E2227="DS",3,(IF(E2227="IP",4,(IF(E2227="MA",5,(IF(E2227="PT",6,(IF(E2227="AE",1,(IF(E2227="CM",2,(IF(E2227="DP",3,(IF(E2227="AN",1,(IF(E2227="CO",2,(IF(E2227="IM",3,(IF(E2227="MI",4,(IF(E2227="RP",5,(IF(E2227="SC",6,0)))))))))))))))))))))))))))))))))))))))</f>
        <v>3</v>
      </c>
      <c r="G2227" s="98">
        <v>6</v>
      </c>
      <c r="H2227" s="90" t="s">
        <v>115</v>
      </c>
      <c r="I2227" s="94" t="s">
        <v>77</v>
      </c>
      <c r="J2227" s="87" t="s">
        <v>1444</v>
      </c>
      <c r="K2227" s="102" t="s">
        <v>2424</v>
      </c>
      <c r="L2227" s="117">
        <f>IF(O2227="","",N2227*O2227*M2227)</f>
        <v>0</v>
      </c>
      <c r="M2227" s="108">
        <v>1</v>
      </c>
      <c r="N2227" s="95">
        <v>1</v>
      </c>
      <c r="O2227" s="109">
        <f>IF(Key!D$1="ON",P2227,IF(SUM(Q2227:DL2227)&lt;1,"",SUM(Q2227:DL2227)/COUNTIF(Q2227:DL2227,"&gt;0")))</f>
        <v>0</v>
      </c>
      <c r="P2227" s="109">
        <f>SUMIFS(Q2227:DK2227,Q$1:DK$1,Dashboard!$K$31)</f>
        <v>0</v>
      </c>
      <c r="U2227" s="95">
        <v>33</v>
      </c>
      <c r="AA2227" s="95">
        <v>25</v>
      </c>
      <c r="AH2227" s="95">
        <v>75</v>
      </c>
    </row>
    <row r="2228" spans="1:34" x14ac:dyDescent="0.3">
      <c r="A2228" s="89" t="str">
        <f>CONCATENATE(D2228,".",F2228,"-",G2228,".",H2228,"")</f>
        <v>2.3-6.1</v>
      </c>
      <c r="B2228" s="89" t="str">
        <f>IF(CONCATENATE(I2228,Key!F$2)=CONCATENATE(INDEX(Dashboard!J:J,MATCH(I2228,Dashboard!J:J,0),1),INDEX(Dashboard!J:K,MATCH(I2228,Dashboard!J:J,0),2)),"ON",IF(Dashboard!K$32="ALL","ON","-"))</f>
        <v>-</v>
      </c>
      <c r="C2228" s="88" t="s">
        <v>152</v>
      </c>
      <c r="D2228" s="89">
        <f>IF(C2228="ID",1,(IF(C2228="PR",2,(IF(C2228="DE",3,(IF(C2228="RS",4,(IF(C2228="RC",5,0)))))))))</f>
        <v>2</v>
      </c>
      <c r="E2228" s="89" t="s">
        <v>210</v>
      </c>
      <c r="F2228" s="89">
        <f>IF(E2228="AM",1,(IF(E2228="BE",2,(IF(E2228="GV",3,(IF(E2228="RA",4,(IF(E2228="RM",5,(IF(E2228="AC",1,(IF(E2228="AT",2,(IF(E2228="DS",3,(IF(E2228="IP",4,(IF(E2228="MA",5,(IF(E2228="PT",6,(IF(E2228="AE",1,(IF(E2228="CM",2,(IF(E2228="DP",3,(IF(E2228="AN",1,(IF(E2228="CO",2,(IF(E2228="IM",3,(IF(E2228="MI",4,(IF(E2228="RP",5,(IF(E2228="SC",6,0)))))))))))))))))))))))))))))))))))))))</f>
        <v>3</v>
      </c>
      <c r="G2228" s="98">
        <v>6</v>
      </c>
      <c r="H2228" s="90" t="s">
        <v>115</v>
      </c>
      <c r="I2228" s="94" t="s">
        <v>77</v>
      </c>
      <c r="J2228" s="87" t="s">
        <v>1445</v>
      </c>
      <c r="K2228" s="102" t="s">
        <v>2425</v>
      </c>
      <c r="L2228" s="117">
        <f>IF(O2228="","",N2228*O2228*M2228)</f>
        <v>0</v>
      </c>
      <c r="M2228" s="108">
        <v>1</v>
      </c>
      <c r="N2228" s="95">
        <v>1</v>
      </c>
      <c r="O2228" s="109">
        <f>IF(Key!D$1="ON",P2228,IF(SUM(Q2228:DL2228)&lt;1,"",SUM(Q2228:DL2228)/COUNTIF(Q2228:DL2228,"&gt;0")))</f>
        <v>0</v>
      </c>
      <c r="P2228" s="109">
        <f>SUMIFS(Q2228:DK2228,Q$1:DK$1,Dashboard!$K$31)</f>
        <v>0</v>
      </c>
      <c r="U2228" s="95">
        <v>33</v>
      </c>
      <c r="AA2228" s="95">
        <v>25</v>
      </c>
      <c r="AH2228" s="95">
        <v>75</v>
      </c>
    </row>
    <row r="2229" spans="1:34" x14ac:dyDescent="0.3">
      <c r="A2229" s="89" t="str">
        <f>CONCATENATE(D2229,".",F2229,"-",G2229,".",H2229,"")</f>
        <v>2.3-6.1</v>
      </c>
      <c r="B2229" s="89" t="str">
        <f>IF(CONCATENATE(I2229,Key!F$2)=CONCATENATE(INDEX(Dashboard!J:J,MATCH(I2229,Dashboard!J:J,0),1),INDEX(Dashboard!J:K,MATCH(I2229,Dashboard!J:J,0),2)),"ON",IF(Dashboard!K$32="ALL","ON","-"))</f>
        <v>-</v>
      </c>
      <c r="C2229" s="96" t="s">
        <v>152</v>
      </c>
      <c r="D2229" s="89">
        <f>IF(C2229="ID",1,(IF(C2229="PR",2,(IF(C2229="DE",3,(IF(C2229="RS",4,(IF(C2229="RC",5,0)))))))))</f>
        <v>2</v>
      </c>
      <c r="E2229" s="89" t="s">
        <v>210</v>
      </c>
      <c r="F2229" s="89">
        <f>IF(E2229="AM",1,(IF(E2229="BE",2,(IF(E2229="GV",3,(IF(E2229="RA",4,(IF(E2229="RM",5,(IF(E2229="AC",1,(IF(E2229="AT",2,(IF(E2229="DS",3,(IF(E2229="IP",4,(IF(E2229="MA",5,(IF(E2229="PT",6,(IF(E2229="AE",1,(IF(E2229="CM",2,(IF(E2229="DP",3,(IF(E2229="AN",1,(IF(E2229="CO",2,(IF(E2229="IM",3,(IF(E2229="MI",4,(IF(E2229="RP",5,(IF(E2229="SC",6,0)))))))))))))))))))))))))))))))))))))))</f>
        <v>3</v>
      </c>
      <c r="G2229" s="98">
        <v>6</v>
      </c>
      <c r="H2229" s="90" t="s">
        <v>115</v>
      </c>
      <c r="I2229" s="94" t="s">
        <v>77</v>
      </c>
      <c r="J2229" s="87" t="s">
        <v>1446</v>
      </c>
      <c r="K2229" s="102" t="s">
        <v>2426</v>
      </c>
      <c r="L2229" s="117">
        <f>IF(O2229="","",N2229*O2229*M2229)</f>
        <v>0</v>
      </c>
      <c r="M2229" s="108">
        <v>1</v>
      </c>
      <c r="N2229" s="95">
        <v>1</v>
      </c>
      <c r="O2229" s="109">
        <f>IF(Key!D$1="ON",P2229,IF(SUM(Q2229:DL2229)&lt;1,"",SUM(Q2229:DL2229)/COUNTIF(Q2229:DL2229,"&gt;0")))</f>
        <v>0</v>
      </c>
      <c r="P2229" s="109">
        <f>SUMIFS(Q2229:DK2229,Q$1:DK$1,Dashboard!$K$31)</f>
        <v>0</v>
      </c>
      <c r="U2229" s="95">
        <v>33</v>
      </c>
      <c r="AA2229" s="95">
        <v>25</v>
      </c>
      <c r="AH2229" s="95">
        <v>75</v>
      </c>
    </row>
    <row r="2230" spans="1:34" x14ac:dyDescent="0.3">
      <c r="A2230" s="89" t="str">
        <f>CONCATENATE(D2230,".",F2230,"-",G2230,".",H2230,"")</f>
        <v>2.3-6.1</v>
      </c>
      <c r="B2230" s="89" t="str">
        <f>IF(CONCATENATE(I2230,Key!F$2)=CONCATENATE(INDEX(Dashboard!J:J,MATCH(I2230,Dashboard!J:J,0),1),INDEX(Dashboard!J:K,MATCH(I2230,Dashboard!J:J,0),2)),"ON",IF(Dashboard!K$32="ALL","ON","-"))</f>
        <v>-</v>
      </c>
      <c r="C2230" s="88" t="s">
        <v>152</v>
      </c>
      <c r="D2230" s="89">
        <f>IF(C2230="ID",1,(IF(C2230="PR",2,(IF(C2230="DE",3,(IF(C2230="RS",4,(IF(C2230="RC",5,0)))))))))</f>
        <v>2</v>
      </c>
      <c r="E2230" s="89" t="s">
        <v>210</v>
      </c>
      <c r="F2230" s="89">
        <f>IF(E2230="AM",1,(IF(E2230="BE",2,(IF(E2230="GV",3,(IF(E2230="RA",4,(IF(E2230="RM",5,(IF(E2230="AC",1,(IF(E2230="AT",2,(IF(E2230="DS",3,(IF(E2230="IP",4,(IF(E2230="MA",5,(IF(E2230="PT",6,(IF(E2230="AE",1,(IF(E2230="CM",2,(IF(E2230="DP",3,(IF(E2230="AN",1,(IF(E2230="CO",2,(IF(E2230="IM",3,(IF(E2230="MI",4,(IF(E2230="RP",5,(IF(E2230="SC",6,0)))))))))))))))))))))))))))))))))))))))</f>
        <v>3</v>
      </c>
      <c r="G2230" s="52">
        <v>6</v>
      </c>
      <c r="H2230" s="90" t="s">
        <v>115</v>
      </c>
      <c r="I2230" s="94" t="s">
        <v>77</v>
      </c>
      <c r="J2230" s="87" t="s">
        <v>1448</v>
      </c>
      <c r="K2230" s="102" t="s">
        <v>2427</v>
      </c>
      <c r="L2230" s="117">
        <f>IF(O2230="","",N2230*O2230*M2230)</f>
        <v>0</v>
      </c>
      <c r="M2230" s="108">
        <v>1</v>
      </c>
      <c r="N2230" s="95">
        <v>1</v>
      </c>
      <c r="O2230" s="109">
        <f>IF(Key!D$1="ON",P2230,IF(SUM(Q2230:DL2230)&lt;1,"",SUM(Q2230:DL2230)/COUNTIF(Q2230:DL2230,"&gt;0")))</f>
        <v>0</v>
      </c>
      <c r="P2230" s="109">
        <f>SUMIFS(Q2230:DK2230,Q$1:DK$1,Dashboard!$K$31)</f>
        <v>0</v>
      </c>
      <c r="U2230" s="95">
        <v>33</v>
      </c>
      <c r="AA2230" s="95">
        <v>25</v>
      </c>
      <c r="AH2230" s="95">
        <v>75</v>
      </c>
    </row>
    <row r="2231" spans="1:34" x14ac:dyDescent="0.3">
      <c r="A2231" s="89" t="str">
        <f>CONCATENATE(D2231,".",F2231,"-",G2231,".",H2231,"")</f>
        <v>2.3-6.1</v>
      </c>
      <c r="B2231" s="89" t="str">
        <f>IF(CONCATENATE(I2231,Key!F$2)=CONCATENATE(INDEX(Dashboard!J:J,MATCH(I2231,Dashboard!J:J,0),1),INDEX(Dashboard!J:K,MATCH(I2231,Dashboard!J:J,0),2)),"ON",IF(Dashboard!K$32="ALL","ON","-"))</f>
        <v>-</v>
      </c>
      <c r="C2231" s="88" t="s">
        <v>152</v>
      </c>
      <c r="D2231" s="89">
        <f>IF(C2231="ID",1,(IF(C2231="PR",2,(IF(C2231="DE",3,(IF(C2231="RS",4,(IF(C2231="RC",5,0)))))))))</f>
        <v>2</v>
      </c>
      <c r="E2231" s="89" t="s">
        <v>210</v>
      </c>
      <c r="F2231" s="89">
        <f>IF(E2231="AM",1,(IF(E2231="BE",2,(IF(E2231="GV",3,(IF(E2231="RA",4,(IF(E2231="RM",5,(IF(E2231="AC",1,(IF(E2231="AT",2,(IF(E2231="DS",3,(IF(E2231="IP",4,(IF(E2231="MA",5,(IF(E2231="PT",6,(IF(E2231="AE",1,(IF(E2231="CM",2,(IF(E2231="DP",3,(IF(E2231="AN",1,(IF(E2231="CO",2,(IF(E2231="IM",3,(IF(E2231="MI",4,(IF(E2231="RP",5,(IF(E2231="SC",6,0)))))))))))))))))))))))))))))))))))))))</f>
        <v>3</v>
      </c>
      <c r="G2231" s="52">
        <v>6</v>
      </c>
      <c r="H2231" s="90" t="s">
        <v>115</v>
      </c>
      <c r="I2231" s="94" t="s">
        <v>77</v>
      </c>
      <c r="J2231" s="87" t="s">
        <v>1449</v>
      </c>
      <c r="K2231" s="102" t="s">
        <v>2428</v>
      </c>
      <c r="L2231" s="117">
        <f>IF(O2231="","",N2231*O2231*M2231)</f>
        <v>0</v>
      </c>
      <c r="M2231" s="108">
        <v>1</v>
      </c>
      <c r="N2231" s="95">
        <v>1</v>
      </c>
      <c r="O2231" s="109">
        <f>IF(Key!D$1="ON",P2231,IF(SUM(Q2231:DL2231)&lt;1,"",SUM(Q2231:DL2231)/COUNTIF(Q2231:DL2231,"&gt;0")))</f>
        <v>0</v>
      </c>
      <c r="P2231" s="109">
        <f>SUMIFS(Q2231:DK2231,Q$1:DK$1,Dashboard!$K$31)</f>
        <v>0</v>
      </c>
      <c r="U2231" s="95">
        <v>33</v>
      </c>
      <c r="AA2231" s="95">
        <v>25</v>
      </c>
      <c r="AH2231" s="95">
        <v>75</v>
      </c>
    </row>
    <row r="2232" spans="1:34" x14ac:dyDescent="0.3">
      <c r="A2232" s="89" t="str">
        <f>CONCATENATE(D2232,".",F2232,"-",G2232,".",H2232,"")</f>
        <v>2.3-6.1</v>
      </c>
      <c r="B2232" s="89" t="str">
        <f>IF(CONCATENATE(I2232,Key!F$2)=CONCATENATE(INDEX(Dashboard!J:J,MATCH(I2232,Dashboard!J:J,0),1),INDEX(Dashboard!J:K,MATCH(I2232,Dashboard!J:J,0),2)),"ON",IF(Dashboard!K$32="ALL","ON","-"))</f>
        <v>-</v>
      </c>
      <c r="C2232" s="88" t="s">
        <v>152</v>
      </c>
      <c r="D2232" s="89">
        <f>IF(C2232="ID",1,(IF(C2232="PR",2,(IF(C2232="DE",3,(IF(C2232="RS",4,(IF(C2232="RC",5,0)))))))))</f>
        <v>2</v>
      </c>
      <c r="E2232" s="89" t="s">
        <v>210</v>
      </c>
      <c r="F2232" s="89">
        <f>IF(E2232="AM",1,(IF(E2232="BE",2,(IF(E2232="GV",3,(IF(E2232="RA",4,(IF(E2232="RM",5,(IF(E2232="AC",1,(IF(E2232="AT",2,(IF(E2232="DS",3,(IF(E2232="IP",4,(IF(E2232="MA",5,(IF(E2232="PT",6,(IF(E2232="AE",1,(IF(E2232="CM",2,(IF(E2232="DP",3,(IF(E2232="AN",1,(IF(E2232="CO",2,(IF(E2232="IM",3,(IF(E2232="MI",4,(IF(E2232="RP",5,(IF(E2232="SC",6,0)))))))))))))))))))))))))))))))))))))))</f>
        <v>3</v>
      </c>
      <c r="G2232" s="52">
        <v>6</v>
      </c>
      <c r="H2232" s="90" t="s">
        <v>115</v>
      </c>
      <c r="I2232" s="94" t="s">
        <v>77</v>
      </c>
      <c r="J2232" s="87" t="s">
        <v>1450</v>
      </c>
      <c r="K2232" s="102" t="s">
        <v>2429</v>
      </c>
      <c r="L2232" s="117">
        <f>IF(O2232="","",N2232*O2232*M2232)</f>
        <v>0</v>
      </c>
      <c r="M2232" s="108">
        <v>1</v>
      </c>
      <c r="N2232" s="95">
        <v>1</v>
      </c>
      <c r="O2232" s="109">
        <f>IF(Key!D$1="ON",P2232,IF(SUM(Q2232:DL2232)&lt;1,"",SUM(Q2232:DL2232)/COUNTIF(Q2232:DL2232,"&gt;0")))</f>
        <v>0</v>
      </c>
      <c r="P2232" s="109">
        <f>SUMIFS(Q2232:DK2232,Q$1:DK$1,Dashboard!$K$31)</f>
        <v>0</v>
      </c>
      <c r="U2232" s="95">
        <v>33</v>
      </c>
      <c r="AA2232" s="95">
        <v>25</v>
      </c>
      <c r="AH2232" s="95">
        <v>75</v>
      </c>
    </row>
    <row r="2233" spans="1:34" x14ac:dyDescent="0.3">
      <c r="A2233" s="89" t="str">
        <f>CONCATENATE(D2233,".",F2233,"-",G2233,".",H2233,"")</f>
        <v>2.3-6.1</v>
      </c>
      <c r="B2233" s="89" t="str">
        <f>IF(CONCATENATE(I2233,Key!F$2)=CONCATENATE(INDEX(Dashboard!J:J,MATCH(I2233,Dashboard!J:J,0),1),INDEX(Dashboard!J:K,MATCH(I2233,Dashboard!J:J,0),2)),"ON",IF(Dashboard!K$32="ALL","ON","-"))</f>
        <v>-</v>
      </c>
      <c r="C2233" s="88" t="s">
        <v>152</v>
      </c>
      <c r="D2233" s="89">
        <f>IF(C2233="ID",1,(IF(C2233="PR",2,(IF(C2233="DE",3,(IF(C2233="RS",4,(IF(C2233="RC",5,0)))))))))</f>
        <v>2</v>
      </c>
      <c r="E2233" s="89" t="s">
        <v>210</v>
      </c>
      <c r="F2233" s="89">
        <f>IF(E2233="AM",1,(IF(E2233="BE",2,(IF(E2233="GV",3,(IF(E2233="RA",4,(IF(E2233="RM",5,(IF(E2233="AC",1,(IF(E2233="AT",2,(IF(E2233="DS",3,(IF(E2233="IP",4,(IF(E2233="MA",5,(IF(E2233="PT",6,(IF(E2233="AE",1,(IF(E2233="CM",2,(IF(E2233="DP",3,(IF(E2233="AN",1,(IF(E2233="CO",2,(IF(E2233="IM",3,(IF(E2233="MI",4,(IF(E2233="RP",5,(IF(E2233="SC",6,0)))))))))))))))))))))))))))))))))))))))</f>
        <v>3</v>
      </c>
      <c r="G2233" s="52">
        <v>6</v>
      </c>
      <c r="H2233" s="90" t="s">
        <v>115</v>
      </c>
      <c r="I2233" s="94" t="s">
        <v>77</v>
      </c>
      <c r="J2233" s="87" t="s">
        <v>1451</v>
      </c>
      <c r="K2233" s="102" t="s">
        <v>2430</v>
      </c>
      <c r="L2233" s="117">
        <f>IF(O2233="","",N2233*O2233*M2233)</f>
        <v>0</v>
      </c>
      <c r="M2233" s="108">
        <v>1</v>
      </c>
      <c r="N2233" s="95">
        <v>1</v>
      </c>
      <c r="O2233" s="109">
        <f>IF(Key!D$1="ON",P2233,IF(SUM(Q2233:DL2233)&lt;1,"",SUM(Q2233:DL2233)/COUNTIF(Q2233:DL2233,"&gt;0")))</f>
        <v>0</v>
      </c>
      <c r="P2233" s="109">
        <f>SUMIFS(Q2233:DK2233,Q$1:DK$1,Dashboard!$K$31)</f>
        <v>0</v>
      </c>
      <c r="U2233" s="95">
        <v>33</v>
      </c>
      <c r="AA2233" s="95">
        <v>25</v>
      </c>
      <c r="AH2233" s="95">
        <v>75</v>
      </c>
    </row>
    <row r="2234" spans="1:34" x14ac:dyDescent="0.3">
      <c r="A2234" s="89" t="str">
        <f>CONCATENATE(D2234,".",F2234,"-",G2234,".",H2234,"")</f>
        <v>2.3-6.1</v>
      </c>
      <c r="B2234" s="89" t="str">
        <f>IF(CONCATENATE(I2234,Key!F$2)=CONCATENATE(INDEX(Dashboard!J:J,MATCH(I2234,Dashboard!J:J,0),1),INDEX(Dashboard!J:K,MATCH(I2234,Dashboard!J:J,0),2)),"ON",IF(Dashboard!K$32="ALL","ON","-"))</f>
        <v>-</v>
      </c>
      <c r="C2234" s="88" t="s">
        <v>152</v>
      </c>
      <c r="D2234" s="89">
        <f>IF(C2234="ID",1,(IF(C2234="PR",2,(IF(C2234="DE",3,(IF(C2234="RS",4,(IF(C2234="RC",5,0)))))))))</f>
        <v>2</v>
      </c>
      <c r="E2234" s="89" t="s">
        <v>210</v>
      </c>
      <c r="F2234" s="89">
        <f>IF(E2234="AM",1,(IF(E2234="BE",2,(IF(E2234="GV",3,(IF(E2234="RA",4,(IF(E2234="RM",5,(IF(E2234="AC",1,(IF(E2234="AT",2,(IF(E2234="DS",3,(IF(E2234="IP",4,(IF(E2234="MA",5,(IF(E2234="PT",6,(IF(E2234="AE",1,(IF(E2234="CM",2,(IF(E2234="DP",3,(IF(E2234="AN",1,(IF(E2234="CO",2,(IF(E2234="IM",3,(IF(E2234="MI",4,(IF(E2234="RP",5,(IF(E2234="SC",6,0)))))))))))))))))))))))))))))))))))))))</f>
        <v>3</v>
      </c>
      <c r="G2234" s="52">
        <v>6</v>
      </c>
      <c r="H2234" s="90" t="s">
        <v>115</v>
      </c>
      <c r="I2234" s="94" t="s">
        <v>77</v>
      </c>
      <c r="J2234" s="87" t="s">
        <v>1452</v>
      </c>
      <c r="K2234" s="102" t="s">
        <v>2431</v>
      </c>
      <c r="L2234" s="117">
        <f>IF(O2234="","",N2234*O2234*M2234)</f>
        <v>0</v>
      </c>
      <c r="M2234" s="108">
        <v>1</v>
      </c>
      <c r="N2234" s="95">
        <v>1</v>
      </c>
      <c r="O2234" s="109">
        <f>IF(Key!D$1="ON",P2234,IF(SUM(Q2234:DL2234)&lt;1,"",SUM(Q2234:DL2234)/COUNTIF(Q2234:DL2234,"&gt;0")))</f>
        <v>0</v>
      </c>
      <c r="P2234" s="109">
        <f>SUMIFS(Q2234:DK2234,Q$1:DK$1,Dashboard!$K$31)</f>
        <v>0</v>
      </c>
      <c r="U2234" s="95">
        <v>33</v>
      </c>
      <c r="AA2234" s="95">
        <v>25</v>
      </c>
      <c r="AH2234" s="95">
        <v>75</v>
      </c>
    </row>
    <row r="2235" spans="1:34" ht="15.6" x14ac:dyDescent="0.3">
      <c r="A2235" s="89" t="str">
        <f>CONCATENATE(D2235,".",F2235,"-",G2235,".",H2235,"")</f>
        <v>2.3-6.1</v>
      </c>
      <c r="B2235" s="89" t="str">
        <f>IF(CONCATENATE(I2235,Key!F$2)=CONCATENATE(INDEX(Dashboard!J:J,MATCH(I2235,Dashboard!J:J,0),1),INDEX(Dashboard!J:K,MATCH(I2235,Dashboard!J:J,0),2)),"ON",IF(Dashboard!K$32="ALL","ON","-"))</f>
        <v>-</v>
      </c>
      <c r="C2235" s="88" t="s">
        <v>152</v>
      </c>
      <c r="D2235" s="89">
        <f>IF(C2235="ID",1,(IF(C2235="PR",2,(IF(C2235="DE",3,(IF(C2235="RS",4,(IF(C2235="RC",5,0)))))))))</f>
        <v>2</v>
      </c>
      <c r="E2235" s="89" t="s">
        <v>210</v>
      </c>
      <c r="F2235" s="89">
        <f>IF(E2235="AM",1,(IF(E2235="BE",2,(IF(E2235="GV",3,(IF(E2235="RA",4,(IF(E2235="RM",5,(IF(E2235="AC",1,(IF(E2235="AT",2,(IF(E2235="DS",3,(IF(E2235="IP",4,(IF(E2235="MA",5,(IF(E2235="PT",6,(IF(E2235="AE",1,(IF(E2235="CM",2,(IF(E2235="DP",3,(IF(E2235="AN",1,(IF(E2235="CO",2,(IF(E2235="IM",3,(IF(E2235="MI",4,(IF(E2235="RP",5,(IF(E2235="SC",6,0)))))))))))))))))))))))))))))))))))))))</f>
        <v>3</v>
      </c>
      <c r="G2235" s="52">
        <v>6</v>
      </c>
      <c r="H2235" s="90" t="s">
        <v>115</v>
      </c>
      <c r="I2235" s="94" t="s">
        <v>77</v>
      </c>
      <c r="J2235" s="87" t="s">
        <v>1453</v>
      </c>
      <c r="K2235" s="102" t="s">
        <v>2432</v>
      </c>
      <c r="L2235" s="117">
        <f>IF(O2235="","",N2235*O2235*M2235)</f>
        <v>0</v>
      </c>
      <c r="M2235" s="108">
        <v>1</v>
      </c>
      <c r="N2235" s="95">
        <v>1</v>
      </c>
      <c r="O2235" s="109">
        <f>IF(Key!D$1="ON",P2235,IF(SUM(Q2235:DL2235)&lt;1,"",SUM(Q2235:DL2235)/COUNTIF(Q2235:DL2235,"&gt;0")))</f>
        <v>0</v>
      </c>
      <c r="P2235" s="109">
        <f>SUMIFS(Q2235:DK2235,Q$1:DK$1,Dashboard!$K$31)</f>
        <v>0</v>
      </c>
      <c r="U2235" s="95">
        <v>33</v>
      </c>
      <c r="AA2235" s="95">
        <v>25</v>
      </c>
      <c r="AH2235" s="95">
        <v>75</v>
      </c>
    </row>
    <row r="2236" spans="1:34" x14ac:dyDescent="0.3">
      <c r="A2236" s="89" t="str">
        <f>CONCATENATE(D2236,".",F2236,"-",G2236,".",H2236,"")</f>
        <v>2.3-6.1</v>
      </c>
      <c r="B2236" s="89" t="str">
        <f>IF(CONCATENATE(I2236,Key!F$2)=CONCATENATE(INDEX(Dashboard!J:J,MATCH(I2236,Dashboard!J:J,0),1),INDEX(Dashboard!J:K,MATCH(I2236,Dashboard!J:J,0),2)),"ON",IF(Dashboard!K$32="ALL","ON","-"))</f>
        <v>-</v>
      </c>
      <c r="C2236" s="88" t="s">
        <v>152</v>
      </c>
      <c r="D2236" s="89">
        <f>IF(C2236="ID",1,(IF(C2236="PR",2,(IF(C2236="DE",3,(IF(C2236="RS",4,(IF(C2236="RC",5,0)))))))))</f>
        <v>2</v>
      </c>
      <c r="E2236" s="89" t="s">
        <v>210</v>
      </c>
      <c r="F2236" s="89">
        <f>IF(E2236="AM",1,(IF(E2236="BE",2,(IF(E2236="GV",3,(IF(E2236="RA",4,(IF(E2236="RM",5,(IF(E2236="AC",1,(IF(E2236="AT",2,(IF(E2236="DS",3,(IF(E2236="IP",4,(IF(E2236="MA",5,(IF(E2236="PT",6,(IF(E2236="AE",1,(IF(E2236="CM",2,(IF(E2236="DP",3,(IF(E2236="AN",1,(IF(E2236="CO",2,(IF(E2236="IM",3,(IF(E2236="MI",4,(IF(E2236="RP",5,(IF(E2236="SC",6,0)))))))))))))))))))))))))))))))))))))))</f>
        <v>3</v>
      </c>
      <c r="G2236" s="52">
        <v>6</v>
      </c>
      <c r="H2236" s="90" t="s">
        <v>115</v>
      </c>
      <c r="I2236" s="94" t="s">
        <v>77</v>
      </c>
      <c r="J2236" s="87" t="s">
        <v>1454</v>
      </c>
      <c r="K2236" s="102" t="s">
        <v>2433</v>
      </c>
      <c r="L2236" s="117">
        <f>IF(O2236="","",N2236*O2236*M2236)</f>
        <v>0</v>
      </c>
      <c r="M2236" s="108">
        <v>1</v>
      </c>
      <c r="N2236" s="95">
        <v>1</v>
      </c>
      <c r="O2236" s="109">
        <f>IF(Key!D$1="ON",P2236,IF(SUM(Q2236:DL2236)&lt;1,"",SUM(Q2236:DL2236)/COUNTIF(Q2236:DL2236,"&gt;0")))</f>
        <v>0</v>
      </c>
      <c r="P2236" s="109">
        <f>SUMIFS(Q2236:DK2236,Q$1:DK$1,Dashboard!$K$31)</f>
        <v>0</v>
      </c>
      <c r="U2236" s="95">
        <v>33</v>
      </c>
      <c r="AA2236" s="95">
        <v>25</v>
      </c>
      <c r="AH2236" s="95">
        <v>75</v>
      </c>
    </row>
    <row r="2237" spans="1:34" x14ac:dyDescent="0.3">
      <c r="A2237" s="89" t="str">
        <f>CONCATENATE(D2237,".",F2237,"-",G2237,".",H2237,"")</f>
        <v>2.3-6.1</v>
      </c>
      <c r="B2237" s="89" t="str">
        <f>IF(CONCATENATE(I2237,Key!F$2)=CONCATENATE(INDEX(Dashboard!J:J,MATCH(I2237,Dashboard!J:J,0),1),INDEX(Dashboard!J:K,MATCH(I2237,Dashboard!J:J,0),2)),"ON",IF(Dashboard!K$32="ALL","ON","-"))</f>
        <v>-</v>
      </c>
      <c r="C2237" s="88" t="s">
        <v>152</v>
      </c>
      <c r="D2237" s="89">
        <f>IF(C2237="ID",1,(IF(C2237="PR",2,(IF(C2237="DE",3,(IF(C2237="RS",4,(IF(C2237="RC",5,0)))))))))</f>
        <v>2</v>
      </c>
      <c r="E2237" s="89" t="s">
        <v>210</v>
      </c>
      <c r="F2237" s="89">
        <f>IF(E2237="AM",1,(IF(E2237="BE",2,(IF(E2237="GV",3,(IF(E2237="RA",4,(IF(E2237="RM",5,(IF(E2237="AC",1,(IF(E2237="AT",2,(IF(E2237="DS",3,(IF(E2237="IP",4,(IF(E2237="MA",5,(IF(E2237="PT",6,(IF(E2237="AE",1,(IF(E2237="CM",2,(IF(E2237="DP",3,(IF(E2237="AN",1,(IF(E2237="CO",2,(IF(E2237="IM",3,(IF(E2237="MI",4,(IF(E2237="RP",5,(IF(E2237="SC",6,0)))))))))))))))))))))))))))))))))))))))</f>
        <v>3</v>
      </c>
      <c r="G2237" s="52">
        <v>6</v>
      </c>
      <c r="H2237" s="90" t="s">
        <v>115</v>
      </c>
      <c r="I2237" s="94" t="s">
        <v>77</v>
      </c>
      <c r="J2237" s="87" t="s">
        <v>1455</v>
      </c>
      <c r="K2237" s="102" t="s">
        <v>2434</v>
      </c>
      <c r="L2237" s="117">
        <f>IF(O2237="","",N2237*O2237*M2237)</f>
        <v>0</v>
      </c>
      <c r="M2237" s="108">
        <v>1</v>
      </c>
      <c r="N2237" s="95">
        <v>1</v>
      </c>
      <c r="O2237" s="109">
        <f>IF(Key!D$1="ON",P2237,IF(SUM(Q2237:DL2237)&lt;1,"",SUM(Q2237:DL2237)/COUNTIF(Q2237:DL2237,"&gt;0")))</f>
        <v>0</v>
      </c>
      <c r="P2237" s="109">
        <f>SUMIFS(Q2237:DK2237,Q$1:DK$1,Dashboard!$K$31)</f>
        <v>0</v>
      </c>
      <c r="U2237" s="95">
        <v>33</v>
      </c>
      <c r="AA2237" s="95">
        <v>25</v>
      </c>
      <c r="AH2237" s="95">
        <v>75</v>
      </c>
    </row>
    <row r="2238" spans="1:34" x14ac:dyDescent="0.3">
      <c r="A2238" s="89" t="str">
        <f>CONCATENATE(D2238,".",F2238,"-",G2238,".",H2238,"")</f>
        <v>2.3-6.1</v>
      </c>
      <c r="B2238" s="89" t="str">
        <f>IF(CONCATENATE(I2238,Key!F$2)=CONCATENATE(INDEX(Dashboard!J:J,MATCH(I2238,Dashboard!J:J,0),1),INDEX(Dashboard!J:K,MATCH(I2238,Dashboard!J:J,0),2)),"ON",IF(Dashboard!K$32="ALL","ON","-"))</f>
        <v>-</v>
      </c>
      <c r="C2238" s="88" t="s">
        <v>152</v>
      </c>
      <c r="D2238" s="89">
        <f>IF(C2238="ID",1,(IF(C2238="PR",2,(IF(C2238="DE",3,(IF(C2238="RS",4,(IF(C2238="RC",5,0)))))))))</f>
        <v>2</v>
      </c>
      <c r="E2238" s="89" t="s">
        <v>210</v>
      </c>
      <c r="F2238" s="89">
        <f>IF(E2238="AM",1,(IF(E2238="BE",2,(IF(E2238="GV",3,(IF(E2238="RA",4,(IF(E2238="RM",5,(IF(E2238="AC",1,(IF(E2238="AT",2,(IF(E2238="DS",3,(IF(E2238="IP",4,(IF(E2238="MA",5,(IF(E2238="PT",6,(IF(E2238="AE",1,(IF(E2238="CM",2,(IF(E2238="DP",3,(IF(E2238="AN",1,(IF(E2238="CO",2,(IF(E2238="IM",3,(IF(E2238="MI",4,(IF(E2238="RP",5,(IF(E2238="SC",6,0)))))))))))))))))))))))))))))))))))))))</f>
        <v>3</v>
      </c>
      <c r="G2238" s="52">
        <v>6</v>
      </c>
      <c r="H2238" s="90" t="s">
        <v>115</v>
      </c>
      <c r="I2238" s="94" t="s">
        <v>77</v>
      </c>
      <c r="J2238" s="87" t="s">
        <v>1456</v>
      </c>
      <c r="K2238" s="102" t="s">
        <v>2435</v>
      </c>
      <c r="L2238" s="117">
        <f>IF(O2238="","",N2238*O2238*M2238)</f>
        <v>0</v>
      </c>
      <c r="M2238" s="108">
        <v>1</v>
      </c>
      <c r="N2238" s="95">
        <v>1</v>
      </c>
      <c r="O2238" s="109">
        <f>IF(Key!D$1="ON",P2238,IF(SUM(Q2238:DL2238)&lt;1,"",SUM(Q2238:DL2238)/COUNTIF(Q2238:DL2238,"&gt;0")))</f>
        <v>0</v>
      </c>
      <c r="P2238" s="109">
        <f>SUMIFS(Q2238:DK2238,Q$1:DK$1,Dashboard!$K$31)</f>
        <v>0</v>
      </c>
      <c r="U2238" s="95">
        <v>33</v>
      </c>
      <c r="AA2238" s="95">
        <v>25</v>
      </c>
      <c r="AH2238" s="95">
        <v>75</v>
      </c>
    </row>
    <row r="2239" spans="1:34" x14ac:dyDescent="0.3">
      <c r="A2239" s="89" t="str">
        <f>CONCATENATE(D2239,".",F2239,"-",G2239,".",H2239,"")</f>
        <v>2.3-6.1</v>
      </c>
      <c r="B2239" s="89" t="str">
        <f>IF(CONCATENATE(I2239,Key!F$2)=CONCATENATE(INDEX(Dashboard!J:J,MATCH(I2239,Dashboard!J:J,0),1),INDEX(Dashboard!J:K,MATCH(I2239,Dashboard!J:J,0),2)),"ON",IF(Dashboard!K$32="ALL","ON","-"))</f>
        <v>-</v>
      </c>
      <c r="C2239" s="88" t="s">
        <v>152</v>
      </c>
      <c r="D2239" s="89">
        <f>IF(C2239="ID",1,(IF(C2239="PR",2,(IF(C2239="DE",3,(IF(C2239="RS",4,(IF(C2239="RC",5,0)))))))))</f>
        <v>2</v>
      </c>
      <c r="E2239" s="89" t="s">
        <v>210</v>
      </c>
      <c r="F2239" s="89">
        <f>IF(E2239="AM",1,(IF(E2239="BE",2,(IF(E2239="GV",3,(IF(E2239="RA",4,(IF(E2239="RM",5,(IF(E2239="AC",1,(IF(E2239="AT",2,(IF(E2239="DS",3,(IF(E2239="IP",4,(IF(E2239="MA",5,(IF(E2239="PT",6,(IF(E2239="AE",1,(IF(E2239="CM",2,(IF(E2239="DP",3,(IF(E2239="AN",1,(IF(E2239="CO",2,(IF(E2239="IM",3,(IF(E2239="MI",4,(IF(E2239="RP",5,(IF(E2239="SC",6,0)))))))))))))))))))))))))))))))))))))))</f>
        <v>3</v>
      </c>
      <c r="G2239" s="52">
        <v>6</v>
      </c>
      <c r="H2239" s="90" t="s">
        <v>115</v>
      </c>
      <c r="I2239" s="94" t="s">
        <v>77</v>
      </c>
      <c r="J2239" s="87" t="s">
        <v>1457</v>
      </c>
      <c r="K2239" s="102" t="s">
        <v>2436</v>
      </c>
      <c r="L2239" s="117">
        <f>IF(O2239="","",N2239*O2239*M2239)</f>
        <v>0</v>
      </c>
      <c r="M2239" s="108">
        <v>1</v>
      </c>
      <c r="N2239" s="95">
        <v>1</v>
      </c>
      <c r="O2239" s="109">
        <f>IF(Key!D$1="ON",P2239,IF(SUM(Q2239:DL2239)&lt;1,"",SUM(Q2239:DL2239)/COUNTIF(Q2239:DL2239,"&gt;0")))</f>
        <v>0</v>
      </c>
      <c r="P2239" s="109">
        <f>SUMIFS(Q2239:DK2239,Q$1:DK$1,Dashboard!$K$31)</f>
        <v>0</v>
      </c>
      <c r="U2239" s="95">
        <v>33</v>
      </c>
      <c r="AA2239" s="95">
        <v>25</v>
      </c>
      <c r="AH2239" s="95">
        <v>75</v>
      </c>
    </row>
    <row r="2240" spans="1:34" x14ac:dyDescent="0.3">
      <c r="A2240" s="89" t="str">
        <f>CONCATENATE(D2240,".",F2240,"-",G2240,".",H2240,"")</f>
        <v>2.3-6.1</v>
      </c>
      <c r="B2240" s="89" t="str">
        <f>IF(CONCATENATE(I2240,Key!F$2)=CONCATENATE(INDEX(Dashboard!J:J,MATCH(I2240,Dashboard!J:J,0),1),INDEX(Dashboard!J:K,MATCH(I2240,Dashboard!J:J,0),2)),"ON",IF(Dashboard!K$32="ALL","ON","-"))</f>
        <v>-</v>
      </c>
      <c r="C2240" s="88" t="s">
        <v>152</v>
      </c>
      <c r="D2240" s="89">
        <f>IF(C2240="ID",1,(IF(C2240="PR",2,(IF(C2240="DE",3,(IF(C2240="RS",4,(IF(C2240="RC",5,0)))))))))</f>
        <v>2</v>
      </c>
      <c r="E2240" s="89" t="s">
        <v>210</v>
      </c>
      <c r="F2240" s="89">
        <f>IF(E2240="AM",1,(IF(E2240="BE",2,(IF(E2240="GV",3,(IF(E2240="RA",4,(IF(E2240="RM",5,(IF(E2240="AC",1,(IF(E2240="AT",2,(IF(E2240="DS",3,(IF(E2240="IP",4,(IF(E2240="MA",5,(IF(E2240="PT",6,(IF(E2240="AE",1,(IF(E2240="CM",2,(IF(E2240="DP",3,(IF(E2240="AN",1,(IF(E2240="CO",2,(IF(E2240="IM",3,(IF(E2240="MI",4,(IF(E2240="RP",5,(IF(E2240="SC",6,0)))))))))))))))))))))))))))))))))))))))</f>
        <v>3</v>
      </c>
      <c r="G2240" s="52">
        <v>6</v>
      </c>
      <c r="H2240" s="90" t="s">
        <v>115</v>
      </c>
      <c r="I2240" s="94" t="s">
        <v>77</v>
      </c>
      <c r="J2240" s="87" t="s">
        <v>1458</v>
      </c>
      <c r="K2240" s="102" t="s">
        <v>2437</v>
      </c>
      <c r="L2240" s="117">
        <f>IF(O2240="","",N2240*O2240*M2240)</f>
        <v>0</v>
      </c>
      <c r="M2240" s="108">
        <v>1</v>
      </c>
      <c r="N2240" s="95">
        <v>1</v>
      </c>
      <c r="O2240" s="109">
        <f>IF(Key!D$1="ON",P2240,IF(SUM(Q2240:DL2240)&lt;1,"",SUM(Q2240:DL2240)/COUNTIF(Q2240:DL2240,"&gt;0")))</f>
        <v>0</v>
      </c>
      <c r="P2240" s="109">
        <f>SUMIFS(Q2240:DK2240,Q$1:DK$1,Dashboard!$K$31)</f>
        <v>0</v>
      </c>
      <c r="U2240" s="95">
        <v>33</v>
      </c>
      <c r="AA2240" s="95">
        <v>25</v>
      </c>
      <c r="AH2240" s="95">
        <v>75</v>
      </c>
    </row>
    <row r="2241" spans="1:34" x14ac:dyDescent="0.3">
      <c r="A2241" s="89" t="str">
        <f>CONCATENATE(D2241,".",F2241,"-",G2241,".",H2241,"")</f>
        <v>2.3-6.1</v>
      </c>
      <c r="B2241" s="89" t="str">
        <f>IF(CONCATENATE(I2241,Key!F$2)=CONCATENATE(INDEX(Dashboard!J:J,MATCH(I2241,Dashboard!J:J,0),1),INDEX(Dashboard!J:K,MATCH(I2241,Dashboard!J:J,0),2)),"ON",IF(Dashboard!K$32="ALL","ON","-"))</f>
        <v>-</v>
      </c>
      <c r="C2241" s="88" t="s">
        <v>152</v>
      </c>
      <c r="D2241" s="89">
        <f>IF(C2241="ID",1,(IF(C2241="PR",2,(IF(C2241="DE",3,(IF(C2241="RS",4,(IF(C2241="RC",5,0)))))))))</f>
        <v>2</v>
      </c>
      <c r="E2241" s="89" t="s">
        <v>210</v>
      </c>
      <c r="F2241" s="89">
        <f>IF(E2241="AM",1,(IF(E2241="BE",2,(IF(E2241="GV",3,(IF(E2241="RA",4,(IF(E2241="RM",5,(IF(E2241="AC",1,(IF(E2241="AT",2,(IF(E2241="DS",3,(IF(E2241="IP",4,(IF(E2241="MA",5,(IF(E2241="PT",6,(IF(E2241="AE",1,(IF(E2241="CM",2,(IF(E2241="DP",3,(IF(E2241="AN",1,(IF(E2241="CO",2,(IF(E2241="IM",3,(IF(E2241="MI",4,(IF(E2241="RP",5,(IF(E2241="SC",6,0)))))))))))))))))))))))))))))))))))))))</f>
        <v>3</v>
      </c>
      <c r="G2241" s="52">
        <v>6</v>
      </c>
      <c r="H2241" s="90" t="s">
        <v>115</v>
      </c>
      <c r="I2241" s="94" t="s">
        <v>77</v>
      </c>
      <c r="J2241" s="87" t="s">
        <v>1459</v>
      </c>
      <c r="K2241" s="102" t="s">
        <v>2438</v>
      </c>
      <c r="L2241" s="117">
        <f>IF(O2241="","",N2241*O2241*M2241)</f>
        <v>0</v>
      </c>
      <c r="M2241" s="108">
        <v>1</v>
      </c>
      <c r="N2241" s="95">
        <v>1</v>
      </c>
      <c r="O2241" s="109">
        <f>IF(Key!D$1="ON",P2241,IF(SUM(Q2241:DL2241)&lt;1,"",SUM(Q2241:DL2241)/COUNTIF(Q2241:DL2241,"&gt;0")))</f>
        <v>0</v>
      </c>
      <c r="P2241" s="109">
        <f>SUMIFS(Q2241:DK2241,Q$1:DK$1,Dashboard!$K$31)</f>
        <v>0</v>
      </c>
      <c r="U2241" s="95">
        <v>33</v>
      </c>
      <c r="AA2241" s="95">
        <v>25</v>
      </c>
      <c r="AH2241" s="95">
        <v>75</v>
      </c>
    </row>
    <row r="2242" spans="1:34" ht="15.6" x14ac:dyDescent="0.3">
      <c r="A2242" s="89" t="str">
        <f>CONCATENATE(D2242,".",F2242,"-",G2242,".",H2242,"")</f>
        <v>2.3-6.1</v>
      </c>
      <c r="B2242" s="89" t="str">
        <f>IF(CONCATENATE(I2242,Key!F$2)=CONCATENATE(INDEX(Dashboard!J:J,MATCH(I2242,Dashboard!J:J,0),1),INDEX(Dashboard!J:K,MATCH(I2242,Dashboard!J:J,0),2)),"ON",IF(Dashboard!K$32="ALL","ON","-"))</f>
        <v>-</v>
      </c>
      <c r="C2242" s="88" t="s">
        <v>152</v>
      </c>
      <c r="D2242" s="89">
        <f>IF(C2242="ID",1,(IF(C2242="PR",2,(IF(C2242="DE",3,(IF(C2242="RS",4,(IF(C2242="RC",5,0)))))))))</f>
        <v>2</v>
      </c>
      <c r="E2242" s="89" t="s">
        <v>210</v>
      </c>
      <c r="F2242" s="89">
        <f>IF(E2242="AM",1,(IF(E2242="BE",2,(IF(E2242="GV",3,(IF(E2242="RA",4,(IF(E2242="RM",5,(IF(E2242="AC",1,(IF(E2242="AT",2,(IF(E2242="DS",3,(IF(E2242="IP",4,(IF(E2242="MA",5,(IF(E2242="PT",6,(IF(E2242="AE",1,(IF(E2242="CM",2,(IF(E2242="DP",3,(IF(E2242="AN",1,(IF(E2242="CO",2,(IF(E2242="IM",3,(IF(E2242="MI",4,(IF(E2242="RP",5,(IF(E2242="SC",6,0)))))))))))))))))))))))))))))))))))))))</f>
        <v>3</v>
      </c>
      <c r="G2242" s="52">
        <v>6</v>
      </c>
      <c r="H2242" s="90" t="s">
        <v>115</v>
      </c>
      <c r="I2242" s="94" t="s">
        <v>77</v>
      </c>
      <c r="J2242" s="87" t="s">
        <v>1460</v>
      </c>
      <c r="K2242" s="102" t="s">
        <v>2439</v>
      </c>
      <c r="L2242" s="117">
        <f>IF(O2242="","",N2242*O2242*M2242)</f>
        <v>0</v>
      </c>
      <c r="M2242" s="108">
        <v>1</v>
      </c>
      <c r="N2242" s="95">
        <v>1</v>
      </c>
      <c r="O2242" s="109">
        <f>IF(Key!D$1="ON",P2242,IF(SUM(Q2242:DL2242)&lt;1,"",SUM(Q2242:DL2242)/COUNTIF(Q2242:DL2242,"&gt;0")))</f>
        <v>0</v>
      </c>
      <c r="P2242" s="109">
        <f>SUMIFS(Q2242:DK2242,Q$1:DK$1,Dashboard!$K$31)</f>
        <v>0</v>
      </c>
      <c r="U2242" s="95">
        <v>33</v>
      </c>
      <c r="AA2242" s="95">
        <v>25</v>
      </c>
      <c r="AH2242" s="95">
        <v>75</v>
      </c>
    </row>
    <row r="2243" spans="1:34" x14ac:dyDescent="0.3">
      <c r="A2243" s="89" t="str">
        <f>CONCATENATE(D2243,".",F2243,"-",G2243,".",H2243,"")</f>
        <v>2.3-6.1</v>
      </c>
      <c r="B2243" s="89" t="str">
        <f>IF(CONCATENATE(I2243,Key!F$2)=CONCATENATE(INDEX(Dashboard!J:J,MATCH(I2243,Dashboard!J:J,0),1),INDEX(Dashboard!J:K,MATCH(I2243,Dashboard!J:J,0),2)),"ON",IF(Dashboard!K$32="ALL","ON","-"))</f>
        <v>-</v>
      </c>
      <c r="C2243" s="88" t="s">
        <v>152</v>
      </c>
      <c r="D2243" s="89">
        <f>IF(C2243="ID",1,(IF(C2243="PR",2,(IF(C2243="DE",3,(IF(C2243="RS",4,(IF(C2243="RC",5,0)))))))))</f>
        <v>2</v>
      </c>
      <c r="E2243" s="89" t="s">
        <v>210</v>
      </c>
      <c r="F2243" s="89">
        <f>IF(E2243="AM",1,(IF(E2243="BE",2,(IF(E2243="GV",3,(IF(E2243="RA",4,(IF(E2243="RM",5,(IF(E2243="AC",1,(IF(E2243="AT",2,(IF(E2243="DS",3,(IF(E2243="IP",4,(IF(E2243="MA",5,(IF(E2243="PT",6,(IF(E2243="AE",1,(IF(E2243="CM",2,(IF(E2243="DP",3,(IF(E2243="AN",1,(IF(E2243="CO",2,(IF(E2243="IM",3,(IF(E2243="MI",4,(IF(E2243="RP",5,(IF(E2243="SC",6,0)))))))))))))))))))))))))))))))))))))))</f>
        <v>3</v>
      </c>
      <c r="G2243" s="52">
        <v>6</v>
      </c>
      <c r="H2243" s="90" t="s">
        <v>115</v>
      </c>
      <c r="I2243" s="94" t="s">
        <v>77</v>
      </c>
      <c r="J2243" s="87" t="s">
        <v>1461</v>
      </c>
      <c r="K2243" s="102" t="s">
        <v>2440</v>
      </c>
      <c r="L2243" s="117">
        <f>IF(O2243="","",N2243*O2243*M2243)</f>
        <v>0</v>
      </c>
      <c r="M2243" s="108">
        <v>1</v>
      </c>
      <c r="N2243" s="95">
        <v>1</v>
      </c>
      <c r="O2243" s="109">
        <f>IF(Key!D$1="ON",P2243,IF(SUM(Q2243:DL2243)&lt;1,"",SUM(Q2243:DL2243)/COUNTIF(Q2243:DL2243,"&gt;0")))</f>
        <v>0</v>
      </c>
      <c r="P2243" s="109">
        <f>SUMIFS(Q2243:DK2243,Q$1:DK$1,Dashboard!$K$31)</f>
        <v>0</v>
      </c>
      <c r="U2243" s="95">
        <v>33</v>
      </c>
      <c r="AA2243" s="95">
        <v>25</v>
      </c>
      <c r="AH2243" s="95">
        <v>75</v>
      </c>
    </row>
    <row r="2244" spans="1:34" x14ac:dyDescent="0.3">
      <c r="A2244" s="89" t="str">
        <f>CONCATENATE(D2244,".",F2244,"-",G2244,".",H2244,"")</f>
        <v>2.3-6.1</v>
      </c>
      <c r="B2244" s="89" t="str">
        <f>IF(CONCATENATE(I2244,Key!F$2)=CONCATENATE(INDEX(Dashboard!J:J,MATCH(I2244,Dashboard!J:J,0),1),INDEX(Dashboard!J:K,MATCH(I2244,Dashboard!J:J,0),2)),"ON",IF(Dashboard!K$32="ALL","ON","-"))</f>
        <v>-</v>
      </c>
      <c r="C2244" s="88" t="s">
        <v>152</v>
      </c>
      <c r="D2244" s="89">
        <f>IF(C2244="ID",1,(IF(C2244="PR",2,(IF(C2244="DE",3,(IF(C2244="RS",4,(IF(C2244="RC",5,0)))))))))</f>
        <v>2</v>
      </c>
      <c r="E2244" s="89" t="s">
        <v>210</v>
      </c>
      <c r="F2244" s="89">
        <f>IF(E2244="AM",1,(IF(E2244="BE",2,(IF(E2244="GV",3,(IF(E2244="RA",4,(IF(E2244="RM",5,(IF(E2244="AC",1,(IF(E2244="AT",2,(IF(E2244="DS",3,(IF(E2244="IP",4,(IF(E2244="MA",5,(IF(E2244="PT",6,(IF(E2244="AE",1,(IF(E2244="CM",2,(IF(E2244="DP",3,(IF(E2244="AN",1,(IF(E2244="CO",2,(IF(E2244="IM",3,(IF(E2244="MI",4,(IF(E2244="RP",5,(IF(E2244="SC",6,0)))))))))))))))))))))))))))))))))))))))</f>
        <v>3</v>
      </c>
      <c r="G2244" s="52">
        <v>6</v>
      </c>
      <c r="H2244" s="90" t="s">
        <v>115</v>
      </c>
      <c r="I2244" s="94" t="s">
        <v>77</v>
      </c>
      <c r="J2244" s="87" t="s">
        <v>1462</v>
      </c>
      <c r="K2244" s="102" t="s">
        <v>2441</v>
      </c>
      <c r="L2244" s="117">
        <f>IF(O2244="","",N2244*O2244*M2244)</f>
        <v>0</v>
      </c>
      <c r="M2244" s="108">
        <v>1</v>
      </c>
      <c r="N2244" s="95">
        <v>1</v>
      </c>
      <c r="O2244" s="109">
        <f>IF(Key!D$1="ON",P2244,IF(SUM(Q2244:DL2244)&lt;1,"",SUM(Q2244:DL2244)/COUNTIF(Q2244:DL2244,"&gt;0")))</f>
        <v>0</v>
      </c>
      <c r="P2244" s="109">
        <f>SUMIFS(Q2244:DK2244,Q$1:DK$1,Dashboard!$K$31)</f>
        <v>0</v>
      </c>
      <c r="U2244" s="95">
        <v>33</v>
      </c>
      <c r="AA2244" s="95">
        <v>25</v>
      </c>
      <c r="AH2244" s="95">
        <v>75</v>
      </c>
    </row>
    <row r="2245" spans="1:34" x14ac:dyDescent="0.3">
      <c r="A2245" s="89" t="str">
        <f>CONCATENATE(D2245,".",F2245,"-",G2245,".",H2245,"")</f>
        <v>2.3-6.1</v>
      </c>
      <c r="B2245" s="89" t="str">
        <f>IF(CONCATENATE(I2245,Key!F$2)=CONCATENATE(INDEX(Dashboard!J:J,MATCH(I2245,Dashboard!J:J,0),1),INDEX(Dashboard!J:K,MATCH(I2245,Dashboard!J:J,0),2)),"ON",IF(Dashboard!K$32="ALL","ON","-"))</f>
        <v>-</v>
      </c>
      <c r="C2245" s="88" t="s">
        <v>152</v>
      </c>
      <c r="D2245" s="89">
        <f>IF(C2245="ID",1,(IF(C2245="PR",2,(IF(C2245="DE",3,(IF(C2245="RS",4,(IF(C2245="RC",5,0)))))))))</f>
        <v>2</v>
      </c>
      <c r="E2245" s="89" t="s">
        <v>210</v>
      </c>
      <c r="F2245" s="89">
        <f>IF(E2245="AM",1,(IF(E2245="BE",2,(IF(E2245="GV",3,(IF(E2245="RA",4,(IF(E2245="RM",5,(IF(E2245="AC",1,(IF(E2245="AT",2,(IF(E2245="DS",3,(IF(E2245="IP",4,(IF(E2245="MA",5,(IF(E2245="PT",6,(IF(E2245="AE",1,(IF(E2245="CM",2,(IF(E2245="DP",3,(IF(E2245="AN",1,(IF(E2245="CO",2,(IF(E2245="IM",3,(IF(E2245="MI",4,(IF(E2245="RP",5,(IF(E2245="SC",6,0)))))))))))))))))))))))))))))))))))))))</f>
        <v>3</v>
      </c>
      <c r="G2245" s="98">
        <v>6</v>
      </c>
      <c r="H2245" s="90" t="s">
        <v>115</v>
      </c>
      <c r="I2245" s="94" t="s">
        <v>81</v>
      </c>
      <c r="J2245" s="129" t="s">
        <v>1968</v>
      </c>
      <c r="K2245" s="103" t="s">
        <v>1969</v>
      </c>
      <c r="L2245" s="117">
        <f>IF(O2245="","",N2245*O2245*M2245)</f>
        <v>0</v>
      </c>
      <c r="M2245" s="108">
        <v>1</v>
      </c>
      <c r="N2245" s="95">
        <v>1</v>
      </c>
      <c r="O2245" s="109">
        <f>IF(Key!D$1="ON",P2245,IF(SUM(Q2245:DL2245)&lt;1,"",SUM(Q2245:DL2245)/COUNTIF(Q2245:DL2245,"&gt;0")))</f>
        <v>0</v>
      </c>
      <c r="P2245" s="109">
        <f>SUMIFS(Q2245:DK2245,Q$1:DK$1,Dashboard!$K$31)</f>
        <v>0</v>
      </c>
      <c r="U2245" s="95">
        <v>33</v>
      </c>
      <c r="AA2245" s="95">
        <v>25</v>
      </c>
      <c r="AH2245" s="95">
        <v>75</v>
      </c>
    </row>
    <row r="2246" spans="1:34" ht="15.6" x14ac:dyDescent="0.3">
      <c r="A2246" s="89" t="str">
        <f>CONCATENATE(D2246,".",F2246,"-",G2246,".",H2246,"")</f>
        <v>2.3-6.1</v>
      </c>
      <c r="B2246" s="89" t="str">
        <f>IF(CONCATENATE(I2246,Key!F$2)=CONCATENATE(INDEX(Dashboard!J:J,MATCH(I2246,Dashboard!J:J,0),1),INDEX(Dashboard!J:K,MATCH(I2246,Dashboard!J:J,0),2)),"ON",IF(Dashboard!K$32="ALL","ON","-"))</f>
        <v>-</v>
      </c>
      <c r="C2246" s="88" t="s">
        <v>152</v>
      </c>
      <c r="D2246" s="89">
        <f>IF(C2246="ID",1,(IF(C2246="PR",2,(IF(C2246="DE",3,(IF(C2246="RS",4,(IF(C2246="RC",5,0)))))))))</f>
        <v>2</v>
      </c>
      <c r="E2246" s="89" t="s">
        <v>210</v>
      </c>
      <c r="F2246" s="89">
        <f>IF(E2246="AM",1,(IF(E2246="BE",2,(IF(E2246="GV",3,(IF(E2246="RA",4,(IF(E2246="RM",5,(IF(E2246="AC",1,(IF(E2246="AT",2,(IF(E2246="DS",3,(IF(E2246="IP",4,(IF(E2246="MA",5,(IF(E2246="PT",6,(IF(E2246="AE",1,(IF(E2246="CM",2,(IF(E2246="DP",3,(IF(E2246="AN",1,(IF(E2246="CO",2,(IF(E2246="IM",3,(IF(E2246="MI",4,(IF(E2246="RP",5,(IF(E2246="SC",6,0)))))))))))))))))))))))))))))))))))))))</f>
        <v>3</v>
      </c>
      <c r="G2246" s="52">
        <v>6</v>
      </c>
      <c r="H2246" s="90" t="s">
        <v>115</v>
      </c>
      <c r="I2246" s="94" t="s">
        <v>85</v>
      </c>
      <c r="J2246" s="135" t="s">
        <v>692</v>
      </c>
      <c r="K2246" s="143" t="s">
        <v>4759</v>
      </c>
      <c r="L2246" s="117">
        <f>IF(O2246="","",N2246*O2246*M2246)</f>
        <v>0</v>
      </c>
      <c r="M2246" s="108">
        <v>1</v>
      </c>
      <c r="N2246" s="95">
        <v>1</v>
      </c>
      <c r="O2246" s="109">
        <f>IF(Key!D$1="ON",P2246,IF(SUM(Q2246:DL2246)&lt;1,"",SUM(Q2246:DL2246)/COUNTIF(Q2246:DL2246,"&gt;0")))</f>
        <v>0</v>
      </c>
      <c r="P2246" s="109">
        <f>SUMIFS(Q2246:DK2246,Q$1:DK$1,Dashboard!$K$31)</f>
        <v>0</v>
      </c>
      <c r="U2246" s="95">
        <v>33</v>
      </c>
      <c r="AA2246" s="95">
        <v>25</v>
      </c>
      <c r="AH2246" s="95">
        <v>75</v>
      </c>
    </row>
    <row r="2247" spans="1:34" x14ac:dyDescent="0.3">
      <c r="A2247" s="89" t="str">
        <f>CONCATENATE(D2247,".",F2247,"-",G2247,".",H2247,"")</f>
        <v>2.3-6.1</v>
      </c>
      <c r="B2247" s="89" t="str">
        <f>IF(CONCATENATE(I2247,Key!F$2)=CONCATENATE(INDEX(Dashboard!J:J,MATCH(I2247,Dashboard!J:J,0),1),INDEX(Dashboard!J:K,MATCH(I2247,Dashboard!J:J,0),2)),"ON",IF(Dashboard!K$32="ALL","ON","-"))</f>
        <v>-</v>
      </c>
      <c r="C2247" s="88" t="s">
        <v>152</v>
      </c>
      <c r="D2247" s="89">
        <f>IF(C2247="ID",1,(IF(C2247="PR",2,(IF(C2247="DE",3,(IF(C2247="RS",4,(IF(C2247="RC",5,0)))))))))</f>
        <v>2</v>
      </c>
      <c r="E2247" s="89" t="s">
        <v>210</v>
      </c>
      <c r="F2247" s="89">
        <f>IF(E2247="AM",1,(IF(E2247="BE",2,(IF(E2247="GV",3,(IF(E2247="RA",4,(IF(E2247="RM",5,(IF(E2247="AC",1,(IF(E2247="AT",2,(IF(E2247="DS",3,(IF(E2247="IP",4,(IF(E2247="MA",5,(IF(E2247="PT",6,(IF(E2247="AE",1,(IF(E2247="CM",2,(IF(E2247="DP",3,(IF(E2247="AN",1,(IF(E2247="CO",2,(IF(E2247="IM",3,(IF(E2247="MI",4,(IF(E2247="RP",5,(IF(E2247="SC",6,0)))))))))))))))))))))))))))))))))))))))</f>
        <v>3</v>
      </c>
      <c r="G2247" s="52">
        <v>6</v>
      </c>
      <c r="H2247" s="90" t="s">
        <v>115</v>
      </c>
      <c r="I2247" s="94" t="s">
        <v>85</v>
      </c>
      <c r="J2247" s="135" t="s">
        <v>888</v>
      </c>
      <c r="K2247" s="143" t="s">
        <v>889</v>
      </c>
      <c r="L2247" s="117">
        <f>IF(O2247="","",N2247*O2247*M2247)</f>
        <v>0</v>
      </c>
      <c r="M2247" s="108">
        <v>1</v>
      </c>
      <c r="N2247" s="95">
        <v>1</v>
      </c>
      <c r="O2247" s="109">
        <f>IF(Key!D$1="ON",P2247,IF(SUM(Q2247:DL2247)&lt;1,"",SUM(Q2247:DL2247)/COUNTIF(Q2247:DL2247,"&gt;0")))</f>
        <v>0</v>
      </c>
      <c r="P2247" s="109">
        <f>SUMIFS(Q2247:DK2247,Q$1:DK$1,Dashboard!$K$31)</f>
        <v>0</v>
      </c>
      <c r="U2247" s="95">
        <v>33</v>
      </c>
      <c r="AA2247" s="95">
        <v>25</v>
      </c>
      <c r="AH2247" s="95">
        <v>75</v>
      </c>
    </row>
    <row r="2248" spans="1:34" x14ac:dyDescent="0.3">
      <c r="A2248" s="89" t="str">
        <f>CONCATENATE(D2248,".",F2248,"-",G2248,".",H2248,"")</f>
        <v>2.3-6.1</v>
      </c>
      <c r="B2248" s="89" t="str">
        <f>IF(CONCATENATE(I2248,Key!F$2)=CONCATENATE(INDEX(Dashboard!J:J,MATCH(I2248,Dashboard!J:J,0),1),INDEX(Dashboard!J:K,MATCH(I2248,Dashboard!J:J,0),2)),"ON",IF(Dashboard!K$32="ALL","ON","-"))</f>
        <v>-</v>
      </c>
      <c r="C2248" s="88" t="s">
        <v>152</v>
      </c>
      <c r="D2248" s="89">
        <f>IF(C2248="ID",1,(IF(C2248="PR",2,(IF(C2248="DE",3,(IF(C2248="RS",4,(IF(C2248="RC",5,0)))))))))</f>
        <v>2</v>
      </c>
      <c r="E2248" s="89" t="s">
        <v>210</v>
      </c>
      <c r="F2248" s="89">
        <f>IF(E2248="AM",1,(IF(E2248="BE",2,(IF(E2248="GV",3,(IF(E2248="RA",4,(IF(E2248="RM",5,(IF(E2248="AC",1,(IF(E2248="AT",2,(IF(E2248="DS",3,(IF(E2248="IP",4,(IF(E2248="MA",5,(IF(E2248="PT",6,(IF(E2248="AE",1,(IF(E2248="CM",2,(IF(E2248="DP",3,(IF(E2248="AN",1,(IF(E2248="CO",2,(IF(E2248="IM",3,(IF(E2248="MI",4,(IF(E2248="RP",5,(IF(E2248="SC",6,0)))))))))))))))))))))))))))))))))))))))</f>
        <v>3</v>
      </c>
      <c r="G2248" s="52">
        <v>6</v>
      </c>
      <c r="H2248" s="90" t="s">
        <v>115</v>
      </c>
      <c r="I2248" s="94" t="s">
        <v>85</v>
      </c>
      <c r="J2248" s="135" t="s">
        <v>890</v>
      </c>
      <c r="K2248" s="143" t="s">
        <v>4997</v>
      </c>
      <c r="L2248" s="117">
        <f>IF(O2248="","",N2248*O2248*M2248)</f>
        <v>0</v>
      </c>
      <c r="M2248" s="108">
        <v>0.9</v>
      </c>
      <c r="N2248" s="95">
        <v>1</v>
      </c>
      <c r="O2248" s="109">
        <f>IF(Key!D$1="ON",P2248,IF(SUM(Q2248:DL2248)&lt;1,"",SUM(Q2248:DL2248)/COUNTIF(Q2248:DL2248,"&gt;0")))</f>
        <v>0</v>
      </c>
      <c r="P2248" s="109">
        <f>SUMIFS(Q2248:DK2248,Q$1:DK$1,Dashboard!$K$31)</f>
        <v>0</v>
      </c>
      <c r="S2248" s="95">
        <v>25</v>
      </c>
      <c r="T2248" s="95">
        <v>80</v>
      </c>
      <c r="U2248" s="95">
        <v>33</v>
      </c>
      <c r="X2248" s="95">
        <v>7</v>
      </c>
      <c r="AA2248" s="95">
        <v>25</v>
      </c>
      <c r="AH2248" s="95">
        <v>75</v>
      </c>
    </row>
    <row r="2249" spans="1:34" x14ac:dyDescent="0.3">
      <c r="A2249" s="89" t="str">
        <f>CONCATENATE(D2249,".",F2249,"-",G2249,".",H2249,"")</f>
        <v>2.3-6.1</v>
      </c>
      <c r="B2249" s="89" t="str">
        <f>IF(CONCATENATE(I2249,Key!F$2)=CONCATENATE(INDEX(Dashboard!J:J,MATCH(I2249,Dashboard!J:J,0),1),INDEX(Dashboard!J:K,MATCH(I2249,Dashboard!J:J,0),2)),"ON",IF(Dashboard!K$32="ALL","ON","-"))</f>
        <v>-</v>
      </c>
      <c r="C2249" s="88" t="s">
        <v>152</v>
      </c>
      <c r="D2249" s="89">
        <f>IF(C2249="ID",1,(IF(C2249="PR",2,(IF(C2249="DE",3,(IF(C2249="RS",4,(IF(C2249="RC",5,0)))))))))</f>
        <v>2</v>
      </c>
      <c r="E2249" s="89" t="s">
        <v>210</v>
      </c>
      <c r="F2249" s="89">
        <f>IF(E2249="AM",1,(IF(E2249="BE",2,(IF(E2249="GV",3,(IF(E2249="RA",4,(IF(E2249="RM",5,(IF(E2249="AC",1,(IF(E2249="AT",2,(IF(E2249="DS",3,(IF(E2249="IP",4,(IF(E2249="MA",5,(IF(E2249="PT",6,(IF(E2249="AE",1,(IF(E2249="CM",2,(IF(E2249="DP",3,(IF(E2249="AN",1,(IF(E2249="CO",2,(IF(E2249="IM",3,(IF(E2249="MI",4,(IF(E2249="RP",5,(IF(E2249="SC",6,0)))))))))))))))))))))))))))))))))))))))</f>
        <v>3</v>
      </c>
      <c r="G2249" s="52">
        <v>6</v>
      </c>
      <c r="H2249" s="90" t="s">
        <v>115</v>
      </c>
      <c r="I2249" s="94" t="s">
        <v>85</v>
      </c>
      <c r="J2249" s="135" t="s">
        <v>892</v>
      </c>
      <c r="K2249" s="143" t="s">
        <v>4999</v>
      </c>
      <c r="L2249" s="117">
        <f>IF(O2249="","",N2249*O2249*M2249)</f>
        <v>0</v>
      </c>
      <c r="M2249" s="108">
        <v>1</v>
      </c>
      <c r="N2249" s="95">
        <v>1</v>
      </c>
      <c r="O2249" s="109">
        <f>IF(Key!D$1="ON",P2249,IF(SUM(Q2249:DL2249)&lt;1,"",SUM(Q2249:DL2249)/COUNTIF(Q2249:DL2249,"&gt;0")))</f>
        <v>0</v>
      </c>
      <c r="P2249" s="109">
        <f>SUMIFS(Q2249:DK2249,Q$1:DK$1,Dashboard!$K$31)</f>
        <v>0</v>
      </c>
      <c r="U2249" s="95">
        <v>33</v>
      </c>
      <c r="AA2249" s="95">
        <v>25</v>
      </c>
      <c r="AH2249" s="95">
        <v>75</v>
      </c>
    </row>
    <row r="2250" spans="1:34" x14ac:dyDescent="0.3">
      <c r="A2250" s="89" t="str">
        <f>CONCATENATE(D2250,".",F2250,"-",G2250,".",H2250,"")</f>
        <v>2.3-6.1</v>
      </c>
      <c r="B2250" s="89" t="str">
        <f>IF(CONCATENATE(I2250,Key!F$2)=CONCATENATE(INDEX(Dashboard!J:J,MATCH(I2250,Dashboard!J:J,0),1),INDEX(Dashboard!J:K,MATCH(I2250,Dashboard!J:J,0),2)),"ON",IF(Dashboard!K$32="ALL","ON","-"))</f>
        <v>-</v>
      </c>
      <c r="C2250" s="88" t="s">
        <v>152</v>
      </c>
      <c r="D2250" s="89">
        <f>IF(C2250="ID",1,(IF(C2250="PR",2,(IF(C2250="DE",3,(IF(C2250="RS",4,(IF(C2250="RC",5,0)))))))))</f>
        <v>2</v>
      </c>
      <c r="E2250" s="89" t="s">
        <v>210</v>
      </c>
      <c r="F2250" s="89">
        <f>IF(E2250="AM",1,(IF(E2250="BE",2,(IF(E2250="GV",3,(IF(E2250="RA",4,(IF(E2250="RM",5,(IF(E2250="AC",1,(IF(E2250="AT",2,(IF(E2250="DS",3,(IF(E2250="IP",4,(IF(E2250="MA",5,(IF(E2250="PT",6,(IF(E2250="AE",1,(IF(E2250="CM",2,(IF(E2250="DP",3,(IF(E2250="AN",1,(IF(E2250="CO",2,(IF(E2250="IM",3,(IF(E2250="MI",4,(IF(E2250="RP",5,(IF(E2250="SC",6,0)))))))))))))))))))))))))))))))))))))))</f>
        <v>3</v>
      </c>
      <c r="G2250" s="52">
        <v>6</v>
      </c>
      <c r="H2250" s="90" t="s">
        <v>115</v>
      </c>
      <c r="I2250" s="94" t="s">
        <v>85</v>
      </c>
      <c r="J2250" s="87" t="s">
        <v>1434</v>
      </c>
      <c r="K2250" s="119" t="s">
        <v>4572</v>
      </c>
      <c r="L2250" s="117">
        <f>IF(O2250="","",N2250*O2250*M2250)</f>
        <v>0</v>
      </c>
      <c r="M2250" s="108">
        <v>1</v>
      </c>
      <c r="N2250" s="95">
        <v>1</v>
      </c>
      <c r="O2250" s="109">
        <f>IF(Key!D$1="ON",P2250,IF(SUM(Q2250:DL2250)&lt;1,"",SUM(Q2250:DL2250)/COUNTIF(Q2250:DL2250,"&gt;0")))</f>
        <v>0</v>
      </c>
      <c r="P2250" s="109">
        <f>SUMIFS(Q2250:DK2250,Q$1:DK$1,Dashboard!$K$31)</f>
        <v>0</v>
      </c>
      <c r="U2250" s="95">
        <v>33</v>
      </c>
      <c r="AA2250" s="95">
        <v>25</v>
      </c>
      <c r="AH2250" s="95">
        <v>75</v>
      </c>
    </row>
    <row r="2251" spans="1:34" x14ac:dyDescent="0.3">
      <c r="A2251" s="89" t="str">
        <f>CONCATENATE(D2251,".",F2251,"-",G2251,".",H2251,"")</f>
        <v>2.3-6.1</v>
      </c>
      <c r="B2251" s="89" t="str">
        <f>IF(CONCATENATE(I2251,Key!F$2)=CONCATENATE(INDEX(Dashboard!J:J,MATCH(I2251,Dashboard!J:J,0),1),INDEX(Dashboard!J:K,MATCH(I2251,Dashboard!J:J,0),2)),"ON",IF(Dashboard!K$32="ALL","ON","-"))</f>
        <v>-</v>
      </c>
      <c r="C2251" s="88" t="s">
        <v>152</v>
      </c>
      <c r="D2251" s="89">
        <f>IF(C2251="ID",1,(IF(C2251="PR",2,(IF(C2251="DE",3,(IF(C2251="RS",4,(IF(C2251="RC",5,0)))))))))</f>
        <v>2</v>
      </c>
      <c r="E2251" s="89" t="s">
        <v>210</v>
      </c>
      <c r="F2251" s="89">
        <f>IF(E2251="AM",1,(IF(E2251="BE",2,(IF(E2251="GV",3,(IF(E2251="RA",4,(IF(E2251="RM",5,(IF(E2251="AC",1,(IF(E2251="AT",2,(IF(E2251="DS",3,(IF(E2251="IP",4,(IF(E2251="MA",5,(IF(E2251="PT",6,(IF(E2251="AE",1,(IF(E2251="CM",2,(IF(E2251="DP",3,(IF(E2251="AN",1,(IF(E2251="CO",2,(IF(E2251="IM",3,(IF(E2251="MI",4,(IF(E2251="RP",5,(IF(E2251="SC",6,0)))))))))))))))))))))))))))))))))))))))</f>
        <v>3</v>
      </c>
      <c r="G2251" s="52">
        <v>6</v>
      </c>
      <c r="H2251" s="90" t="s">
        <v>115</v>
      </c>
      <c r="I2251" s="94" t="s">
        <v>85</v>
      </c>
      <c r="J2251" s="87" t="s">
        <v>1461</v>
      </c>
      <c r="K2251" s="119" t="s">
        <v>5130</v>
      </c>
      <c r="L2251" s="117">
        <f>IF(O2251="","",N2251*O2251*M2251)</f>
        <v>0</v>
      </c>
      <c r="M2251" s="108">
        <v>1</v>
      </c>
      <c r="N2251" s="95">
        <v>1</v>
      </c>
      <c r="O2251" s="109">
        <f>IF(Key!D$1="ON",P2251,IF(SUM(Q2251:DL2251)&lt;1,"",SUM(Q2251:DL2251)/COUNTIF(Q2251:DL2251,"&gt;0")))</f>
        <v>0</v>
      </c>
      <c r="P2251" s="109">
        <f>SUMIFS(Q2251:DK2251,Q$1:DK$1,Dashboard!$K$31)</f>
        <v>0</v>
      </c>
      <c r="U2251" s="95">
        <v>33</v>
      </c>
      <c r="AA2251" s="95">
        <v>25</v>
      </c>
      <c r="AH2251" s="95">
        <v>75</v>
      </c>
    </row>
    <row r="2252" spans="1:34" x14ac:dyDescent="0.3">
      <c r="A2252" s="89" t="str">
        <f>CONCATENATE(D2252,".",F2252,"-",G2252,".",H2252,"")</f>
        <v>2.3-6.1</v>
      </c>
      <c r="B2252" s="89" t="str">
        <f>IF(CONCATENATE(I2252,Key!F$2)=CONCATENATE(INDEX(Dashboard!J:J,MATCH(I2252,Dashboard!J:J,0),1),INDEX(Dashboard!J:K,MATCH(I2252,Dashboard!J:J,0),2)),"ON",IF(Dashboard!K$32="ALL","ON","-"))</f>
        <v>-</v>
      </c>
      <c r="C2252" s="88" t="s">
        <v>152</v>
      </c>
      <c r="D2252" s="89">
        <f>IF(C2252="ID",1,(IF(C2252="PR",2,(IF(C2252="DE",3,(IF(C2252="RS",4,(IF(C2252="RC",5,0)))))))))</f>
        <v>2</v>
      </c>
      <c r="E2252" s="89" t="s">
        <v>210</v>
      </c>
      <c r="F2252" s="89">
        <f>IF(E2252="AM",1,(IF(E2252="BE",2,(IF(E2252="GV",3,(IF(E2252="RA",4,(IF(E2252="RM",5,(IF(E2252="AC",1,(IF(E2252="AT",2,(IF(E2252="DS",3,(IF(E2252="IP",4,(IF(E2252="MA",5,(IF(E2252="PT",6,(IF(E2252="AE",1,(IF(E2252="CM",2,(IF(E2252="DP",3,(IF(E2252="AN",1,(IF(E2252="CO",2,(IF(E2252="IM",3,(IF(E2252="MI",4,(IF(E2252="RP",5,(IF(E2252="SC",6,0)))))))))))))))))))))))))))))))))))))))</f>
        <v>3</v>
      </c>
      <c r="G2252" s="52">
        <v>6</v>
      </c>
      <c r="H2252" s="90" t="s">
        <v>115</v>
      </c>
      <c r="I2252" s="94" t="s">
        <v>85</v>
      </c>
      <c r="J2252" s="87" t="s">
        <v>1456</v>
      </c>
      <c r="K2252" s="119" t="s">
        <v>5126</v>
      </c>
      <c r="L2252" s="117">
        <f>IF(O2252="","",N2252*O2252*M2252)</f>
        <v>0</v>
      </c>
      <c r="M2252" s="108">
        <v>1</v>
      </c>
      <c r="N2252" s="95">
        <v>1</v>
      </c>
      <c r="O2252" s="109">
        <f>IF(Key!D$1="ON",P2252,IF(SUM(Q2252:DL2252)&lt;1,"",SUM(Q2252:DL2252)/COUNTIF(Q2252:DL2252,"&gt;0")))</f>
        <v>0</v>
      </c>
      <c r="P2252" s="109">
        <f>SUMIFS(Q2252:DK2252,Q$1:DK$1,Dashboard!$K$31)</f>
        <v>0</v>
      </c>
      <c r="U2252" s="95">
        <v>33</v>
      </c>
      <c r="AA2252" s="95">
        <v>25</v>
      </c>
      <c r="AH2252" s="95">
        <v>75</v>
      </c>
    </row>
    <row r="2253" spans="1:34" ht="15.6" x14ac:dyDescent="0.3">
      <c r="A2253" s="89" t="str">
        <f>CONCATENATE(D2253,".",F2253,"-",G2253,".",H2253,"")</f>
        <v>2.3-6.1</v>
      </c>
      <c r="B2253" s="89" t="str">
        <f>IF(CONCATENATE(I2253,Key!F$2)=CONCATENATE(INDEX(Dashboard!J:J,MATCH(I2253,Dashboard!J:J,0),1),INDEX(Dashboard!J:K,MATCH(I2253,Dashboard!J:J,0),2)),"ON",IF(Dashboard!K$32="ALL","ON","-"))</f>
        <v>-</v>
      </c>
      <c r="C2253" s="88" t="s">
        <v>152</v>
      </c>
      <c r="D2253" s="89">
        <f>IF(C2253="ID",1,(IF(C2253="PR",2,(IF(C2253="DE",3,(IF(C2253="RS",4,(IF(C2253="RC",5,0)))))))))</f>
        <v>2</v>
      </c>
      <c r="E2253" s="89" t="s">
        <v>210</v>
      </c>
      <c r="F2253" s="89">
        <f>IF(E2253="AM",1,(IF(E2253="BE",2,(IF(E2253="GV",3,(IF(E2253="RA",4,(IF(E2253="RM",5,(IF(E2253="AC",1,(IF(E2253="AT",2,(IF(E2253="DS",3,(IF(E2253="IP",4,(IF(E2253="MA",5,(IF(E2253="PT",6,(IF(E2253="AE",1,(IF(E2253="CM",2,(IF(E2253="DP",3,(IF(E2253="AN",1,(IF(E2253="CO",2,(IF(E2253="IM",3,(IF(E2253="MI",4,(IF(E2253="RP",5,(IF(E2253="SC",6,0)))))))))))))))))))))))))))))))))))))))</f>
        <v>3</v>
      </c>
      <c r="G2253" s="52">
        <v>6</v>
      </c>
      <c r="H2253" s="90" t="s">
        <v>115</v>
      </c>
      <c r="I2253" s="94" t="s">
        <v>85</v>
      </c>
      <c r="J2253" s="87" t="s">
        <v>1458</v>
      </c>
      <c r="K2253" s="119" t="s">
        <v>5128</v>
      </c>
      <c r="L2253" s="117">
        <f>IF(O2253="","",N2253*O2253*M2253)</f>
        <v>0</v>
      </c>
      <c r="M2253" s="108">
        <v>1</v>
      </c>
      <c r="N2253" s="95">
        <v>1</v>
      </c>
      <c r="O2253" s="109">
        <f>IF(Key!D$1="ON",P2253,IF(SUM(Q2253:DL2253)&lt;1,"",SUM(Q2253:DL2253)/COUNTIF(Q2253:DL2253,"&gt;0")))</f>
        <v>0</v>
      </c>
      <c r="P2253" s="109">
        <f>SUMIFS(Q2253:DK2253,Q$1:DK$1,Dashboard!$K$31)</f>
        <v>0</v>
      </c>
      <c r="U2253" s="95">
        <v>33</v>
      </c>
      <c r="AA2253" s="95">
        <v>25</v>
      </c>
      <c r="AH2253" s="95">
        <v>75</v>
      </c>
    </row>
    <row r="2254" spans="1:34" ht="15.6" x14ac:dyDescent="0.3">
      <c r="A2254" s="89" t="str">
        <f>CONCATENATE(D2254,".",F2254,"-",G2254,".",H2254,"")</f>
        <v>2.3-6.1</v>
      </c>
      <c r="B2254" s="89" t="str">
        <f>IF(CONCATENATE(I2254,Key!F$2)=CONCATENATE(INDEX(Dashboard!J:J,MATCH(I2254,Dashboard!J:J,0),1),INDEX(Dashboard!J:K,MATCH(I2254,Dashboard!J:J,0),2)),"ON",IF(Dashboard!K$32="ALL","ON","-"))</f>
        <v>-</v>
      </c>
      <c r="C2254" s="88" t="s">
        <v>152</v>
      </c>
      <c r="D2254" s="89">
        <f>IF(C2254="ID",1,(IF(C2254="PR",2,(IF(C2254="DE",3,(IF(C2254="RS",4,(IF(C2254="RC",5,0)))))))))</f>
        <v>2</v>
      </c>
      <c r="E2254" s="89" t="s">
        <v>210</v>
      </c>
      <c r="F2254" s="89">
        <f>IF(E2254="AM",1,(IF(E2254="BE",2,(IF(E2254="GV",3,(IF(E2254="RA",4,(IF(E2254="RM",5,(IF(E2254="AC",1,(IF(E2254="AT",2,(IF(E2254="DS",3,(IF(E2254="IP",4,(IF(E2254="MA",5,(IF(E2254="PT",6,(IF(E2254="AE",1,(IF(E2254="CM",2,(IF(E2254="DP",3,(IF(E2254="AN",1,(IF(E2254="CO",2,(IF(E2254="IM",3,(IF(E2254="MI",4,(IF(E2254="RP",5,(IF(E2254="SC",6,0)))))))))))))))))))))))))))))))))))))))</f>
        <v>3</v>
      </c>
      <c r="G2254" s="52">
        <v>6</v>
      </c>
      <c r="H2254" s="90" t="s">
        <v>115</v>
      </c>
      <c r="I2254" s="94" t="s">
        <v>85</v>
      </c>
      <c r="J2254" s="87" t="s">
        <v>1457</v>
      </c>
      <c r="K2254" s="119" t="s">
        <v>5127</v>
      </c>
      <c r="L2254" s="117">
        <f>IF(O2254="","",N2254*O2254*M2254)</f>
        <v>0</v>
      </c>
      <c r="M2254" s="108">
        <v>1</v>
      </c>
      <c r="N2254" s="95">
        <v>1</v>
      </c>
      <c r="O2254" s="109">
        <f>IF(Key!D$1="ON",P2254,IF(SUM(Q2254:DL2254)&lt;1,"",SUM(Q2254:DL2254)/COUNTIF(Q2254:DL2254,"&gt;0")))</f>
        <v>0</v>
      </c>
      <c r="P2254" s="109">
        <f>SUMIFS(Q2254:DK2254,Q$1:DK$1,Dashboard!$K$31)</f>
        <v>0</v>
      </c>
      <c r="U2254" s="95">
        <v>33</v>
      </c>
      <c r="AA2254" s="95">
        <v>25</v>
      </c>
      <c r="AH2254" s="95">
        <v>75</v>
      </c>
    </row>
    <row r="2255" spans="1:34" x14ac:dyDescent="0.3">
      <c r="A2255" s="89" t="str">
        <f>CONCATENATE(D2255,".",F2255,"-",G2255,".",H2255,"")</f>
        <v>2.3-6.1</v>
      </c>
      <c r="B2255" s="89" t="str">
        <f>IF(CONCATENATE(I2255,Key!F$2)=CONCATENATE(INDEX(Dashboard!J:J,MATCH(I2255,Dashboard!J:J,0),1),INDEX(Dashboard!J:K,MATCH(I2255,Dashboard!J:J,0),2)),"ON",IF(Dashboard!K$32="ALL","ON","-"))</f>
        <v>-</v>
      </c>
      <c r="C2255" s="88" t="s">
        <v>152</v>
      </c>
      <c r="D2255" s="89">
        <f>IF(C2255="ID",1,(IF(C2255="PR",2,(IF(C2255="DE",3,(IF(C2255="RS",4,(IF(C2255="RC",5,0)))))))))</f>
        <v>2</v>
      </c>
      <c r="E2255" s="89" t="s">
        <v>210</v>
      </c>
      <c r="F2255" s="89">
        <f>IF(E2255="AM",1,(IF(E2255="BE",2,(IF(E2255="GV",3,(IF(E2255="RA",4,(IF(E2255="RM",5,(IF(E2255="AC",1,(IF(E2255="AT",2,(IF(E2255="DS",3,(IF(E2255="IP",4,(IF(E2255="MA",5,(IF(E2255="PT",6,(IF(E2255="AE",1,(IF(E2255="CM",2,(IF(E2255="DP",3,(IF(E2255="AN",1,(IF(E2255="CO",2,(IF(E2255="IM",3,(IF(E2255="MI",4,(IF(E2255="RP",5,(IF(E2255="SC",6,0)))))))))))))))))))))))))))))))))))))))</f>
        <v>3</v>
      </c>
      <c r="G2255" s="52">
        <v>6</v>
      </c>
      <c r="H2255" s="90" t="s">
        <v>115</v>
      </c>
      <c r="I2255" s="94" t="s">
        <v>85</v>
      </c>
      <c r="J2255" s="87" t="s">
        <v>1454</v>
      </c>
      <c r="K2255" s="119" t="s">
        <v>5133</v>
      </c>
      <c r="L2255" s="117">
        <f>IF(O2255="","",N2255*O2255*M2255)</f>
        <v>0</v>
      </c>
      <c r="M2255" s="108">
        <v>1</v>
      </c>
      <c r="N2255" s="95">
        <v>1</v>
      </c>
      <c r="O2255" s="109">
        <f>IF(Key!D$1="ON",P2255,IF(SUM(Q2255:DL2255)&lt;1,"",SUM(Q2255:DL2255)/COUNTIF(Q2255:DL2255,"&gt;0")))</f>
        <v>0</v>
      </c>
      <c r="P2255" s="109">
        <f>SUMIFS(Q2255:DK2255,Q$1:DK$1,Dashboard!$K$31)</f>
        <v>0</v>
      </c>
      <c r="U2255" s="95">
        <v>33</v>
      </c>
      <c r="AA2255" s="95">
        <v>25</v>
      </c>
      <c r="AH2255" s="95">
        <v>75</v>
      </c>
    </row>
    <row r="2256" spans="1:34" x14ac:dyDescent="0.3">
      <c r="A2256" s="89" t="str">
        <f>CONCATENATE(D2256,".",F2256,"-",G2256,".",H2256,"")</f>
        <v>2.3-6.1</v>
      </c>
      <c r="B2256" s="89" t="str">
        <f>IF(CONCATENATE(I2256,Key!F$2)=CONCATENATE(INDEX(Dashboard!J:J,MATCH(I2256,Dashboard!J:J,0),1),INDEX(Dashboard!J:K,MATCH(I2256,Dashboard!J:J,0),2)),"ON",IF(Dashboard!K$32="ALL","ON","-"))</f>
        <v>-</v>
      </c>
      <c r="C2256" s="88" t="s">
        <v>152</v>
      </c>
      <c r="D2256" s="89">
        <f>IF(C2256="ID",1,(IF(C2256="PR",2,(IF(C2256="DE",3,(IF(C2256="RS",4,(IF(C2256="RC",5,0)))))))))</f>
        <v>2</v>
      </c>
      <c r="E2256" s="89" t="s">
        <v>210</v>
      </c>
      <c r="F2256" s="89">
        <f>IF(E2256="AM",1,(IF(E2256="BE",2,(IF(E2256="GV",3,(IF(E2256="RA",4,(IF(E2256="RM",5,(IF(E2256="AC",1,(IF(E2256="AT",2,(IF(E2256="DS",3,(IF(E2256="IP",4,(IF(E2256="MA",5,(IF(E2256="PT",6,(IF(E2256="AE",1,(IF(E2256="CM",2,(IF(E2256="DP",3,(IF(E2256="AN",1,(IF(E2256="CO",2,(IF(E2256="IM",3,(IF(E2256="MI",4,(IF(E2256="RP",5,(IF(E2256="SC",6,0)))))))))))))))))))))))))))))))))))))))</f>
        <v>3</v>
      </c>
      <c r="G2256" s="52">
        <v>6</v>
      </c>
      <c r="H2256" s="90" t="s">
        <v>115</v>
      </c>
      <c r="I2256" s="94" t="s">
        <v>85</v>
      </c>
      <c r="J2256" s="87" t="s">
        <v>1433</v>
      </c>
      <c r="K2256" s="119" t="s">
        <v>4570</v>
      </c>
      <c r="L2256" s="117">
        <f>IF(O2256="","",N2256*O2256*M2256)</f>
        <v>0</v>
      </c>
      <c r="M2256" s="108">
        <v>1</v>
      </c>
      <c r="N2256" s="95">
        <v>1</v>
      </c>
      <c r="O2256" s="109">
        <f>IF(Key!D$1="ON",P2256,IF(SUM(Q2256:DL2256)&lt;1,"",SUM(Q2256:DL2256)/COUNTIF(Q2256:DL2256,"&gt;0")))</f>
        <v>0</v>
      </c>
      <c r="P2256" s="109">
        <f>SUMIFS(Q2256:DK2256,Q$1:DK$1,Dashboard!$K$31)</f>
        <v>0</v>
      </c>
      <c r="U2256" s="95">
        <v>33</v>
      </c>
      <c r="AA2256" s="95">
        <v>25</v>
      </c>
      <c r="AH2256" s="95">
        <v>75</v>
      </c>
    </row>
    <row r="2257" spans="1:34" ht="15.6" x14ac:dyDescent="0.3">
      <c r="A2257" s="89" t="str">
        <f>CONCATENATE(D2257,".",F2257,"-",G2257,".",H2257,"")</f>
        <v>2.3-6.1</v>
      </c>
      <c r="B2257" s="89" t="str">
        <f>IF(CONCATENATE(I2257,Key!F$2)=CONCATENATE(INDEX(Dashboard!J:J,MATCH(I2257,Dashboard!J:J,0),1),INDEX(Dashboard!J:K,MATCH(I2257,Dashboard!J:J,0),2)),"ON",IF(Dashboard!K$32="ALL","ON","-"))</f>
        <v>-</v>
      </c>
      <c r="C2257" s="88" t="s">
        <v>152</v>
      </c>
      <c r="D2257" s="89">
        <f>IF(C2257="ID",1,(IF(C2257="PR",2,(IF(C2257="DE",3,(IF(C2257="RS",4,(IF(C2257="RC",5,0)))))))))</f>
        <v>2</v>
      </c>
      <c r="E2257" s="89" t="s">
        <v>210</v>
      </c>
      <c r="F2257" s="89">
        <f>IF(E2257="AM",1,(IF(E2257="BE",2,(IF(E2257="GV",3,(IF(E2257="RA",4,(IF(E2257="RM",5,(IF(E2257="AC",1,(IF(E2257="AT",2,(IF(E2257="DS",3,(IF(E2257="IP",4,(IF(E2257="MA",5,(IF(E2257="PT",6,(IF(E2257="AE",1,(IF(E2257="CM",2,(IF(E2257="DP",3,(IF(E2257="AN",1,(IF(E2257="CO",2,(IF(E2257="IM",3,(IF(E2257="MI",4,(IF(E2257="RP",5,(IF(E2257="SC",6,0)))))))))))))))))))))))))))))))))))))))</f>
        <v>3</v>
      </c>
      <c r="G2257" s="52">
        <v>6</v>
      </c>
      <c r="H2257" s="90" t="s">
        <v>115</v>
      </c>
      <c r="I2257" s="94" t="s">
        <v>85</v>
      </c>
      <c r="J2257" s="87" t="s">
        <v>1459</v>
      </c>
      <c r="K2257" s="119" t="s">
        <v>2400</v>
      </c>
      <c r="L2257" s="117">
        <f>IF(O2257="","",N2257*O2257*M2257)</f>
        <v>0</v>
      </c>
      <c r="M2257" s="108">
        <v>1</v>
      </c>
      <c r="N2257" s="95">
        <v>1</v>
      </c>
      <c r="O2257" s="109">
        <f>IF(Key!D$1="ON",P2257,IF(SUM(Q2257:DL2257)&lt;1,"",SUM(Q2257:DL2257)/COUNTIF(Q2257:DL2257,"&gt;0")))</f>
        <v>0</v>
      </c>
      <c r="P2257" s="109">
        <f>SUMIFS(Q2257:DK2257,Q$1:DK$1,Dashboard!$K$31)</f>
        <v>0</v>
      </c>
      <c r="U2257" s="95">
        <v>33</v>
      </c>
      <c r="AA2257" s="95">
        <v>25</v>
      </c>
      <c r="AH2257" s="95">
        <v>75</v>
      </c>
    </row>
    <row r="2258" spans="1:34" ht="15.6" x14ac:dyDescent="0.3">
      <c r="A2258" s="89" t="str">
        <f>CONCATENATE(D2258,".",F2258,"-",G2258,".",H2258,"")</f>
        <v>2.3-6.1</v>
      </c>
      <c r="B2258" s="89" t="str">
        <f>IF(CONCATENATE(I2258,Key!F$2)=CONCATENATE(INDEX(Dashboard!J:J,MATCH(I2258,Dashboard!J:J,0),1),INDEX(Dashboard!J:K,MATCH(I2258,Dashboard!J:J,0),2)),"ON",IF(Dashboard!K$32="ALL","ON","-"))</f>
        <v>-</v>
      </c>
      <c r="C2258" s="88" t="s">
        <v>152</v>
      </c>
      <c r="D2258" s="89">
        <f>IF(C2258="ID",1,(IF(C2258="PR",2,(IF(C2258="DE",3,(IF(C2258="RS",4,(IF(C2258="RC",5,0)))))))))</f>
        <v>2</v>
      </c>
      <c r="E2258" s="89" t="s">
        <v>210</v>
      </c>
      <c r="F2258" s="89">
        <f>IF(E2258="AM",1,(IF(E2258="BE",2,(IF(E2258="GV",3,(IF(E2258="RA",4,(IF(E2258="RM",5,(IF(E2258="AC",1,(IF(E2258="AT",2,(IF(E2258="DS",3,(IF(E2258="IP",4,(IF(E2258="MA",5,(IF(E2258="PT",6,(IF(E2258="AE",1,(IF(E2258="CM",2,(IF(E2258="DP",3,(IF(E2258="AN",1,(IF(E2258="CO",2,(IF(E2258="IM",3,(IF(E2258="MI",4,(IF(E2258="RP",5,(IF(E2258="SC",6,0)))))))))))))))))))))))))))))))))))))))</f>
        <v>3</v>
      </c>
      <c r="G2258" s="52">
        <v>6</v>
      </c>
      <c r="H2258" s="90" t="s">
        <v>115</v>
      </c>
      <c r="I2258" s="94" t="s">
        <v>85</v>
      </c>
      <c r="J2258" s="87" t="s">
        <v>1464</v>
      </c>
      <c r="K2258" s="119" t="s">
        <v>5053</v>
      </c>
      <c r="L2258" s="117">
        <f>IF(O2258="","",N2258*O2258*M2258)</f>
        <v>0</v>
      </c>
      <c r="M2258" s="108">
        <v>1</v>
      </c>
      <c r="N2258" s="95">
        <v>1</v>
      </c>
      <c r="O2258" s="109">
        <f>IF(Key!D$1="ON",P2258,IF(SUM(Q2258:DL2258)&lt;1,"",SUM(Q2258:DL2258)/COUNTIF(Q2258:DL2258,"&gt;0")))</f>
        <v>0</v>
      </c>
      <c r="P2258" s="109">
        <f>SUMIFS(Q2258:DK2258,Q$1:DK$1,Dashboard!$K$31)</f>
        <v>0</v>
      </c>
      <c r="U2258" s="95">
        <v>33</v>
      </c>
      <c r="AA2258" s="95">
        <v>25</v>
      </c>
      <c r="AH2258" s="95">
        <v>75</v>
      </c>
    </row>
    <row r="2259" spans="1:34" x14ac:dyDescent="0.3">
      <c r="A2259" s="89" t="str">
        <f>CONCATENATE(D2259,".",F2259,"-",G2259,".",H2259,"")</f>
        <v>2.3-6.1</v>
      </c>
      <c r="B2259" s="89" t="str">
        <f>IF(CONCATENATE(I2259,Key!F$2)=CONCATENATE(INDEX(Dashboard!J:J,MATCH(I2259,Dashboard!J:J,0),1),INDEX(Dashboard!J:K,MATCH(I2259,Dashboard!J:J,0),2)),"ON",IF(Dashboard!K$32="ALL","ON","-"))</f>
        <v>-</v>
      </c>
      <c r="C2259" s="88" t="s">
        <v>152</v>
      </c>
      <c r="D2259" s="89">
        <f>IF(C2259="ID",1,(IF(C2259="PR",2,(IF(C2259="DE",3,(IF(C2259="RS",4,(IF(C2259="RC",5,0)))))))))</f>
        <v>2</v>
      </c>
      <c r="E2259" s="89" t="s">
        <v>210</v>
      </c>
      <c r="F2259" s="89">
        <f>IF(E2259="AM",1,(IF(E2259="BE",2,(IF(E2259="GV",3,(IF(E2259="RA",4,(IF(E2259="RM",5,(IF(E2259="AC",1,(IF(E2259="AT",2,(IF(E2259="DS",3,(IF(E2259="IP",4,(IF(E2259="MA",5,(IF(E2259="PT",6,(IF(E2259="AE",1,(IF(E2259="CM",2,(IF(E2259="DP",3,(IF(E2259="AN",1,(IF(E2259="CO",2,(IF(E2259="IM",3,(IF(E2259="MI",4,(IF(E2259="RP",5,(IF(E2259="SC",6,0)))))))))))))))))))))))))))))))))))))))</f>
        <v>3</v>
      </c>
      <c r="G2259" s="98">
        <v>6</v>
      </c>
      <c r="H2259" s="90" t="s">
        <v>115</v>
      </c>
      <c r="I2259" s="94" t="s">
        <v>85</v>
      </c>
      <c r="J2259" s="87" t="s">
        <v>1435</v>
      </c>
      <c r="K2259" s="119" t="s">
        <v>4523</v>
      </c>
      <c r="L2259" s="117">
        <f>IF(O2259="","",N2259*O2259*M2259)</f>
        <v>0</v>
      </c>
      <c r="M2259" s="108">
        <v>1</v>
      </c>
      <c r="N2259" s="95">
        <v>1</v>
      </c>
      <c r="O2259" s="109">
        <f>IF(Key!D$1="ON",P2259,IF(SUM(Q2259:DL2259)&lt;1,"",SUM(Q2259:DL2259)/COUNTIF(Q2259:DL2259,"&gt;0")))</f>
        <v>0</v>
      </c>
      <c r="P2259" s="109">
        <f>SUMIFS(Q2259:DK2259,Q$1:DK$1,Dashboard!$K$31)</f>
        <v>0</v>
      </c>
      <c r="U2259" s="95">
        <v>33</v>
      </c>
      <c r="AA2259" s="95">
        <v>25</v>
      </c>
      <c r="AH2259" s="95">
        <v>75</v>
      </c>
    </row>
    <row r="2260" spans="1:34" ht="15.6" x14ac:dyDescent="0.3">
      <c r="A2260" s="89" t="str">
        <f>CONCATENATE(D2260,".",F2260,"-",G2260,".",H2260,"")</f>
        <v>2.3-6.1</v>
      </c>
      <c r="B2260" s="89" t="str">
        <f>IF(CONCATENATE(I2260,Key!F$2)=CONCATENATE(INDEX(Dashboard!J:J,MATCH(I2260,Dashboard!J:J,0),1),INDEX(Dashboard!J:K,MATCH(I2260,Dashboard!J:J,0),2)),"ON",IF(Dashboard!K$32="ALL","ON","-"))</f>
        <v>-</v>
      </c>
      <c r="C2260" s="88" t="s">
        <v>152</v>
      </c>
      <c r="D2260" s="89">
        <f>IF(C2260="ID",1,(IF(C2260="PR",2,(IF(C2260="DE",3,(IF(C2260="RS",4,(IF(C2260="RC",5,0)))))))))</f>
        <v>2</v>
      </c>
      <c r="E2260" s="89" t="s">
        <v>210</v>
      </c>
      <c r="F2260" s="89">
        <f>IF(E2260="AM",1,(IF(E2260="BE",2,(IF(E2260="GV",3,(IF(E2260="RA",4,(IF(E2260="RM",5,(IF(E2260="AC",1,(IF(E2260="AT",2,(IF(E2260="DS",3,(IF(E2260="IP",4,(IF(E2260="MA",5,(IF(E2260="PT",6,(IF(E2260="AE",1,(IF(E2260="CM",2,(IF(E2260="DP",3,(IF(E2260="AN",1,(IF(E2260="CO",2,(IF(E2260="IM",3,(IF(E2260="MI",4,(IF(E2260="RP",5,(IF(E2260="SC",6,0)))))))))))))))))))))))))))))))))))))))</f>
        <v>3</v>
      </c>
      <c r="G2260" s="98">
        <v>6</v>
      </c>
      <c r="H2260" s="90" t="s">
        <v>115</v>
      </c>
      <c r="I2260" s="94" t="s">
        <v>85</v>
      </c>
      <c r="J2260" s="87" t="s">
        <v>1436</v>
      </c>
      <c r="K2260" s="119" t="s">
        <v>4516</v>
      </c>
      <c r="L2260" s="117">
        <f>IF(O2260="","",N2260*O2260*M2260)</f>
        <v>0</v>
      </c>
      <c r="M2260" s="108">
        <v>1</v>
      </c>
      <c r="N2260" s="95">
        <v>1</v>
      </c>
      <c r="O2260" s="109">
        <f>IF(Key!D$1="ON",P2260,IF(SUM(Q2260:DL2260)&lt;1,"",SUM(Q2260:DL2260)/COUNTIF(Q2260:DL2260,"&gt;0")))</f>
        <v>0</v>
      </c>
      <c r="P2260" s="109">
        <f>SUMIFS(Q2260:DK2260,Q$1:DK$1,Dashboard!$K$31)</f>
        <v>0</v>
      </c>
      <c r="U2260" s="95">
        <v>33</v>
      </c>
      <c r="AA2260" s="95">
        <v>25</v>
      </c>
      <c r="AH2260" s="95">
        <v>75</v>
      </c>
    </row>
    <row r="2261" spans="1:34" x14ac:dyDescent="0.3">
      <c r="A2261" s="89" t="str">
        <f>CONCATENATE(D2261,".",F2261,"-",G2261,".",H2261,"")</f>
        <v>2.3-6.1</v>
      </c>
      <c r="B2261" s="89" t="str">
        <f>IF(CONCATENATE(I2261,Key!F$2)=CONCATENATE(INDEX(Dashboard!J:J,MATCH(I2261,Dashboard!J:J,0),1),INDEX(Dashboard!J:K,MATCH(I2261,Dashboard!J:J,0),2)),"ON",IF(Dashboard!K$32="ALL","ON","-"))</f>
        <v>-</v>
      </c>
      <c r="C2261" s="88" t="s">
        <v>152</v>
      </c>
      <c r="D2261" s="89">
        <f>IF(C2261="ID",1,(IF(C2261="PR",2,(IF(C2261="DE",3,(IF(C2261="RS",4,(IF(C2261="RC",5,0)))))))))</f>
        <v>2</v>
      </c>
      <c r="E2261" s="89" t="s">
        <v>210</v>
      </c>
      <c r="F2261" s="89">
        <f>IF(E2261="AM",1,(IF(E2261="BE",2,(IF(E2261="GV",3,(IF(E2261="RA",4,(IF(E2261="RM",5,(IF(E2261="AC",1,(IF(E2261="AT",2,(IF(E2261="DS",3,(IF(E2261="IP",4,(IF(E2261="MA",5,(IF(E2261="PT",6,(IF(E2261="AE",1,(IF(E2261="CM",2,(IF(E2261="DP",3,(IF(E2261="AN",1,(IF(E2261="CO",2,(IF(E2261="IM",3,(IF(E2261="MI",4,(IF(E2261="RP",5,(IF(E2261="SC",6,0)))))))))))))))))))))))))))))))))))))))</f>
        <v>3</v>
      </c>
      <c r="G2261" s="52">
        <v>6</v>
      </c>
      <c r="H2261" s="90" t="s">
        <v>115</v>
      </c>
      <c r="I2261" s="94" t="s">
        <v>85</v>
      </c>
      <c r="J2261" s="86" t="s">
        <v>646</v>
      </c>
      <c r="K2261" s="119" t="s">
        <v>4540</v>
      </c>
      <c r="L2261" s="117">
        <f>IF(O2261="","",N2261*O2261*M2261)</f>
        <v>0</v>
      </c>
      <c r="M2261" s="108">
        <v>1</v>
      </c>
      <c r="N2261" s="95">
        <v>1</v>
      </c>
      <c r="O2261" s="109">
        <f>IF(Key!D$1="ON",P2261,IF(SUM(Q2261:DL2261)&lt;1,"",SUM(Q2261:DL2261)/COUNTIF(Q2261:DL2261,"&gt;0")))</f>
        <v>0</v>
      </c>
      <c r="P2261" s="109">
        <f>SUMIFS(Q2261:DK2261,Q$1:DK$1,Dashboard!$K$31)</f>
        <v>0</v>
      </c>
      <c r="U2261" s="95">
        <v>33</v>
      </c>
      <c r="AA2261" s="95">
        <v>25</v>
      </c>
      <c r="AH2261" s="95">
        <v>75</v>
      </c>
    </row>
    <row r="2262" spans="1:34" x14ac:dyDescent="0.3">
      <c r="A2262" s="89" t="str">
        <f>CONCATENATE(D2262,".",F2262,"-",G2262,".",H2262,"")</f>
        <v>2.3-6.1</v>
      </c>
      <c r="B2262" s="89" t="str">
        <f>IF(CONCATENATE(I2262,Key!F$2)=CONCATENATE(INDEX(Dashboard!J:J,MATCH(I2262,Dashboard!J:J,0),1),INDEX(Dashboard!J:K,MATCH(I2262,Dashboard!J:J,0),2)),"ON",IF(Dashboard!K$32="ALL","ON","-"))</f>
        <v>-</v>
      </c>
      <c r="C2262" s="88" t="s">
        <v>152</v>
      </c>
      <c r="D2262" s="89">
        <f>IF(C2262="ID",1,(IF(C2262="PR",2,(IF(C2262="DE",3,(IF(C2262="RS",4,(IF(C2262="RC",5,0)))))))))</f>
        <v>2</v>
      </c>
      <c r="E2262" s="89" t="s">
        <v>210</v>
      </c>
      <c r="F2262" s="89">
        <f>IF(E2262="AM",1,(IF(E2262="BE",2,(IF(E2262="GV",3,(IF(E2262="RA",4,(IF(E2262="RM",5,(IF(E2262="AC",1,(IF(E2262="AT",2,(IF(E2262="DS",3,(IF(E2262="IP",4,(IF(E2262="MA",5,(IF(E2262="PT",6,(IF(E2262="AE",1,(IF(E2262="CM",2,(IF(E2262="DP",3,(IF(E2262="AN",1,(IF(E2262="CO",2,(IF(E2262="IM",3,(IF(E2262="MI",4,(IF(E2262="RP",5,(IF(E2262="SC",6,0)))))))))))))))))))))))))))))))))))))))</f>
        <v>3</v>
      </c>
      <c r="G2262" s="52">
        <v>6</v>
      </c>
      <c r="H2262" s="90" t="s">
        <v>115</v>
      </c>
      <c r="I2262" s="94" t="s">
        <v>85</v>
      </c>
      <c r="J2262" s="87" t="s">
        <v>1441</v>
      </c>
      <c r="K2262" s="119" t="s">
        <v>4625</v>
      </c>
      <c r="L2262" s="117">
        <f>IF(O2262="","",N2262*O2262*M2262)</f>
        <v>0</v>
      </c>
      <c r="M2262" s="108">
        <v>1</v>
      </c>
      <c r="N2262" s="95">
        <v>1</v>
      </c>
      <c r="O2262" s="109">
        <f>IF(Key!D$1="ON",P2262,IF(SUM(Q2262:DL2262)&lt;1,"",SUM(Q2262:DL2262)/COUNTIF(Q2262:DL2262,"&gt;0")))</f>
        <v>0</v>
      </c>
      <c r="P2262" s="109">
        <f>SUMIFS(Q2262:DK2262,Q$1:DK$1,Dashboard!$K$31)</f>
        <v>0</v>
      </c>
      <c r="U2262" s="95">
        <v>33</v>
      </c>
      <c r="AA2262" s="95">
        <v>25</v>
      </c>
      <c r="AH2262" s="95">
        <v>75</v>
      </c>
    </row>
    <row r="2263" spans="1:34" x14ac:dyDescent="0.3">
      <c r="A2263" s="89" t="str">
        <f>CONCATENATE(D2263,".",F2263,"-",G2263,".",H2263,"")</f>
        <v>2.3-6.1</v>
      </c>
      <c r="B2263" s="89" t="str">
        <f>IF(CONCATENATE(I2263,Key!F$2)=CONCATENATE(INDEX(Dashboard!J:J,MATCH(I2263,Dashboard!J:J,0),1),INDEX(Dashboard!J:K,MATCH(I2263,Dashboard!J:J,0),2)),"ON",IF(Dashboard!K$32="ALL","ON","-"))</f>
        <v>-</v>
      </c>
      <c r="C2263" s="88" t="s">
        <v>152</v>
      </c>
      <c r="D2263" s="89">
        <f>IF(C2263="ID",1,(IF(C2263="PR",2,(IF(C2263="DE",3,(IF(C2263="RS",4,(IF(C2263="RC",5,0)))))))))</f>
        <v>2</v>
      </c>
      <c r="E2263" s="89" t="s">
        <v>210</v>
      </c>
      <c r="F2263" s="89">
        <f>IF(E2263="AM",1,(IF(E2263="BE",2,(IF(E2263="GV",3,(IF(E2263="RA",4,(IF(E2263="RM",5,(IF(E2263="AC",1,(IF(E2263="AT",2,(IF(E2263="DS",3,(IF(E2263="IP",4,(IF(E2263="MA",5,(IF(E2263="PT",6,(IF(E2263="AE",1,(IF(E2263="CM",2,(IF(E2263="DP",3,(IF(E2263="AN",1,(IF(E2263="CO",2,(IF(E2263="IM",3,(IF(E2263="MI",4,(IF(E2263="RP",5,(IF(E2263="SC",6,0)))))))))))))))))))))))))))))))))))))))</f>
        <v>3</v>
      </c>
      <c r="G2263" s="52">
        <v>6</v>
      </c>
      <c r="H2263" s="90" t="s">
        <v>115</v>
      </c>
      <c r="I2263" s="94" t="s">
        <v>85</v>
      </c>
      <c r="J2263" s="87" t="s">
        <v>1466</v>
      </c>
      <c r="K2263" s="119" t="s">
        <v>1467</v>
      </c>
      <c r="L2263" s="117">
        <f>IF(O2263="","",N2263*O2263*M2263)</f>
        <v>0</v>
      </c>
      <c r="M2263" s="108">
        <v>1</v>
      </c>
      <c r="N2263" s="95">
        <v>1</v>
      </c>
      <c r="O2263" s="109">
        <f>IF(Key!D$1="ON",P2263,IF(SUM(Q2263:DL2263)&lt;1,"",SUM(Q2263:DL2263)/COUNTIF(Q2263:DL2263,"&gt;0")))</f>
        <v>0</v>
      </c>
      <c r="P2263" s="109">
        <f>SUMIFS(Q2263:DK2263,Q$1:DK$1,Dashboard!$K$31)</f>
        <v>0</v>
      </c>
      <c r="U2263" s="95">
        <v>33</v>
      </c>
      <c r="AA2263" s="95">
        <v>25</v>
      </c>
      <c r="AH2263" s="95">
        <v>75</v>
      </c>
    </row>
    <row r="2264" spans="1:34" x14ac:dyDescent="0.3">
      <c r="A2264" s="89" t="str">
        <f>CONCATENATE(D2264,".",F2264,"-",G2264,".",H2264,"")</f>
        <v>2.3-6.1</v>
      </c>
      <c r="B2264" s="89" t="str">
        <f>IF(CONCATENATE(I2264,Key!F$2)=CONCATENATE(INDEX(Dashboard!J:J,MATCH(I2264,Dashboard!J:J,0),1),INDEX(Dashboard!J:K,MATCH(I2264,Dashboard!J:J,0),2)),"ON",IF(Dashboard!K$32="ALL","ON","-"))</f>
        <v>-</v>
      </c>
      <c r="C2264" s="88" t="s">
        <v>152</v>
      </c>
      <c r="D2264" s="89">
        <f>IF(C2264="ID",1,(IF(C2264="PR",2,(IF(C2264="DE",3,(IF(C2264="RS",4,(IF(C2264="RC",5,0)))))))))</f>
        <v>2</v>
      </c>
      <c r="E2264" s="89" t="s">
        <v>210</v>
      </c>
      <c r="F2264" s="89">
        <f>IF(E2264="AM",1,(IF(E2264="BE",2,(IF(E2264="GV",3,(IF(E2264="RA",4,(IF(E2264="RM",5,(IF(E2264="AC",1,(IF(E2264="AT",2,(IF(E2264="DS",3,(IF(E2264="IP",4,(IF(E2264="MA",5,(IF(E2264="PT",6,(IF(E2264="AE",1,(IF(E2264="CM",2,(IF(E2264="DP",3,(IF(E2264="AN",1,(IF(E2264="CO",2,(IF(E2264="IM",3,(IF(E2264="MI",4,(IF(E2264="RP",5,(IF(E2264="SC",6,0)))))))))))))))))))))))))))))))))))))))</f>
        <v>3</v>
      </c>
      <c r="G2264" s="52">
        <v>6</v>
      </c>
      <c r="H2264" s="90" t="s">
        <v>115</v>
      </c>
      <c r="I2264" s="94" t="s">
        <v>85</v>
      </c>
      <c r="J2264" s="87" t="s">
        <v>1460</v>
      </c>
      <c r="K2264" s="119" t="s">
        <v>5129</v>
      </c>
      <c r="L2264" s="117">
        <f>IF(O2264="","",N2264*O2264*M2264)</f>
        <v>0</v>
      </c>
      <c r="M2264" s="108">
        <v>1</v>
      </c>
      <c r="N2264" s="95">
        <v>1</v>
      </c>
      <c r="O2264" s="109">
        <f>IF(Key!D$1="ON",P2264,IF(SUM(Q2264:DL2264)&lt;1,"",SUM(Q2264:DL2264)/COUNTIF(Q2264:DL2264,"&gt;0")))</f>
        <v>0</v>
      </c>
      <c r="P2264" s="109">
        <f>SUMIFS(Q2264:DK2264,Q$1:DK$1,Dashboard!$K$31)</f>
        <v>0</v>
      </c>
      <c r="U2264" s="95">
        <v>33</v>
      </c>
      <c r="AA2264" s="95">
        <v>25</v>
      </c>
      <c r="AH2264" s="95">
        <v>75</v>
      </c>
    </row>
    <row r="2265" spans="1:34" ht="15.6" x14ac:dyDescent="0.3">
      <c r="A2265" s="89" t="str">
        <f>CONCATENATE(D2265,".",F2265,"-",G2265,".",H2265,"")</f>
        <v>2.3-6.1</v>
      </c>
      <c r="B2265" s="89" t="str">
        <f>IF(CONCATENATE(I2265,Key!F$2)=CONCATENATE(INDEX(Dashboard!J:J,MATCH(I2265,Dashboard!J:J,0),1),INDEX(Dashboard!J:K,MATCH(I2265,Dashboard!J:J,0),2)),"ON",IF(Dashboard!K$32="ALL","ON","-"))</f>
        <v>-</v>
      </c>
      <c r="C2265" s="88" t="s">
        <v>152</v>
      </c>
      <c r="D2265" s="89">
        <f>IF(C2265="ID",1,(IF(C2265="PR",2,(IF(C2265="DE",3,(IF(C2265="RS",4,(IF(C2265="RC",5,0)))))))))</f>
        <v>2</v>
      </c>
      <c r="E2265" s="89" t="s">
        <v>210</v>
      </c>
      <c r="F2265" s="89">
        <f>IF(E2265="AM",1,(IF(E2265="BE",2,(IF(E2265="GV",3,(IF(E2265="RA",4,(IF(E2265="RM",5,(IF(E2265="AC",1,(IF(E2265="AT",2,(IF(E2265="DS",3,(IF(E2265="IP",4,(IF(E2265="MA",5,(IF(E2265="PT",6,(IF(E2265="AE",1,(IF(E2265="CM",2,(IF(E2265="DP",3,(IF(E2265="AN",1,(IF(E2265="CO",2,(IF(E2265="IM",3,(IF(E2265="MI",4,(IF(E2265="RP",5,(IF(E2265="SC",6,0)))))))))))))))))))))))))))))))))))))))</f>
        <v>3</v>
      </c>
      <c r="G2265" s="52">
        <v>6</v>
      </c>
      <c r="H2265" s="90" t="s">
        <v>115</v>
      </c>
      <c r="I2265" s="94" t="s">
        <v>85</v>
      </c>
      <c r="J2265" s="87" t="s">
        <v>1448</v>
      </c>
      <c r="K2265" s="119" t="s">
        <v>5125</v>
      </c>
      <c r="L2265" s="117">
        <f>IF(O2265="","",N2265*O2265*M2265)</f>
        <v>0</v>
      </c>
      <c r="M2265" s="108">
        <v>1</v>
      </c>
      <c r="N2265" s="95">
        <v>1</v>
      </c>
      <c r="O2265" s="109">
        <f>IF(Key!D$1="ON",P2265,IF(SUM(Q2265:DL2265)&lt;1,"",SUM(Q2265:DL2265)/COUNTIF(Q2265:DL2265,"&gt;0")))</f>
        <v>0</v>
      </c>
      <c r="P2265" s="109">
        <f>SUMIFS(Q2265:DK2265,Q$1:DK$1,Dashboard!$K$31)</f>
        <v>0</v>
      </c>
      <c r="U2265" s="95">
        <v>33</v>
      </c>
      <c r="AA2265" s="95">
        <v>25</v>
      </c>
      <c r="AH2265" s="95">
        <v>75</v>
      </c>
    </row>
    <row r="2266" spans="1:34" x14ac:dyDescent="0.3">
      <c r="A2266" s="89" t="str">
        <f>CONCATENATE(D2266,".",F2266,"-",G2266,".",H2266,"")</f>
        <v>2.3-6.1</v>
      </c>
      <c r="B2266" s="89" t="str">
        <f>IF(CONCATENATE(I2266,Key!F$2)=CONCATENATE(INDEX(Dashboard!J:J,MATCH(I2266,Dashboard!J:J,0),1),INDEX(Dashboard!J:K,MATCH(I2266,Dashboard!J:J,0),2)),"ON",IF(Dashboard!K$32="ALL","ON","-"))</f>
        <v>-</v>
      </c>
      <c r="C2266" s="88" t="s">
        <v>152</v>
      </c>
      <c r="D2266" s="89">
        <f>IF(C2266="ID",1,(IF(C2266="PR",2,(IF(C2266="DE",3,(IF(C2266="RS",4,(IF(C2266="RC",5,0)))))))))</f>
        <v>2</v>
      </c>
      <c r="E2266" s="89" t="s">
        <v>210</v>
      </c>
      <c r="F2266" s="89">
        <f>IF(E2266="AM",1,(IF(E2266="BE",2,(IF(E2266="GV",3,(IF(E2266="RA",4,(IF(E2266="RM",5,(IF(E2266="AC",1,(IF(E2266="AT",2,(IF(E2266="DS",3,(IF(E2266="IP",4,(IF(E2266="MA",5,(IF(E2266="PT",6,(IF(E2266="AE",1,(IF(E2266="CM",2,(IF(E2266="DP",3,(IF(E2266="AN",1,(IF(E2266="CO",2,(IF(E2266="IM",3,(IF(E2266="MI",4,(IF(E2266="RP",5,(IF(E2266="SC",6,0)))))))))))))))))))))))))))))))))))))))</f>
        <v>3</v>
      </c>
      <c r="G2266" s="52">
        <v>6</v>
      </c>
      <c r="H2266" s="90" t="s">
        <v>115</v>
      </c>
      <c r="I2266" s="94" t="s">
        <v>85</v>
      </c>
      <c r="J2266" s="87" t="s">
        <v>1463</v>
      </c>
      <c r="K2266" s="119" t="s">
        <v>5045</v>
      </c>
      <c r="L2266" s="117">
        <f>IF(O2266="","",N2266*O2266*M2266)</f>
        <v>0</v>
      </c>
      <c r="M2266" s="108">
        <v>1</v>
      </c>
      <c r="N2266" s="95">
        <v>1</v>
      </c>
      <c r="O2266" s="109">
        <f>IF(Key!D$1="ON",P2266,IF(SUM(Q2266:DL2266)&lt;1,"",SUM(Q2266:DL2266)/COUNTIF(Q2266:DL2266,"&gt;0")))</f>
        <v>0</v>
      </c>
      <c r="P2266" s="109">
        <f>SUMIFS(Q2266:DK2266,Q$1:DK$1,Dashboard!$K$31)</f>
        <v>0</v>
      </c>
      <c r="U2266" s="95">
        <v>33</v>
      </c>
      <c r="AA2266" s="95">
        <v>25</v>
      </c>
      <c r="AH2266" s="95">
        <v>75</v>
      </c>
    </row>
    <row r="2267" spans="1:34" x14ac:dyDescent="0.3">
      <c r="A2267" s="89" t="str">
        <f>CONCATENATE(D2267,".",F2267,"-",G2267,".",H2267,"")</f>
        <v>2.3-6.1</v>
      </c>
      <c r="B2267" s="89" t="str">
        <f>IF(CONCATENATE(I2267,Key!F$2)=CONCATENATE(INDEX(Dashboard!J:J,MATCH(I2267,Dashboard!J:J,0),1),INDEX(Dashboard!J:K,MATCH(I2267,Dashboard!J:J,0),2)),"ON",IF(Dashboard!K$32="ALL","ON","-"))</f>
        <v>-</v>
      </c>
      <c r="C2267" s="88" t="s">
        <v>152</v>
      </c>
      <c r="D2267" s="89">
        <f>IF(C2267="ID",1,(IF(C2267="PR",2,(IF(C2267="DE",3,(IF(C2267="RS",4,(IF(C2267="RC",5,0)))))))))</f>
        <v>2</v>
      </c>
      <c r="E2267" s="89" t="s">
        <v>210</v>
      </c>
      <c r="F2267" s="89">
        <f>IF(E2267="AM",1,(IF(E2267="BE",2,(IF(E2267="GV",3,(IF(E2267="RA",4,(IF(E2267="RM",5,(IF(E2267="AC",1,(IF(E2267="AT",2,(IF(E2267="DS",3,(IF(E2267="IP",4,(IF(E2267="MA",5,(IF(E2267="PT",6,(IF(E2267="AE",1,(IF(E2267="CM",2,(IF(E2267="DP",3,(IF(E2267="AN",1,(IF(E2267="CO",2,(IF(E2267="IM",3,(IF(E2267="MI",4,(IF(E2267="RP",5,(IF(E2267="SC",6,0)))))))))))))))))))))))))))))))))))))))</f>
        <v>3</v>
      </c>
      <c r="G2267" s="52">
        <v>6</v>
      </c>
      <c r="H2267" s="90" t="s">
        <v>115</v>
      </c>
      <c r="I2267" s="94" t="s">
        <v>85</v>
      </c>
      <c r="J2267" s="87" t="s">
        <v>1451</v>
      </c>
      <c r="K2267" s="119" t="s">
        <v>5045</v>
      </c>
      <c r="L2267" s="117">
        <f>IF(O2267="","",N2267*O2267*M2267)</f>
        <v>0</v>
      </c>
      <c r="M2267" s="108">
        <v>1</v>
      </c>
      <c r="N2267" s="95">
        <v>1</v>
      </c>
      <c r="O2267" s="109">
        <f>IF(Key!D$1="ON",P2267,IF(SUM(Q2267:DL2267)&lt;1,"",SUM(Q2267:DL2267)/COUNTIF(Q2267:DL2267,"&gt;0")))</f>
        <v>0</v>
      </c>
      <c r="P2267" s="109">
        <f>SUMIFS(Q2267:DK2267,Q$1:DK$1,Dashboard!$K$31)</f>
        <v>0</v>
      </c>
      <c r="U2267" s="95">
        <v>33</v>
      </c>
      <c r="AA2267" s="95">
        <v>25</v>
      </c>
      <c r="AH2267" s="95">
        <v>75</v>
      </c>
    </row>
    <row r="2268" spans="1:34" x14ac:dyDescent="0.3">
      <c r="A2268" s="89" t="str">
        <f>CONCATENATE(D2268,".",F2268,"-",G2268,".",H2268,"")</f>
        <v>2.3-6.1</v>
      </c>
      <c r="B2268" s="89" t="str">
        <f>IF(CONCATENATE(I2268,Key!F$2)=CONCATENATE(INDEX(Dashboard!J:J,MATCH(I2268,Dashboard!J:J,0),1),INDEX(Dashboard!J:K,MATCH(I2268,Dashboard!J:J,0),2)),"ON",IF(Dashboard!K$32="ALL","ON","-"))</f>
        <v>-</v>
      </c>
      <c r="C2268" s="88" t="s">
        <v>152</v>
      </c>
      <c r="D2268" s="89">
        <f>IF(C2268="ID",1,(IF(C2268="PR",2,(IF(C2268="DE",3,(IF(C2268="RS",4,(IF(C2268="RC",5,0)))))))))</f>
        <v>2</v>
      </c>
      <c r="E2268" s="89" t="s">
        <v>210</v>
      </c>
      <c r="F2268" s="89">
        <f>IF(E2268="AM",1,(IF(E2268="BE",2,(IF(E2268="GV",3,(IF(E2268="RA",4,(IF(E2268="RM",5,(IF(E2268="AC",1,(IF(E2268="AT",2,(IF(E2268="DS",3,(IF(E2268="IP",4,(IF(E2268="MA",5,(IF(E2268="PT",6,(IF(E2268="AE",1,(IF(E2268="CM",2,(IF(E2268="DP",3,(IF(E2268="AN",1,(IF(E2268="CO",2,(IF(E2268="IM",3,(IF(E2268="MI",4,(IF(E2268="RP",5,(IF(E2268="SC",6,0)))))))))))))))))))))))))))))))))))))))</f>
        <v>3</v>
      </c>
      <c r="G2268" s="52">
        <v>6</v>
      </c>
      <c r="H2268" s="90" t="s">
        <v>115</v>
      </c>
      <c r="I2268" s="94" t="s">
        <v>85</v>
      </c>
      <c r="J2268" s="87" t="s">
        <v>1468</v>
      </c>
      <c r="K2268" s="119" t="s">
        <v>5137</v>
      </c>
      <c r="L2268" s="117">
        <f>IF(O2268="","",N2268*O2268*M2268)</f>
        <v>0</v>
      </c>
      <c r="M2268" s="108">
        <v>1</v>
      </c>
      <c r="N2268" s="95">
        <v>1</v>
      </c>
      <c r="O2268" s="109">
        <f>IF(Key!D$1="ON",P2268,IF(SUM(Q2268:DL2268)&lt;1,"",SUM(Q2268:DL2268)/COUNTIF(Q2268:DL2268,"&gt;0")))</f>
        <v>0</v>
      </c>
      <c r="P2268" s="109">
        <f>SUMIFS(Q2268:DK2268,Q$1:DK$1,Dashboard!$K$31)</f>
        <v>0</v>
      </c>
      <c r="U2268" s="95">
        <v>33</v>
      </c>
      <c r="AA2268" s="95">
        <v>25</v>
      </c>
      <c r="AH2268" s="95">
        <v>75</v>
      </c>
    </row>
    <row r="2269" spans="1:34" ht="15.6" x14ac:dyDescent="0.3">
      <c r="A2269" s="89" t="str">
        <f>CONCATENATE(D2269,".",F2269,"-",G2269,".",H2269,"")</f>
        <v>2.3-6.1</v>
      </c>
      <c r="B2269" s="89" t="str">
        <f>IF(CONCATENATE(I2269,Key!F$2)=CONCATENATE(INDEX(Dashboard!J:J,MATCH(I2269,Dashboard!J:J,0),1),INDEX(Dashboard!J:K,MATCH(I2269,Dashboard!J:J,0),2)),"ON",IF(Dashboard!K$32="ALL","ON","-"))</f>
        <v>-</v>
      </c>
      <c r="C2269" s="88" t="s">
        <v>152</v>
      </c>
      <c r="D2269" s="89">
        <f>IF(C2269="ID",1,(IF(C2269="PR",2,(IF(C2269="DE",3,(IF(C2269="RS",4,(IF(C2269="RC",5,0)))))))))</f>
        <v>2</v>
      </c>
      <c r="E2269" s="89" t="s">
        <v>210</v>
      </c>
      <c r="F2269" s="89">
        <f>IF(E2269="AM",1,(IF(E2269="BE",2,(IF(E2269="GV",3,(IF(E2269="RA",4,(IF(E2269="RM",5,(IF(E2269="AC",1,(IF(E2269="AT",2,(IF(E2269="DS",3,(IF(E2269="IP",4,(IF(E2269="MA",5,(IF(E2269="PT",6,(IF(E2269="AE",1,(IF(E2269="CM",2,(IF(E2269="DP",3,(IF(E2269="AN",1,(IF(E2269="CO",2,(IF(E2269="IM",3,(IF(E2269="MI",4,(IF(E2269="RP",5,(IF(E2269="SC",6,0)))))))))))))))))))))))))))))))))))))))</f>
        <v>3</v>
      </c>
      <c r="G2269" s="52">
        <v>6</v>
      </c>
      <c r="H2269" s="90" t="s">
        <v>115</v>
      </c>
      <c r="I2269" s="94" t="s">
        <v>85</v>
      </c>
      <c r="J2269" s="87" t="s">
        <v>1437</v>
      </c>
      <c r="K2269" s="119" t="s">
        <v>1438</v>
      </c>
      <c r="L2269" s="117">
        <f>IF(O2269="","",N2269*O2269*M2269)</f>
        <v>0</v>
      </c>
      <c r="M2269" s="108">
        <v>1</v>
      </c>
      <c r="N2269" s="95">
        <v>1</v>
      </c>
      <c r="O2269" s="109">
        <f>IF(Key!D$1="ON",P2269,IF(SUM(Q2269:DL2269)&lt;1,"",SUM(Q2269:DL2269)/COUNTIF(Q2269:DL2269,"&gt;0")))</f>
        <v>0</v>
      </c>
      <c r="P2269" s="109">
        <f>SUMIFS(Q2269:DK2269,Q$1:DK$1,Dashboard!$K$31)</f>
        <v>0</v>
      </c>
      <c r="U2269" s="95">
        <v>33</v>
      </c>
      <c r="AA2269" s="95">
        <v>25</v>
      </c>
      <c r="AH2269" s="95">
        <v>75</v>
      </c>
    </row>
    <row r="2270" spans="1:34" x14ac:dyDescent="0.3">
      <c r="A2270" s="89" t="str">
        <f>CONCATENATE(D2270,".",F2270,"-",G2270,".",H2270,"")</f>
        <v>2.3-6.1</v>
      </c>
      <c r="B2270" s="89" t="str">
        <f>IF(CONCATENATE(I2270,Key!F$2)=CONCATENATE(INDEX(Dashboard!J:J,MATCH(I2270,Dashboard!J:J,0),1),INDEX(Dashboard!J:K,MATCH(I2270,Dashboard!J:J,0),2)),"ON",IF(Dashboard!K$32="ALL","ON","-"))</f>
        <v>-</v>
      </c>
      <c r="C2270" s="88" t="s">
        <v>152</v>
      </c>
      <c r="D2270" s="89">
        <f>IF(C2270="ID",1,(IF(C2270="PR",2,(IF(C2270="DE",3,(IF(C2270="RS",4,(IF(C2270="RC",5,0)))))))))</f>
        <v>2</v>
      </c>
      <c r="E2270" s="89" t="s">
        <v>210</v>
      </c>
      <c r="F2270" s="89">
        <f>IF(E2270="AM",1,(IF(E2270="BE",2,(IF(E2270="GV",3,(IF(E2270="RA",4,(IF(E2270="RM",5,(IF(E2270="AC",1,(IF(E2270="AT",2,(IF(E2270="DS",3,(IF(E2270="IP",4,(IF(E2270="MA",5,(IF(E2270="PT",6,(IF(E2270="AE",1,(IF(E2270="CM",2,(IF(E2270="DP",3,(IF(E2270="AN",1,(IF(E2270="CO",2,(IF(E2270="IM",3,(IF(E2270="MI",4,(IF(E2270="RP",5,(IF(E2270="SC",6,0)))))))))))))))))))))))))))))))))))))))</f>
        <v>3</v>
      </c>
      <c r="G2270" s="52">
        <v>6</v>
      </c>
      <c r="H2270" s="90" t="s">
        <v>115</v>
      </c>
      <c r="I2270" s="94" t="s">
        <v>85</v>
      </c>
      <c r="J2270" s="86" t="s">
        <v>818</v>
      </c>
      <c r="K2270" s="119" t="s">
        <v>4962</v>
      </c>
      <c r="L2270" s="117">
        <f>IF(O2270="","",N2270*O2270*M2270)</f>
        <v>0</v>
      </c>
      <c r="M2270" s="108">
        <v>1</v>
      </c>
      <c r="N2270" s="95">
        <v>1</v>
      </c>
      <c r="O2270" s="109">
        <f>IF(Key!D$1="ON",P2270,IF(SUM(Q2270:DL2270)&lt;1,"",SUM(Q2270:DL2270)/COUNTIF(Q2270:DL2270,"&gt;0")))</f>
        <v>0</v>
      </c>
      <c r="P2270" s="109">
        <f>SUMIFS(Q2270:DK2270,Q$1:DK$1,Dashboard!$K$31)</f>
        <v>0</v>
      </c>
      <c r="U2270" s="95">
        <v>33</v>
      </c>
      <c r="AA2270" s="95">
        <v>25</v>
      </c>
      <c r="AH2270" s="95">
        <v>75</v>
      </c>
    </row>
    <row r="2271" spans="1:34" x14ac:dyDescent="0.3">
      <c r="A2271" s="89" t="str">
        <f>CONCATENATE(D2271,".",F2271,"-",G2271,".",H2271,"")</f>
        <v>2.3-6.1</v>
      </c>
      <c r="B2271" s="89" t="str">
        <f>IF(CONCATENATE(I2271,Key!F$2)=CONCATENATE(INDEX(Dashboard!J:J,MATCH(I2271,Dashboard!J:J,0),1),INDEX(Dashboard!J:K,MATCH(I2271,Dashboard!J:J,0),2)),"ON",IF(Dashboard!K$32="ALL","ON","-"))</f>
        <v>-</v>
      </c>
      <c r="C2271" s="88" t="s">
        <v>152</v>
      </c>
      <c r="D2271" s="89">
        <f>IF(C2271="ID",1,(IF(C2271="PR",2,(IF(C2271="DE",3,(IF(C2271="RS",4,(IF(C2271="RC",5,0)))))))))</f>
        <v>2</v>
      </c>
      <c r="E2271" s="89" t="s">
        <v>210</v>
      </c>
      <c r="F2271" s="89">
        <f>IF(E2271="AM",1,(IF(E2271="BE",2,(IF(E2271="GV",3,(IF(E2271="RA",4,(IF(E2271="RM",5,(IF(E2271="AC",1,(IF(E2271="AT",2,(IF(E2271="DS",3,(IF(E2271="IP",4,(IF(E2271="MA",5,(IF(E2271="PT",6,(IF(E2271="AE",1,(IF(E2271="CM",2,(IF(E2271="DP",3,(IF(E2271="AN",1,(IF(E2271="CO",2,(IF(E2271="IM",3,(IF(E2271="MI",4,(IF(E2271="RP",5,(IF(E2271="SC",6,0)))))))))))))))))))))))))))))))))))))))</f>
        <v>3</v>
      </c>
      <c r="G2271" s="52">
        <v>6</v>
      </c>
      <c r="H2271" s="90" t="s">
        <v>115</v>
      </c>
      <c r="I2271" s="94" t="s">
        <v>85</v>
      </c>
      <c r="J2271" s="87" t="s">
        <v>1449</v>
      </c>
      <c r="K2271" s="119" t="s">
        <v>5132</v>
      </c>
      <c r="L2271" s="117">
        <f>IF(O2271="","",N2271*O2271*M2271)</f>
        <v>0</v>
      </c>
      <c r="M2271" s="108">
        <v>1</v>
      </c>
      <c r="N2271" s="95">
        <v>1</v>
      </c>
      <c r="O2271" s="109">
        <f>IF(Key!D$1="ON",P2271,IF(SUM(Q2271:DL2271)&lt;1,"",SUM(Q2271:DL2271)/COUNTIF(Q2271:DL2271,"&gt;0")))</f>
        <v>0</v>
      </c>
      <c r="P2271" s="109">
        <f>SUMIFS(Q2271:DK2271,Q$1:DK$1,Dashboard!$K$31)</f>
        <v>0</v>
      </c>
      <c r="U2271" s="95">
        <v>33</v>
      </c>
      <c r="AA2271" s="95">
        <v>25</v>
      </c>
      <c r="AH2271" s="95">
        <v>75</v>
      </c>
    </row>
    <row r="2272" spans="1:34" x14ac:dyDescent="0.3">
      <c r="A2272" s="89" t="str">
        <f>CONCATENATE(D2272,".",F2272,"-",G2272,".",H2272,"")</f>
        <v>2.3-6.1</v>
      </c>
      <c r="B2272" s="89" t="str">
        <f>IF(CONCATENATE(I2272,Key!F$2)=CONCATENATE(INDEX(Dashboard!J:J,MATCH(I2272,Dashboard!J:J,0),1),INDEX(Dashboard!J:K,MATCH(I2272,Dashboard!J:J,0),2)),"ON",IF(Dashboard!K$32="ALL","ON","-"))</f>
        <v>-</v>
      </c>
      <c r="C2272" s="88" t="s">
        <v>152</v>
      </c>
      <c r="D2272" s="89">
        <f>IF(C2272="ID",1,(IF(C2272="PR",2,(IF(C2272="DE",3,(IF(C2272="RS",4,(IF(C2272="RC",5,0)))))))))</f>
        <v>2</v>
      </c>
      <c r="E2272" s="89" t="s">
        <v>210</v>
      </c>
      <c r="F2272" s="89">
        <f>IF(E2272="AM",1,(IF(E2272="BE",2,(IF(E2272="GV",3,(IF(E2272="RA",4,(IF(E2272="RM",5,(IF(E2272="AC",1,(IF(E2272="AT",2,(IF(E2272="DS",3,(IF(E2272="IP",4,(IF(E2272="MA",5,(IF(E2272="PT",6,(IF(E2272="AE",1,(IF(E2272="CM",2,(IF(E2272="DP",3,(IF(E2272="AN",1,(IF(E2272="CO",2,(IF(E2272="IM",3,(IF(E2272="MI",4,(IF(E2272="RP",5,(IF(E2272="SC",6,0)))))))))))))))))))))))))))))))))))))))</f>
        <v>3</v>
      </c>
      <c r="G2272" s="52">
        <v>6</v>
      </c>
      <c r="H2272" s="90" t="s">
        <v>115</v>
      </c>
      <c r="I2272" s="94" t="s">
        <v>85</v>
      </c>
      <c r="J2272" s="87" t="s">
        <v>1442</v>
      </c>
      <c r="K2272" s="119" t="s">
        <v>4628</v>
      </c>
      <c r="L2272" s="117">
        <f>IF(O2272="","",N2272*O2272*M2272)</f>
        <v>0</v>
      </c>
      <c r="M2272" s="108">
        <v>1</v>
      </c>
      <c r="N2272" s="95">
        <v>1</v>
      </c>
      <c r="O2272" s="109">
        <f>IF(Key!D$1="ON",P2272,IF(SUM(Q2272:DL2272)&lt;1,"",SUM(Q2272:DL2272)/COUNTIF(Q2272:DL2272,"&gt;0")))</f>
        <v>0</v>
      </c>
      <c r="P2272" s="109">
        <f>SUMIFS(Q2272:DK2272,Q$1:DK$1,Dashboard!$K$31)</f>
        <v>0</v>
      </c>
      <c r="U2272" s="95">
        <v>33</v>
      </c>
      <c r="AA2272" s="95">
        <v>25</v>
      </c>
      <c r="AH2272" s="95">
        <v>75</v>
      </c>
    </row>
    <row r="2273" spans="1:34" x14ac:dyDescent="0.3">
      <c r="A2273" s="89" t="str">
        <f>CONCATENATE(D2273,".",F2273,"-",G2273,".",H2273,"")</f>
        <v>2.3-6.1</v>
      </c>
      <c r="B2273" s="89" t="str">
        <f>IF(CONCATENATE(I2273,Key!F$2)=CONCATENATE(INDEX(Dashboard!J:J,MATCH(I2273,Dashboard!J:J,0),1),INDEX(Dashboard!J:K,MATCH(I2273,Dashboard!J:J,0),2)),"ON",IF(Dashboard!K$32="ALL","ON","-"))</f>
        <v>-</v>
      </c>
      <c r="C2273" s="88" t="s">
        <v>152</v>
      </c>
      <c r="D2273" s="89">
        <f>IF(C2273="ID",1,(IF(C2273="PR",2,(IF(C2273="DE",3,(IF(C2273="RS",4,(IF(C2273="RC",5,0)))))))))</f>
        <v>2</v>
      </c>
      <c r="E2273" s="89" t="s">
        <v>210</v>
      </c>
      <c r="F2273" s="89">
        <f>IF(E2273="AM",1,(IF(E2273="BE",2,(IF(E2273="GV",3,(IF(E2273="RA",4,(IF(E2273="RM",5,(IF(E2273="AC",1,(IF(E2273="AT",2,(IF(E2273="DS",3,(IF(E2273="IP",4,(IF(E2273="MA",5,(IF(E2273="PT",6,(IF(E2273="AE",1,(IF(E2273="CM",2,(IF(E2273="DP",3,(IF(E2273="AN",1,(IF(E2273="CO",2,(IF(E2273="IM",3,(IF(E2273="MI",4,(IF(E2273="RP",5,(IF(E2273="SC",6,0)))))))))))))))))))))))))))))))))))))))</f>
        <v>3</v>
      </c>
      <c r="G2273" s="52">
        <v>6</v>
      </c>
      <c r="H2273" s="90" t="s">
        <v>115</v>
      </c>
      <c r="I2273" s="94" t="s">
        <v>85</v>
      </c>
      <c r="J2273" s="87" t="s">
        <v>1465</v>
      </c>
      <c r="K2273" s="119" t="s">
        <v>5176</v>
      </c>
      <c r="L2273" s="117">
        <f>IF(O2273="","",N2273*O2273*M2273)</f>
        <v>0</v>
      </c>
      <c r="M2273" s="108">
        <v>1</v>
      </c>
      <c r="N2273" s="95">
        <v>1</v>
      </c>
      <c r="O2273" s="109">
        <f>IF(Key!D$1="ON",P2273,IF(SUM(Q2273:DL2273)&lt;1,"",SUM(Q2273:DL2273)/COUNTIF(Q2273:DL2273,"&gt;0")))</f>
        <v>0</v>
      </c>
      <c r="P2273" s="109">
        <f>SUMIFS(Q2273:DK2273,Q$1:DK$1,Dashboard!$K$31)</f>
        <v>0</v>
      </c>
      <c r="U2273" s="95">
        <v>33</v>
      </c>
      <c r="AA2273" s="95">
        <v>25</v>
      </c>
      <c r="AH2273" s="95">
        <v>75</v>
      </c>
    </row>
    <row r="2274" spans="1:34" x14ac:dyDescent="0.3">
      <c r="A2274" s="89" t="str">
        <f>CONCATENATE(D2274,".",F2274,"-",G2274,".",H2274,"")</f>
        <v>2.3-6.1</v>
      </c>
      <c r="B2274" s="89" t="str">
        <f>IF(CONCATENATE(I2274,Key!F$2)=CONCATENATE(INDEX(Dashboard!J:J,MATCH(I2274,Dashboard!J:J,0),1),INDEX(Dashboard!J:K,MATCH(I2274,Dashboard!J:J,0),2)),"ON",IF(Dashboard!K$32="ALL","ON","-"))</f>
        <v>-</v>
      </c>
      <c r="C2274" s="88" t="s">
        <v>152</v>
      </c>
      <c r="D2274" s="89">
        <f>IF(C2274="ID",1,(IF(C2274="PR",2,(IF(C2274="DE",3,(IF(C2274="RS",4,(IF(C2274="RC",5,0)))))))))</f>
        <v>2</v>
      </c>
      <c r="E2274" s="89" t="s">
        <v>210</v>
      </c>
      <c r="F2274" s="89">
        <f>IF(E2274="AM",1,(IF(E2274="BE",2,(IF(E2274="GV",3,(IF(E2274="RA",4,(IF(E2274="RM",5,(IF(E2274="AC",1,(IF(E2274="AT",2,(IF(E2274="DS",3,(IF(E2274="IP",4,(IF(E2274="MA",5,(IF(E2274="PT",6,(IF(E2274="AE",1,(IF(E2274="CM",2,(IF(E2274="DP",3,(IF(E2274="AN",1,(IF(E2274="CO",2,(IF(E2274="IM",3,(IF(E2274="MI",4,(IF(E2274="RP",5,(IF(E2274="SC",6,0)))))))))))))))))))))))))))))))))))))))</f>
        <v>3</v>
      </c>
      <c r="G2274" s="52">
        <v>6</v>
      </c>
      <c r="H2274" s="90" t="s">
        <v>115</v>
      </c>
      <c r="I2274" s="94" t="s">
        <v>85</v>
      </c>
      <c r="J2274" s="87" t="s">
        <v>1815</v>
      </c>
      <c r="K2274" s="119" t="s">
        <v>1816</v>
      </c>
      <c r="L2274" s="117">
        <f>IF(O2274="","",N2274*O2274*M2274)</f>
        <v>0</v>
      </c>
      <c r="M2274" s="108">
        <v>1</v>
      </c>
      <c r="N2274" s="95">
        <v>1</v>
      </c>
      <c r="O2274" s="109">
        <f>IF(Key!D$1="ON",P2274,IF(SUM(Q2274:DL2274)&lt;1,"",SUM(Q2274:DL2274)/COUNTIF(Q2274:DL2274,"&gt;0")))</f>
        <v>0</v>
      </c>
      <c r="P2274" s="109">
        <f>SUMIFS(Q2274:DK2274,Q$1:DK$1,Dashboard!$K$31)</f>
        <v>0</v>
      </c>
      <c r="U2274" s="95">
        <v>33</v>
      </c>
      <c r="AA2274" s="95">
        <v>25</v>
      </c>
      <c r="AH2274" s="95">
        <v>75</v>
      </c>
    </row>
    <row r="2275" spans="1:34" x14ac:dyDescent="0.3">
      <c r="A2275" s="89" t="str">
        <f>CONCATENATE(D2275,".",F2275,"-",G2275,".",H2275,"")</f>
        <v>2.3-6.1</v>
      </c>
      <c r="B2275" s="89" t="str">
        <f>IF(CONCATENATE(I2275,Key!F$2)=CONCATENATE(INDEX(Dashboard!J:J,MATCH(I2275,Dashboard!J:J,0),1),INDEX(Dashboard!J:K,MATCH(I2275,Dashboard!J:J,0),2)),"ON",IF(Dashboard!K$32="ALL","ON","-"))</f>
        <v>-</v>
      </c>
      <c r="C2275" s="96" t="s">
        <v>152</v>
      </c>
      <c r="D2275" s="89">
        <f>IF(C2275="ID",1,(IF(C2275="PR",2,(IF(C2275="DE",3,(IF(C2275="RS",4,(IF(C2275="RC",5,0)))))))))</f>
        <v>2</v>
      </c>
      <c r="E2275" s="89" t="s">
        <v>210</v>
      </c>
      <c r="F2275" s="89">
        <f>IF(E2275="AM",1,(IF(E2275="BE",2,(IF(E2275="GV",3,(IF(E2275="RA",4,(IF(E2275="RM",5,(IF(E2275="AC",1,(IF(E2275="AT",2,(IF(E2275="DS",3,(IF(E2275="IP",4,(IF(E2275="MA",5,(IF(E2275="PT",6,(IF(E2275="AE",1,(IF(E2275="CM",2,(IF(E2275="DP",3,(IF(E2275="AN",1,(IF(E2275="CO",2,(IF(E2275="IM",3,(IF(E2275="MI",4,(IF(E2275="RP",5,(IF(E2275="SC",6,0)))))))))))))))))))))))))))))))))))))))</f>
        <v>3</v>
      </c>
      <c r="G2275" s="98">
        <v>6</v>
      </c>
      <c r="H2275" s="90" t="s">
        <v>115</v>
      </c>
      <c r="I2275" s="94" t="s">
        <v>85</v>
      </c>
      <c r="J2275" s="87" t="s">
        <v>1446</v>
      </c>
      <c r="K2275" s="119" t="s">
        <v>1447</v>
      </c>
      <c r="L2275" s="117">
        <f>IF(O2275="","",N2275*O2275*M2275)</f>
        <v>0</v>
      </c>
      <c r="M2275" s="108">
        <v>1</v>
      </c>
      <c r="N2275" s="95">
        <v>1</v>
      </c>
      <c r="O2275" s="109">
        <f>IF(Key!D$1="ON",P2275,IF(SUM(Q2275:DL2275)&lt;1,"",SUM(Q2275:DL2275)/COUNTIF(Q2275:DL2275,"&gt;0")))</f>
        <v>0</v>
      </c>
      <c r="P2275" s="109">
        <f>SUMIFS(Q2275:DK2275,Q$1:DK$1,Dashboard!$K$31)</f>
        <v>0</v>
      </c>
      <c r="U2275" s="95">
        <v>33</v>
      </c>
      <c r="AA2275" s="95">
        <v>25</v>
      </c>
      <c r="AH2275" s="95">
        <v>75</v>
      </c>
    </row>
    <row r="2276" spans="1:34" ht="15.6" x14ac:dyDescent="0.3">
      <c r="A2276" s="89" t="str">
        <f>CONCATENATE(D2276,".",F2276,"-",G2276,".",H2276,"")</f>
        <v>2.3-6.1</v>
      </c>
      <c r="B2276" s="89" t="str">
        <f>IF(CONCATENATE(I2276,Key!F$2)=CONCATENATE(INDEX(Dashboard!J:J,MATCH(I2276,Dashboard!J:J,0),1),INDEX(Dashboard!J:K,MATCH(I2276,Dashboard!J:J,0),2)),"ON",IF(Dashboard!K$32="ALL","ON","-"))</f>
        <v>-</v>
      </c>
      <c r="C2276" s="96" t="s">
        <v>152</v>
      </c>
      <c r="D2276" s="89">
        <f>IF(C2276="ID",1,(IF(C2276="PR",2,(IF(C2276="DE",3,(IF(C2276="RS",4,(IF(C2276="RC",5,0)))))))))</f>
        <v>2</v>
      </c>
      <c r="E2276" s="89" t="s">
        <v>210</v>
      </c>
      <c r="F2276" s="89">
        <f>IF(E2276="AM",1,(IF(E2276="BE",2,(IF(E2276="GV",3,(IF(E2276="RA",4,(IF(E2276="RM",5,(IF(E2276="AC",1,(IF(E2276="AT",2,(IF(E2276="DS",3,(IF(E2276="IP",4,(IF(E2276="MA",5,(IF(E2276="PT",6,(IF(E2276="AE",1,(IF(E2276="CM",2,(IF(E2276="DP",3,(IF(E2276="AN",1,(IF(E2276="CO",2,(IF(E2276="IM",3,(IF(E2276="MI",4,(IF(E2276="RP",5,(IF(E2276="SC",6,0)))))))))))))))))))))))))))))))))))))))</f>
        <v>3</v>
      </c>
      <c r="G2276" s="52">
        <v>6</v>
      </c>
      <c r="H2276" s="90" t="s">
        <v>115</v>
      </c>
      <c r="I2276" s="94" t="s">
        <v>85</v>
      </c>
      <c r="J2276" s="86" t="s">
        <v>3931</v>
      </c>
      <c r="K2276" s="119" t="s">
        <v>5170</v>
      </c>
      <c r="L2276" s="117">
        <f>IF(O2276="","",N2276*O2276*M2276)</f>
        <v>0</v>
      </c>
      <c r="M2276" s="108">
        <v>1</v>
      </c>
      <c r="N2276" s="95">
        <v>1</v>
      </c>
      <c r="O2276" s="109">
        <f>IF(Key!D$1="ON",P2276,IF(SUM(Q2276:DL2276)&lt;1,"",SUM(Q2276:DL2276)/COUNTIF(Q2276:DL2276,"&gt;0")))</f>
        <v>0</v>
      </c>
      <c r="P2276" s="109">
        <f>SUMIFS(Q2276:DK2276,Q$1:DK$1,Dashboard!$K$31)</f>
        <v>0</v>
      </c>
      <c r="U2276" s="95">
        <v>33</v>
      </c>
      <c r="AA2276" s="95">
        <v>25</v>
      </c>
      <c r="AH2276" s="95">
        <v>75</v>
      </c>
    </row>
    <row r="2277" spans="1:34" ht="15.6" x14ac:dyDescent="0.3">
      <c r="A2277" s="89" t="str">
        <f>CONCATENATE(D2277,".",F2277,"-",G2277,".",H2277,"")</f>
        <v>2.3-6.1</v>
      </c>
      <c r="B2277" s="89" t="str">
        <f>IF(CONCATENATE(I2277,Key!F$2)=CONCATENATE(INDEX(Dashboard!J:J,MATCH(I2277,Dashboard!J:J,0),1),INDEX(Dashboard!J:K,MATCH(I2277,Dashboard!J:J,0),2)),"ON",IF(Dashboard!K$32="ALL","ON","-"))</f>
        <v>-</v>
      </c>
      <c r="C2277" s="88" t="s">
        <v>152</v>
      </c>
      <c r="D2277" s="89">
        <f>IF(C2277="ID",1,(IF(C2277="PR",2,(IF(C2277="DE",3,(IF(C2277="RS",4,(IF(C2277="RC",5,0)))))))))</f>
        <v>2</v>
      </c>
      <c r="E2277" s="89" t="s">
        <v>210</v>
      </c>
      <c r="F2277" s="89">
        <f>IF(E2277="AM",1,(IF(E2277="BE",2,(IF(E2277="GV",3,(IF(E2277="RA",4,(IF(E2277="RM",5,(IF(E2277="AC",1,(IF(E2277="AT",2,(IF(E2277="DS",3,(IF(E2277="IP",4,(IF(E2277="MA",5,(IF(E2277="PT",6,(IF(E2277="AE",1,(IF(E2277="CM",2,(IF(E2277="DP",3,(IF(E2277="AN",1,(IF(E2277="CO",2,(IF(E2277="IM",3,(IF(E2277="MI",4,(IF(E2277="RP",5,(IF(E2277="SC",6,0)))))))))))))))))))))))))))))))))))))))</f>
        <v>3</v>
      </c>
      <c r="G2277" s="52">
        <v>6</v>
      </c>
      <c r="H2277" s="90" t="s">
        <v>115</v>
      </c>
      <c r="I2277" s="94" t="s">
        <v>85</v>
      </c>
      <c r="J2277" s="87" t="s">
        <v>1455</v>
      </c>
      <c r="K2277" s="119" t="s">
        <v>5134</v>
      </c>
      <c r="L2277" s="117">
        <f>IF(O2277="","",N2277*O2277*M2277)</f>
        <v>0</v>
      </c>
      <c r="M2277" s="108">
        <v>1</v>
      </c>
      <c r="N2277" s="95">
        <v>1</v>
      </c>
      <c r="O2277" s="109">
        <f>IF(Key!D$1="ON",P2277,IF(SUM(Q2277:DL2277)&lt;1,"",SUM(Q2277:DL2277)/COUNTIF(Q2277:DL2277,"&gt;0")))</f>
        <v>0</v>
      </c>
      <c r="P2277" s="109">
        <f>SUMIFS(Q2277:DK2277,Q$1:DK$1,Dashboard!$K$31)</f>
        <v>0</v>
      </c>
      <c r="U2277" s="95">
        <v>33</v>
      </c>
      <c r="AA2277" s="95">
        <v>25</v>
      </c>
      <c r="AH2277" s="95">
        <v>75</v>
      </c>
    </row>
    <row r="2278" spans="1:34" ht="15.6" x14ac:dyDescent="0.3">
      <c r="A2278" s="89" t="str">
        <f>CONCATENATE(D2278,".",F2278,"-",G2278,".",H2278,"")</f>
        <v>2.3-6.1</v>
      </c>
      <c r="B2278" s="89" t="str">
        <f>IF(CONCATENATE(I2278,Key!F$2)=CONCATENATE(INDEX(Dashboard!J:J,MATCH(I2278,Dashboard!J:J,0),1),INDEX(Dashboard!J:K,MATCH(I2278,Dashboard!J:J,0),2)),"ON",IF(Dashboard!K$32="ALL","ON","-"))</f>
        <v>-</v>
      </c>
      <c r="C2278" s="88" t="s">
        <v>152</v>
      </c>
      <c r="D2278" s="89">
        <f>IF(C2278="ID",1,(IF(C2278="PR",2,(IF(C2278="DE",3,(IF(C2278="RS",4,(IF(C2278="RC",5,0)))))))))</f>
        <v>2</v>
      </c>
      <c r="E2278" s="89" t="s">
        <v>210</v>
      </c>
      <c r="F2278" s="89">
        <f>IF(E2278="AM",1,(IF(E2278="BE",2,(IF(E2278="GV",3,(IF(E2278="RA",4,(IF(E2278="RM",5,(IF(E2278="AC",1,(IF(E2278="AT",2,(IF(E2278="DS",3,(IF(E2278="IP",4,(IF(E2278="MA",5,(IF(E2278="PT",6,(IF(E2278="AE",1,(IF(E2278="CM",2,(IF(E2278="DP",3,(IF(E2278="AN",1,(IF(E2278="CO",2,(IF(E2278="IM",3,(IF(E2278="MI",4,(IF(E2278="RP",5,(IF(E2278="SC",6,0)))))))))))))))))))))))))))))))))))))))</f>
        <v>3</v>
      </c>
      <c r="G2278" s="52">
        <v>6</v>
      </c>
      <c r="H2278" s="90" t="s">
        <v>115</v>
      </c>
      <c r="I2278" s="94" t="s">
        <v>85</v>
      </c>
      <c r="J2278" s="87" t="s">
        <v>1471</v>
      </c>
      <c r="K2278" s="119" t="s">
        <v>5140</v>
      </c>
      <c r="L2278" s="117">
        <f>IF(O2278="","",N2278*O2278*M2278)</f>
        <v>0</v>
      </c>
      <c r="M2278" s="108">
        <v>1</v>
      </c>
      <c r="N2278" s="95">
        <v>1</v>
      </c>
      <c r="O2278" s="109">
        <f>IF(Key!D$1="ON",P2278,IF(SUM(Q2278:DL2278)&lt;1,"",SUM(Q2278:DL2278)/COUNTIF(Q2278:DL2278,"&gt;0")))</f>
        <v>0</v>
      </c>
      <c r="P2278" s="109">
        <f>SUMIFS(Q2278:DK2278,Q$1:DK$1,Dashboard!$K$31)</f>
        <v>0</v>
      </c>
      <c r="U2278" s="95">
        <v>33</v>
      </c>
      <c r="AA2278" s="95">
        <v>25</v>
      </c>
      <c r="AH2278" s="95">
        <v>75</v>
      </c>
    </row>
    <row r="2279" spans="1:34" ht="15.6" x14ac:dyDescent="0.3">
      <c r="A2279" s="89" t="str">
        <f>CONCATENATE(D2279,".",F2279,"-",G2279,".",H2279,"")</f>
        <v>2.3-6.1</v>
      </c>
      <c r="B2279" s="89" t="str">
        <f>IF(CONCATENATE(I2279,Key!F$2)=CONCATENATE(INDEX(Dashboard!J:J,MATCH(I2279,Dashboard!J:J,0),1),INDEX(Dashboard!J:K,MATCH(I2279,Dashboard!J:J,0),2)),"ON",IF(Dashboard!K$32="ALL","ON","-"))</f>
        <v>-</v>
      </c>
      <c r="C2279" s="88" t="s">
        <v>152</v>
      </c>
      <c r="D2279" s="89">
        <f>IF(C2279="ID",1,(IF(C2279="PR",2,(IF(C2279="DE",3,(IF(C2279="RS",4,(IF(C2279="RC",5,0)))))))))</f>
        <v>2</v>
      </c>
      <c r="E2279" s="89" t="s">
        <v>210</v>
      </c>
      <c r="F2279" s="89">
        <f>IF(E2279="AM",1,(IF(E2279="BE",2,(IF(E2279="GV",3,(IF(E2279="RA",4,(IF(E2279="RM",5,(IF(E2279="AC",1,(IF(E2279="AT",2,(IF(E2279="DS",3,(IF(E2279="IP",4,(IF(E2279="MA",5,(IF(E2279="PT",6,(IF(E2279="AE",1,(IF(E2279="CM",2,(IF(E2279="DP",3,(IF(E2279="AN",1,(IF(E2279="CO",2,(IF(E2279="IM",3,(IF(E2279="MI",4,(IF(E2279="RP",5,(IF(E2279="SC",6,0)))))))))))))))))))))))))))))))))))))))</f>
        <v>3</v>
      </c>
      <c r="G2279" s="98">
        <v>6</v>
      </c>
      <c r="H2279" s="90" t="s">
        <v>115</v>
      </c>
      <c r="I2279" s="94" t="s">
        <v>85</v>
      </c>
      <c r="J2279" s="86" t="s">
        <v>904</v>
      </c>
      <c r="K2279" s="119" t="s">
        <v>4979</v>
      </c>
      <c r="L2279" s="117">
        <f>IF(O2279="","",N2279*O2279*M2279)</f>
        <v>0</v>
      </c>
      <c r="M2279" s="108">
        <v>1</v>
      </c>
      <c r="N2279" s="95">
        <v>1</v>
      </c>
      <c r="O2279" s="109">
        <f>IF(Key!D$1="ON",P2279,IF(SUM(Q2279:DL2279)&lt;1,"",SUM(Q2279:DL2279)/COUNTIF(Q2279:DL2279,"&gt;0")))</f>
        <v>0</v>
      </c>
      <c r="P2279" s="109">
        <f>SUMIFS(Q2279:DK2279,Q$1:DK$1,Dashboard!$K$31)</f>
        <v>0</v>
      </c>
      <c r="U2279" s="95">
        <v>33</v>
      </c>
      <c r="AA2279" s="95">
        <v>25</v>
      </c>
      <c r="AH2279" s="95">
        <v>75</v>
      </c>
    </row>
    <row r="2280" spans="1:34" ht="15.6" x14ac:dyDescent="0.3">
      <c r="A2280" s="89" t="str">
        <f>CONCATENATE(D2280,".",F2280,"-",G2280,".",H2280,"")</f>
        <v>2.3-6.1</v>
      </c>
      <c r="B2280" s="89" t="str">
        <f>IF(CONCATENATE(I2280,Key!F$2)=CONCATENATE(INDEX(Dashboard!J:J,MATCH(I2280,Dashboard!J:J,0),1),INDEX(Dashboard!J:K,MATCH(I2280,Dashboard!J:J,0),2)),"ON",IF(Dashboard!K$32="ALL","ON","-"))</f>
        <v>-</v>
      </c>
      <c r="C2280" s="88" t="s">
        <v>152</v>
      </c>
      <c r="D2280" s="89">
        <f>IF(C2280="ID",1,(IF(C2280="PR",2,(IF(C2280="DE",3,(IF(C2280="RS",4,(IF(C2280="RC",5,0)))))))))</f>
        <v>2</v>
      </c>
      <c r="E2280" s="89" t="s">
        <v>210</v>
      </c>
      <c r="F2280" s="89">
        <f>IF(E2280="AM",1,(IF(E2280="BE",2,(IF(E2280="GV",3,(IF(E2280="RA",4,(IF(E2280="RM",5,(IF(E2280="AC",1,(IF(E2280="AT",2,(IF(E2280="DS",3,(IF(E2280="IP",4,(IF(E2280="MA",5,(IF(E2280="PT",6,(IF(E2280="AE",1,(IF(E2280="CM",2,(IF(E2280="DP",3,(IF(E2280="AN",1,(IF(E2280="CO",2,(IF(E2280="IM",3,(IF(E2280="MI",4,(IF(E2280="RP",5,(IF(E2280="SC",6,0)))))))))))))))))))))))))))))))))))))))</f>
        <v>3</v>
      </c>
      <c r="G2280" s="52">
        <v>6</v>
      </c>
      <c r="H2280" s="90" t="s">
        <v>115</v>
      </c>
      <c r="I2280" s="94" t="s">
        <v>85</v>
      </c>
      <c r="J2280" s="87" t="s">
        <v>1439</v>
      </c>
      <c r="K2280" s="119" t="s">
        <v>4631</v>
      </c>
      <c r="L2280" s="117">
        <f>IF(O2280="","",N2280*O2280*M2280)</f>
        <v>0</v>
      </c>
      <c r="M2280" s="108">
        <v>1</v>
      </c>
      <c r="N2280" s="95">
        <v>1</v>
      </c>
      <c r="O2280" s="109">
        <f>IF(Key!D$1="ON",P2280,IF(SUM(Q2280:DL2280)&lt;1,"",SUM(Q2280:DL2280)/COUNTIF(Q2280:DL2280,"&gt;0")))</f>
        <v>0</v>
      </c>
      <c r="P2280" s="109">
        <f>SUMIFS(Q2280:DK2280,Q$1:DK$1,Dashboard!$K$31)</f>
        <v>0</v>
      </c>
      <c r="U2280" s="95">
        <v>33</v>
      </c>
      <c r="AA2280" s="95">
        <v>25</v>
      </c>
      <c r="AH2280" s="95">
        <v>75</v>
      </c>
    </row>
    <row r="2281" spans="1:34" ht="15.6" x14ac:dyDescent="0.3">
      <c r="A2281" s="89" t="str">
        <f>CONCATENATE(D2281,".",F2281,"-",G2281,".",H2281,"")</f>
        <v>2.3-6.1</v>
      </c>
      <c r="B2281" s="89" t="str">
        <f>IF(CONCATENATE(I2281,Key!F$2)=CONCATENATE(INDEX(Dashboard!J:J,MATCH(I2281,Dashboard!J:J,0),1),INDEX(Dashboard!J:K,MATCH(I2281,Dashboard!J:J,0),2)),"ON",IF(Dashboard!K$32="ALL","ON","-"))</f>
        <v>-</v>
      </c>
      <c r="C2281" s="88" t="s">
        <v>152</v>
      </c>
      <c r="D2281" s="89">
        <f>IF(C2281="ID",1,(IF(C2281="PR",2,(IF(C2281="DE",3,(IF(C2281="RS",4,(IF(C2281="RC",5,0)))))))))</f>
        <v>2</v>
      </c>
      <c r="E2281" s="89" t="s">
        <v>210</v>
      </c>
      <c r="F2281" s="89">
        <f>IF(E2281="AM",1,(IF(E2281="BE",2,(IF(E2281="GV",3,(IF(E2281="RA",4,(IF(E2281="RM",5,(IF(E2281="AC",1,(IF(E2281="AT",2,(IF(E2281="DS",3,(IF(E2281="IP",4,(IF(E2281="MA",5,(IF(E2281="PT",6,(IF(E2281="AE",1,(IF(E2281="CM",2,(IF(E2281="DP",3,(IF(E2281="AN",1,(IF(E2281="CO",2,(IF(E2281="IM",3,(IF(E2281="MI",4,(IF(E2281="RP",5,(IF(E2281="SC",6,0)))))))))))))))))))))))))))))))))))))))</f>
        <v>3</v>
      </c>
      <c r="G2281" s="52">
        <v>6</v>
      </c>
      <c r="H2281" s="90" t="s">
        <v>115</v>
      </c>
      <c r="I2281" s="94" t="s">
        <v>85</v>
      </c>
      <c r="J2281" s="87" t="s">
        <v>1440</v>
      </c>
      <c r="K2281" s="119" t="s">
        <v>4633</v>
      </c>
      <c r="L2281" s="117">
        <f>IF(O2281="","",N2281*O2281*M2281)</f>
        <v>0</v>
      </c>
      <c r="M2281" s="108">
        <v>1</v>
      </c>
      <c r="N2281" s="95">
        <v>1</v>
      </c>
      <c r="O2281" s="109">
        <f>IF(Key!D$1="ON",P2281,IF(SUM(Q2281:DL2281)&lt;1,"",SUM(Q2281:DL2281)/COUNTIF(Q2281:DL2281,"&gt;0")))</f>
        <v>0</v>
      </c>
      <c r="P2281" s="109">
        <f>SUMIFS(Q2281:DK2281,Q$1:DK$1,Dashboard!$K$31)</f>
        <v>0</v>
      </c>
      <c r="U2281" s="95">
        <v>33</v>
      </c>
      <c r="AA2281" s="95">
        <v>25</v>
      </c>
      <c r="AH2281" s="95">
        <v>75</v>
      </c>
    </row>
    <row r="2282" spans="1:34" ht="15.6" x14ac:dyDescent="0.3">
      <c r="A2282" s="89" t="str">
        <f>CONCATENATE(D2282,".",F2282,"-",G2282,".",H2282,"")</f>
        <v>2.3-6.1</v>
      </c>
      <c r="B2282" s="89" t="str">
        <f>IF(CONCATENATE(I2282,Key!F$2)=CONCATENATE(INDEX(Dashboard!J:J,MATCH(I2282,Dashboard!J:J,0),1),INDEX(Dashboard!J:K,MATCH(I2282,Dashboard!J:J,0),2)),"ON",IF(Dashboard!K$32="ALL","ON","-"))</f>
        <v>-</v>
      </c>
      <c r="C2282" s="88" t="s">
        <v>152</v>
      </c>
      <c r="D2282" s="89">
        <f>IF(C2282="ID",1,(IF(C2282="PR",2,(IF(C2282="DE",3,(IF(C2282="RS",4,(IF(C2282="RC",5,0)))))))))</f>
        <v>2</v>
      </c>
      <c r="E2282" s="89" t="s">
        <v>210</v>
      </c>
      <c r="F2282" s="89">
        <f>IF(E2282="AM",1,(IF(E2282="BE",2,(IF(E2282="GV",3,(IF(E2282="RA",4,(IF(E2282="RM",5,(IF(E2282="AC",1,(IF(E2282="AT",2,(IF(E2282="DS",3,(IF(E2282="IP",4,(IF(E2282="MA",5,(IF(E2282="PT",6,(IF(E2282="AE",1,(IF(E2282="CM",2,(IF(E2282="DP",3,(IF(E2282="AN",1,(IF(E2282="CO",2,(IF(E2282="IM",3,(IF(E2282="MI",4,(IF(E2282="RP",5,(IF(E2282="SC",6,0)))))))))))))))))))))))))))))))))))))))</f>
        <v>3</v>
      </c>
      <c r="G2282" s="52">
        <v>6</v>
      </c>
      <c r="H2282" s="90" t="s">
        <v>115</v>
      </c>
      <c r="I2282" s="94" t="s">
        <v>85</v>
      </c>
      <c r="J2282" s="87" t="s">
        <v>1462</v>
      </c>
      <c r="K2282" s="119" t="s">
        <v>5131</v>
      </c>
      <c r="L2282" s="117">
        <f>IF(O2282="","",N2282*O2282*M2282)</f>
        <v>0</v>
      </c>
      <c r="M2282" s="108">
        <v>1</v>
      </c>
      <c r="N2282" s="95">
        <v>1</v>
      </c>
      <c r="O2282" s="109">
        <f>IF(Key!D$1="ON",P2282,IF(SUM(Q2282:DL2282)&lt;1,"",SUM(Q2282:DL2282)/COUNTIF(Q2282:DL2282,"&gt;0")))</f>
        <v>0</v>
      </c>
      <c r="P2282" s="109">
        <f>SUMIFS(Q2282:DK2282,Q$1:DK$1,Dashboard!$K$31)</f>
        <v>0</v>
      </c>
      <c r="U2282" s="95">
        <v>33</v>
      </c>
      <c r="AA2282" s="95">
        <v>25</v>
      </c>
      <c r="AH2282" s="95">
        <v>75</v>
      </c>
    </row>
    <row r="2283" spans="1:34" ht="15.6" x14ac:dyDescent="0.3">
      <c r="A2283" s="89" t="str">
        <f>CONCATENATE(D2283,".",F2283,"-",G2283,".",H2283,"")</f>
        <v>2.3-6.1</v>
      </c>
      <c r="B2283" s="89" t="str">
        <f>IF(CONCATENATE(I2283,Key!F$2)=CONCATENATE(INDEX(Dashboard!J:J,MATCH(I2283,Dashboard!J:J,0),1),INDEX(Dashboard!J:K,MATCH(I2283,Dashboard!J:J,0),2)),"ON",IF(Dashboard!K$32="ALL","ON","-"))</f>
        <v>-</v>
      </c>
      <c r="C2283" s="88" t="s">
        <v>152</v>
      </c>
      <c r="D2283" s="89">
        <f>IF(C2283="ID",1,(IF(C2283="PR",2,(IF(C2283="DE",3,(IF(C2283="RS",4,(IF(C2283="RC",5,0)))))))))</f>
        <v>2</v>
      </c>
      <c r="E2283" s="89" t="s">
        <v>210</v>
      </c>
      <c r="F2283" s="89">
        <f>IF(E2283="AM",1,(IF(E2283="BE",2,(IF(E2283="GV",3,(IF(E2283="RA",4,(IF(E2283="RM",5,(IF(E2283="AC",1,(IF(E2283="AT",2,(IF(E2283="DS",3,(IF(E2283="IP",4,(IF(E2283="MA",5,(IF(E2283="PT",6,(IF(E2283="AE",1,(IF(E2283="CM",2,(IF(E2283="DP",3,(IF(E2283="AN",1,(IF(E2283="CO",2,(IF(E2283="IM",3,(IF(E2283="MI",4,(IF(E2283="RP",5,(IF(E2283="SC",6,0)))))))))))))))))))))))))))))))))))))))</f>
        <v>3</v>
      </c>
      <c r="G2283" s="52">
        <v>6</v>
      </c>
      <c r="H2283" s="90" t="s">
        <v>115</v>
      </c>
      <c r="I2283" s="94" t="s">
        <v>85</v>
      </c>
      <c r="J2283" s="87" t="s">
        <v>1669</v>
      </c>
      <c r="K2283" s="119" t="s">
        <v>5071</v>
      </c>
      <c r="L2283" s="117">
        <f>IF(O2283="","",N2283*O2283*M2283)</f>
        <v>0</v>
      </c>
      <c r="M2283" s="108">
        <v>1</v>
      </c>
      <c r="N2283" s="95">
        <v>1</v>
      </c>
      <c r="O2283" s="109">
        <f>IF(Key!D$1="ON",P2283,IF(SUM(Q2283:DL2283)&lt;1,"",SUM(Q2283:DL2283)/COUNTIF(Q2283:DL2283,"&gt;0")))</f>
        <v>0</v>
      </c>
      <c r="P2283" s="109">
        <f>SUMIFS(Q2283:DK2283,Q$1:DK$1,Dashboard!$K$31)</f>
        <v>0</v>
      </c>
      <c r="U2283" s="95">
        <v>33</v>
      </c>
      <c r="AA2283" s="95">
        <v>25</v>
      </c>
      <c r="AH2283" s="95">
        <v>75</v>
      </c>
    </row>
    <row r="2284" spans="1:34" ht="15.6" x14ac:dyDescent="0.3">
      <c r="A2284" s="89" t="str">
        <f>CONCATENATE(D2284,".",F2284,"-",G2284,".",H2284,"")</f>
        <v>2.3-6.1</v>
      </c>
      <c r="B2284" s="89" t="str">
        <f>IF(CONCATENATE(I2284,Key!F$2)=CONCATENATE(INDEX(Dashboard!J:J,MATCH(I2284,Dashboard!J:J,0),1),INDEX(Dashboard!J:K,MATCH(I2284,Dashboard!J:J,0),2)),"ON",IF(Dashboard!K$32="ALL","ON","-"))</f>
        <v>-</v>
      </c>
      <c r="C2284" s="88" t="s">
        <v>152</v>
      </c>
      <c r="D2284" s="89">
        <f>IF(C2284="ID",1,(IF(C2284="PR",2,(IF(C2284="DE",3,(IF(C2284="RS",4,(IF(C2284="RC",5,0)))))))))</f>
        <v>2</v>
      </c>
      <c r="E2284" s="89" t="s">
        <v>210</v>
      </c>
      <c r="F2284" s="89">
        <f>IF(E2284="AM",1,(IF(E2284="BE",2,(IF(E2284="GV",3,(IF(E2284="RA",4,(IF(E2284="RM",5,(IF(E2284="AC",1,(IF(E2284="AT",2,(IF(E2284="DS",3,(IF(E2284="IP",4,(IF(E2284="MA",5,(IF(E2284="PT",6,(IF(E2284="AE",1,(IF(E2284="CM",2,(IF(E2284="DP",3,(IF(E2284="AN",1,(IF(E2284="CO",2,(IF(E2284="IM",3,(IF(E2284="MI",4,(IF(E2284="RP",5,(IF(E2284="SC",6,0)))))))))))))))))))))))))))))))))))))))</f>
        <v>3</v>
      </c>
      <c r="G2284" s="52">
        <v>6</v>
      </c>
      <c r="H2284" s="90" t="s">
        <v>115</v>
      </c>
      <c r="I2284" s="94" t="s">
        <v>85</v>
      </c>
      <c r="J2284" s="87" t="s">
        <v>1668</v>
      </c>
      <c r="K2284" s="119" t="s">
        <v>5070</v>
      </c>
      <c r="L2284" s="117">
        <f>IF(O2284="","",N2284*O2284*M2284)</f>
        <v>0</v>
      </c>
      <c r="M2284" s="108">
        <v>1</v>
      </c>
      <c r="N2284" s="95">
        <v>1</v>
      </c>
      <c r="O2284" s="109">
        <f>IF(Key!D$1="ON",P2284,IF(SUM(Q2284:DL2284)&lt;1,"",SUM(Q2284:DL2284)/COUNTIF(Q2284:DL2284,"&gt;0")))</f>
        <v>0</v>
      </c>
      <c r="P2284" s="109">
        <f>SUMIFS(Q2284:DK2284,Q$1:DK$1,Dashboard!$K$31)</f>
        <v>0</v>
      </c>
      <c r="U2284" s="95">
        <v>33</v>
      </c>
      <c r="AA2284" s="95">
        <v>25</v>
      </c>
      <c r="AH2284" s="95">
        <v>75</v>
      </c>
    </row>
    <row r="2285" spans="1:34" ht="15.6" x14ac:dyDescent="0.3">
      <c r="A2285" s="89" t="str">
        <f>CONCATENATE(D2285,".",F2285,"-",G2285,".",H2285,"")</f>
        <v>2.3-6.1</v>
      </c>
      <c r="B2285" s="89" t="str">
        <f>IF(CONCATENATE(I2285,Key!F$2)=CONCATENATE(INDEX(Dashboard!J:J,MATCH(I2285,Dashboard!J:J,0),1),INDEX(Dashboard!J:K,MATCH(I2285,Dashboard!J:J,0),2)),"ON",IF(Dashboard!K$32="ALL","ON","-"))</f>
        <v>-</v>
      </c>
      <c r="C2285" s="88" t="s">
        <v>152</v>
      </c>
      <c r="D2285" s="89">
        <f>IF(C2285="ID",1,(IF(C2285="PR",2,(IF(C2285="DE",3,(IF(C2285="RS",4,(IF(C2285="RC",5,0)))))))))</f>
        <v>2</v>
      </c>
      <c r="E2285" s="89" t="s">
        <v>210</v>
      </c>
      <c r="F2285" s="89">
        <f>IF(E2285="AM",1,(IF(E2285="BE",2,(IF(E2285="GV",3,(IF(E2285="RA",4,(IF(E2285="RM",5,(IF(E2285="AC",1,(IF(E2285="AT",2,(IF(E2285="DS",3,(IF(E2285="IP",4,(IF(E2285="MA",5,(IF(E2285="PT",6,(IF(E2285="AE",1,(IF(E2285="CM",2,(IF(E2285="DP",3,(IF(E2285="AN",1,(IF(E2285="CO",2,(IF(E2285="IM",3,(IF(E2285="MI",4,(IF(E2285="RP",5,(IF(E2285="SC",6,0)))))))))))))))))))))))))))))))))))))))</f>
        <v>3</v>
      </c>
      <c r="G2285" s="52">
        <v>6</v>
      </c>
      <c r="H2285" s="90" t="s">
        <v>115</v>
      </c>
      <c r="I2285" s="94" t="s">
        <v>85</v>
      </c>
      <c r="J2285" s="87" t="s">
        <v>1667</v>
      </c>
      <c r="K2285" s="119" t="s">
        <v>5069</v>
      </c>
      <c r="L2285" s="117">
        <f>IF(O2285="","",N2285*O2285*M2285)</f>
        <v>0</v>
      </c>
      <c r="M2285" s="108">
        <v>1</v>
      </c>
      <c r="N2285" s="95">
        <v>1</v>
      </c>
      <c r="O2285" s="109">
        <f>IF(Key!D$1="ON",P2285,IF(SUM(Q2285:DL2285)&lt;1,"",SUM(Q2285:DL2285)/COUNTIF(Q2285:DL2285,"&gt;0")))</f>
        <v>0</v>
      </c>
      <c r="P2285" s="109">
        <f>SUMIFS(Q2285:DK2285,Q$1:DK$1,Dashboard!$K$31)</f>
        <v>0</v>
      </c>
      <c r="U2285" s="95">
        <v>33</v>
      </c>
      <c r="AA2285" s="95">
        <v>25</v>
      </c>
      <c r="AH2285" s="95">
        <v>75</v>
      </c>
    </row>
    <row r="2286" spans="1:34" ht="15.6" x14ac:dyDescent="0.3">
      <c r="A2286" s="89" t="str">
        <f>CONCATENATE(D2286,".",F2286,"-",G2286,".",H2286,"")</f>
        <v>2.3-6.1</v>
      </c>
      <c r="B2286" s="89" t="str">
        <f>IF(CONCATENATE(I2286,Key!F$2)=CONCATENATE(INDEX(Dashboard!J:J,MATCH(I2286,Dashboard!J:J,0),1),INDEX(Dashboard!J:K,MATCH(I2286,Dashboard!J:J,0),2)),"ON",IF(Dashboard!K$32="ALL","ON","-"))</f>
        <v>-</v>
      </c>
      <c r="C2286" s="96" t="s">
        <v>152</v>
      </c>
      <c r="D2286" s="89">
        <f>IF(C2286="ID",1,(IF(C2286="PR",2,(IF(C2286="DE",3,(IF(C2286="RS",4,(IF(C2286="RC",5,0)))))))))</f>
        <v>2</v>
      </c>
      <c r="E2286" s="89" t="s">
        <v>210</v>
      </c>
      <c r="F2286" s="89">
        <f>IF(E2286="AM",1,(IF(E2286="BE",2,(IF(E2286="GV",3,(IF(E2286="RA",4,(IF(E2286="RM",5,(IF(E2286="AC",1,(IF(E2286="AT",2,(IF(E2286="DS",3,(IF(E2286="IP",4,(IF(E2286="MA",5,(IF(E2286="PT",6,(IF(E2286="AE",1,(IF(E2286="CM",2,(IF(E2286="DP",3,(IF(E2286="AN",1,(IF(E2286="CO",2,(IF(E2286="IM",3,(IF(E2286="MI",4,(IF(E2286="RP",5,(IF(E2286="SC",6,0)))))))))))))))))))))))))))))))))))))))</f>
        <v>3</v>
      </c>
      <c r="G2286" s="52">
        <v>6</v>
      </c>
      <c r="H2286" s="90" t="s">
        <v>115</v>
      </c>
      <c r="I2286" s="94" t="s">
        <v>85</v>
      </c>
      <c r="J2286" s="135" t="s">
        <v>798</v>
      </c>
      <c r="K2286" s="143" t="s">
        <v>4943</v>
      </c>
      <c r="L2286" s="117">
        <f>IF(O2286="","",N2286*O2286*M2286)</f>
        <v>0</v>
      </c>
      <c r="M2286" s="108">
        <v>1</v>
      </c>
      <c r="N2286" s="95">
        <v>1</v>
      </c>
      <c r="O2286" s="109">
        <f>IF(Key!D$1="ON",P2286,IF(SUM(Q2286:DL2286)&lt;1,"",SUM(Q2286:DL2286)/COUNTIF(Q2286:DL2286,"&gt;0")))</f>
        <v>0</v>
      </c>
      <c r="P2286" s="109">
        <f>SUMIFS(Q2286:DK2286,Q$1:DK$1,Dashboard!$K$31)</f>
        <v>0</v>
      </c>
      <c r="U2286" s="95">
        <v>33</v>
      </c>
      <c r="AA2286" s="95">
        <v>25</v>
      </c>
      <c r="AH2286" s="95">
        <v>75</v>
      </c>
    </row>
    <row r="2287" spans="1:34" ht="15.6" x14ac:dyDescent="0.3">
      <c r="A2287" s="89" t="str">
        <f>CONCATENATE(D2287,".",F2287,"-",G2287,".",H2287,"")</f>
        <v>2.3-6.1</v>
      </c>
      <c r="B2287" s="89" t="str">
        <f>IF(CONCATENATE(I2287,Key!F$2)=CONCATENATE(INDEX(Dashboard!J:J,MATCH(I2287,Dashboard!J:J,0),1),INDEX(Dashboard!J:K,MATCH(I2287,Dashboard!J:J,0),2)),"ON",IF(Dashboard!K$32="ALL","ON","-"))</f>
        <v>-</v>
      </c>
      <c r="C2287" s="88" t="s">
        <v>152</v>
      </c>
      <c r="D2287" s="89">
        <f>IF(C2287="ID",1,(IF(C2287="PR",2,(IF(C2287="DE",3,(IF(C2287="RS",4,(IF(C2287="RC",5,0)))))))))</f>
        <v>2</v>
      </c>
      <c r="E2287" s="89" t="s">
        <v>210</v>
      </c>
      <c r="F2287" s="89">
        <f>IF(E2287="AM",1,(IF(E2287="BE",2,(IF(E2287="GV",3,(IF(E2287="RA",4,(IF(E2287="RM",5,(IF(E2287="AC",1,(IF(E2287="AT",2,(IF(E2287="DS",3,(IF(E2287="IP",4,(IF(E2287="MA",5,(IF(E2287="PT",6,(IF(E2287="AE",1,(IF(E2287="CM",2,(IF(E2287="DP",3,(IF(E2287="AN",1,(IF(E2287="CO",2,(IF(E2287="IM",3,(IF(E2287="MI",4,(IF(E2287="RP",5,(IF(E2287="SC",6,0)))))))))))))))))))))))))))))))))))))))</f>
        <v>3</v>
      </c>
      <c r="G2287" s="52">
        <v>6</v>
      </c>
      <c r="H2287" s="90" t="s">
        <v>115</v>
      </c>
      <c r="I2287" s="94" t="s">
        <v>85</v>
      </c>
      <c r="J2287" s="135" t="s">
        <v>678</v>
      </c>
      <c r="K2287" s="143" t="s">
        <v>4680</v>
      </c>
      <c r="L2287" s="117">
        <f>IF(O2287="","",N2287*O2287*M2287)</f>
        <v>0</v>
      </c>
      <c r="M2287" s="108">
        <v>1</v>
      </c>
      <c r="N2287" s="95">
        <v>1</v>
      </c>
      <c r="O2287" s="109">
        <f>IF(Key!D$1="ON",P2287,IF(SUM(Q2287:DL2287)&lt;1,"",SUM(Q2287:DL2287)/COUNTIF(Q2287:DL2287,"&gt;0")))</f>
        <v>0</v>
      </c>
      <c r="P2287" s="109">
        <f>SUMIFS(Q2287:DK2287,Q$1:DK$1,Dashboard!$K$31)</f>
        <v>0</v>
      </c>
      <c r="U2287" s="95">
        <v>33</v>
      </c>
      <c r="AA2287" s="95">
        <v>25</v>
      </c>
      <c r="AH2287" s="95">
        <v>75</v>
      </c>
    </row>
    <row r="2288" spans="1:34" ht="15.6" x14ac:dyDescent="0.3">
      <c r="A2288" s="89" t="str">
        <f>CONCATENATE(D2288,".",F2288,"-",G2288,".",H2288,"")</f>
        <v>2.3-6.1</v>
      </c>
      <c r="B2288" s="89" t="str">
        <f>IF(CONCATENATE(I2288,Key!F$2)=CONCATENATE(INDEX(Dashboard!J:J,MATCH(I2288,Dashboard!J:J,0),1),INDEX(Dashboard!J:K,MATCH(I2288,Dashboard!J:J,0),2)),"ON",IF(Dashboard!K$32="ALL","ON","-"))</f>
        <v>-</v>
      </c>
      <c r="C2288" s="96" t="s">
        <v>152</v>
      </c>
      <c r="D2288" s="89">
        <f>IF(C2288="ID",1,(IF(C2288="PR",2,(IF(C2288="DE",3,(IF(C2288="RS",4,(IF(C2288="RC",5,0)))))))))</f>
        <v>2</v>
      </c>
      <c r="E2288" s="89" t="s">
        <v>210</v>
      </c>
      <c r="F2288" s="89">
        <f>IF(E2288="AM",1,(IF(E2288="BE",2,(IF(E2288="GV",3,(IF(E2288="RA",4,(IF(E2288="RM",5,(IF(E2288="AC",1,(IF(E2288="AT",2,(IF(E2288="DS",3,(IF(E2288="IP",4,(IF(E2288="MA",5,(IF(E2288="PT",6,(IF(E2288="AE",1,(IF(E2288="CM",2,(IF(E2288="DP",3,(IF(E2288="AN",1,(IF(E2288="CO",2,(IF(E2288="IM",3,(IF(E2288="MI",4,(IF(E2288="RP",5,(IF(E2288="SC",6,0)))))))))))))))))))))))))))))))))))))))</f>
        <v>3</v>
      </c>
      <c r="G2288" s="52">
        <v>6</v>
      </c>
      <c r="H2288" s="90" t="s">
        <v>115</v>
      </c>
      <c r="I2288" s="94" t="s">
        <v>85</v>
      </c>
      <c r="J2288" s="135" t="s">
        <v>787</v>
      </c>
      <c r="K2288" s="143" t="s">
        <v>4934</v>
      </c>
      <c r="L2288" s="117">
        <f>IF(O2288="","",N2288*O2288*M2288)</f>
        <v>0</v>
      </c>
      <c r="M2288" s="108">
        <v>1</v>
      </c>
      <c r="N2288" s="95">
        <v>1</v>
      </c>
      <c r="O2288" s="109">
        <f>IF(Key!D$1="ON",P2288,IF(SUM(Q2288:DL2288)&lt;1,"",SUM(Q2288:DL2288)/COUNTIF(Q2288:DL2288,"&gt;0")))</f>
        <v>0</v>
      </c>
      <c r="P2288" s="109">
        <f>SUMIFS(Q2288:DK2288,Q$1:DK$1,Dashboard!$K$31)</f>
        <v>0</v>
      </c>
      <c r="U2288" s="95">
        <v>33</v>
      </c>
      <c r="AA2288" s="95">
        <v>25</v>
      </c>
      <c r="AH2288" s="95">
        <v>75</v>
      </c>
    </row>
    <row r="2289" spans="1:34" ht="15.6" x14ac:dyDescent="0.3">
      <c r="A2289" s="89" t="str">
        <f>CONCATENATE(D2289,".",F2289,"-",G2289,".",H2289,"")</f>
        <v>2.3-6.1</v>
      </c>
      <c r="B2289" s="89" t="str">
        <f>IF(CONCATENATE(I2289,Key!F$2)=CONCATENATE(INDEX(Dashboard!J:J,MATCH(I2289,Dashboard!J:J,0),1),INDEX(Dashboard!J:K,MATCH(I2289,Dashboard!J:J,0),2)),"ON",IF(Dashboard!K$32="ALL","ON","-"))</f>
        <v>-</v>
      </c>
      <c r="C2289" s="88" t="s">
        <v>152</v>
      </c>
      <c r="D2289" s="89">
        <f>IF(C2289="ID",1,(IF(C2289="PR",2,(IF(C2289="DE",3,(IF(C2289="RS",4,(IF(C2289="RC",5,0)))))))))</f>
        <v>2</v>
      </c>
      <c r="E2289" s="89" t="s">
        <v>210</v>
      </c>
      <c r="F2289" s="89">
        <f>IF(E2289="AM",1,(IF(E2289="BE",2,(IF(E2289="GV",3,(IF(E2289="RA",4,(IF(E2289="RM",5,(IF(E2289="AC",1,(IF(E2289="AT",2,(IF(E2289="DS",3,(IF(E2289="IP",4,(IF(E2289="MA",5,(IF(E2289="PT",6,(IF(E2289="AE",1,(IF(E2289="CM",2,(IF(E2289="DP",3,(IF(E2289="AN",1,(IF(E2289="CO",2,(IF(E2289="IM",3,(IF(E2289="MI",4,(IF(E2289="RP",5,(IF(E2289="SC",6,0)))))))))))))))))))))))))))))))))))))))</f>
        <v>3</v>
      </c>
      <c r="G2289" s="52">
        <v>6</v>
      </c>
      <c r="H2289" s="89">
        <v>1</v>
      </c>
      <c r="I2289" s="94" t="s">
        <v>85</v>
      </c>
      <c r="J2289" s="135" t="s">
        <v>726</v>
      </c>
      <c r="K2289" s="143" t="s">
        <v>727</v>
      </c>
      <c r="L2289" s="117">
        <f>IF(O2289="","",N2289*O2289*M2289)</f>
        <v>0</v>
      </c>
      <c r="M2289" s="108">
        <v>1</v>
      </c>
      <c r="N2289" s="95">
        <v>1</v>
      </c>
      <c r="O2289" s="109">
        <f>IF(Key!D$1="ON",P2289,IF(SUM(Q2289:DL2289)&lt;1,"",SUM(Q2289:DL2289)/COUNTIF(Q2289:DL2289,"&gt;0")))</f>
        <v>0</v>
      </c>
      <c r="P2289" s="109">
        <f>SUMIFS(Q2289:DK2289,Q$1:DK$1,Dashboard!$K$31)</f>
        <v>0</v>
      </c>
      <c r="U2289" s="95">
        <v>33</v>
      </c>
      <c r="AA2289" s="95">
        <v>25</v>
      </c>
      <c r="AH2289" s="95">
        <v>75</v>
      </c>
    </row>
    <row r="2290" spans="1:34" ht="15.6" x14ac:dyDescent="0.3">
      <c r="A2290" s="89" t="str">
        <f>CONCATENATE(D2290,".",F2290,"-",G2290,".",H2290,"")</f>
        <v>2.3-6.1</v>
      </c>
      <c r="B2290" s="89" t="str">
        <f>IF(CONCATENATE(I2290,Key!F$2)=CONCATENATE(INDEX(Dashboard!J:J,MATCH(I2290,Dashboard!J:J,0),1),INDEX(Dashboard!J:K,MATCH(I2290,Dashboard!J:J,0),2)),"ON",IF(Dashboard!K$32="ALL","ON","-"))</f>
        <v>-</v>
      </c>
      <c r="C2290" s="88" t="s">
        <v>152</v>
      </c>
      <c r="D2290" s="89">
        <f>IF(C2290="ID",1,(IF(C2290="PR",2,(IF(C2290="DE",3,(IF(C2290="RS",4,(IF(C2290="RC",5,0)))))))))</f>
        <v>2</v>
      </c>
      <c r="E2290" s="89" t="s">
        <v>210</v>
      </c>
      <c r="F2290" s="89">
        <f>IF(E2290="AM",1,(IF(E2290="BE",2,(IF(E2290="GV",3,(IF(E2290="RA",4,(IF(E2290="RM",5,(IF(E2290="AC",1,(IF(E2290="AT",2,(IF(E2290="DS",3,(IF(E2290="IP",4,(IF(E2290="MA",5,(IF(E2290="PT",6,(IF(E2290="AE",1,(IF(E2290="CM",2,(IF(E2290="DP",3,(IF(E2290="AN",1,(IF(E2290="CO",2,(IF(E2290="IM",3,(IF(E2290="MI",4,(IF(E2290="RP",5,(IF(E2290="SC",6,0)))))))))))))))))))))))))))))))))))))))</f>
        <v>3</v>
      </c>
      <c r="G2290" s="52">
        <v>6</v>
      </c>
      <c r="H2290" s="90" t="s">
        <v>115</v>
      </c>
      <c r="I2290" s="94" t="s">
        <v>85</v>
      </c>
      <c r="J2290" s="135" t="s">
        <v>821</v>
      </c>
      <c r="K2290" s="143" t="s">
        <v>5046</v>
      </c>
      <c r="L2290" s="117">
        <f>IF(O2290="","",N2290*O2290*M2290)</f>
        <v>0</v>
      </c>
      <c r="M2290" s="108">
        <v>1</v>
      </c>
      <c r="N2290" s="95">
        <v>1</v>
      </c>
      <c r="O2290" s="109">
        <f>IF(Key!D$1="ON",P2290,IF(SUM(Q2290:DL2290)&lt;1,"",SUM(Q2290:DL2290)/COUNTIF(Q2290:DL2290,"&gt;0")))</f>
        <v>0</v>
      </c>
      <c r="P2290" s="109">
        <f>SUMIFS(Q2290:DK2290,Q$1:DK$1,Dashboard!$K$31)</f>
        <v>0</v>
      </c>
      <c r="U2290" s="95">
        <v>33</v>
      </c>
      <c r="AA2290" s="95">
        <v>25</v>
      </c>
      <c r="AH2290" s="95">
        <v>75</v>
      </c>
    </row>
    <row r="2291" spans="1:34" ht="15.6" x14ac:dyDescent="0.3">
      <c r="A2291" s="89" t="str">
        <f>CONCATENATE(D2291,".",F2291,"-",G2291,".",H2291,"")</f>
        <v>2.3-6.1</v>
      </c>
      <c r="B2291" s="89" t="str">
        <f>IF(CONCATENATE(I2291,Key!F$2)=CONCATENATE(INDEX(Dashboard!J:J,MATCH(I2291,Dashboard!J:J,0),1),INDEX(Dashboard!J:K,MATCH(I2291,Dashboard!J:J,0),2)),"ON",IF(Dashboard!K$32="ALL","ON","-"))</f>
        <v>-</v>
      </c>
      <c r="C2291" s="88" t="s">
        <v>152</v>
      </c>
      <c r="D2291" s="89">
        <f>IF(C2291="ID",1,(IF(C2291="PR",2,(IF(C2291="DE",3,(IF(C2291="RS",4,(IF(C2291="RC",5,0)))))))))</f>
        <v>2</v>
      </c>
      <c r="E2291" s="89" t="s">
        <v>210</v>
      </c>
      <c r="F2291" s="89">
        <f>IF(E2291="AM",1,(IF(E2291="BE",2,(IF(E2291="GV",3,(IF(E2291="RA",4,(IF(E2291="RM",5,(IF(E2291="AC",1,(IF(E2291="AT",2,(IF(E2291="DS",3,(IF(E2291="IP",4,(IF(E2291="MA",5,(IF(E2291="PT",6,(IF(E2291="AE",1,(IF(E2291="CM",2,(IF(E2291="DP",3,(IF(E2291="AN",1,(IF(E2291="CO",2,(IF(E2291="IM",3,(IF(E2291="MI",4,(IF(E2291="RP",5,(IF(E2291="SC",6,0)))))))))))))))))))))))))))))))))))))))</f>
        <v>3</v>
      </c>
      <c r="G2291" s="52">
        <v>6</v>
      </c>
      <c r="H2291" s="90" t="s">
        <v>115</v>
      </c>
      <c r="I2291" s="94" t="s">
        <v>85</v>
      </c>
      <c r="J2291" s="135" t="s">
        <v>852</v>
      </c>
      <c r="K2291" s="143" t="s">
        <v>5142</v>
      </c>
      <c r="L2291" s="117">
        <f>IF(O2291="","",N2291*O2291*M2291)</f>
        <v>0</v>
      </c>
      <c r="M2291" s="108">
        <v>1</v>
      </c>
      <c r="N2291" s="95">
        <v>1</v>
      </c>
      <c r="O2291" s="109">
        <f>IF(Key!D$1="ON",P2291,IF(SUM(Q2291:DL2291)&lt;1,"",SUM(Q2291:DL2291)/COUNTIF(Q2291:DL2291,"&gt;0")))</f>
        <v>0</v>
      </c>
      <c r="P2291" s="109">
        <f>SUMIFS(Q2291:DK2291,Q$1:DK$1,Dashboard!$K$31)</f>
        <v>0</v>
      </c>
      <c r="U2291" s="95">
        <v>33</v>
      </c>
      <c r="AA2291" s="95">
        <v>25</v>
      </c>
      <c r="AH2291" s="95">
        <v>75</v>
      </c>
    </row>
    <row r="2292" spans="1:34" ht="15.6" x14ac:dyDescent="0.3">
      <c r="A2292" s="89" t="str">
        <f>CONCATENATE(D2292,".",F2292,"-",G2292,".",H2292,"")</f>
        <v>2.3-6.1</v>
      </c>
      <c r="B2292" s="89" t="str">
        <f>IF(CONCATENATE(I2292,Key!F$2)=CONCATENATE(INDEX(Dashboard!J:J,MATCH(I2292,Dashboard!J:J,0),1),INDEX(Dashboard!J:K,MATCH(I2292,Dashboard!J:J,0),2)),"ON",IF(Dashboard!K$32="ALL","ON","-"))</f>
        <v>-</v>
      </c>
      <c r="C2292" s="88" t="s">
        <v>152</v>
      </c>
      <c r="D2292" s="89">
        <f>IF(C2292="ID",1,(IF(C2292="PR",2,(IF(C2292="DE",3,(IF(C2292="RS",4,(IF(C2292="RC",5,0)))))))))</f>
        <v>2</v>
      </c>
      <c r="E2292" s="89" t="s">
        <v>210</v>
      </c>
      <c r="F2292" s="89">
        <f>IF(E2292="AM",1,(IF(E2292="BE",2,(IF(E2292="GV",3,(IF(E2292="RA",4,(IF(E2292="RM",5,(IF(E2292="AC",1,(IF(E2292="AT",2,(IF(E2292="DS",3,(IF(E2292="IP",4,(IF(E2292="MA",5,(IF(E2292="PT",6,(IF(E2292="AE",1,(IF(E2292="CM",2,(IF(E2292="DP",3,(IF(E2292="AN",1,(IF(E2292="CO",2,(IF(E2292="IM",3,(IF(E2292="MI",4,(IF(E2292="RP",5,(IF(E2292="SC",6,0)))))))))))))))))))))))))))))))))))))))</f>
        <v>3</v>
      </c>
      <c r="G2292" s="52">
        <v>6</v>
      </c>
      <c r="H2292" s="89">
        <v>1</v>
      </c>
      <c r="I2292" s="94" t="s">
        <v>85</v>
      </c>
      <c r="J2292" s="135" t="s">
        <v>858</v>
      </c>
      <c r="K2292" s="143" t="s">
        <v>859</v>
      </c>
      <c r="L2292" s="117">
        <f>IF(O2292="","",N2292*O2292*M2292)</f>
        <v>0</v>
      </c>
      <c r="M2292" s="108">
        <v>1</v>
      </c>
      <c r="N2292" s="95">
        <v>1</v>
      </c>
      <c r="O2292" s="109">
        <f>IF(Key!D$1="ON",P2292,IF(SUM(Q2292:DL2292)&lt;1,"",SUM(Q2292:DL2292)/COUNTIF(Q2292:DL2292,"&gt;0")))</f>
        <v>0</v>
      </c>
      <c r="P2292" s="109">
        <f>SUMIFS(Q2292:DK2292,Q$1:DK$1,Dashboard!$K$31)</f>
        <v>0</v>
      </c>
      <c r="U2292" s="95">
        <v>33</v>
      </c>
      <c r="AA2292" s="95">
        <v>25</v>
      </c>
      <c r="AH2292" s="95">
        <v>75</v>
      </c>
    </row>
    <row r="2293" spans="1:34" x14ac:dyDescent="0.3">
      <c r="A2293" s="89" t="str">
        <f>CONCATENATE(D2293,".",F2293,"-",G2293,".",H2293,"")</f>
        <v>2.3-6.1</v>
      </c>
      <c r="B2293" s="89" t="str">
        <f>IF(CONCATENATE(I2293,Key!F$2)=CONCATENATE(INDEX(Dashboard!J:J,MATCH(I2293,Dashboard!J:J,0),1),INDEX(Dashboard!J:K,MATCH(I2293,Dashboard!J:J,0),2)),"ON",IF(Dashboard!K$32="ALL","ON","-"))</f>
        <v>-</v>
      </c>
      <c r="C2293" s="88" t="s">
        <v>152</v>
      </c>
      <c r="D2293" s="89">
        <f>IF(C2293="ID",1,(IF(C2293="PR",2,(IF(C2293="DE",3,(IF(C2293="RS",4,(IF(C2293="RC",5,0)))))))))</f>
        <v>2</v>
      </c>
      <c r="E2293" s="89" t="s">
        <v>210</v>
      </c>
      <c r="F2293" s="89">
        <f>IF(E2293="AM",1,(IF(E2293="BE",2,(IF(E2293="GV",3,(IF(E2293="RA",4,(IF(E2293="RM",5,(IF(E2293="AC",1,(IF(E2293="AT",2,(IF(E2293="DS",3,(IF(E2293="IP",4,(IF(E2293="MA",5,(IF(E2293="PT",6,(IF(E2293="AE",1,(IF(E2293="CM",2,(IF(E2293="DP",3,(IF(E2293="AN",1,(IF(E2293="CO",2,(IF(E2293="IM",3,(IF(E2293="MI",4,(IF(E2293="RP",5,(IF(E2293="SC",6,0)))))))))))))))))))))))))))))))))))))))</f>
        <v>3</v>
      </c>
      <c r="G2293" s="52">
        <v>6</v>
      </c>
      <c r="H2293" s="89">
        <v>1</v>
      </c>
      <c r="I2293" s="94" t="s">
        <v>85</v>
      </c>
      <c r="J2293" s="135" t="s">
        <v>860</v>
      </c>
      <c r="K2293" s="143" t="s">
        <v>4870</v>
      </c>
      <c r="L2293" s="117">
        <f>IF(O2293="","",N2293*O2293*M2293)</f>
        <v>0</v>
      </c>
      <c r="M2293" s="108">
        <v>1</v>
      </c>
      <c r="N2293" s="95">
        <v>1</v>
      </c>
      <c r="O2293" s="109">
        <f>IF(Key!D$1="ON",P2293,IF(SUM(Q2293:DL2293)&lt;1,"",SUM(Q2293:DL2293)/COUNTIF(Q2293:DL2293,"&gt;0")))</f>
        <v>0</v>
      </c>
      <c r="P2293" s="109">
        <f>SUMIFS(Q2293:DK2293,Q$1:DK$1,Dashboard!$K$31)</f>
        <v>0</v>
      </c>
      <c r="U2293" s="95">
        <v>33</v>
      </c>
      <c r="AA2293" s="95">
        <v>25</v>
      </c>
      <c r="AH2293" s="95">
        <v>75</v>
      </c>
    </row>
    <row r="2294" spans="1:34" x14ac:dyDescent="0.3">
      <c r="A2294" s="89" t="str">
        <f>CONCATENATE(D2294,".",F2294,"-",G2294,".",H2294,"")</f>
        <v>2.3-6.1</v>
      </c>
      <c r="B2294" s="89" t="str">
        <f>IF(CONCATENATE(I2294,Key!F$2)=CONCATENATE(INDEX(Dashboard!J:J,MATCH(I2294,Dashboard!J:J,0),1),INDEX(Dashboard!J:K,MATCH(I2294,Dashboard!J:J,0),2)),"ON",IF(Dashboard!K$32="ALL","ON","-"))</f>
        <v>-</v>
      </c>
      <c r="C2294" s="88" t="s">
        <v>152</v>
      </c>
      <c r="D2294" s="89">
        <f>IF(C2294="ID",1,(IF(C2294="PR",2,(IF(C2294="DE",3,(IF(C2294="RS",4,(IF(C2294="RC",5,0)))))))))</f>
        <v>2</v>
      </c>
      <c r="E2294" s="89" t="s">
        <v>210</v>
      </c>
      <c r="F2294" s="89">
        <f>IF(E2294="AM",1,(IF(E2294="BE",2,(IF(E2294="GV",3,(IF(E2294="RA",4,(IF(E2294="RM",5,(IF(E2294="AC",1,(IF(E2294="AT",2,(IF(E2294="DS",3,(IF(E2294="IP",4,(IF(E2294="MA",5,(IF(E2294="PT",6,(IF(E2294="AE",1,(IF(E2294="CM",2,(IF(E2294="DP",3,(IF(E2294="AN",1,(IF(E2294="CO",2,(IF(E2294="IM",3,(IF(E2294="MI",4,(IF(E2294="RP",5,(IF(E2294="SC",6,0)))))))))))))))))))))))))))))))))))))))</f>
        <v>3</v>
      </c>
      <c r="G2294" s="52">
        <v>6</v>
      </c>
      <c r="H2294" s="89">
        <v>1</v>
      </c>
      <c r="I2294" s="94" t="s">
        <v>85</v>
      </c>
      <c r="J2294" s="135" t="s">
        <v>862</v>
      </c>
      <c r="K2294" s="143" t="s">
        <v>5154</v>
      </c>
      <c r="L2294" s="117">
        <f>IF(O2294="","",N2294*O2294*M2294)</f>
        <v>0</v>
      </c>
      <c r="M2294" s="108">
        <v>1</v>
      </c>
      <c r="N2294" s="95">
        <v>1</v>
      </c>
      <c r="O2294" s="109">
        <f>IF(Key!D$1="ON",P2294,IF(SUM(Q2294:DL2294)&lt;1,"",SUM(Q2294:DL2294)/COUNTIF(Q2294:DL2294,"&gt;0")))</f>
        <v>0</v>
      </c>
      <c r="P2294" s="109">
        <f>SUMIFS(Q2294:DK2294,Q$1:DK$1,Dashboard!$K$31)</f>
        <v>0</v>
      </c>
      <c r="U2294" s="95">
        <v>33</v>
      </c>
      <c r="AA2294" s="95">
        <v>25</v>
      </c>
      <c r="AH2294" s="95">
        <v>75</v>
      </c>
    </row>
    <row r="2295" spans="1:34" x14ac:dyDescent="0.3">
      <c r="A2295" s="89" t="str">
        <f>CONCATENATE(D2295,".",F2295,"-",G2295,".",H2295,"")</f>
        <v>2.3-6.1</v>
      </c>
      <c r="B2295" s="89" t="str">
        <f>IF(CONCATENATE(I2295,Key!F$2)=CONCATENATE(INDEX(Dashboard!J:J,MATCH(I2295,Dashboard!J:J,0),1),INDEX(Dashboard!J:K,MATCH(I2295,Dashboard!J:J,0),2)),"ON",IF(Dashboard!K$32="ALL","ON","-"))</f>
        <v>-</v>
      </c>
      <c r="C2295" s="88" t="s">
        <v>152</v>
      </c>
      <c r="D2295" s="89">
        <f>IF(C2295="ID",1,(IF(C2295="PR",2,(IF(C2295="DE",3,(IF(C2295="RS",4,(IF(C2295="RC",5,0)))))))))</f>
        <v>2</v>
      </c>
      <c r="E2295" s="89" t="s">
        <v>210</v>
      </c>
      <c r="F2295" s="89">
        <f>IF(E2295="AM",1,(IF(E2295="BE",2,(IF(E2295="GV",3,(IF(E2295="RA",4,(IF(E2295="RM",5,(IF(E2295="AC",1,(IF(E2295="AT",2,(IF(E2295="DS",3,(IF(E2295="IP",4,(IF(E2295="MA",5,(IF(E2295="PT",6,(IF(E2295="AE",1,(IF(E2295="CM",2,(IF(E2295="DP",3,(IF(E2295="AN",1,(IF(E2295="CO",2,(IF(E2295="IM",3,(IF(E2295="MI",4,(IF(E2295="RP",5,(IF(E2295="SC",6,0)))))))))))))))))))))))))))))))))))))))</f>
        <v>3</v>
      </c>
      <c r="G2295" s="52">
        <v>6</v>
      </c>
      <c r="H2295" s="89">
        <v>1</v>
      </c>
      <c r="I2295" s="94" t="s">
        <v>85</v>
      </c>
      <c r="J2295" s="135" t="s">
        <v>863</v>
      </c>
      <c r="K2295" s="143" t="s">
        <v>5155</v>
      </c>
      <c r="L2295" s="117">
        <f>IF(O2295="","",N2295*O2295*M2295)</f>
        <v>0</v>
      </c>
      <c r="M2295" s="108">
        <v>1</v>
      </c>
      <c r="N2295" s="95">
        <v>1</v>
      </c>
      <c r="O2295" s="109">
        <f>IF(Key!D$1="ON",P2295,IF(SUM(Q2295:DL2295)&lt;1,"",SUM(Q2295:DL2295)/COUNTIF(Q2295:DL2295,"&gt;0")))</f>
        <v>0</v>
      </c>
      <c r="P2295" s="109">
        <f>SUMIFS(Q2295:DK2295,Q$1:DK$1,Dashboard!$K$31)</f>
        <v>0</v>
      </c>
      <c r="U2295" s="95">
        <v>33</v>
      </c>
      <c r="AA2295" s="95">
        <v>25</v>
      </c>
      <c r="AH2295" s="95">
        <v>75</v>
      </c>
    </row>
    <row r="2296" spans="1:34" x14ac:dyDescent="0.3">
      <c r="A2296" s="89" t="str">
        <f>CONCATENATE(D2296,".",F2296,"-",G2296,".",H2296,"")</f>
        <v>2.3-6.1</v>
      </c>
      <c r="B2296" s="89" t="str">
        <f>IF(CONCATENATE(I2296,Key!F$2)=CONCATENATE(INDEX(Dashboard!J:J,MATCH(I2296,Dashboard!J:J,0),1),INDEX(Dashboard!J:K,MATCH(I2296,Dashboard!J:J,0),2)),"ON",IF(Dashboard!K$32="ALL","ON","-"))</f>
        <v>-</v>
      </c>
      <c r="C2296" s="88" t="s">
        <v>152</v>
      </c>
      <c r="D2296" s="89">
        <f>IF(C2296="ID",1,(IF(C2296="PR",2,(IF(C2296="DE",3,(IF(C2296="RS",4,(IF(C2296="RC",5,0)))))))))</f>
        <v>2</v>
      </c>
      <c r="E2296" s="89" t="s">
        <v>210</v>
      </c>
      <c r="F2296" s="89">
        <f>IF(E2296="AM",1,(IF(E2296="BE",2,(IF(E2296="GV",3,(IF(E2296="RA",4,(IF(E2296="RM",5,(IF(E2296="AC",1,(IF(E2296="AT",2,(IF(E2296="DS",3,(IF(E2296="IP",4,(IF(E2296="MA",5,(IF(E2296="PT",6,(IF(E2296="AE",1,(IF(E2296="CM",2,(IF(E2296="DP",3,(IF(E2296="AN",1,(IF(E2296="CO",2,(IF(E2296="IM",3,(IF(E2296="MI",4,(IF(E2296="RP",5,(IF(E2296="SC",6,0)))))))))))))))))))))))))))))))))))))))</f>
        <v>3</v>
      </c>
      <c r="G2296" s="52">
        <v>6</v>
      </c>
      <c r="H2296" s="90" t="s">
        <v>115</v>
      </c>
      <c r="I2296" s="94" t="s">
        <v>85</v>
      </c>
      <c r="J2296" s="135" t="s">
        <v>884</v>
      </c>
      <c r="K2296" s="143" t="s">
        <v>5135</v>
      </c>
      <c r="L2296" s="117">
        <f>IF(O2296="","",N2296*O2296*M2296)</f>
        <v>0</v>
      </c>
      <c r="M2296" s="108">
        <v>1</v>
      </c>
      <c r="N2296" s="95">
        <v>1</v>
      </c>
      <c r="O2296" s="109">
        <f>IF(Key!D$1="ON",P2296,IF(SUM(Q2296:DL2296)&lt;1,"",SUM(Q2296:DL2296)/COUNTIF(Q2296:DL2296,"&gt;0")))</f>
        <v>0</v>
      </c>
      <c r="P2296" s="109">
        <f>SUMIFS(Q2296:DK2296,Q$1:DK$1,Dashboard!$K$31)</f>
        <v>0</v>
      </c>
      <c r="U2296" s="95">
        <v>33</v>
      </c>
      <c r="AA2296" s="95">
        <v>25</v>
      </c>
      <c r="AH2296" s="95">
        <v>75</v>
      </c>
    </row>
    <row r="2297" spans="1:34" x14ac:dyDescent="0.3">
      <c r="A2297" s="89" t="str">
        <f>CONCATENATE(D2297,".",F2297,"-",G2297,".",H2297,"")</f>
        <v>2.3-6.1</v>
      </c>
      <c r="B2297" s="89" t="str">
        <f>IF(CONCATENATE(I2297,Key!F$2)=CONCATENATE(INDEX(Dashboard!J:J,MATCH(I2297,Dashboard!J:J,0),1),INDEX(Dashboard!J:K,MATCH(I2297,Dashboard!J:J,0),2)),"ON",IF(Dashboard!K$32="ALL","ON","-"))</f>
        <v>-</v>
      </c>
      <c r="C2297" s="96" t="s">
        <v>152</v>
      </c>
      <c r="D2297" s="89">
        <f>IF(C2297="ID",1,(IF(C2297="PR",2,(IF(C2297="DE",3,(IF(C2297="RS",4,(IF(C2297="RC",5,0)))))))))</f>
        <v>2</v>
      </c>
      <c r="E2297" s="89" t="s">
        <v>210</v>
      </c>
      <c r="F2297" s="89">
        <f>IF(E2297="AM",1,(IF(E2297="BE",2,(IF(E2297="GV",3,(IF(E2297="RA",4,(IF(E2297="RM",5,(IF(E2297="AC",1,(IF(E2297="AT",2,(IF(E2297="DS",3,(IF(E2297="IP",4,(IF(E2297="MA",5,(IF(E2297="PT",6,(IF(E2297="AE",1,(IF(E2297="CM",2,(IF(E2297="DP",3,(IF(E2297="AN",1,(IF(E2297="CO",2,(IF(E2297="IM",3,(IF(E2297="MI",4,(IF(E2297="RP",5,(IF(E2297="SC",6,0)))))))))))))))))))))))))))))))))))))))</f>
        <v>3</v>
      </c>
      <c r="G2297" s="98">
        <v>6</v>
      </c>
      <c r="H2297" s="90" t="s">
        <v>115</v>
      </c>
      <c r="I2297" s="94" t="s">
        <v>92</v>
      </c>
      <c r="J2297" s="87">
        <v>11.5</v>
      </c>
      <c r="K2297" s="102" t="s">
        <v>5226</v>
      </c>
      <c r="L2297" s="117">
        <f>IF(O2297="","",N2297*O2297*M2297)</f>
        <v>0</v>
      </c>
      <c r="M2297" s="108">
        <v>1</v>
      </c>
      <c r="N2297" s="95">
        <v>1</v>
      </c>
      <c r="O2297" s="109">
        <f>IF(Key!D$1="ON",P2297,IF(SUM(Q2297:DL2297)&lt;1,"",SUM(Q2297:DL2297)/COUNTIF(Q2297:DL2297,"&gt;0")))</f>
        <v>0</v>
      </c>
      <c r="P2297" s="109">
        <f>SUMIFS(Q2297:DK2297,Q$1:DK$1,Dashboard!$K$31)</f>
        <v>0</v>
      </c>
      <c r="U2297" s="95">
        <v>33</v>
      </c>
      <c r="AA2297" s="95">
        <v>25</v>
      </c>
      <c r="AH2297" s="95">
        <v>75</v>
      </c>
    </row>
    <row r="2298" spans="1:34" x14ac:dyDescent="0.3">
      <c r="A2298" s="89" t="str">
        <f>CONCATENATE(D2298,".",F2298,"-",G2298,".",H2298,"")</f>
        <v>2.3-6.1</v>
      </c>
      <c r="B2298" s="89" t="str">
        <f>IF(CONCATENATE(I2298,Key!F$2)=CONCATENATE(INDEX(Dashboard!J:J,MATCH(I2298,Dashboard!J:J,0),1),INDEX(Dashboard!J:K,MATCH(I2298,Dashboard!J:J,0),2)),"ON",IF(Dashboard!K$32="ALL","ON","-"))</f>
        <v>-</v>
      </c>
      <c r="C2298" s="96" t="s">
        <v>152</v>
      </c>
      <c r="D2298" s="89">
        <f>IF(C2298="ID",1,(IF(C2298="PR",2,(IF(C2298="DE",3,(IF(C2298="RS",4,(IF(C2298="RC",5,0)))))))))</f>
        <v>2</v>
      </c>
      <c r="E2298" s="89" t="s">
        <v>210</v>
      </c>
      <c r="F2298" s="89">
        <f>IF(E2298="AM",1,(IF(E2298="BE",2,(IF(E2298="GV",3,(IF(E2298="RA",4,(IF(E2298="RM",5,(IF(E2298="AC",1,(IF(E2298="AT",2,(IF(E2298="DS",3,(IF(E2298="IP",4,(IF(E2298="MA",5,(IF(E2298="PT",6,(IF(E2298="AE",1,(IF(E2298="CM",2,(IF(E2298="DP",3,(IF(E2298="AN",1,(IF(E2298="CO",2,(IF(E2298="IM",3,(IF(E2298="MI",4,(IF(E2298="RP",5,(IF(E2298="SC",6,0)))))))))))))))))))))))))))))))))))))))</f>
        <v>3</v>
      </c>
      <c r="G2298" s="98">
        <v>6</v>
      </c>
      <c r="H2298" s="90" t="s">
        <v>115</v>
      </c>
      <c r="I2298" s="94" t="s">
        <v>92</v>
      </c>
      <c r="J2298" s="87" t="s">
        <v>226</v>
      </c>
      <c r="K2298" s="102" t="s">
        <v>5226</v>
      </c>
      <c r="L2298" s="117">
        <f>IF(O2298="","",N2298*O2298*M2298)</f>
        <v>0</v>
      </c>
      <c r="M2298" s="108">
        <v>1</v>
      </c>
      <c r="N2298" s="95">
        <v>1</v>
      </c>
      <c r="O2298" s="109">
        <f>IF(Key!D$1="ON",P2298,IF(SUM(Q2298:DL2298)&lt;1,"",SUM(Q2298:DL2298)/COUNTIF(Q2298:DL2298,"&gt;0")))</f>
        <v>0</v>
      </c>
      <c r="P2298" s="109">
        <f>SUMIFS(Q2298:DK2298,Q$1:DK$1,Dashboard!$K$31)</f>
        <v>0</v>
      </c>
      <c r="U2298" s="95">
        <v>33</v>
      </c>
      <c r="AA2298" s="95">
        <v>25</v>
      </c>
      <c r="AH2298" s="95">
        <v>75</v>
      </c>
    </row>
    <row r="2299" spans="1:34" x14ac:dyDescent="0.3">
      <c r="A2299" s="89" t="str">
        <f>CONCATENATE(D2299,".",F2299,"-",G2299,".",H2299,"")</f>
        <v>2.3-6.5</v>
      </c>
      <c r="B2299" s="89" t="str">
        <f>IF(CONCATENATE(I2299,Key!F$2)=CONCATENATE(INDEX(Dashboard!J:J,MATCH(I2299,Dashboard!J:J,0),1),INDEX(Dashboard!J:K,MATCH(I2299,Dashboard!J:J,0),2)),"ON",IF(Dashboard!K$32="ALL","ON","-"))</f>
        <v>-</v>
      </c>
      <c r="C2299" s="88" t="s">
        <v>152</v>
      </c>
      <c r="D2299" s="89">
        <f>IF(C2299="ID",1,(IF(C2299="PR",2,(IF(C2299="DE",3,(IF(C2299="RS",4,(IF(C2299="RC",5,0)))))))))</f>
        <v>2</v>
      </c>
      <c r="E2299" s="89" t="s">
        <v>210</v>
      </c>
      <c r="F2299" s="89">
        <f>IF(E2299="AM",1,(IF(E2299="BE",2,(IF(E2299="GV",3,(IF(E2299="RA",4,(IF(E2299="RM",5,(IF(E2299="AC",1,(IF(E2299="AT",2,(IF(E2299="DS",3,(IF(E2299="IP",4,(IF(E2299="MA",5,(IF(E2299="PT",6,(IF(E2299="AE",1,(IF(E2299="CM",2,(IF(E2299="DP",3,(IF(E2299="AN",1,(IF(E2299="CO",2,(IF(E2299="IM",3,(IF(E2299="MI",4,(IF(E2299="RP",5,(IF(E2299="SC",6,0)))))))))))))))))))))))))))))))))))))))</f>
        <v>3</v>
      </c>
      <c r="G2299" s="52">
        <v>6</v>
      </c>
      <c r="H2299" s="90" t="s">
        <v>123</v>
      </c>
      <c r="I2299" s="94" t="s">
        <v>77</v>
      </c>
      <c r="J2299" s="87" t="s">
        <v>1463</v>
      </c>
      <c r="K2299" s="102" t="s">
        <v>2442</v>
      </c>
      <c r="L2299" s="117">
        <f>IF(O2299="","",N2299*O2299*M2299)</f>
        <v>0</v>
      </c>
      <c r="M2299" s="108">
        <v>1</v>
      </c>
      <c r="N2299" s="95">
        <v>1</v>
      </c>
      <c r="O2299" s="109">
        <f>IF(Key!D$1="ON",P2299,IF(SUM(Q2299:DL2299)&lt;1,"",SUM(Q2299:DL2299)/COUNTIF(Q2299:DL2299,"&gt;0")))</f>
        <v>0</v>
      </c>
      <c r="P2299" s="109">
        <f>SUMIFS(Q2299:DK2299,Q$1:DK$1,Dashboard!$K$31)</f>
        <v>0</v>
      </c>
      <c r="U2299" s="95">
        <v>33</v>
      </c>
      <c r="AA2299" s="95">
        <v>25</v>
      </c>
      <c r="AH2299" s="95">
        <v>75</v>
      </c>
    </row>
    <row r="2300" spans="1:34" ht="15.6" x14ac:dyDescent="0.3">
      <c r="A2300" s="89" t="str">
        <f>CONCATENATE(D2300,".",F2300,"-",G2300,".",H2300,"")</f>
        <v>2.3-6.5</v>
      </c>
      <c r="B2300" s="89" t="str">
        <f>IF(CONCATENATE(I2300,Key!F$2)=CONCATENATE(INDEX(Dashboard!J:J,MATCH(I2300,Dashboard!J:J,0),1),INDEX(Dashboard!J:K,MATCH(I2300,Dashboard!J:J,0),2)),"ON",IF(Dashboard!K$32="ALL","ON","-"))</f>
        <v>-</v>
      </c>
      <c r="C2300" s="88" t="s">
        <v>152</v>
      </c>
      <c r="D2300" s="89">
        <f>IF(C2300="ID",1,(IF(C2300="PR",2,(IF(C2300="DE",3,(IF(C2300="RS",4,(IF(C2300="RC",5,0)))))))))</f>
        <v>2</v>
      </c>
      <c r="E2300" s="89" t="s">
        <v>210</v>
      </c>
      <c r="F2300" s="89">
        <f>IF(E2300="AM",1,(IF(E2300="BE",2,(IF(E2300="GV",3,(IF(E2300="RA",4,(IF(E2300="RM",5,(IF(E2300="AC",1,(IF(E2300="AT",2,(IF(E2300="DS",3,(IF(E2300="IP",4,(IF(E2300="MA",5,(IF(E2300="PT",6,(IF(E2300="AE",1,(IF(E2300="CM",2,(IF(E2300="DP",3,(IF(E2300="AN",1,(IF(E2300="CO",2,(IF(E2300="IM",3,(IF(E2300="MI",4,(IF(E2300="RP",5,(IF(E2300="SC",6,0)))))))))))))))))))))))))))))))))))))))</f>
        <v>3</v>
      </c>
      <c r="G2300" s="52">
        <v>6</v>
      </c>
      <c r="H2300" s="90" t="s">
        <v>123</v>
      </c>
      <c r="I2300" s="94" t="s">
        <v>77</v>
      </c>
      <c r="J2300" s="87" t="s">
        <v>1464</v>
      </c>
      <c r="K2300" s="102" t="s">
        <v>2443</v>
      </c>
      <c r="L2300" s="117">
        <f>IF(O2300="","",N2300*O2300*M2300)</f>
        <v>0</v>
      </c>
      <c r="M2300" s="108">
        <v>1</v>
      </c>
      <c r="N2300" s="95">
        <v>1</v>
      </c>
      <c r="O2300" s="109">
        <f>IF(Key!D$1="ON",P2300,IF(SUM(Q2300:DL2300)&lt;1,"",SUM(Q2300:DL2300)/COUNTIF(Q2300:DL2300,"&gt;0")))</f>
        <v>0</v>
      </c>
      <c r="P2300" s="109">
        <f>SUMIFS(Q2300:DK2300,Q$1:DK$1,Dashboard!$K$31)</f>
        <v>0</v>
      </c>
      <c r="U2300" s="95">
        <v>33</v>
      </c>
      <c r="AA2300" s="95">
        <v>25</v>
      </c>
      <c r="AH2300" s="95">
        <v>75</v>
      </c>
    </row>
    <row r="2301" spans="1:34" x14ac:dyDescent="0.3">
      <c r="A2301" s="89" t="str">
        <f>CONCATENATE(D2301,".",F2301,"-",G2301,".",H2301,"")</f>
        <v>2.3-6.5</v>
      </c>
      <c r="B2301" s="89" t="str">
        <f>IF(CONCATENATE(I2301,Key!F$2)=CONCATENATE(INDEX(Dashboard!J:J,MATCH(I2301,Dashboard!J:J,0),1),INDEX(Dashboard!J:K,MATCH(I2301,Dashboard!J:J,0),2)),"ON",IF(Dashboard!K$32="ALL","ON","-"))</f>
        <v>-</v>
      </c>
      <c r="C2301" s="88" t="s">
        <v>152</v>
      </c>
      <c r="D2301" s="89">
        <f>IF(C2301="ID",1,(IF(C2301="PR",2,(IF(C2301="DE",3,(IF(C2301="RS",4,(IF(C2301="RC",5,0)))))))))</f>
        <v>2</v>
      </c>
      <c r="E2301" s="89" t="s">
        <v>210</v>
      </c>
      <c r="F2301" s="89">
        <f>IF(E2301="AM",1,(IF(E2301="BE",2,(IF(E2301="GV",3,(IF(E2301="RA",4,(IF(E2301="RM",5,(IF(E2301="AC",1,(IF(E2301="AT",2,(IF(E2301="DS",3,(IF(E2301="IP",4,(IF(E2301="MA",5,(IF(E2301="PT",6,(IF(E2301="AE",1,(IF(E2301="CM",2,(IF(E2301="DP",3,(IF(E2301="AN",1,(IF(E2301="CO",2,(IF(E2301="IM",3,(IF(E2301="MI",4,(IF(E2301="RP",5,(IF(E2301="SC",6,0)))))))))))))))))))))))))))))))))))))))</f>
        <v>3</v>
      </c>
      <c r="G2301" s="52">
        <v>6</v>
      </c>
      <c r="H2301" s="90" t="s">
        <v>123</v>
      </c>
      <c r="I2301" s="94" t="s">
        <v>77</v>
      </c>
      <c r="J2301" s="87" t="s">
        <v>1465</v>
      </c>
      <c r="K2301" s="102" t="s">
        <v>2444</v>
      </c>
      <c r="L2301" s="117">
        <f>IF(O2301="","",N2301*O2301*M2301)</f>
        <v>0</v>
      </c>
      <c r="M2301" s="108">
        <v>1</v>
      </c>
      <c r="N2301" s="95">
        <v>1</v>
      </c>
      <c r="O2301" s="109">
        <f>IF(Key!D$1="ON",P2301,IF(SUM(Q2301:DL2301)&lt;1,"",SUM(Q2301:DL2301)/COUNTIF(Q2301:DL2301,"&gt;0")))</f>
        <v>0</v>
      </c>
      <c r="P2301" s="109">
        <f>SUMIFS(Q2301:DK2301,Q$1:DK$1,Dashboard!$K$31)</f>
        <v>0</v>
      </c>
      <c r="U2301" s="95">
        <v>33</v>
      </c>
      <c r="AA2301" s="95">
        <v>25</v>
      </c>
      <c r="AH2301" s="95">
        <v>75</v>
      </c>
    </row>
    <row r="2302" spans="1:34" x14ac:dyDescent="0.3">
      <c r="A2302" s="89" t="str">
        <f>CONCATENATE(D2302,".",F2302,"-",G2302,".",H2302,"")</f>
        <v>2.3-6.5</v>
      </c>
      <c r="B2302" s="89" t="str">
        <f>IF(CONCATENATE(I2302,Key!F$2)=CONCATENATE(INDEX(Dashboard!J:J,MATCH(I2302,Dashboard!J:J,0),1),INDEX(Dashboard!J:K,MATCH(I2302,Dashboard!J:J,0),2)),"ON",IF(Dashboard!K$32="ALL","ON","-"))</f>
        <v>-</v>
      </c>
      <c r="C2302" s="88" t="s">
        <v>152</v>
      </c>
      <c r="D2302" s="89">
        <f>IF(C2302="ID",1,(IF(C2302="PR",2,(IF(C2302="DE",3,(IF(C2302="RS",4,(IF(C2302="RC",5,0)))))))))</f>
        <v>2</v>
      </c>
      <c r="E2302" s="89" t="s">
        <v>210</v>
      </c>
      <c r="F2302" s="89">
        <f>IF(E2302="AM",1,(IF(E2302="BE",2,(IF(E2302="GV",3,(IF(E2302="RA",4,(IF(E2302="RM",5,(IF(E2302="AC",1,(IF(E2302="AT",2,(IF(E2302="DS",3,(IF(E2302="IP",4,(IF(E2302="MA",5,(IF(E2302="PT",6,(IF(E2302="AE",1,(IF(E2302="CM",2,(IF(E2302="DP",3,(IF(E2302="AN",1,(IF(E2302="CO",2,(IF(E2302="IM",3,(IF(E2302="MI",4,(IF(E2302="RP",5,(IF(E2302="SC",6,0)))))))))))))))))))))))))))))))))))))))</f>
        <v>3</v>
      </c>
      <c r="G2302" s="52">
        <v>6</v>
      </c>
      <c r="H2302" s="90" t="s">
        <v>123</v>
      </c>
      <c r="I2302" s="94" t="s">
        <v>77</v>
      </c>
      <c r="J2302" s="87" t="s">
        <v>1466</v>
      </c>
      <c r="K2302" s="102" t="s">
        <v>2445</v>
      </c>
      <c r="L2302" s="117">
        <f>IF(O2302="","",N2302*O2302*M2302)</f>
        <v>0</v>
      </c>
      <c r="M2302" s="108">
        <v>1</v>
      </c>
      <c r="N2302" s="95">
        <v>1</v>
      </c>
      <c r="O2302" s="109">
        <f>IF(Key!D$1="ON",P2302,IF(SUM(Q2302:DL2302)&lt;1,"",SUM(Q2302:DL2302)/COUNTIF(Q2302:DL2302,"&gt;0")))</f>
        <v>0</v>
      </c>
      <c r="P2302" s="109">
        <f>SUMIFS(Q2302:DK2302,Q$1:DK$1,Dashboard!$K$31)</f>
        <v>0</v>
      </c>
      <c r="U2302" s="95">
        <v>33</v>
      </c>
      <c r="AA2302" s="95">
        <v>25</v>
      </c>
      <c r="AH2302" s="95">
        <v>75</v>
      </c>
    </row>
    <row r="2303" spans="1:34" x14ac:dyDescent="0.3">
      <c r="A2303" s="89" t="str">
        <f>CONCATENATE(D2303,".",F2303,"-",G2303,".",H2303,"")</f>
        <v>2.3-6.5</v>
      </c>
      <c r="B2303" s="89" t="str">
        <f>IF(CONCATENATE(I2303,Key!F$2)=CONCATENATE(INDEX(Dashboard!J:J,MATCH(I2303,Dashboard!J:J,0),1),INDEX(Dashboard!J:K,MATCH(I2303,Dashboard!J:J,0),2)),"ON",IF(Dashboard!K$32="ALL","ON","-"))</f>
        <v>-</v>
      </c>
      <c r="C2303" s="88" t="s">
        <v>152</v>
      </c>
      <c r="D2303" s="89">
        <f>IF(C2303="ID",1,(IF(C2303="PR",2,(IF(C2303="DE",3,(IF(C2303="RS",4,(IF(C2303="RC",5,0)))))))))</f>
        <v>2</v>
      </c>
      <c r="E2303" s="89" t="s">
        <v>210</v>
      </c>
      <c r="F2303" s="89">
        <f>IF(E2303="AM",1,(IF(E2303="BE",2,(IF(E2303="GV",3,(IF(E2303="RA",4,(IF(E2303="RM",5,(IF(E2303="AC",1,(IF(E2303="AT",2,(IF(E2303="DS",3,(IF(E2303="IP",4,(IF(E2303="MA",5,(IF(E2303="PT",6,(IF(E2303="AE",1,(IF(E2303="CM",2,(IF(E2303="DP",3,(IF(E2303="AN",1,(IF(E2303="CO",2,(IF(E2303="IM",3,(IF(E2303="MI",4,(IF(E2303="RP",5,(IF(E2303="SC",6,0)))))))))))))))))))))))))))))))))))))))</f>
        <v>3</v>
      </c>
      <c r="G2303" s="52">
        <v>6</v>
      </c>
      <c r="H2303" s="90" t="s">
        <v>123</v>
      </c>
      <c r="I2303" s="94" t="s">
        <v>77</v>
      </c>
      <c r="J2303" s="87" t="s">
        <v>1468</v>
      </c>
      <c r="K2303" s="102" t="s">
        <v>2446</v>
      </c>
      <c r="L2303" s="117">
        <f>IF(O2303="","",N2303*O2303*M2303)</f>
        <v>0</v>
      </c>
      <c r="M2303" s="108">
        <v>1</v>
      </c>
      <c r="N2303" s="95">
        <v>1</v>
      </c>
      <c r="O2303" s="109">
        <f>IF(Key!D$1="ON",P2303,IF(SUM(Q2303:DL2303)&lt;1,"",SUM(Q2303:DL2303)/COUNTIF(Q2303:DL2303,"&gt;0")))</f>
        <v>0</v>
      </c>
      <c r="P2303" s="109">
        <f>SUMIFS(Q2303:DK2303,Q$1:DK$1,Dashboard!$K$31)</f>
        <v>0</v>
      </c>
      <c r="U2303" s="95">
        <v>33</v>
      </c>
      <c r="AA2303" s="95">
        <v>25</v>
      </c>
      <c r="AH2303" s="95">
        <v>75</v>
      </c>
    </row>
    <row r="2304" spans="1:34" x14ac:dyDescent="0.3">
      <c r="A2304" s="89" t="str">
        <f>CONCATENATE(D2304,".",F2304,"-",G2304,".",H2304,"")</f>
        <v>2.3-6.5</v>
      </c>
      <c r="B2304" s="89" t="str">
        <f>IF(CONCATENATE(I2304,Key!F$2)=CONCATENATE(INDEX(Dashboard!J:J,MATCH(I2304,Dashboard!J:J,0),1),INDEX(Dashboard!J:K,MATCH(I2304,Dashboard!J:J,0),2)),"ON",IF(Dashboard!K$32="ALL","ON","-"))</f>
        <v>-</v>
      </c>
      <c r="C2304" s="88" t="s">
        <v>152</v>
      </c>
      <c r="D2304" s="89">
        <f>IF(C2304="ID",1,(IF(C2304="PR",2,(IF(C2304="DE",3,(IF(C2304="RS",4,(IF(C2304="RC",5,0)))))))))</f>
        <v>2</v>
      </c>
      <c r="E2304" s="89" t="s">
        <v>210</v>
      </c>
      <c r="F2304" s="89">
        <f>IF(E2304="AM",1,(IF(E2304="BE",2,(IF(E2304="GV",3,(IF(E2304="RA",4,(IF(E2304="RM",5,(IF(E2304="AC",1,(IF(E2304="AT",2,(IF(E2304="DS",3,(IF(E2304="IP",4,(IF(E2304="MA",5,(IF(E2304="PT",6,(IF(E2304="AE",1,(IF(E2304="CM",2,(IF(E2304="DP",3,(IF(E2304="AN",1,(IF(E2304="CO",2,(IF(E2304="IM",3,(IF(E2304="MI",4,(IF(E2304="RP",5,(IF(E2304="SC",6,0)))))))))))))))))))))))))))))))))))))))</f>
        <v>3</v>
      </c>
      <c r="G2304" s="52">
        <v>6</v>
      </c>
      <c r="H2304" s="90" t="s">
        <v>123</v>
      </c>
      <c r="I2304" s="94" t="s">
        <v>77</v>
      </c>
      <c r="J2304" s="87" t="s">
        <v>1469</v>
      </c>
      <c r="K2304" s="102" t="s">
        <v>2447</v>
      </c>
      <c r="L2304" s="117">
        <f>IF(O2304="","",N2304*O2304*M2304)</f>
        <v>0</v>
      </c>
      <c r="M2304" s="108">
        <v>1</v>
      </c>
      <c r="N2304" s="95">
        <v>1</v>
      </c>
      <c r="O2304" s="109">
        <f>IF(Key!D$1="ON",P2304,IF(SUM(Q2304:DL2304)&lt;1,"",SUM(Q2304:DL2304)/COUNTIF(Q2304:DL2304,"&gt;0")))</f>
        <v>0</v>
      </c>
      <c r="P2304" s="109">
        <f>SUMIFS(Q2304:DK2304,Q$1:DK$1,Dashboard!$K$31)</f>
        <v>0</v>
      </c>
      <c r="U2304" s="95">
        <v>33</v>
      </c>
      <c r="AA2304" s="95">
        <v>25</v>
      </c>
      <c r="AH2304" s="95">
        <v>75</v>
      </c>
    </row>
    <row r="2305" spans="1:34" ht="15.6" x14ac:dyDescent="0.3">
      <c r="A2305" s="89" t="str">
        <f>CONCATENATE(D2305,".",F2305,"-",G2305,".",H2305,"")</f>
        <v>2.3-6.5</v>
      </c>
      <c r="B2305" s="89" t="str">
        <f>IF(CONCATENATE(I2305,Key!F$2)=CONCATENATE(INDEX(Dashboard!J:J,MATCH(I2305,Dashboard!J:J,0),1),INDEX(Dashboard!J:K,MATCH(I2305,Dashboard!J:J,0),2)),"ON",IF(Dashboard!K$32="ALL","ON","-"))</f>
        <v>-</v>
      </c>
      <c r="C2305" s="88" t="s">
        <v>152</v>
      </c>
      <c r="D2305" s="89">
        <f>IF(C2305="ID",1,(IF(C2305="PR",2,(IF(C2305="DE",3,(IF(C2305="RS",4,(IF(C2305="RC",5,0)))))))))</f>
        <v>2</v>
      </c>
      <c r="E2305" s="89" t="s">
        <v>210</v>
      </c>
      <c r="F2305" s="89">
        <f>IF(E2305="AM",1,(IF(E2305="BE",2,(IF(E2305="GV",3,(IF(E2305="RA",4,(IF(E2305="RM",5,(IF(E2305="AC",1,(IF(E2305="AT",2,(IF(E2305="DS",3,(IF(E2305="IP",4,(IF(E2305="MA",5,(IF(E2305="PT",6,(IF(E2305="AE",1,(IF(E2305="CM",2,(IF(E2305="DP",3,(IF(E2305="AN",1,(IF(E2305="CO",2,(IF(E2305="IM",3,(IF(E2305="MI",4,(IF(E2305="RP",5,(IF(E2305="SC",6,0)))))))))))))))))))))))))))))))))))))))</f>
        <v>3</v>
      </c>
      <c r="G2305" s="52">
        <v>6</v>
      </c>
      <c r="H2305" s="90" t="s">
        <v>123</v>
      </c>
      <c r="I2305" s="94" t="s">
        <v>77</v>
      </c>
      <c r="J2305" s="87" t="s">
        <v>1470</v>
      </c>
      <c r="K2305" s="102" t="s">
        <v>2448</v>
      </c>
      <c r="L2305" s="117">
        <f>IF(O2305="","",N2305*O2305*M2305)</f>
        <v>0</v>
      </c>
      <c r="M2305" s="108">
        <v>1</v>
      </c>
      <c r="N2305" s="95">
        <v>1</v>
      </c>
      <c r="O2305" s="109">
        <f>IF(Key!D$1="ON",P2305,IF(SUM(Q2305:DL2305)&lt;1,"",SUM(Q2305:DL2305)/COUNTIF(Q2305:DL2305,"&gt;0")))</f>
        <v>0</v>
      </c>
      <c r="P2305" s="109">
        <f>SUMIFS(Q2305:DK2305,Q$1:DK$1,Dashboard!$K$31)</f>
        <v>0</v>
      </c>
      <c r="U2305" s="95">
        <v>33</v>
      </c>
      <c r="AA2305" s="95">
        <v>25</v>
      </c>
      <c r="AH2305" s="95">
        <v>75</v>
      </c>
    </row>
    <row r="2306" spans="1:34" x14ac:dyDescent="0.3">
      <c r="A2306" s="89" t="str">
        <f>CONCATENATE(D2306,".",F2306,"-",G2306,".",H2306,"")</f>
        <v>2.3-6.5</v>
      </c>
      <c r="B2306" s="89" t="str">
        <f>IF(CONCATENATE(I2306,Key!F$2)=CONCATENATE(INDEX(Dashboard!J:J,MATCH(I2306,Dashboard!J:J,0),1),INDEX(Dashboard!J:K,MATCH(I2306,Dashboard!J:J,0),2)),"ON",IF(Dashboard!K$32="ALL","ON","-"))</f>
        <v>-</v>
      </c>
      <c r="C2306" s="88" t="s">
        <v>152</v>
      </c>
      <c r="D2306" s="89">
        <f>IF(C2306="ID",1,(IF(C2306="PR",2,(IF(C2306="DE",3,(IF(C2306="RS",4,(IF(C2306="RC",5,0)))))))))</f>
        <v>2</v>
      </c>
      <c r="E2306" s="89" t="s">
        <v>210</v>
      </c>
      <c r="F2306" s="89">
        <f>IF(E2306="AM",1,(IF(E2306="BE",2,(IF(E2306="GV",3,(IF(E2306="RA",4,(IF(E2306="RM",5,(IF(E2306="AC",1,(IF(E2306="AT",2,(IF(E2306="DS",3,(IF(E2306="IP",4,(IF(E2306="MA",5,(IF(E2306="PT",6,(IF(E2306="AE",1,(IF(E2306="CM",2,(IF(E2306="DP",3,(IF(E2306="AN",1,(IF(E2306="CO",2,(IF(E2306="IM",3,(IF(E2306="MI",4,(IF(E2306="RP",5,(IF(E2306="SC",6,0)))))))))))))))))))))))))))))))))))))))</f>
        <v>3</v>
      </c>
      <c r="G2306" s="52">
        <v>6</v>
      </c>
      <c r="H2306" s="90" t="s">
        <v>123</v>
      </c>
      <c r="I2306" s="94" t="s">
        <v>77</v>
      </c>
      <c r="J2306" s="87" t="s">
        <v>1471</v>
      </c>
      <c r="K2306" s="102" t="s">
        <v>2449</v>
      </c>
      <c r="L2306" s="117">
        <f>IF(O2306="","",N2306*O2306*M2306)</f>
        <v>0</v>
      </c>
      <c r="M2306" s="108">
        <v>1</v>
      </c>
      <c r="N2306" s="95">
        <v>1</v>
      </c>
      <c r="O2306" s="109">
        <f>IF(Key!D$1="ON",P2306,IF(SUM(Q2306:DL2306)&lt;1,"",SUM(Q2306:DL2306)/COUNTIF(Q2306:DL2306,"&gt;0")))</f>
        <v>0</v>
      </c>
      <c r="P2306" s="109">
        <f>SUMIFS(Q2306:DK2306,Q$1:DK$1,Dashboard!$K$31)</f>
        <v>0</v>
      </c>
      <c r="U2306" s="95">
        <v>33</v>
      </c>
      <c r="AA2306" s="95">
        <v>25</v>
      </c>
      <c r="AH2306" s="95">
        <v>75</v>
      </c>
    </row>
    <row r="2307" spans="1:34" x14ac:dyDescent="0.3">
      <c r="A2307" s="89" t="str">
        <f>CONCATENATE(D2307,".",F2307,"-",G2307,".",H2307,"")</f>
        <v>2.3-6.5</v>
      </c>
      <c r="B2307" s="89" t="str">
        <f>IF(CONCATENATE(I2307,Key!F$2)=CONCATENATE(INDEX(Dashboard!J:J,MATCH(I2307,Dashboard!J:J,0),1),INDEX(Dashboard!J:K,MATCH(I2307,Dashboard!J:J,0),2)),"ON",IF(Dashboard!K$32="ALL","ON","-"))</f>
        <v>-</v>
      </c>
      <c r="C2307" s="88" t="s">
        <v>152</v>
      </c>
      <c r="D2307" s="89">
        <f>IF(C2307="ID",1,(IF(C2307="PR",2,(IF(C2307="DE",3,(IF(C2307="RS",4,(IF(C2307="RC",5,0)))))))))</f>
        <v>2</v>
      </c>
      <c r="E2307" s="89" t="s">
        <v>210</v>
      </c>
      <c r="F2307" s="89">
        <f>IF(E2307="AM",1,(IF(E2307="BE",2,(IF(E2307="GV",3,(IF(E2307="RA",4,(IF(E2307="RM",5,(IF(E2307="AC",1,(IF(E2307="AT",2,(IF(E2307="DS",3,(IF(E2307="IP",4,(IF(E2307="MA",5,(IF(E2307="PT",6,(IF(E2307="AE",1,(IF(E2307="CM",2,(IF(E2307="DP",3,(IF(E2307="AN",1,(IF(E2307="CO",2,(IF(E2307="IM",3,(IF(E2307="MI",4,(IF(E2307="RP",5,(IF(E2307="SC",6,0)))))))))))))))))))))))))))))))))))))))</f>
        <v>3</v>
      </c>
      <c r="G2307" s="52">
        <v>6</v>
      </c>
      <c r="H2307" s="90" t="s">
        <v>123</v>
      </c>
      <c r="I2307" s="94" t="s">
        <v>77</v>
      </c>
      <c r="J2307" s="87" t="s">
        <v>1472</v>
      </c>
      <c r="K2307" s="102" t="s">
        <v>2450</v>
      </c>
      <c r="L2307" s="117">
        <f>IF(O2307="","",N2307*O2307*M2307)</f>
        <v>0</v>
      </c>
      <c r="M2307" s="108">
        <v>1</v>
      </c>
      <c r="N2307" s="95">
        <v>1</v>
      </c>
      <c r="O2307" s="109">
        <f>IF(Key!D$1="ON",P2307,IF(SUM(Q2307:DL2307)&lt;1,"",SUM(Q2307:DL2307)/COUNTIF(Q2307:DL2307,"&gt;0")))</f>
        <v>0</v>
      </c>
      <c r="P2307" s="109">
        <f>SUMIFS(Q2307:DK2307,Q$1:DK$1,Dashboard!$K$31)</f>
        <v>0</v>
      </c>
      <c r="U2307" s="95">
        <v>33</v>
      </c>
      <c r="AA2307" s="95">
        <v>25</v>
      </c>
      <c r="AH2307" s="95">
        <v>75</v>
      </c>
    </row>
    <row r="2308" spans="1:34" x14ac:dyDescent="0.3">
      <c r="A2308" s="89" t="str">
        <f>CONCATENATE(D2308,".",F2308,"-",G2308,".",H2308,"")</f>
        <v>2.3-7.0</v>
      </c>
      <c r="B2308" s="89" t="str">
        <f>IF(CONCATENATE(I2308,Key!F$2)=CONCATENATE(INDEX(Dashboard!J:J,MATCH(I2308,Dashboard!J:J,0),1),INDEX(Dashboard!J:K,MATCH(I2308,Dashboard!J:J,0),2)),"ON",IF(Dashboard!K$32="ALL","ON","-"))</f>
        <v>-</v>
      </c>
      <c r="C2308" s="88" t="s">
        <v>152</v>
      </c>
      <c r="D2308" s="89">
        <f>IF(C2308="ID",1,(IF(C2308="PR",2,(IF(C2308="DE",3,(IF(C2308="RS",4,(IF(C2308="RC",5,0)))))))))</f>
        <v>2</v>
      </c>
      <c r="E2308" s="89" t="s">
        <v>210</v>
      </c>
      <c r="F2308" s="89">
        <f>IF(E2308="AM",1,(IF(E2308="BE",2,(IF(E2308="GV",3,(IF(E2308="RA",4,(IF(E2308="RM",5,(IF(E2308="AC",1,(IF(E2308="AT",2,(IF(E2308="DS",3,(IF(E2308="IP",4,(IF(E2308="MA",5,(IF(E2308="PT",6,(IF(E2308="AE",1,(IF(E2308="CM",2,(IF(E2308="DP",3,(IF(E2308="AN",1,(IF(E2308="CO",2,(IF(E2308="IM",3,(IF(E2308="MI",4,(IF(E2308="RP",5,(IF(E2308="SC",6,0)))))))))))))))))))))))))))))))))))))))</f>
        <v>3</v>
      </c>
      <c r="G2308" s="52">
        <v>7</v>
      </c>
      <c r="H2308" s="90" t="s">
        <v>347</v>
      </c>
      <c r="I2308" s="94" t="s">
        <v>2835</v>
      </c>
      <c r="J2308" s="53" t="s">
        <v>2955</v>
      </c>
      <c r="K2308" s="150" t="s">
        <v>2956</v>
      </c>
      <c r="L2308" s="117">
        <f>IF(O2308="","",N2308*O2308*M2308)</f>
        <v>0</v>
      </c>
      <c r="M2308" s="108">
        <v>1</v>
      </c>
      <c r="N2308" s="95">
        <v>1</v>
      </c>
      <c r="O2308" s="109">
        <f>IF(Key!D$1="ON",P2308,IF(SUM(Q2308:DL2308)&lt;1,"",SUM(Q2308:DL2308)/COUNTIF(Q2308:DL2308,"&gt;0")))</f>
        <v>0</v>
      </c>
      <c r="P2308" s="109">
        <f>SUMIFS(Q2308:DK2308,Q$1:DK$1,Dashboard!$K$31)</f>
        <v>0</v>
      </c>
      <c r="U2308" s="95">
        <v>33</v>
      </c>
    </row>
    <row r="2309" spans="1:34" ht="15.6" x14ac:dyDescent="0.3">
      <c r="A2309" s="89" t="str">
        <f>CONCATENATE(D2309,".",F2309,"-",G2309,".",H2309,"")</f>
        <v>2.3-7.1</v>
      </c>
      <c r="B2309" s="89" t="str">
        <f>IF(CONCATENATE(I2309,Key!F$2)=CONCATENATE(INDEX(Dashboard!J:J,MATCH(I2309,Dashboard!J:J,0),1),INDEX(Dashboard!J:K,MATCH(I2309,Dashboard!J:J,0),2)),"ON",IF(Dashboard!K$32="ALL","ON","-"))</f>
        <v>ON</v>
      </c>
      <c r="C2309" s="130" t="s">
        <v>152</v>
      </c>
      <c r="D2309" s="89">
        <f>IF(C2309="ID",1,(IF(C2309="PR",2,(IF(C2309="DE",3,(IF(C2309="RS",4,(IF(C2309="RC",5,0)))))))))</f>
        <v>2</v>
      </c>
      <c r="E2309" s="95" t="s">
        <v>210</v>
      </c>
      <c r="F2309" s="89">
        <f>IF(E2309="AM",1,(IF(E2309="BE",2,(IF(E2309="GV",3,(IF(E2309="RA",4,(IF(E2309="RM",5,(IF(E2309="AC",1,(IF(E2309="AT",2,(IF(E2309="DS",3,(IF(E2309="IP",4,(IF(E2309="MA",5,(IF(E2309="PT",6,(IF(E2309="AE",1,(IF(E2309="CM",2,(IF(E2309="DP",3,(IF(E2309="AN",1,(IF(E2309="CO",2,(IF(E2309="IM",3,(IF(E2309="MI",4,(IF(E2309="RP",5,(IF(E2309="SC",6,0)))))))))))))))))))))))))))))))))))))))</f>
        <v>3</v>
      </c>
      <c r="G2309" s="52">
        <v>7</v>
      </c>
      <c r="H2309" s="90" t="s">
        <v>115</v>
      </c>
      <c r="I2309" s="94" t="s">
        <v>4107</v>
      </c>
      <c r="J2309" s="86" t="s">
        <v>3983</v>
      </c>
      <c r="K2309" s="101" t="s">
        <v>4438</v>
      </c>
      <c r="L2309" s="117">
        <f>IF(O2309="","",N2309*O2309*M2309)</f>
        <v>0</v>
      </c>
      <c r="M2309" s="108">
        <v>1</v>
      </c>
      <c r="N2309" s="95">
        <v>1</v>
      </c>
      <c r="O2309" s="109">
        <f>IF(Key!D$1="ON",P2309,IF(SUM(Q2309:DL2309)&lt;1,"",SUM(Q2309:DL2309)/COUNTIF(Q2309:DL2309,"&gt;0")))</f>
        <v>0</v>
      </c>
      <c r="P2309" s="109">
        <f>SUMIFS(Q2309:DK2309,Q$1:DK$1,Dashboard!$K$31)</f>
        <v>0</v>
      </c>
      <c r="U2309" s="95">
        <v>33</v>
      </c>
      <c r="AA2309" s="95">
        <v>25</v>
      </c>
      <c r="AH2309" s="95">
        <v>75</v>
      </c>
    </row>
    <row r="2310" spans="1:34" x14ac:dyDescent="0.3">
      <c r="A2310" s="89" t="str">
        <f>CONCATENATE(D2310,".",F2310,"-",G2310,".",H2310,"")</f>
        <v>2.3-7.1</v>
      </c>
      <c r="B2310" s="89" t="str">
        <f>IF(CONCATENATE(I2310,Key!F$2)=CONCATENATE(INDEX(Dashboard!J:J,MATCH(I2310,Dashboard!J:J,0),1),INDEX(Dashboard!J:K,MATCH(I2310,Dashboard!J:J,0),2)),"ON",IF(Dashboard!K$32="ALL","ON","-"))</f>
        <v>ON</v>
      </c>
      <c r="C2310" s="130" t="s">
        <v>152</v>
      </c>
      <c r="D2310" s="89">
        <f>IF(C2310="ID",1,(IF(C2310="PR",2,(IF(C2310="DE",3,(IF(C2310="RS",4,(IF(C2310="RC",5,0)))))))))</f>
        <v>2</v>
      </c>
      <c r="E2310" s="95" t="s">
        <v>210</v>
      </c>
      <c r="F2310" s="89">
        <f>IF(E2310="AM",1,(IF(E2310="BE",2,(IF(E2310="GV",3,(IF(E2310="RA",4,(IF(E2310="RM",5,(IF(E2310="AC",1,(IF(E2310="AT",2,(IF(E2310="DS",3,(IF(E2310="IP",4,(IF(E2310="MA",5,(IF(E2310="PT",6,(IF(E2310="AE",1,(IF(E2310="CM",2,(IF(E2310="DP",3,(IF(E2310="AN",1,(IF(E2310="CO",2,(IF(E2310="IM",3,(IF(E2310="MI",4,(IF(E2310="RP",5,(IF(E2310="SC",6,0)))))))))))))))))))))))))))))))))))))))</f>
        <v>3</v>
      </c>
      <c r="G2310" s="52">
        <v>7</v>
      </c>
      <c r="H2310" s="90" t="s">
        <v>115</v>
      </c>
      <c r="I2310" s="94" t="s">
        <v>4107</v>
      </c>
      <c r="J2310" s="86" t="s">
        <v>3986</v>
      </c>
      <c r="K2310" s="101" t="s">
        <v>4374</v>
      </c>
      <c r="L2310" s="117">
        <f>IF(O2310="","",N2310*O2310*M2310)</f>
        <v>0</v>
      </c>
      <c r="M2310" s="108">
        <v>1</v>
      </c>
      <c r="N2310" s="95">
        <v>1</v>
      </c>
      <c r="O2310" s="109">
        <f>IF(Key!D$1="ON",P2310,IF(SUM(Q2310:DL2310)&lt;1,"",SUM(Q2310:DL2310)/COUNTIF(Q2310:DL2310,"&gt;0")))</f>
        <v>0</v>
      </c>
      <c r="P2310" s="109">
        <f>SUMIFS(Q2310:DK2310,Q$1:DK$1,Dashboard!$K$31)</f>
        <v>0</v>
      </c>
      <c r="U2310" s="95">
        <v>33</v>
      </c>
      <c r="AA2310" s="95">
        <v>25</v>
      </c>
      <c r="AH2310" s="95">
        <v>75</v>
      </c>
    </row>
    <row r="2311" spans="1:34" x14ac:dyDescent="0.3">
      <c r="A2311" s="89" t="str">
        <f>CONCATENATE(D2311,".",F2311,"-",G2311,".",H2311,"")</f>
        <v>2.3-7.1</v>
      </c>
      <c r="B2311" s="89" t="str">
        <f>IF(CONCATENATE(I2311,Key!F$2)=CONCATENATE(INDEX(Dashboard!J:J,MATCH(I2311,Dashboard!J:J,0),1),INDEX(Dashboard!J:K,MATCH(I2311,Dashboard!J:J,0),2)),"ON",IF(Dashboard!K$32="ALL","ON","-"))</f>
        <v>-</v>
      </c>
      <c r="C2311" s="88" t="s">
        <v>152</v>
      </c>
      <c r="D2311" s="89">
        <f>IF(C2311="ID",1,(IF(C2311="PR",2,(IF(C2311="DE",3,(IF(C2311="RS",4,(IF(C2311="RC",5,0)))))))))</f>
        <v>2</v>
      </c>
      <c r="E2311" s="89" t="s">
        <v>210</v>
      </c>
      <c r="F2311" s="89">
        <f>IF(E2311="AM",1,(IF(E2311="BE",2,(IF(E2311="GV",3,(IF(E2311="RA",4,(IF(E2311="RM",5,(IF(E2311="AC",1,(IF(E2311="AT",2,(IF(E2311="DS",3,(IF(E2311="IP",4,(IF(E2311="MA",5,(IF(E2311="PT",6,(IF(E2311="AE",1,(IF(E2311="CM",2,(IF(E2311="DP",3,(IF(E2311="AN",1,(IF(E2311="CO",2,(IF(E2311="IM",3,(IF(E2311="MI",4,(IF(E2311="RP",5,(IF(E2311="SC",6,0)))))))))))))))))))))))))))))))))))))))</f>
        <v>3</v>
      </c>
      <c r="G2311" s="52">
        <v>7</v>
      </c>
      <c r="H2311" s="99">
        <v>1</v>
      </c>
      <c r="I2311" s="94" t="s">
        <v>37</v>
      </c>
      <c r="J2311" s="86">
        <v>18.600000000000001</v>
      </c>
      <c r="K2311" s="102" t="s">
        <v>3758</v>
      </c>
      <c r="L2311" s="117">
        <f>IF(O2311="","",N2311*O2311*M2311)</f>
        <v>0</v>
      </c>
      <c r="M2311" s="108">
        <v>1</v>
      </c>
      <c r="N2311" s="95">
        <v>1</v>
      </c>
      <c r="O2311" s="109">
        <f>IF(Key!D$1="ON",P2311,IF(SUM(Q2311:DL2311)&lt;1,"",SUM(Q2311:DL2311)/COUNTIF(Q2311:DL2311,"&gt;0")))</f>
        <v>0</v>
      </c>
      <c r="P2311" s="109">
        <f>SUMIFS(Q2311:DK2311,Q$1:DK$1,Dashboard!$K$31)</f>
        <v>0</v>
      </c>
      <c r="U2311" s="95">
        <v>33</v>
      </c>
      <c r="AA2311" s="95">
        <v>25</v>
      </c>
      <c r="AH2311" s="95">
        <v>75</v>
      </c>
    </row>
    <row r="2312" spans="1:34" x14ac:dyDescent="0.3">
      <c r="A2312" s="89" t="str">
        <f>CONCATENATE(D2312,".",F2312,"-",G2312,".",H2312,"")</f>
        <v>2.3-7.1</v>
      </c>
      <c r="B2312" s="89" t="str">
        <f>IF(CONCATENATE(I2312,Key!F$2)=CONCATENATE(INDEX(Dashboard!J:J,MATCH(I2312,Dashboard!J:J,0),1),INDEX(Dashboard!J:K,MATCH(I2312,Dashboard!J:J,0),2)),"ON",IF(Dashboard!K$32="ALL","ON","-"))</f>
        <v>-</v>
      </c>
      <c r="C2312" s="88" t="s">
        <v>152</v>
      </c>
      <c r="D2312" s="89">
        <f>IF(C2312="ID",1,(IF(C2312="PR",2,(IF(C2312="DE",3,(IF(C2312="RS",4,(IF(C2312="RC",5,0)))))))))</f>
        <v>2</v>
      </c>
      <c r="E2312" s="89" t="s">
        <v>210</v>
      </c>
      <c r="F2312" s="89">
        <f>IF(E2312="AM",1,(IF(E2312="BE",2,(IF(E2312="GV",3,(IF(E2312="RA",4,(IF(E2312="RM",5,(IF(E2312="AC",1,(IF(E2312="AT",2,(IF(E2312="DS",3,(IF(E2312="IP",4,(IF(E2312="MA",5,(IF(E2312="PT",6,(IF(E2312="AE",1,(IF(E2312="CM",2,(IF(E2312="DP",3,(IF(E2312="AN",1,(IF(E2312="CO",2,(IF(E2312="IM",3,(IF(E2312="MI",4,(IF(E2312="RP",5,(IF(E2312="SC",6,0)))))))))))))))))))))))))))))))))))))))</f>
        <v>3</v>
      </c>
      <c r="G2312" s="52">
        <v>7</v>
      </c>
      <c r="H2312" s="99">
        <v>1</v>
      </c>
      <c r="I2312" s="94" t="s">
        <v>41</v>
      </c>
      <c r="J2312" s="86" t="s">
        <v>3642</v>
      </c>
      <c r="K2312" s="103" t="s">
        <v>3643</v>
      </c>
      <c r="L2312" s="117">
        <f>IF(O2312="","",N2312*O2312*M2312)</f>
        <v>0</v>
      </c>
      <c r="M2312" s="108">
        <v>1</v>
      </c>
      <c r="N2312" s="95">
        <v>1</v>
      </c>
      <c r="O2312" s="109">
        <f>IF(Key!D$1="ON",P2312,IF(SUM(Q2312:DL2312)&lt;1,"",SUM(Q2312:DL2312)/COUNTIF(Q2312:DL2312,"&gt;0")))</f>
        <v>0</v>
      </c>
      <c r="P2312" s="109">
        <f>SUMIFS(Q2312:DK2312,Q$1:DK$1,Dashboard!$K$31)</f>
        <v>0</v>
      </c>
      <c r="U2312" s="95">
        <v>33</v>
      </c>
    </row>
    <row r="2313" spans="1:34" x14ac:dyDescent="0.3">
      <c r="A2313" s="89" t="str">
        <f>CONCATENATE(D2313,".",F2313,"-",G2313,".",H2313,"")</f>
        <v>2.3-7.1</v>
      </c>
      <c r="B2313" s="89" t="str">
        <f>IF(CONCATENATE(I2313,Key!F$2)=CONCATENATE(INDEX(Dashboard!J:J,MATCH(I2313,Dashboard!J:J,0),1),INDEX(Dashboard!J:K,MATCH(I2313,Dashboard!J:J,0),2)),"ON",IF(Dashboard!K$32="ALL","ON","-"))</f>
        <v>-</v>
      </c>
      <c r="C2313" s="88" t="s">
        <v>152</v>
      </c>
      <c r="D2313" s="89">
        <f>IF(C2313="ID",1,(IF(C2313="PR",2,(IF(C2313="DE",3,(IF(C2313="RS",4,(IF(C2313="RC",5,0)))))))))</f>
        <v>2</v>
      </c>
      <c r="E2313" s="89" t="s">
        <v>210</v>
      </c>
      <c r="F2313" s="89">
        <f>IF(E2313="AM",1,(IF(E2313="BE",2,(IF(E2313="GV",3,(IF(E2313="RA",4,(IF(E2313="RM",5,(IF(E2313="AC",1,(IF(E2313="AT",2,(IF(E2313="DS",3,(IF(E2313="IP",4,(IF(E2313="MA",5,(IF(E2313="PT",6,(IF(E2313="AE",1,(IF(E2313="CM",2,(IF(E2313="DP",3,(IF(E2313="AN",1,(IF(E2313="CO",2,(IF(E2313="IM",3,(IF(E2313="MI",4,(IF(E2313="RP",5,(IF(E2313="SC",6,0)))))))))))))))))))))))))))))))))))))))</f>
        <v>3</v>
      </c>
      <c r="G2313" s="52">
        <v>7</v>
      </c>
      <c r="H2313" s="90" t="s">
        <v>115</v>
      </c>
      <c r="I2313" s="94" t="s">
        <v>60</v>
      </c>
      <c r="J2313" s="87" t="s">
        <v>3230</v>
      </c>
      <c r="K2313" s="51" t="s">
        <v>5343</v>
      </c>
      <c r="L2313" s="117">
        <f>IF(O2313="","",N2313*O2313*M2313)</f>
        <v>0</v>
      </c>
      <c r="M2313" s="108">
        <v>1</v>
      </c>
      <c r="N2313" s="95">
        <v>1</v>
      </c>
      <c r="O2313" s="109">
        <f>IF(Key!D$1="ON",P2313,IF(SUM(Q2313:DL2313)&lt;1,"",SUM(Q2313:DL2313)/COUNTIF(Q2313:DL2313,"&gt;0")))</f>
        <v>0</v>
      </c>
      <c r="P2313" s="109">
        <f>SUMIFS(Q2313:DK2313,Q$1:DK$1,Dashboard!$K$31)</f>
        <v>0</v>
      </c>
      <c r="U2313" s="95">
        <v>33</v>
      </c>
      <c r="AA2313" s="95">
        <v>25</v>
      </c>
      <c r="AH2313" s="95">
        <v>75</v>
      </c>
    </row>
    <row r="2314" spans="1:34" x14ac:dyDescent="0.3">
      <c r="A2314" s="89" t="str">
        <f>CONCATENATE(D2314,".",F2314,"-",G2314,".",H2314,"")</f>
        <v>2.3-7.1</v>
      </c>
      <c r="B2314" s="89" t="str">
        <f>IF(CONCATENATE(I2314,Key!F$2)=CONCATENATE(INDEX(Dashboard!J:J,MATCH(I2314,Dashboard!J:J,0),1),INDEX(Dashboard!J:K,MATCH(I2314,Dashboard!J:J,0),2)),"ON",IF(Dashboard!K$32="ALL","ON","-"))</f>
        <v>-</v>
      </c>
      <c r="C2314" s="88" t="s">
        <v>152</v>
      </c>
      <c r="D2314" s="89">
        <f>IF(C2314="ID",1,(IF(C2314="PR",2,(IF(C2314="DE",3,(IF(C2314="RS",4,(IF(C2314="RC",5,0)))))))))</f>
        <v>2</v>
      </c>
      <c r="E2314" s="89" t="s">
        <v>210</v>
      </c>
      <c r="F2314" s="89">
        <f>IF(E2314="AM",1,(IF(E2314="BE",2,(IF(E2314="GV",3,(IF(E2314="RA",4,(IF(E2314="RM",5,(IF(E2314="AC",1,(IF(E2314="AT",2,(IF(E2314="DS",3,(IF(E2314="IP",4,(IF(E2314="MA",5,(IF(E2314="PT",6,(IF(E2314="AE",1,(IF(E2314="CM",2,(IF(E2314="DP",3,(IF(E2314="AN",1,(IF(E2314="CO",2,(IF(E2314="IM",3,(IF(E2314="MI",4,(IF(E2314="RP",5,(IF(E2314="SC",6,0)))))))))))))))))))))))))))))))))))))))</f>
        <v>3</v>
      </c>
      <c r="G2314" s="52">
        <v>7</v>
      </c>
      <c r="H2314" s="90" t="s">
        <v>115</v>
      </c>
      <c r="I2314" s="94" t="s">
        <v>60</v>
      </c>
      <c r="J2314" s="87" t="s">
        <v>3194</v>
      </c>
      <c r="K2314" s="51" t="s">
        <v>5307</v>
      </c>
      <c r="L2314" s="117">
        <f>IF(O2314="","",N2314*O2314*M2314)</f>
        <v>0</v>
      </c>
      <c r="M2314" s="108">
        <v>1</v>
      </c>
      <c r="N2314" s="95">
        <v>1</v>
      </c>
      <c r="O2314" s="109">
        <f>IF(Key!D$1="ON",P2314,IF(SUM(Q2314:DL2314)&lt;1,"",SUM(Q2314:DL2314)/COUNTIF(Q2314:DL2314,"&gt;0")))</f>
        <v>0</v>
      </c>
      <c r="P2314" s="109">
        <f>SUMIFS(Q2314:DK2314,Q$1:DK$1,Dashboard!$K$31)</f>
        <v>0</v>
      </c>
      <c r="U2314" s="95">
        <v>33</v>
      </c>
      <c r="AA2314" s="95">
        <v>25</v>
      </c>
      <c r="AH2314" s="95">
        <v>75</v>
      </c>
    </row>
    <row r="2315" spans="1:34" x14ac:dyDescent="0.3">
      <c r="A2315" s="89" t="str">
        <f>CONCATENATE(D2315,".",F2315,"-",G2315,".",H2315,"")</f>
        <v>2.3-7.1</v>
      </c>
      <c r="B2315" s="89" t="str">
        <f>IF(CONCATENATE(I2315,Key!F$2)=CONCATENATE(INDEX(Dashboard!J:J,MATCH(I2315,Dashboard!J:J,0),1),INDEX(Dashboard!J:K,MATCH(I2315,Dashboard!J:J,0),2)),"ON",IF(Dashboard!K$32="ALL","ON","-"))</f>
        <v>-</v>
      </c>
      <c r="C2315" s="88" t="s">
        <v>152</v>
      </c>
      <c r="D2315" s="89">
        <f>IF(C2315="ID",1,(IF(C2315="PR",2,(IF(C2315="DE",3,(IF(C2315="RS",4,(IF(C2315="RC",5,0)))))))))</f>
        <v>2</v>
      </c>
      <c r="E2315" s="89" t="s">
        <v>210</v>
      </c>
      <c r="F2315" s="89">
        <f>IF(E2315="AM",1,(IF(E2315="BE",2,(IF(E2315="GV",3,(IF(E2315="RA",4,(IF(E2315="RM",5,(IF(E2315="AC",1,(IF(E2315="AT",2,(IF(E2315="DS",3,(IF(E2315="IP",4,(IF(E2315="MA",5,(IF(E2315="PT",6,(IF(E2315="AE",1,(IF(E2315="CM",2,(IF(E2315="DP",3,(IF(E2315="AN",1,(IF(E2315="CO",2,(IF(E2315="IM",3,(IF(E2315="MI",4,(IF(E2315="RP",5,(IF(E2315="SC",6,0)))))))))))))))))))))))))))))))))))))))</f>
        <v>3</v>
      </c>
      <c r="G2315" s="52">
        <v>7</v>
      </c>
      <c r="H2315" s="90" t="s">
        <v>115</v>
      </c>
      <c r="I2315" s="94" t="s">
        <v>60</v>
      </c>
      <c r="J2315" s="87" t="s">
        <v>3231</v>
      </c>
      <c r="K2315" s="51" t="s">
        <v>5344</v>
      </c>
      <c r="L2315" s="117">
        <f>IF(O2315="","",N2315*O2315*M2315)</f>
        <v>0</v>
      </c>
      <c r="M2315" s="108">
        <v>1</v>
      </c>
      <c r="N2315" s="95">
        <v>1</v>
      </c>
      <c r="O2315" s="109">
        <f>IF(Key!D$1="ON",P2315,IF(SUM(Q2315:DL2315)&lt;1,"",SUM(Q2315:DL2315)/COUNTIF(Q2315:DL2315,"&gt;0")))</f>
        <v>0</v>
      </c>
      <c r="P2315" s="109">
        <f>SUMIFS(Q2315:DK2315,Q$1:DK$1,Dashboard!$K$31)</f>
        <v>0</v>
      </c>
      <c r="U2315" s="95">
        <v>33</v>
      </c>
      <c r="AA2315" s="95">
        <v>25</v>
      </c>
      <c r="AH2315" s="95">
        <v>75</v>
      </c>
    </row>
    <row r="2316" spans="1:34" x14ac:dyDescent="0.3">
      <c r="A2316" s="89" t="str">
        <f>CONCATENATE(D2316,".",F2316,"-",G2316,".",H2316,"")</f>
        <v>2.3-7.1</v>
      </c>
      <c r="B2316" s="89" t="str">
        <f>IF(CONCATENATE(I2316,Key!F$2)=CONCATENATE(INDEX(Dashboard!J:J,MATCH(I2316,Dashboard!J:J,0),1),INDEX(Dashboard!J:K,MATCH(I2316,Dashboard!J:J,0),2)),"ON",IF(Dashboard!K$32="ALL","ON","-"))</f>
        <v>-</v>
      </c>
      <c r="C2316" s="88" t="s">
        <v>152</v>
      </c>
      <c r="D2316" s="89">
        <f>IF(C2316="ID",1,(IF(C2316="PR",2,(IF(C2316="DE",3,(IF(C2316="RS",4,(IF(C2316="RC",5,0)))))))))</f>
        <v>2</v>
      </c>
      <c r="E2316" s="89" t="s">
        <v>210</v>
      </c>
      <c r="F2316" s="89">
        <f>IF(E2316="AM",1,(IF(E2316="BE",2,(IF(E2316="GV",3,(IF(E2316="RA",4,(IF(E2316="RM",5,(IF(E2316="AC",1,(IF(E2316="AT",2,(IF(E2316="DS",3,(IF(E2316="IP",4,(IF(E2316="MA",5,(IF(E2316="PT",6,(IF(E2316="AE",1,(IF(E2316="CM",2,(IF(E2316="DP",3,(IF(E2316="AN",1,(IF(E2316="CO",2,(IF(E2316="IM",3,(IF(E2316="MI",4,(IF(E2316="RP",5,(IF(E2316="SC",6,0)))))))))))))))))))))))))))))))))))))))</f>
        <v>3</v>
      </c>
      <c r="G2316" s="52">
        <v>7</v>
      </c>
      <c r="H2316" s="90" t="s">
        <v>115</v>
      </c>
      <c r="I2316" s="94" t="s">
        <v>77</v>
      </c>
      <c r="J2316" s="87" t="s">
        <v>1473</v>
      </c>
      <c r="K2316" s="102" t="s">
        <v>2451</v>
      </c>
      <c r="L2316" s="117">
        <f>IF(O2316="","",N2316*O2316*M2316)</f>
        <v>0</v>
      </c>
      <c r="M2316" s="108">
        <v>1</v>
      </c>
      <c r="N2316" s="95">
        <v>1</v>
      </c>
      <c r="O2316" s="109">
        <f>IF(Key!D$1="ON",P2316,IF(SUM(Q2316:DL2316)&lt;1,"",SUM(Q2316:DL2316)/COUNTIF(Q2316:DL2316,"&gt;0")))</f>
        <v>0</v>
      </c>
      <c r="P2316" s="109">
        <f>SUMIFS(Q2316:DK2316,Q$1:DK$1,Dashboard!$K$31)</f>
        <v>0</v>
      </c>
      <c r="U2316" s="95">
        <v>33</v>
      </c>
      <c r="AA2316" s="95">
        <v>25</v>
      </c>
      <c r="AH2316" s="95">
        <v>75</v>
      </c>
    </row>
    <row r="2317" spans="1:34" x14ac:dyDescent="0.3">
      <c r="A2317" s="89" t="str">
        <f>CONCATENATE(D2317,".",F2317,"-",G2317,".",H2317,"")</f>
        <v>2.3-7.1</v>
      </c>
      <c r="B2317" s="89" t="str">
        <f>IF(CONCATENATE(I2317,Key!F$2)=CONCATENATE(INDEX(Dashboard!J:J,MATCH(I2317,Dashboard!J:J,0),1),INDEX(Dashboard!J:K,MATCH(I2317,Dashboard!J:J,0),2)),"ON",IF(Dashboard!K$32="ALL","ON","-"))</f>
        <v>-</v>
      </c>
      <c r="C2317" s="88" t="s">
        <v>152</v>
      </c>
      <c r="D2317" s="89">
        <f>IF(C2317="ID",1,(IF(C2317="PR",2,(IF(C2317="DE",3,(IF(C2317="RS",4,(IF(C2317="RC",5,0)))))))))</f>
        <v>2</v>
      </c>
      <c r="E2317" s="89" t="s">
        <v>210</v>
      </c>
      <c r="F2317" s="89">
        <f>IF(E2317="AM",1,(IF(E2317="BE",2,(IF(E2317="GV",3,(IF(E2317="RA",4,(IF(E2317="RM",5,(IF(E2317="AC",1,(IF(E2317="AT",2,(IF(E2317="DS",3,(IF(E2317="IP",4,(IF(E2317="MA",5,(IF(E2317="PT",6,(IF(E2317="AE",1,(IF(E2317="CM",2,(IF(E2317="DP",3,(IF(E2317="AN",1,(IF(E2317="CO",2,(IF(E2317="IM",3,(IF(E2317="MI",4,(IF(E2317="RP",5,(IF(E2317="SC",6,0)))))))))))))))))))))))))))))))))))))))</f>
        <v>3</v>
      </c>
      <c r="G2317" s="52">
        <v>7</v>
      </c>
      <c r="H2317" s="90" t="s">
        <v>115</v>
      </c>
      <c r="I2317" s="94" t="s">
        <v>85</v>
      </c>
      <c r="J2317" s="87" t="s">
        <v>1473</v>
      </c>
      <c r="K2317" s="119" t="s">
        <v>4671</v>
      </c>
      <c r="L2317" s="117">
        <f>IF(O2317="","",N2317*O2317*M2317)</f>
        <v>0</v>
      </c>
      <c r="M2317" s="108">
        <v>1</v>
      </c>
      <c r="N2317" s="95">
        <v>1</v>
      </c>
      <c r="O2317" s="109">
        <f>IF(Key!D$1="ON",P2317,IF(SUM(Q2317:DL2317)&lt;1,"",SUM(Q2317:DL2317)/COUNTIF(Q2317:DL2317,"&gt;0")))</f>
        <v>0</v>
      </c>
      <c r="P2317" s="109">
        <f>SUMIFS(Q2317:DK2317,Q$1:DK$1,Dashboard!$K$31)</f>
        <v>0</v>
      </c>
      <c r="U2317" s="95">
        <v>33</v>
      </c>
      <c r="AA2317" s="95">
        <v>25</v>
      </c>
      <c r="AH2317" s="95">
        <v>75</v>
      </c>
    </row>
    <row r="2318" spans="1:34" x14ac:dyDescent="0.3">
      <c r="A2318" s="89" t="str">
        <f>CONCATENATE(D2318,".",F2318,"-",G2318,".",H2318,"")</f>
        <v>2.3-7.1</v>
      </c>
      <c r="B2318" s="89" t="str">
        <f>IF(CONCATENATE(I2318,Key!F$2)=CONCATENATE(INDEX(Dashboard!J:J,MATCH(I2318,Dashboard!J:J,0),1),INDEX(Dashboard!J:K,MATCH(I2318,Dashboard!J:J,0),2)),"ON",IF(Dashboard!K$32="ALL","ON","-"))</f>
        <v>-</v>
      </c>
      <c r="C2318" s="88" t="s">
        <v>152</v>
      </c>
      <c r="D2318" s="89">
        <f>IF(C2318="ID",1,(IF(C2318="PR",2,(IF(C2318="DE",3,(IF(C2318="RS",4,(IF(C2318="RC",5,0)))))))))</f>
        <v>2</v>
      </c>
      <c r="E2318" s="89" t="s">
        <v>210</v>
      </c>
      <c r="F2318" s="89">
        <f>IF(E2318="AM",1,(IF(E2318="BE",2,(IF(E2318="GV",3,(IF(E2318="RA",4,(IF(E2318="RM",5,(IF(E2318="AC",1,(IF(E2318="AT",2,(IF(E2318="DS",3,(IF(E2318="IP",4,(IF(E2318="MA",5,(IF(E2318="PT",6,(IF(E2318="AE",1,(IF(E2318="CM",2,(IF(E2318="DP",3,(IF(E2318="AN",1,(IF(E2318="CO",2,(IF(E2318="IM",3,(IF(E2318="MI",4,(IF(E2318="RP",5,(IF(E2318="SC",6,0)))))))))))))))))))))))))))))))))))))))</f>
        <v>3</v>
      </c>
      <c r="G2318" s="52">
        <v>7</v>
      </c>
      <c r="H2318" s="90" t="s">
        <v>115</v>
      </c>
      <c r="I2318" s="94" t="s">
        <v>92</v>
      </c>
      <c r="J2318" s="88" t="s">
        <v>227</v>
      </c>
      <c r="K2318" s="102" t="s">
        <v>5226</v>
      </c>
      <c r="L2318" s="117">
        <f>IF(O2318="","",N2318*O2318*M2318)</f>
        <v>0</v>
      </c>
      <c r="M2318" s="108">
        <v>1</v>
      </c>
      <c r="N2318" s="95">
        <v>1</v>
      </c>
      <c r="O2318" s="109">
        <f>IF(Key!D$1="ON",P2318,IF(SUM(Q2318:DL2318)&lt;1,"",SUM(Q2318:DL2318)/COUNTIF(Q2318:DL2318,"&gt;0")))</f>
        <v>0</v>
      </c>
      <c r="P2318" s="109">
        <f>SUMIFS(Q2318:DK2318,Q$1:DK$1,Dashboard!$K$31)</f>
        <v>0</v>
      </c>
      <c r="U2318" s="95">
        <v>33</v>
      </c>
      <c r="AA2318" s="95">
        <v>25</v>
      </c>
      <c r="AH2318" s="95">
        <v>75</v>
      </c>
    </row>
    <row r="2319" spans="1:34" x14ac:dyDescent="0.3">
      <c r="A2319" s="89" t="str">
        <f>CONCATENATE(D2319,".",F2319,"-",G2319,".",H2319,"")</f>
        <v>2.3-8.0</v>
      </c>
      <c r="B2319" s="89" t="str">
        <f>IF(CONCATENATE(I2319,Key!F$2)=CONCATENATE(INDEX(Dashboard!J:J,MATCH(I2319,Dashboard!J:J,0),1),INDEX(Dashboard!J:K,MATCH(I2319,Dashboard!J:J,0),2)),"ON",IF(Dashboard!K$32="ALL","ON","-"))</f>
        <v>-</v>
      </c>
      <c r="C2319" s="88" t="s">
        <v>152</v>
      </c>
      <c r="D2319" s="89">
        <f>IF(C2319="ID",1,(IF(C2319="PR",2,(IF(C2319="DE",3,(IF(C2319="RS",4,(IF(C2319="RC",5,0)))))))))</f>
        <v>2</v>
      </c>
      <c r="E2319" s="89" t="s">
        <v>210</v>
      </c>
      <c r="F2319" s="89">
        <f>IF(E2319="AM",1,(IF(E2319="BE",2,(IF(E2319="GV",3,(IF(E2319="RA",4,(IF(E2319="RM",5,(IF(E2319="AC",1,(IF(E2319="AT",2,(IF(E2319="DS",3,(IF(E2319="IP",4,(IF(E2319="MA",5,(IF(E2319="PT",6,(IF(E2319="AE",1,(IF(E2319="CM",2,(IF(E2319="DP",3,(IF(E2319="AN",1,(IF(E2319="CO",2,(IF(E2319="IM",3,(IF(E2319="MI",4,(IF(E2319="RP",5,(IF(E2319="SC",6,0)))))))))))))))))))))))))))))))))))))))</f>
        <v>3</v>
      </c>
      <c r="G2319" s="52">
        <v>8</v>
      </c>
      <c r="H2319" s="90" t="s">
        <v>347</v>
      </c>
      <c r="I2319" s="94" t="s">
        <v>2835</v>
      </c>
      <c r="J2319" s="137" t="s">
        <v>2957</v>
      </c>
      <c r="K2319" s="150" t="s">
        <v>2958</v>
      </c>
      <c r="L2319" s="117">
        <f>IF(O2319="","",N2319*O2319*M2319)</f>
        <v>0</v>
      </c>
      <c r="M2319" s="108">
        <v>1</v>
      </c>
      <c r="N2319" s="95">
        <v>1</v>
      </c>
      <c r="O2319" s="109">
        <f>IF(Key!D$1="ON",P2319,IF(SUM(Q2319:DL2319)&lt;1,"",SUM(Q2319:DL2319)/COUNTIF(Q2319:DL2319,"&gt;0")))</f>
        <v>0</v>
      </c>
      <c r="P2319" s="109">
        <f>SUMIFS(Q2319:DK2319,Q$1:DK$1,Dashboard!$K$31)</f>
        <v>0</v>
      </c>
      <c r="U2319" s="95">
        <v>33</v>
      </c>
    </row>
    <row r="2320" spans="1:34" x14ac:dyDescent="0.3">
      <c r="A2320" s="89" t="str">
        <f>CONCATENATE(D2320,".",F2320,"-",G2320,".",H2320,"")</f>
        <v>2.3-8.1</v>
      </c>
      <c r="B2320" s="89" t="str">
        <f>IF(CONCATENATE(I2320,Key!F$2)=CONCATENATE(INDEX(Dashboard!J:J,MATCH(I2320,Dashboard!J:J,0),1),INDEX(Dashboard!J:K,MATCH(I2320,Dashboard!J:J,0),2)),"ON",IF(Dashboard!K$32="ALL","ON","-"))</f>
        <v>ON</v>
      </c>
      <c r="C2320" s="130" t="s">
        <v>152</v>
      </c>
      <c r="D2320" s="89">
        <f>IF(C2320="ID",1,(IF(C2320="PR",2,(IF(C2320="DE",3,(IF(C2320="RS",4,(IF(C2320="RC",5,0)))))))))</f>
        <v>2</v>
      </c>
      <c r="E2320" s="95" t="s">
        <v>210</v>
      </c>
      <c r="F2320" s="89">
        <f>IF(E2320="AM",1,(IF(E2320="BE",2,(IF(E2320="GV",3,(IF(E2320="RA",4,(IF(E2320="RM",5,(IF(E2320="AC",1,(IF(E2320="AT",2,(IF(E2320="DS",3,(IF(E2320="IP",4,(IF(E2320="MA",5,(IF(E2320="PT",6,(IF(E2320="AE",1,(IF(E2320="CM",2,(IF(E2320="DP",3,(IF(E2320="AN",1,(IF(E2320="CO",2,(IF(E2320="IM",3,(IF(E2320="MI",4,(IF(E2320="RP",5,(IF(E2320="SC",6,0)))))))))))))))))))))))))))))))))))))))</f>
        <v>3</v>
      </c>
      <c r="G2320" s="52">
        <v>8</v>
      </c>
      <c r="H2320" s="90" t="s">
        <v>115</v>
      </c>
      <c r="I2320" s="94" t="s">
        <v>4107</v>
      </c>
      <c r="J2320" s="86" t="s">
        <v>3993</v>
      </c>
      <c r="K2320" s="101" t="s">
        <v>4443</v>
      </c>
      <c r="L2320" s="117">
        <f>IF(O2320="","",N2320*O2320*M2320)</f>
        <v>0</v>
      </c>
      <c r="M2320" s="108">
        <v>1</v>
      </c>
      <c r="N2320" s="95">
        <v>1</v>
      </c>
      <c r="O2320" s="109">
        <f>IF(Key!D$1="ON",P2320,IF(SUM(Q2320:DL2320)&lt;1,"",SUM(Q2320:DL2320)/COUNTIF(Q2320:DL2320,"&gt;0")))</f>
        <v>0</v>
      </c>
      <c r="P2320" s="109">
        <f>SUMIFS(Q2320:DK2320,Q$1:DK$1,Dashboard!$K$31)</f>
        <v>0</v>
      </c>
      <c r="U2320" s="95">
        <v>33</v>
      </c>
      <c r="AA2320" s="95">
        <v>25</v>
      </c>
      <c r="AH2320" s="95">
        <v>75</v>
      </c>
    </row>
    <row r="2321" spans="1:34" x14ac:dyDescent="0.3">
      <c r="A2321" s="89" t="str">
        <f>CONCATENATE(D2321,".",F2321,"-",G2321,".",H2321,"")</f>
        <v>2.3-8.1</v>
      </c>
      <c r="B2321" s="89" t="str">
        <f>IF(CONCATENATE(I2321,Key!F$2)=CONCATENATE(INDEX(Dashboard!J:J,MATCH(I2321,Dashboard!J:J,0),1),INDEX(Dashboard!J:K,MATCH(I2321,Dashboard!J:J,0),2)),"ON",IF(Dashboard!K$32="ALL","ON","-"))</f>
        <v>-</v>
      </c>
      <c r="C2321" s="88" t="s">
        <v>152</v>
      </c>
      <c r="D2321" s="89">
        <f>IF(C2321="ID",1,(IF(C2321="PR",2,(IF(C2321="DE",3,(IF(C2321="RS",4,(IF(C2321="RC",5,0)))))))))</f>
        <v>2</v>
      </c>
      <c r="E2321" s="89" t="s">
        <v>210</v>
      </c>
      <c r="F2321" s="89">
        <f>IF(E2321="AM",1,(IF(E2321="BE",2,(IF(E2321="GV",3,(IF(E2321="RA",4,(IF(E2321="RM",5,(IF(E2321="AC",1,(IF(E2321="AT",2,(IF(E2321="DS",3,(IF(E2321="IP",4,(IF(E2321="MA",5,(IF(E2321="PT",6,(IF(E2321="AE",1,(IF(E2321="CM",2,(IF(E2321="DP",3,(IF(E2321="AN",1,(IF(E2321="CO",2,(IF(E2321="IM",3,(IF(E2321="MI",4,(IF(E2321="RP",5,(IF(E2321="SC",6,0)))))))))))))))))))))))))))))))))))))))</f>
        <v>3</v>
      </c>
      <c r="G2321" s="52">
        <v>8</v>
      </c>
      <c r="H2321" s="90" t="s">
        <v>115</v>
      </c>
      <c r="I2321" s="94" t="s">
        <v>64</v>
      </c>
      <c r="J2321" s="87" t="s">
        <v>1443</v>
      </c>
      <c r="K2321" s="102" t="s">
        <v>2423</v>
      </c>
      <c r="L2321" s="117">
        <f>IF(O2321="","",N2321*O2321*M2321)</f>
        <v>0</v>
      </c>
      <c r="M2321" s="108">
        <v>1</v>
      </c>
      <c r="N2321" s="95">
        <v>1</v>
      </c>
      <c r="O2321" s="109">
        <f>IF(Key!D$1="ON",P2321,IF(SUM(Q2321:DL2321)&lt;1,"",SUM(Q2321:DL2321)/COUNTIF(Q2321:DL2321,"&gt;0")))</f>
        <v>0</v>
      </c>
      <c r="P2321" s="109">
        <f>SUMIFS(Q2321:DK2321,Q$1:DK$1,Dashboard!$K$31)</f>
        <v>0</v>
      </c>
      <c r="U2321" s="95">
        <v>33</v>
      </c>
      <c r="AA2321" s="95">
        <v>25</v>
      </c>
      <c r="AH2321" s="95">
        <v>75</v>
      </c>
    </row>
    <row r="2322" spans="1:34" x14ac:dyDescent="0.3">
      <c r="A2322" s="89" t="str">
        <f>CONCATENATE(D2322,".",F2322,"-",G2322,".",H2322,"")</f>
        <v>2.3-8.1</v>
      </c>
      <c r="B2322" s="89" t="str">
        <f>IF(CONCATENATE(I2322,Key!F$2)=CONCATENATE(INDEX(Dashboard!J:J,MATCH(I2322,Dashboard!J:J,0),1),INDEX(Dashboard!J:K,MATCH(I2322,Dashboard!J:J,0),2)),"ON",IF(Dashboard!K$32="ALL","ON","-"))</f>
        <v>-</v>
      </c>
      <c r="C2322" s="88" t="s">
        <v>152</v>
      </c>
      <c r="D2322" s="89">
        <f>IF(C2322="ID",1,(IF(C2322="PR",2,(IF(C2322="DE",3,(IF(C2322="RS",4,(IF(C2322="RC",5,0)))))))))</f>
        <v>2</v>
      </c>
      <c r="E2322" s="89" t="s">
        <v>210</v>
      </c>
      <c r="F2322" s="89">
        <f>IF(E2322="AM",1,(IF(E2322="BE",2,(IF(E2322="GV",3,(IF(E2322="RA",4,(IF(E2322="RM",5,(IF(E2322="AC",1,(IF(E2322="AT",2,(IF(E2322="DS",3,(IF(E2322="IP",4,(IF(E2322="MA",5,(IF(E2322="PT",6,(IF(E2322="AE",1,(IF(E2322="CM",2,(IF(E2322="DP",3,(IF(E2322="AN",1,(IF(E2322="CO",2,(IF(E2322="IM",3,(IF(E2322="MI",4,(IF(E2322="RP",5,(IF(E2322="SC",6,0)))))))))))))))))))))))))))))))))))))))</f>
        <v>3</v>
      </c>
      <c r="G2322" s="52">
        <v>8</v>
      </c>
      <c r="H2322" s="90" t="s">
        <v>115</v>
      </c>
      <c r="I2322" s="94" t="s">
        <v>77</v>
      </c>
      <c r="J2322" s="87" t="s">
        <v>1443</v>
      </c>
      <c r="K2322" s="102" t="s">
        <v>2423</v>
      </c>
      <c r="L2322" s="117">
        <f>IF(O2322="","",N2322*O2322*M2322)</f>
        <v>0</v>
      </c>
      <c r="M2322" s="108">
        <v>1</v>
      </c>
      <c r="N2322" s="95">
        <v>1</v>
      </c>
      <c r="O2322" s="109">
        <f>IF(Key!D$1="ON",P2322,IF(SUM(Q2322:DL2322)&lt;1,"",SUM(Q2322:DL2322)/COUNTIF(Q2322:DL2322,"&gt;0")))</f>
        <v>0</v>
      </c>
      <c r="P2322" s="109">
        <f>SUMIFS(Q2322:DK2322,Q$1:DK$1,Dashboard!$K$31)</f>
        <v>0</v>
      </c>
      <c r="U2322" s="95">
        <v>33</v>
      </c>
      <c r="AA2322" s="95">
        <v>25</v>
      </c>
      <c r="AH2322" s="95">
        <v>75</v>
      </c>
    </row>
    <row r="2323" spans="1:34" x14ac:dyDescent="0.3">
      <c r="A2323" s="89" t="str">
        <f>CONCATENATE(D2323,".",F2323,"-",G2323,".",H2323,"")</f>
        <v>2.3-8.1</v>
      </c>
      <c r="B2323" s="89" t="str">
        <f>IF(CONCATENATE(I2323,Key!F$2)=CONCATENATE(INDEX(Dashboard!J:J,MATCH(I2323,Dashboard!J:J,0),1),INDEX(Dashboard!J:K,MATCH(I2323,Dashboard!J:J,0),2)),"ON",IF(Dashboard!K$32="ALL","ON","-"))</f>
        <v>-</v>
      </c>
      <c r="C2323" s="88" t="s">
        <v>152</v>
      </c>
      <c r="D2323" s="89">
        <f>IF(C2323="ID",1,(IF(C2323="PR",2,(IF(C2323="DE",3,(IF(C2323="RS",4,(IF(C2323="RC",5,0)))))))))</f>
        <v>2</v>
      </c>
      <c r="E2323" s="89" t="s">
        <v>210</v>
      </c>
      <c r="F2323" s="89">
        <f>IF(E2323="AM",1,(IF(E2323="BE",2,(IF(E2323="GV",3,(IF(E2323="RA",4,(IF(E2323="RM",5,(IF(E2323="AC",1,(IF(E2323="AT",2,(IF(E2323="DS",3,(IF(E2323="IP",4,(IF(E2323="MA",5,(IF(E2323="PT",6,(IF(E2323="AE",1,(IF(E2323="CM",2,(IF(E2323="DP",3,(IF(E2323="AN",1,(IF(E2323="CO",2,(IF(E2323="IM",3,(IF(E2323="MI",4,(IF(E2323="RP",5,(IF(E2323="SC",6,0)))))))))))))))))))))))))))))))))))))))</f>
        <v>3</v>
      </c>
      <c r="G2323" s="52">
        <v>8</v>
      </c>
      <c r="H2323" s="89">
        <v>1</v>
      </c>
      <c r="I2323" s="94" t="s">
        <v>85</v>
      </c>
      <c r="J2323" s="86" t="s">
        <v>886</v>
      </c>
      <c r="K2323" s="119" t="s">
        <v>887</v>
      </c>
      <c r="L2323" s="117">
        <f>IF(O2323="","",N2323*O2323*M2323)</f>
        <v>0</v>
      </c>
      <c r="M2323" s="108">
        <v>1</v>
      </c>
      <c r="N2323" s="95">
        <v>1</v>
      </c>
      <c r="O2323" s="109">
        <f>IF(Key!D$1="ON",P2323,IF(SUM(Q2323:DL2323)&lt;1,"",SUM(Q2323:DL2323)/COUNTIF(Q2323:DL2323,"&gt;0")))</f>
        <v>0</v>
      </c>
      <c r="P2323" s="109">
        <f>SUMIFS(Q2323:DK2323,Q$1:DK$1,Dashboard!$K$31)</f>
        <v>0</v>
      </c>
      <c r="U2323" s="95">
        <v>33</v>
      </c>
      <c r="AA2323" s="95">
        <v>25</v>
      </c>
      <c r="AH2323" s="95">
        <v>75</v>
      </c>
    </row>
    <row r="2324" spans="1:34" x14ac:dyDescent="0.3">
      <c r="A2324" s="89" t="str">
        <f>CONCATENATE(D2324,".",F2324,"-",G2324,".",H2324,"")</f>
        <v>2.3-8.1</v>
      </c>
      <c r="B2324" s="89" t="str">
        <f>IF(CONCATENATE(I2324,Key!F$2)=CONCATENATE(INDEX(Dashboard!J:J,MATCH(I2324,Dashboard!J:J,0),1),INDEX(Dashboard!J:K,MATCH(I2324,Dashboard!J:J,0),2)),"ON",IF(Dashboard!K$32="ALL","ON","-"))</f>
        <v>-</v>
      </c>
      <c r="C2324" s="88" t="s">
        <v>152</v>
      </c>
      <c r="D2324" s="89">
        <f>IF(C2324="ID",1,(IF(C2324="PR",2,(IF(C2324="DE",3,(IF(C2324="RS",4,(IF(C2324="RC",5,0)))))))))</f>
        <v>2</v>
      </c>
      <c r="E2324" s="89" t="s">
        <v>210</v>
      </c>
      <c r="F2324" s="89">
        <f>IF(E2324="AM",1,(IF(E2324="BE",2,(IF(E2324="GV",3,(IF(E2324="RA",4,(IF(E2324="RM",5,(IF(E2324="AC",1,(IF(E2324="AT",2,(IF(E2324="DS",3,(IF(E2324="IP",4,(IF(E2324="MA",5,(IF(E2324="PT",6,(IF(E2324="AE",1,(IF(E2324="CM",2,(IF(E2324="DP",3,(IF(E2324="AN",1,(IF(E2324="CO",2,(IF(E2324="IM",3,(IF(E2324="MI",4,(IF(E2324="RP",5,(IF(E2324="SC",6,0)))))))))))))))))))))))))))))))))))))))</f>
        <v>3</v>
      </c>
      <c r="G2324" s="52">
        <v>8</v>
      </c>
      <c r="H2324" s="90" t="s">
        <v>115</v>
      </c>
      <c r="I2324" s="94" t="s">
        <v>85</v>
      </c>
      <c r="J2324" s="87" t="s">
        <v>1431</v>
      </c>
      <c r="K2324" s="119" t="s">
        <v>1432</v>
      </c>
      <c r="L2324" s="117">
        <f>IF(O2324="","",N2324*O2324*M2324)</f>
        <v>0</v>
      </c>
      <c r="M2324" s="108">
        <v>1</v>
      </c>
      <c r="N2324" s="95">
        <v>1</v>
      </c>
      <c r="O2324" s="109">
        <f>IF(Key!D$1="ON",P2324,IF(SUM(Q2324:DL2324)&lt;1,"",SUM(Q2324:DL2324)/COUNTIF(Q2324:DL2324,"&gt;0")))</f>
        <v>0</v>
      </c>
      <c r="P2324" s="109">
        <f>SUMIFS(Q2324:DK2324,Q$1:DK$1,Dashboard!$K$31)</f>
        <v>0</v>
      </c>
      <c r="U2324" s="95">
        <v>33</v>
      </c>
      <c r="AA2324" s="95">
        <v>25</v>
      </c>
      <c r="AH2324" s="95">
        <v>75</v>
      </c>
    </row>
    <row r="2325" spans="1:34" x14ac:dyDescent="0.3">
      <c r="A2325" s="89" t="str">
        <f>CONCATENATE(D2325,".",F2325,"-",G2325,".",H2325,"")</f>
        <v>2.3-8.1</v>
      </c>
      <c r="B2325" s="89" t="str">
        <f>IF(CONCATENATE(I2325,Key!F$2)=CONCATENATE(INDEX(Dashboard!J:J,MATCH(I2325,Dashboard!J:J,0),1),INDEX(Dashboard!J:K,MATCH(I2325,Dashboard!J:J,0),2)),"ON",IF(Dashboard!K$32="ALL","ON","-"))</f>
        <v>-</v>
      </c>
      <c r="C2325" s="88" t="s">
        <v>152</v>
      </c>
      <c r="D2325" s="89">
        <f>IF(C2325="ID",1,(IF(C2325="PR",2,(IF(C2325="DE",3,(IF(C2325="RS",4,(IF(C2325="RC",5,0)))))))))</f>
        <v>2</v>
      </c>
      <c r="E2325" s="89" t="s">
        <v>210</v>
      </c>
      <c r="F2325" s="89">
        <f>IF(E2325="AM",1,(IF(E2325="BE",2,(IF(E2325="GV",3,(IF(E2325="RA",4,(IF(E2325="RM",5,(IF(E2325="AC",1,(IF(E2325="AT",2,(IF(E2325="DS",3,(IF(E2325="IP",4,(IF(E2325="MA",5,(IF(E2325="PT",6,(IF(E2325="AE",1,(IF(E2325="CM",2,(IF(E2325="DP",3,(IF(E2325="AN",1,(IF(E2325="CO",2,(IF(E2325="IM",3,(IF(E2325="MI",4,(IF(E2325="RP",5,(IF(E2325="SC",6,0)))))))))))))))))))))))))))))))))))))))</f>
        <v>3</v>
      </c>
      <c r="G2325" s="52">
        <v>8</v>
      </c>
      <c r="H2325" s="90" t="s">
        <v>115</v>
      </c>
      <c r="I2325" s="94" t="s">
        <v>85</v>
      </c>
      <c r="J2325" s="86" t="s">
        <v>917</v>
      </c>
      <c r="K2325" s="119" t="s">
        <v>5174</v>
      </c>
      <c r="L2325" s="117">
        <f>IF(O2325="","",N2325*O2325*M2325)</f>
        <v>0</v>
      </c>
      <c r="M2325" s="108">
        <v>1</v>
      </c>
      <c r="N2325" s="95">
        <v>1</v>
      </c>
      <c r="O2325" s="109">
        <f>IF(Key!D$1="ON",P2325,IF(SUM(Q2325:DL2325)&lt;1,"",SUM(Q2325:DL2325)/COUNTIF(Q2325:DL2325,"&gt;0")))</f>
        <v>0</v>
      </c>
      <c r="P2325" s="109">
        <f>SUMIFS(Q2325:DK2325,Q$1:DK$1,Dashboard!$K$31)</f>
        <v>0</v>
      </c>
      <c r="U2325" s="95">
        <v>33</v>
      </c>
      <c r="AA2325" s="95">
        <v>25</v>
      </c>
      <c r="AH2325" s="95">
        <v>75</v>
      </c>
    </row>
    <row r="2326" spans="1:34" x14ac:dyDescent="0.3">
      <c r="A2326" s="89" t="str">
        <f>CONCATENATE(D2326,".",F2326,"-",G2326,".",H2326,"")</f>
        <v>2.3-8.1</v>
      </c>
      <c r="B2326" s="89" t="str">
        <f>IF(CONCATENATE(I2326,Key!F$2)=CONCATENATE(INDEX(Dashboard!J:J,MATCH(I2326,Dashboard!J:J,0),1),INDEX(Dashboard!J:K,MATCH(I2326,Dashboard!J:J,0),2)),"ON",IF(Dashboard!K$32="ALL","ON","-"))</f>
        <v>-</v>
      </c>
      <c r="C2326" s="88" t="s">
        <v>152</v>
      </c>
      <c r="D2326" s="89">
        <f>IF(C2326="ID",1,(IF(C2326="PR",2,(IF(C2326="DE",3,(IF(C2326="RS",4,(IF(C2326="RC",5,0)))))))))</f>
        <v>2</v>
      </c>
      <c r="E2326" s="89" t="s">
        <v>210</v>
      </c>
      <c r="F2326" s="89">
        <f>IF(E2326="AM",1,(IF(E2326="BE",2,(IF(E2326="GV",3,(IF(E2326="RA",4,(IF(E2326="RM",5,(IF(E2326="AC",1,(IF(E2326="AT",2,(IF(E2326="DS",3,(IF(E2326="IP",4,(IF(E2326="MA",5,(IF(E2326="PT",6,(IF(E2326="AE",1,(IF(E2326="CM",2,(IF(E2326="DP",3,(IF(E2326="AN",1,(IF(E2326="CO",2,(IF(E2326="IM",3,(IF(E2326="MI",4,(IF(E2326="RP",5,(IF(E2326="SC",6,0)))))))))))))))))))))))))))))))))))))))</f>
        <v>3</v>
      </c>
      <c r="G2326" s="52">
        <v>8</v>
      </c>
      <c r="H2326" s="90" t="s">
        <v>115</v>
      </c>
      <c r="I2326" s="94" t="s">
        <v>85</v>
      </c>
      <c r="J2326" s="135" t="s">
        <v>678</v>
      </c>
      <c r="K2326" s="143" t="s">
        <v>4680</v>
      </c>
      <c r="L2326" s="117">
        <f>IF(O2326="","",N2326*O2326*M2326)</f>
        <v>0</v>
      </c>
      <c r="M2326" s="108">
        <v>1</v>
      </c>
      <c r="N2326" s="95">
        <v>1</v>
      </c>
      <c r="O2326" s="109">
        <f>IF(Key!D$1="ON",P2326,IF(SUM(Q2326:DL2326)&lt;1,"",SUM(Q2326:DL2326)/COUNTIF(Q2326:DL2326,"&gt;0")))</f>
        <v>0</v>
      </c>
      <c r="P2326" s="109">
        <f>SUMIFS(Q2326:DK2326,Q$1:DK$1,Dashboard!$K$31)</f>
        <v>0</v>
      </c>
      <c r="U2326" s="95">
        <v>33</v>
      </c>
      <c r="AA2326" s="95">
        <v>25</v>
      </c>
      <c r="AH2326" s="95">
        <v>75</v>
      </c>
    </row>
    <row r="2327" spans="1:34" x14ac:dyDescent="0.3">
      <c r="A2327" s="89" t="str">
        <f>CONCATENATE(D2327,".",F2327,"-",G2327,".",H2327,"")</f>
        <v>2.3-8.1</v>
      </c>
      <c r="B2327" s="89" t="str">
        <f>IF(CONCATENATE(I2327,Key!F$2)=CONCATENATE(INDEX(Dashboard!J:J,MATCH(I2327,Dashboard!J:J,0),1),INDEX(Dashboard!J:K,MATCH(I2327,Dashboard!J:J,0),2)),"ON",IF(Dashboard!K$32="ALL","ON","-"))</f>
        <v>-</v>
      </c>
      <c r="C2327" s="88" t="s">
        <v>152</v>
      </c>
      <c r="D2327" s="89">
        <f>IF(C2327="ID",1,(IF(C2327="PR",2,(IF(C2327="DE",3,(IF(C2327="RS",4,(IF(C2327="RC",5,0)))))))))</f>
        <v>2</v>
      </c>
      <c r="E2327" s="89" t="s">
        <v>210</v>
      </c>
      <c r="F2327" s="89">
        <f>IF(E2327="AM",1,(IF(E2327="BE",2,(IF(E2327="GV",3,(IF(E2327="RA",4,(IF(E2327="RM",5,(IF(E2327="AC",1,(IF(E2327="AT",2,(IF(E2327="DS",3,(IF(E2327="IP",4,(IF(E2327="MA",5,(IF(E2327="PT",6,(IF(E2327="AE",1,(IF(E2327="CM",2,(IF(E2327="DP",3,(IF(E2327="AN",1,(IF(E2327="CO",2,(IF(E2327="IM",3,(IF(E2327="MI",4,(IF(E2327="RP",5,(IF(E2327="SC",6,0)))))))))))))))))))))))))))))))))))))))</f>
        <v>3</v>
      </c>
      <c r="G2327" s="52">
        <v>8</v>
      </c>
      <c r="H2327" s="89">
        <v>1</v>
      </c>
      <c r="I2327" s="94" t="s">
        <v>85</v>
      </c>
      <c r="J2327" s="135" t="s">
        <v>3910</v>
      </c>
      <c r="K2327" s="143" t="s">
        <v>3911</v>
      </c>
      <c r="L2327" s="117">
        <f>IF(O2327="","",N2327*O2327*M2327)</f>
        <v>0</v>
      </c>
      <c r="M2327" s="108">
        <v>1</v>
      </c>
      <c r="N2327" s="95">
        <v>1</v>
      </c>
      <c r="O2327" s="109">
        <f>IF(Key!D$1="ON",P2327,IF(SUM(Q2327:DL2327)&lt;1,"",SUM(Q2327:DL2327)/COUNTIF(Q2327:DL2327,"&gt;0")))</f>
        <v>0</v>
      </c>
      <c r="P2327" s="109">
        <f>SUMIFS(Q2327:DK2327,Q$1:DK$1,Dashboard!$K$31)</f>
        <v>0</v>
      </c>
      <c r="U2327" s="95">
        <v>33</v>
      </c>
      <c r="AA2327" s="95">
        <v>25</v>
      </c>
      <c r="AH2327" s="95">
        <v>75</v>
      </c>
    </row>
    <row r="2328" spans="1:34" ht="15.6" x14ac:dyDescent="0.3">
      <c r="A2328" s="89" t="str">
        <f>CONCATENATE(D2328,".",F2328,"-",G2328,".",H2328,"")</f>
        <v>2.3-8.1</v>
      </c>
      <c r="B2328" s="89" t="str">
        <f>IF(CONCATENATE(I2328,Key!F$2)=CONCATENATE(INDEX(Dashboard!J:J,MATCH(I2328,Dashboard!J:J,0),1),INDEX(Dashboard!J:K,MATCH(I2328,Dashboard!J:J,0),2)),"ON",IF(Dashboard!K$32="ALL","ON","-"))</f>
        <v>-</v>
      </c>
      <c r="C2328" s="88" t="s">
        <v>152</v>
      </c>
      <c r="D2328" s="89">
        <f>IF(C2328="ID",1,(IF(C2328="PR",2,(IF(C2328="DE",3,(IF(C2328="RS",4,(IF(C2328="RC",5,0)))))))))</f>
        <v>2</v>
      </c>
      <c r="E2328" s="89" t="s">
        <v>210</v>
      </c>
      <c r="F2328" s="89">
        <f>IF(E2328="AM",1,(IF(E2328="BE",2,(IF(E2328="GV",3,(IF(E2328="RA",4,(IF(E2328="RM",5,(IF(E2328="AC",1,(IF(E2328="AT",2,(IF(E2328="DS",3,(IF(E2328="IP",4,(IF(E2328="MA",5,(IF(E2328="PT",6,(IF(E2328="AE",1,(IF(E2328="CM",2,(IF(E2328="DP",3,(IF(E2328="AN",1,(IF(E2328="CO",2,(IF(E2328="IM",3,(IF(E2328="MI",4,(IF(E2328="RP",5,(IF(E2328="SC",6,0)))))))))))))))))))))))))))))))))))))))</f>
        <v>3</v>
      </c>
      <c r="G2328" s="52">
        <v>8</v>
      </c>
      <c r="H2328" s="90" t="s">
        <v>115</v>
      </c>
      <c r="I2328" s="94" t="s">
        <v>85</v>
      </c>
      <c r="J2328" s="135" t="s">
        <v>3908</v>
      </c>
      <c r="K2328" s="143" t="s">
        <v>4694</v>
      </c>
      <c r="L2328" s="117">
        <f>IF(O2328="","",N2328*O2328*M2328)</f>
        <v>0</v>
      </c>
      <c r="M2328" s="108">
        <v>1</v>
      </c>
      <c r="N2328" s="95">
        <v>1</v>
      </c>
      <c r="O2328" s="109">
        <f>IF(Key!D$1="ON",P2328,IF(SUM(Q2328:DL2328)&lt;1,"",SUM(Q2328:DL2328)/COUNTIF(Q2328:DL2328,"&gt;0")))</f>
        <v>0</v>
      </c>
      <c r="P2328" s="109">
        <f>SUMIFS(Q2328:DK2328,Q$1:DK$1,Dashboard!$K$31)</f>
        <v>0</v>
      </c>
      <c r="U2328" s="95">
        <v>33</v>
      </c>
      <c r="AA2328" s="95">
        <v>25</v>
      </c>
      <c r="AH2328" s="95">
        <v>75</v>
      </c>
    </row>
    <row r="2329" spans="1:34" x14ac:dyDescent="0.3">
      <c r="A2329" s="89" t="str">
        <f>CONCATENATE(D2329,".",F2329,"-",G2329,".",H2329,"")</f>
        <v>2.4-0.0</v>
      </c>
      <c r="B2329" s="89" t="str">
        <f>IF(CONCATENATE(I2329,Key!F$2)=CONCATENATE(INDEX(Dashboard!J:J,MATCH(I2329,Dashboard!J:J,0),1),INDEX(Dashboard!J:K,MATCH(I2329,Dashboard!J:J,0),2)),"ON",IF(Dashboard!K$32="ALL","ON","-"))</f>
        <v>-</v>
      </c>
      <c r="C2329" s="88" t="s">
        <v>152</v>
      </c>
      <c r="D2329" s="89">
        <f>IF(C2329="ID",1,(IF(C2329="PR",2,(IF(C2329="DE",3,(IF(C2329="RS",4,(IF(C2329="RC",5,0)))))))))</f>
        <v>2</v>
      </c>
      <c r="E2329" s="89" t="s">
        <v>228</v>
      </c>
      <c r="F2329" s="89">
        <f>IF(E2329="AM",1,(IF(E2329="BE",2,(IF(E2329="GV",3,(IF(E2329="RA",4,(IF(E2329="RM",5,(IF(E2329="AC",1,(IF(E2329="AT",2,(IF(E2329="DS",3,(IF(E2329="IP",4,(IF(E2329="MA",5,(IF(E2329="PT",6,(IF(E2329="AE",1,(IF(E2329="CM",2,(IF(E2329="DP",3,(IF(E2329="AN",1,(IF(E2329="CO",2,(IF(E2329="IM",3,(IF(E2329="MI",4,(IF(E2329="RP",5,(IF(E2329="SC",6,0)))))))))))))))))))))))))))))))))))))))</f>
        <v>4</v>
      </c>
      <c r="G2329" s="52">
        <v>0</v>
      </c>
      <c r="H2329" s="90" t="s">
        <v>347</v>
      </c>
      <c r="I2329" s="94" t="s">
        <v>2835</v>
      </c>
      <c r="J2329" s="151" t="s">
        <v>2959</v>
      </c>
      <c r="K2329" s="150" t="s">
        <v>2960</v>
      </c>
      <c r="L2329" s="117">
        <f>IF(O2329="","",N2329*O2329*M2329)</f>
        <v>0</v>
      </c>
      <c r="M2329" s="108">
        <v>1</v>
      </c>
      <c r="N2329" s="95">
        <v>1</v>
      </c>
      <c r="O2329" s="109">
        <f>IF(Key!D$1="ON",P2329,IF(SUM(Q2329:DL2329)&lt;1,"",SUM(Q2329:DL2329)/COUNTIF(Q2329:DL2329,"&gt;0")))</f>
        <v>0</v>
      </c>
      <c r="P2329" s="109">
        <f>SUMIFS(Q2329:DK2329,Q$1:DK$1,Dashboard!$K$31)</f>
        <v>0</v>
      </c>
      <c r="Q2329" s="110">
        <v>83</v>
      </c>
      <c r="U2329" s="95">
        <v>33</v>
      </c>
    </row>
    <row r="2330" spans="1:34" x14ac:dyDescent="0.3">
      <c r="A2330" s="89" t="str">
        <f>CONCATENATE(D2330,".",F2330,"-",G2330,".",H2330,"")</f>
        <v>2.4-0.1</v>
      </c>
      <c r="B2330" s="89" t="str">
        <f>IF(CONCATENATE(I2330,Key!F$2)=CONCATENATE(INDEX(Dashboard!J:J,MATCH(I2330,Dashboard!J:J,0),1),INDEX(Dashboard!J:K,MATCH(I2330,Dashboard!J:J,0),2)),"ON",IF(Dashboard!K$32="ALL","ON","-"))</f>
        <v>-</v>
      </c>
      <c r="C2330" s="88" t="s">
        <v>152</v>
      </c>
      <c r="D2330" s="89">
        <f>IF(C2330="ID",1,(IF(C2330="PR",2,(IF(C2330="DE",3,(IF(C2330="RS",4,(IF(C2330="RC",5,0)))))))))</f>
        <v>2</v>
      </c>
      <c r="E2330" s="89" t="s">
        <v>228</v>
      </c>
      <c r="F2330" s="89">
        <f>IF(E2330="AM",1,(IF(E2330="BE",2,(IF(E2330="GV",3,(IF(E2330="RA",4,(IF(E2330="RM",5,(IF(E2330="AC",1,(IF(E2330="AT",2,(IF(E2330="DS",3,(IF(E2330="IP",4,(IF(E2330="MA",5,(IF(E2330="PT",6,(IF(E2330="AE",1,(IF(E2330="CM",2,(IF(E2330="DP",3,(IF(E2330="AN",1,(IF(E2330="CO",2,(IF(E2330="IM",3,(IF(E2330="MI",4,(IF(E2330="RP",5,(IF(E2330="SC",6,0)))))))))))))))))))))))))))))))))))))))</f>
        <v>4</v>
      </c>
      <c r="G2330" s="52">
        <v>0</v>
      </c>
      <c r="H2330" s="90" t="s">
        <v>115</v>
      </c>
      <c r="I2330" s="94" t="s">
        <v>2835</v>
      </c>
      <c r="J2330" s="151" t="s">
        <v>2959</v>
      </c>
      <c r="K2330" s="150" t="s">
        <v>2961</v>
      </c>
      <c r="L2330" s="117">
        <f>IF(O2330="","",N2330*O2330*M2330)</f>
        <v>0</v>
      </c>
      <c r="M2330" s="108">
        <v>1</v>
      </c>
      <c r="N2330" s="95">
        <v>1</v>
      </c>
      <c r="O2330" s="109">
        <f>IF(Key!D$1="ON",P2330,IF(SUM(Q2330:DL2330)&lt;1,"",SUM(Q2330:DL2330)/COUNTIF(Q2330:DL2330,"&gt;0")))</f>
        <v>0</v>
      </c>
      <c r="P2330" s="109">
        <f>SUMIFS(Q2330:DK2330,Q$1:DK$1,Dashboard!$K$31)</f>
        <v>0</v>
      </c>
      <c r="Q2330" s="110">
        <v>83</v>
      </c>
      <c r="U2330" s="95">
        <v>33</v>
      </c>
      <c r="AA2330" s="95">
        <v>50</v>
      </c>
    </row>
    <row r="2331" spans="1:34" x14ac:dyDescent="0.3">
      <c r="A2331" s="89" t="str">
        <f>CONCATENATE(D2331,".",F2331,"-",G2331,".",H2331,"")</f>
        <v>2.4-1.0</v>
      </c>
      <c r="B2331" s="89" t="str">
        <f>IF(CONCATENATE(I2331,Key!F$2)=CONCATENATE(INDEX(Dashboard!J:J,MATCH(I2331,Dashboard!J:J,0),1),INDEX(Dashboard!J:K,MATCH(I2331,Dashboard!J:J,0),2)),"ON",IF(Dashboard!K$32="ALL","ON","-"))</f>
        <v>-</v>
      </c>
      <c r="C2331" s="88" t="s">
        <v>152</v>
      </c>
      <c r="D2331" s="89">
        <f>IF(C2331="ID",1,(IF(C2331="PR",2,(IF(C2331="DE",3,(IF(C2331="RS",4,(IF(C2331="RC",5,0)))))))))</f>
        <v>2</v>
      </c>
      <c r="E2331" s="89" t="s">
        <v>228</v>
      </c>
      <c r="F2331" s="89">
        <f>IF(E2331="AM",1,(IF(E2331="BE",2,(IF(E2331="GV",3,(IF(E2331="RA",4,(IF(E2331="RM",5,(IF(E2331="AC",1,(IF(E2331="AT",2,(IF(E2331="DS",3,(IF(E2331="IP",4,(IF(E2331="MA",5,(IF(E2331="PT",6,(IF(E2331="AE",1,(IF(E2331="CM",2,(IF(E2331="DP",3,(IF(E2331="AN",1,(IF(E2331="CO",2,(IF(E2331="IM",3,(IF(E2331="MI",4,(IF(E2331="RP",5,(IF(E2331="SC",6,0)))))))))))))))))))))))))))))))))))))))</f>
        <v>4</v>
      </c>
      <c r="G2331" s="52">
        <v>1</v>
      </c>
      <c r="H2331" s="90" t="s">
        <v>347</v>
      </c>
      <c r="I2331" s="94" t="s">
        <v>2835</v>
      </c>
      <c r="J2331" s="53" t="s">
        <v>2962</v>
      </c>
      <c r="K2331" s="150" t="s">
        <v>2963</v>
      </c>
      <c r="L2331" s="117">
        <f>IF(O2331="","",N2331*O2331*M2331)</f>
        <v>0</v>
      </c>
      <c r="M2331" s="108">
        <v>1</v>
      </c>
      <c r="N2331" s="95">
        <v>1</v>
      </c>
      <c r="O2331" s="109">
        <f>IF(Key!D$1="ON",P2331,IF(SUM(Q2331:DL2331)&lt;1,"",SUM(Q2331:DL2331)/COUNTIF(Q2331:DL2331,"&gt;0")))</f>
        <v>0</v>
      </c>
      <c r="P2331" s="109">
        <f>SUMIFS(Q2331:DK2331,Q$1:DK$1,Dashboard!$K$31)</f>
        <v>0</v>
      </c>
      <c r="U2331" s="95">
        <v>33</v>
      </c>
    </row>
    <row r="2332" spans="1:34" ht="15.6" x14ac:dyDescent="0.3">
      <c r="A2332" s="89" t="str">
        <f>CONCATENATE(D2332,".",F2332,"-",G2332,".",H2332,"")</f>
        <v>2.4-1.1</v>
      </c>
      <c r="B2332" s="89" t="str">
        <f>IF(CONCATENATE(I2332,Key!F$2)=CONCATENATE(INDEX(Dashboard!J:J,MATCH(I2332,Dashboard!J:J,0),1),INDEX(Dashboard!J:K,MATCH(I2332,Dashboard!J:J,0),2)),"ON",IF(Dashboard!K$32="ALL","ON","-"))</f>
        <v>ON</v>
      </c>
      <c r="C2332" s="130" t="s">
        <v>152</v>
      </c>
      <c r="D2332" s="89">
        <f>IF(C2332="ID",1,(IF(C2332="PR",2,(IF(C2332="DE",3,(IF(C2332="RS",4,(IF(C2332="RC",5,0)))))))))</f>
        <v>2</v>
      </c>
      <c r="E2332" s="95" t="s">
        <v>228</v>
      </c>
      <c r="F2332" s="89">
        <f>IF(E2332="AM",1,(IF(E2332="BE",2,(IF(E2332="GV",3,(IF(E2332="RA",4,(IF(E2332="RM",5,(IF(E2332="AC",1,(IF(E2332="AT",2,(IF(E2332="DS",3,(IF(E2332="IP",4,(IF(E2332="MA",5,(IF(E2332="PT",6,(IF(E2332="AE",1,(IF(E2332="CM",2,(IF(E2332="DP",3,(IF(E2332="AN",1,(IF(E2332="CO",2,(IF(E2332="IM",3,(IF(E2332="MI",4,(IF(E2332="RP",5,(IF(E2332="SC",6,0)))))))))))))))))))))))))))))))))))))))</f>
        <v>4</v>
      </c>
      <c r="G2332" s="52">
        <v>1</v>
      </c>
      <c r="H2332" s="90" t="s">
        <v>115</v>
      </c>
      <c r="I2332" s="94" t="s">
        <v>4107</v>
      </c>
      <c r="J2332" s="86" t="s">
        <v>3983</v>
      </c>
      <c r="K2332" s="101" t="s">
        <v>4438</v>
      </c>
      <c r="L2332" s="117">
        <f>IF(O2332="","",N2332*O2332*M2332)</f>
        <v>0</v>
      </c>
      <c r="M2332" s="108">
        <v>1</v>
      </c>
      <c r="N2332" s="95">
        <v>1</v>
      </c>
      <c r="O2332" s="109">
        <f>IF(Key!D$1="ON",P2332,IF(SUM(Q2332:DL2332)&lt;1,"",SUM(Q2332:DL2332)/COUNTIF(Q2332:DL2332,"&gt;0")))</f>
        <v>0</v>
      </c>
      <c r="P2332" s="109">
        <f>SUMIFS(Q2332:DK2332,Q$1:DK$1,Dashboard!$K$31)</f>
        <v>0</v>
      </c>
      <c r="U2332" s="95">
        <v>33</v>
      </c>
      <c r="AA2332" s="95">
        <v>25</v>
      </c>
      <c r="AH2332" s="95">
        <v>75</v>
      </c>
    </row>
    <row r="2333" spans="1:34" x14ac:dyDescent="0.3">
      <c r="A2333" s="89" t="str">
        <f>CONCATENATE(D2333,".",F2333,"-",G2333,".",H2333,"")</f>
        <v>2.4-1.1</v>
      </c>
      <c r="B2333" s="89" t="str">
        <f>IF(CONCATENATE(I2333,Key!F$2)=CONCATENATE(INDEX(Dashboard!J:J,MATCH(I2333,Dashboard!J:J,0),1),INDEX(Dashboard!J:K,MATCH(I2333,Dashboard!J:J,0),2)),"ON",IF(Dashboard!K$32="ALL","ON","-"))</f>
        <v>ON</v>
      </c>
      <c r="C2333" s="88" t="s">
        <v>152</v>
      </c>
      <c r="D2333" s="89">
        <f>IF(C2333="ID",1,(IF(C2333="PR",2,(IF(C2333="DE",3,(IF(C2333="RS",4,(IF(C2333="RC",5,0)))))))))</f>
        <v>2</v>
      </c>
      <c r="E2333" s="89" t="s">
        <v>228</v>
      </c>
      <c r="F2333" s="89">
        <f>IF(E2333="AM",1,(IF(E2333="BE",2,(IF(E2333="GV",3,(IF(E2333="RA",4,(IF(E2333="RM",5,(IF(E2333="AC",1,(IF(E2333="AT",2,(IF(E2333="DS",3,(IF(E2333="IP",4,(IF(E2333="MA",5,(IF(E2333="PT",6,(IF(E2333="AE",1,(IF(E2333="CM",2,(IF(E2333="DP",3,(IF(E2333="AN",1,(IF(E2333="CO",2,(IF(E2333="IM",3,(IF(E2333="MI",4,(IF(E2333="RP",5,(IF(E2333="SC",6,0)))))))))))))))))))))))))))))))))))))))</f>
        <v>4</v>
      </c>
      <c r="G2333" s="52">
        <v>1</v>
      </c>
      <c r="H2333" s="90" t="s">
        <v>115</v>
      </c>
      <c r="I2333" s="94" t="s">
        <v>4107</v>
      </c>
      <c r="J2333" s="86" t="s">
        <v>3983</v>
      </c>
      <c r="K2333" s="101" t="s">
        <v>4438</v>
      </c>
      <c r="L2333" s="117">
        <f>IF(O2333="","",N2333*O2333*M2333)</f>
        <v>0</v>
      </c>
      <c r="M2333" s="108">
        <v>1</v>
      </c>
      <c r="N2333" s="95">
        <v>1</v>
      </c>
      <c r="O2333" s="109">
        <f>IF(Key!D$1="ON",P2333,IF(SUM(Q2333:DL2333)&lt;1,"",SUM(Q2333:DL2333)/COUNTIF(Q2333:DL2333,"&gt;0")))</f>
        <v>0</v>
      </c>
      <c r="P2333" s="109">
        <f>SUMIFS(Q2333:DK2333,Q$1:DK$1,Dashboard!$K$31)</f>
        <v>0</v>
      </c>
      <c r="U2333" s="95">
        <v>33</v>
      </c>
      <c r="AA2333" s="95">
        <v>25</v>
      </c>
      <c r="AH2333" s="95">
        <v>75</v>
      </c>
    </row>
    <row r="2334" spans="1:34" x14ac:dyDescent="0.3">
      <c r="A2334" s="89" t="str">
        <f>CONCATENATE(D2334,".",F2334,"-",G2334,".",H2334,"")</f>
        <v>2.4-1.1</v>
      </c>
      <c r="B2334" s="89" t="str">
        <f>IF(CONCATENATE(I2334,Key!F$2)=CONCATENATE(INDEX(Dashboard!J:J,MATCH(I2334,Dashboard!J:J,0),1),INDEX(Dashboard!J:K,MATCH(I2334,Dashboard!J:J,0),2)),"ON",IF(Dashboard!K$32="ALL","ON","-"))</f>
        <v>ON</v>
      </c>
      <c r="C2334" s="130" t="s">
        <v>152</v>
      </c>
      <c r="D2334" s="89">
        <f>IF(C2334="ID",1,(IF(C2334="PR",2,(IF(C2334="DE",3,(IF(C2334="RS",4,(IF(C2334="RC",5,0)))))))))</f>
        <v>2</v>
      </c>
      <c r="E2334" s="95" t="s">
        <v>228</v>
      </c>
      <c r="F2334" s="89">
        <f>IF(E2334="AM",1,(IF(E2334="BE",2,(IF(E2334="GV",3,(IF(E2334="RA",4,(IF(E2334="RM",5,(IF(E2334="AC",1,(IF(E2334="AT",2,(IF(E2334="DS",3,(IF(E2334="IP",4,(IF(E2334="MA",5,(IF(E2334="PT",6,(IF(E2334="AE",1,(IF(E2334="CM",2,(IF(E2334="DP",3,(IF(E2334="AN",1,(IF(E2334="CO",2,(IF(E2334="IM",3,(IF(E2334="MI",4,(IF(E2334="RP",5,(IF(E2334="SC",6,0)))))))))))))))))))))))))))))))))))))))</f>
        <v>4</v>
      </c>
      <c r="G2334" s="52">
        <v>1</v>
      </c>
      <c r="H2334" s="90" t="s">
        <v>115</v>
      </c>
      <c r="I2334" s="94" t="s">
        <v>4107</v>
      </c>
      <c r="J2334" s="86" t="s">
        <v>3984</v>
      </c>
      <c r="K2334" s="101" t="s">
        <v>4372</v>
      </c>
      <c r="L2334" s="117">
        <f>IF(O2334="","",N2334*O2334*M2334)</f>
        <v>0</v>
      </c>
      <c r="M2334" s="108">
        <v>1</v>
      </c>
      <c r="N2334" s="95">
        <v>1</v>
      </c>
      <c r="O2334" s="109">
        <f>IF(Key!D$1="ON",P2334,IF(SUM(Q2334:DL2334)&lt;1,"",SUM(Q2334:DL2334)/COUNTIF(Q2334:DL2334,"&gt;0")))</f>
        <v>0</v>
      </c>
      <c r="P2334" s="109">
        <f>SUMIFS(Q2334:DK2334,Q$1:DK$1,Dashboard!$K$31)</f>
        <v>0</v>
      </c>
      <c r="U2334" s="95">
        <v>33</v>
      </c>
      <c r="AA2334" s="95">
        <v>25</v>
      </c>
      <c r="AH2334" s="95">
        <v>75</v>
      </c>
    </row>
    <row r="2335" spans="1:34" ht="15.6" x14ac:dyDescent="0.3">
      <c r="A2335" s="89" t="str">
        <f>CONCATENATE(D2335,".",F2335,"-",G2335,".",H2335,"")</f>
        <v>2.4-1.1</v>
      </c>
      <c r="B2335" s="89" t="str">
        <f>IF(CONCATENATE(I2335,Key!F$2)=CONCATENATE(INDEX(Dashboard!J:J,MATCH(I2335,Dashboard!J:J,0),1),INDEX(Dashboard!J:K,MATCH(I2335,Dashboard!J:J,0),2)),"ON",IF(Dashboard!K$32="ALL","ON","-"))</f>
        <v>ON</v>
      </c>
      <c r="C2335" s="130" t="s">
        <v>152</v>
      </c>
      <c r="D2335" s="89">
        <f>IF(C2335="ID",1,(IF(C2335="PR",2,(IF(C2335="DE",3,(IF(C2335="RS",4,(IF(C2335="RC",5,0)))))))))</f>
        <v>2</v>
      </c>
      <c r="E2335" s="95" t="s">
        <v>228</v>
      </c>
      <c r="F2335" s="89">
        <f>IF(E2335="AM",1,(IF(E2335="BE",2,(IF(E2335="GV",3,(IF(E2335="RA",4,(IF(E2335="RM",5,(IF(E2335="AC",1,(IF(E2335="AT",2,(IF(E2335="DS",3,(IF(E2335="IP",4,(IF(E2335="MA",5,(IF(E2335="PT",6,(IF(E2335="AE",1,(IF(E2335="CM",2,(IF(E2335="DP",3,(IF(E2335="AN",1,(IF(E2335="CO",2,(IF(E2335="IM",3,(IF(E2335="MI",4,(IF(E2335="RP",5,(IF(E2335="SC",6,0)))))))))))))))))))))))))))))))))))))))</f>
        <v>4</v>
      </c>
      <c r="G2335" s="52">
        <v>1</v>
      </c>
      <c r="H2335" s="90" t="s">
        <v>115</v>
      </c>
      <c r="I2335" s="94" t="s">
        <v>4107</v>
      </c>
      <c r="J2335" s="86" t="s">
        <v>3986</v>
      </c>
      <c r="K2335" s="101" t="s">
        <v>4374</v>
      </c>
      <c r="L2335" s="117">
        <f>IF(O2335="","",N2335*O2335*M2335)</f>
        <v>0</v>
      </c>
      <c r="M2335" s="108">
        <v>1</v>
      </c>
      <c r="N2335" s="95">
        <v>1</v>
      </c>
      <c r="O2335" s="109">
        <f>IF(Key!D$1="ON",P2335,IF(SUM(Q2335:DL2335)&lt;1,"",SUM(Q2335:DL2335)/COUNTIF(Q2335:DL2335,"&gt;0")))</f>
        <v>0</v>
      </c>
      <c r="P2335" s="109">
        <f>SUMIFS(Q2335:DK2335,Q$1:DK$1,Dashboard!$K$31)</f>
        <v>0</v>
      </c>
      <c r="U2335" s="95">
        <v>33</v>
      </c>
      <c r="AA2335" s="95">
        <v>25</v>
      </c>
      <c r="AH2335" s="95">
        <v>75</v>
      </c>
    </row>
    <row r="2336" spans="1:34" x14ac:dyDescent="0.3">
      <c r="A2336" s="89" t="str">
        <f>CONCATENATE(D2336,".",F2336,"-",G2336,".",H2336,"")</f>
        <v>2.4-1.1</v>
      </c>
      <c r="B2336" s="89" t="str">
        <f>IF(CONCATENATE(I2336,Key!F$2)=CONCATENATE(INDEX(Dashboard!J:J,MATCH(I2336,Dashboard!J:J,0),1),INDEX(Dashboard!J:K,MATCH(I2336,Dashboard!J:J,0),2)),"ON",IF(Dashboard!K$32="ALL","ON","-"))</f>
        <v>ON</v>
      </c>
      <c r="C2336" s="88" t="s">
        <v>152</v>
      </c>
      <c r="D2336" s="89">
        <f>IF(C2336="ID",1,(IF(C2336="PR",2,(IF(C2336="DE",3,(IF(C2336="RS",4,(IF(C2336="RC",5,0)))))))))</f>
        <v>2</v>
      </c>
      <c r="E2336" s="89" t="s">
        <v>228</v>
      </c>
      <c r="F2336" s="89">
        <f>IF(E2336="AM",1,(IF(E2336="BE",2,(IF(E2336="GV",3,(IF(E2336="RA",4,(IF(E2336="RM",5,(IF(E2336="AC",1,(IF(E2336="AT",2,(IF(E2336="DS",3,(IF(E2336="IP",4,(IF(E2336="MA",5,(IF(E2336="PT",6,(IF(E2336="AE",1,(IF(E2336="CM",2,(IF(E2336="DP",3,(IF(E2336="AN",1,(IF(E2336="CO",2,(IF(E2336="IM",3,(IF(E2336="MI",4,(IF(E2336="RP",5,(IF(E2336="SC",6,0)))))))))))))))))))))))))))))))))))))))</f>
        <v>4</v>
      </c>
      <c r="G2336" s="52">
        <v>1</v>
      </c>
      <c r="H2336" s="90" t="s">
        <v>115</v>
      </c>
      <c r="I2336" s="94" t="s">
        <v>4107</v>
      </c>
      <c r="J2336" s="86" t="s">
        <v>3986</v>
      </c>
      <c r="K2336" s="101" t="s">
        <v>4374</v>
      </c>
      <c r="L2336" s="117">
        <f>IF(O2336="","",N2336*O2336*M2336)</f>
        <v>0</v>
      </c>
      <c r="M2336" s="108">
        <v>1</v>
      </c>
      <c r="N2336" s="95">
        <v>1</v>
      </c>
      <c r="O2336" s="109">
        <f>IF(Key!D$1="ON",P2336,IF(SUM(Q2336:DL2336)&lt;1,"",SUM(Q2336:DL2336)/COUNTIF(Q2336:DL2336,"&gt;0")))</f>
        <v>0</v>
      </c>
      <c r="P2336" s="109">
        <f>SUMIFS(Q2336:DK2336,Q$1:DK$1,Dashboard!$K$31)</f>
        <v>0</v>
      </c>
      <c r="U2336" s="95">
        <v>33</v>
      </c>
      <c r="AA2336" s="95">
        <v>25</v>
      </c>
      <c r="AH2336" s="95">
        <v>75</v>
      </c>
    </row>
    <row r="2337" spans="1:34" ht="15.6" x14ac:dyDescent="0.3">
      <c r="A2337" s="89" t="str">
        <f>CONCATENATE(D2337,".",F2337,"-",G2337,".",H2337,"")</f>
        <v>2.4-1.1</v>
      </c>
      <c r="B2337" s="89" t="str">
        <f>IF(CONCATENATE(I2337,Key!F$2)=CONCATENATE(INDEX(Dashboard!J:J,MATCH(I2337,Dashboard!J:J,0),1),INDEX(Dashboard!J:K,MATCH(I2337,Dashboard!J:J,0),2)),"ON",IF(Dashboard!K$32="ALL","ON","-"))</f>
        <v>ON</v>
      </c>
      <c r="C2337" s="130" t="s">
        <v>152</v>
      </c>
      <c r="D2337" s="89">
        <f>IF(C2337="ID",1,(IF(C2337="PR",2,(IF(C2337="DE",3,(IF(C2337="RS",4,(IF(C2337="RC",5,0)))))))))</f>
        <v>2</v>
      </c>
      <c r="E2337" s="95" t="s">
        <v>228</v>
      </c>
      <c r="F2337" s="89">
        <f>IF(E2337="AM",1,(IF(E2337="BE",2,(IF(E2337="GV",3,(IF(E2337="RA",4,(IF(E2337="RM",5,(IF(E2337="AC",1,(IF(E2337="AT",2,(IF(E2337="DS",3,(IF(E2337="IP",4,(IF(E2337="MA",5,(IF(E2337="PT",6,(IF(E2337="AE",1,(IF(E2337="CM",2,(IF(E2337="DP",3,(IF(E2337="AN",1,(IF(E2337="CO",2,(IF(E2337="IM",3,(IF(E2337="MI",4,(IF(E2337="RP",5,(IF(E2337="SC",6,0)))))))))))))))))))))))))))))))))))))))</f>
        <v>4</v>
      </c>
      <c r="G2337" s="52">
        <v>1</v>
      </c>
      <c r="H2337" s="90" t="s">
        <v>115</v>
      </c>
      <c r="I2337" s="94" t="s">
        <v>4107</v>
      </c>
      <c r="J2337" s="86" t="s">
        <v>3987</v>
      </c>
      <c r="K2337" s="101" t="s">
        <v>4439</v>
      </c>
      <c r="L2337" s="117">
        <f>IF(O2337="","",N2337*O2337*M2337)</f>
        <v>0</v>
      </c>
      <c r="M2337" s="108">
        <v>1</v>
      </c>
      <c r="N2337" s="95">
        <v>1</v>
      </c>
      <c r="O2337" s="109">
        <f>IF(Key!D$1="ON",P2337,IF(SUM(Q2337:DL2337)&lt;1,"",SUM(Q2337:DL2337)/COUNTIF(Q2337:DL2337,"&gt;0")))</f>
        <v>0</v>
      </c>
      <c r="P2337" s="109">
        <f>SUMIFS(Q2337:DK2337,Q$1:DK$1,Dashboard!$K$31)</f>
        <v>0</v>
      </c>
      <c r="U2337" s="95">
        <v>33</v>
      </c>
      <c r="AA2337" s="95">
        <v>25</v>
      </c>
      <c r="AH2337" s="95">
        <v>75</v>
      </c>
    </row>
    <row r="2338" spans="1:34" ht="15.6" x14ac:dyDescent="0.3">
      <c r="A2338" s="89" t="str">
        <f>CONCATENATE(D2338,".",F2338,"-",G2338,".",H2338,"")</f>
        <v>2.4-1.1</v>
      </c>
      <c r="B2338" s="89" t="str">
        <f>IF(CONCATENATE(I2338,Key!F$2)=CONCATENATE(INDEX(Dashboard!J:J,MATCH(I2338,Dashboard!J:J,0),1),INDEX(Dashboard!J:K,MATCH(I2338,Dashboard!J:J,0),2)),"ON",IF(Dashboard!K$32="ALL","ON","-"))</f>
        <v>ON</v>
      </c>
      <c r="C2338" s="130" t="s">
        <v>152</v>
      </c>
      <c r="D2338" s="89">
        <f>IF(C2338="ID",1,(IF(C2338="PR",2,(IF(C2338="DE",3,(IF(C2338="RS",4,(IF(C2338="RC",5,0)))))))))</f>
        <v>2</v>
      </c>
      <c r="E2338" s="95" t="s">
        <v>228</v>
      </c>
      <c r="F2338" s="89">
        <f>IF(E2338="AM",1,(IF(E2338="BE",2,(IF(E2338="GV",3,(IF(E2338="RA",4,(IF(E2338="RM",5,(IF(E2338="AC",1,(IF(E2338="AT",2,(IF(E2338="DS",3,(IF(E2338="IP",4,(IF(E2338="MA",5,(IF(E2338="PT",6,(IF(E2338="AE",1,(IF(E2338="CM",2,(IF(E2338="DP",3,(IF(E2338="AN",1,(IF(E2338="CO",2,(IF(E2338="IM",3,(IF(E2338="MI",4,(IF(E2338="RP",5,(IF(E2338="SC",6,0)))))))))))))))))))))))))))))))))))))))</f>
        <v>4</v>
      </c>
      <c r="G2338" s="52">
        <v>1</v>
      </c>
      <c r="H2338" s="90" t="s">
        <v>115</v>
      </c>
      <c r="I2338" s="94" t="s">
        <v>4107</v>
      </c>
      <c r="J2338" s="86" t="s">
        <v>3989</v>
      </c>
      <c r="K2338" s="101" t="s">
        <v>4440</v>
      </c>
      <c r="L2338" s="117">
        <f>IF(O2338="","",N2338*O2338*M2338)</f>
        <v>0</v>
      </c>
      <c r="M2338" s="108">
        <v>1</v>
      </c>
      <c r="N2338" s="95">
        <v>1</v>
      </c>
      <c r="O2338" s="109">
        <f>IF(Key!D$1="ON",P2338,IF(SUM(Q2338:DL2338)&lt;1,"",SUM(Q2338:DL2338)/COUNTIF(Q2338:DL2338,"&gt;0")))</f>
        <v>0</v>
      </c>
      <c r="P2338" s="109">
        <f>SUMIFS(Q2338:DK2338,Q$1:DK$1,Dashboard!$K$31)</f>
        <v>0</v>
      </c>
      <c r="U2338" s="95">
        <v>33</v>
      </c>
      <c r="AA2338" s="95">
        <v>25</v>
      </c>
      <c r="AH2338" s="95">
        <v>75</v>
      </c>
    </row>
    <row r="2339" spans="1:34" x14ac:dyDescent="0.3">
      <c r="A2339" s="89" t="str">
        <f>CONCATENATE(D2339,".",F2339,"-",G2339,".",H2339,"")</f>
        <v>2.4-1.1</v>
      </c>
      <c r="B2339" s="89" t="str">
        <f>IF(CONCATENATE(I2339,Key!F$2)=CONCATENATE(INDEX(Dashboard!J:J,MATCH(I2339,Dashboard!J:J,0),1),INDEX(Dashboard!J:K,MATCH(I2339,Dashboard!J:J,0),2)),"ON",IF(Dashboard!K$32="ALL","ON","-"))</f>
        <v>ON</v>
      </c>
      <c r="C2339" s="130" t="s">
        <v>152</v>
      </c>
      <c r="D2339" s="89">
        <f>IF(C2339="ID",1,(IF(C2339="PR",2,(IF(C2339="DE",3,(IF(C2339="RS",4,(IF(C2339="RC",5,0)))))))))</f>
        <v>2</v>
      </c>
      <c r="E2339" s="95" t="s">
        <v>228</v>
      </c>
      <c r="F2339" s="89">
        <f>IF(E2339="AM",1,(IF(E2339="BE",2,(IF(E2339="GV",3,(IF(E2339="RA",4,(IF(E2339="RM",5,(IF(E2339="AC",1,(IF(E2339="AT",2,(IF(E2339="DS",3,(IF(E2339="IP",4,(IF(E2339="MA",5,(IF(E2339="PT",6,(IF(E2339="AE",1,(IF(E2339="CM",2,(IF(E2339="DP",3,(IF(E2339="AN",1,(IF(E2339="CO",2,(IF(E2339="IM",3,(IF(E2339="MI",4,(IF(E2339="RP",5,(IF(E2339="SC",6,0)))))))))))))))))))))))))))))))))))))))</f>
        <v>4</v>
      </c>
      <c r="G2339" s="52">
        <v>1</v>
      </c>
      <c r="H2339" s="90" t="s">
        <v>115</v>
      </c>
      <c r="I2339" s="94" t="s">
        <v>4107</v>
      </c>
      <c r="J2339" s="86" t="s">
        <v>3990</v>
      </c>
      <c r="K2339" s="101" t="s">
        <v>4441</v>
      </c>
      <c r="L2339" s="117">
        <f>IF(O2339="","",N2339*O2339*M2339)</f>
        <v>0</v>
      </c>
      <c r="M2339" s="108">
        <v>1</v>
      </c>
      <c r="N2339" s="95">
        <v>1</v>
      </c>
      <c r="O2339" s="109">
        <f>IF(Key!D$1="ON",P2339,IF(SUM(Q2339:DL2339)&lt;1,"",SUM(Q2339:DL2339)/COUNTIF(Q2339:DL2339,"&gt;0")))</f>
        <v>0</v>
      </c>
      <c r="P2339" s="109">
        <f>SUMIFS(Q2339:DK2339,Q$1:DK$1,Dashboard!$K$31)</f>
        <v>0</v>
      </c>
      <c r="U2339" s="95">
        <v>33</v>
      </c>
      <c r="AA2339" s="95">
        <v>25</v>
      </c>
      <c r="AH2339" s="95">
        <v>75</v>
      </c>
    </row>
    <row r="2340" spans="1:34" x14ac:dyDescent="0.3">
      <c r="A2340" s="89" t="str">
        <f>CONCATENATE(D2340,".",F2340,"-",G2340,".",H2340,"")</f>
        <v>2.4-1.1</v>
      </c>
      <c r="B2340" s="89" t="str">
        <f>IF(CONCATENATE(I2340,Key!F$2)=CONCATENATE(INDEX(Dashboard!J:J,MATCH(I2340,Dashboard!J:J,0),1),INDEX(Dashboard!J:K,MATCH(I2340,Dashboard!J:J,0),2)),"ON",IF(Dashboard!K$32="ALL","ON","-"))</f>
        <v>ON</v>
      </c>
      <c r="C2340" s="88" t="s">
        <v>152</v>
      </c>
      <c r="D2340" s="89">
        <f>IF(C2340="ID",1,(IF(C2340="PR",2,(IF(C2340="DE",3,(IF(C2340="RS",4,(IF(C2340="RC",5,0)))))))))</f>
        <v>2</v>
      </c>
      <c r="E2340" s="89" t="s">
        <v>228</v>
      </c>
      <c r="F2340" s="89">
        <f>IF(E2340="AM",1,(IF(E2340="BE",2,(IF(E2340="GV",3,(IF(E2340="RA",4,(IF(E2340="RM",5,(IF(E2340="AC",1,(IF(E2340="AT",2,(IF(E2340="DS",3,(IF(E2340="IP",4,(IF(E2340="MA",5,(IF(E2340="PT",6,(IF(E2340="AE",1,(IF(E2340="CM",2,(IF(E2340="DP",3,(IF(E2340="AN",1,(IF(E2340="CO",2,(IF(E2340="IM",3,(IF(E2340="MI",4,(IF(E2340="RP",5,(IF(E2340="SC",6,0)))))))))))))))))))))))))))))))))))))))</f>
        <v>4</v>
      </c>
      <c r="G2340" s="52">
        <v>1</v>
      </c>
      <c r="H2340" s="90" t="s">
        <v>115</v>
      </c>
      <c r="I2340" s="94" t="s">
        <v>4107</v>
      </c>
      <c r="J2340" s="86" t="s">
        <v>4066</v>
      </c>
      <c r="K2340" s="101" t="s">
        <v>4470</v>
      </c>
      <c r="L2340" s="117">
        <f>IF(O2340="","",N2340*O2340*M2340)</f>
        <v>0</v>
      </c>
      <c r="M2340" s="108">
        <v>1</v>
      </c>
      <c r="N2340" s="95">
        <v>1</v>
      </c>
      <c r="O2340" s="109">
        <f>IF(Key!D$1="ON",P2340,IF(SUM(Q2340:DL2340)&lt;1,"",SUM(Q2340:DL2340)/COUNTIF(Q2340:DL2340,"&gt;0")))</f>
        <v>0</v>
      </c>
      <c r="P2340" s="109">
        <f>SUMIFS(Q2340:DK2340,Q$1:DK$1,Dashboard!$K$31)</f>
        <v>0</v>
      </c>
      <c r="U2340" s="95">
        <v>33</v>
      </c>
      <c r="AA2340" s="95">
        <v>25</v>
      </c>
      <c r="AH2340" s="95">
        <v>75</v>
      </c>
    </row>
    <row r="2341" spans="1:34" x14ac:dyDescent="0.3">
      <c r="A2341" s="89" t="str">
        <f>CONCATENATE(D2341,".",F2341,"-",G2341,".",H2341,"")</f>
        <v>2.4-1.1</v>
      </c>
      <c r="B2341" s="89" t="str">
        <f>IF(CONCATENATE(I2341,Key!F$2)=CONCATENATE(INDEX(Dashboard!J:J,MATCH(I2341,Dashboard!J:J,0),1),INDEX(Dashboard!J:K,MATCH(I2341,Dashboard!J:J,0),2)),"ON",IF(Dashboard!K$32="ALL","ON","-"))</f>
        <v>-</v>
      </c>
      <c r="C2341" s="88" t="s">
        <v>152</v>
      </c>
      <c r="D2341" s="89">
        <f>IF(C2341="ID",1,(IF(C2341="PR",2,(IF(C2341="DE",3,(IF(C2341="RS",4,(IF(C2341="RC",5,0)))))))))</f>
        <v>2</v>
      </c>
      <c r="E2341" s="89" t="s">
        <v>228</v>
      </c>
      <c r="F2341" s="89">
        <f>IF(E2341="AM",1,(IF(E2341="BE",2,(IF(E2341="GV",3,(IF(E2341="RA",4,(IF(E2341="RM",5,(IF(E2341="AC",1,(IF(E2341="AT",2,(IF(E2341="DS",3,(IF(E2341="IP",4,(IF(E2341="MA",5,(IF(E2341="PT",6,(IF(E2341="AE",1,(IF(E2341="CM",2,(IF(E2341="DP",3,(IF(E2341="AN",1,(IF(E2341="CO",2,(IF(E2341="IM",3,(IF(E2341="MI",4,(IF(E2341="RP",5,(IF(E2341="SC",6,0)))))))))))))))))))))))))))))))))))))))</f>
        <v>4</v>
      </c>
      <c r="G2341" s="52">
        <v>1</v>
      </c>
      <c r="H2341" s="99">
        <v>1</v>
      </c>
      <c r="I2341" s="94" t="s">
        <v>37</v>
      </c>
      <c r="J2341" s="86">
        <v>3.1</v>
      </c>
      <c r="K2341" s="102" t="s">
        <v>3759</v>
      </c>
      <c r="L2341" s="117">
        <f>IF(O2341="","",N2341*O2341*M2341)</f>
        <v>0</v>
      </c>
      <c r="M2341" s="108">
        <v>1</v>
      </c>
      <c r="N2341" s="95">
        <v>1</v>
      </c>
      <c r="O2341" s="109">
        <f>IF(Key!D$1="ON",P2341,IF(SUM(Q2341:DL2341)&lt;1,"",SUM(Q2341:DL2341)/COUNTIF(Q2341:DL2341,"&gt;0")))</f>
        <v>0</v>
      </c>
      <c r="P2341" s="109">
        <f>SUMIFS(Q2341:DK2341,Q$1:DK$1,Dashboard!$K$31)</f>
        <v>0</v>
      </c>
      <c r="U2341" s="95">
        <v>33</v>
      </c>
      <c r="AA2341" s="95">
        <v>25</v>
      </c>
      <c r="AH2341" s="95">
        <v>75</v>
      </c>
    </row>
    <row r="2342" spans="1:34" x14ac:dyDescent="0.3">
      <c r="A2342" s="89" t="str">
        <f>CONCATENATE(D2342,".",F2342,"-",G2342,".",H2342,"")</f>
        <v>2.4-1.1</v>
      </c>
      <c r="B2342" s="89" t="str">
        <f>IF(CONCATENATE(I2342,Key!F$2)=CONCATENATE(INDEX(Dashboard!J:J,MATCH(I2342,Dashboard!J:J,0),1),INDEX(Dashboard!J:K,MATCH(I2342,Dashboard!J:J,0),2)),"ON",IF(Dashboard!K$32="ALL","ON","-"))</f>
        <v>-</v>
      </c>
      <c r="C2342" s="88" t="s">
        <v>152</v>
      </c>
      <c r="D2342" s="89">
        <f>IF(C2342="ID",1,(IF(C2342="PR",2,(IF(C2342="DE",3,(IF(C2342="RS",4,(IF(C2342="RC",5,0)))))))))</f>
        <v>2</v>
      </c>
      <c r="E2342" s="89" t="s">
        <v>228</v>
      </c>
      <c r="F2342" s="89">
        <f>IF(E2342="AM",1,(IF(E2342="BE",2,(IF(E2342="GV",3,(IF(E2342="RA",4,(IF(E2342="RM",5,(IF(E2342="AC",1,(IF(E2342="AT",2,(IF(E2342="DS",3,(IF(E2342="IP",4,(IF(E2342="MA",5,(IF(E2342="PT",6,(IF(E2342="AE",1,(IF(E2342="CM",2,(IF(E2342="DP",3,(IF(E2342="AN",1,(IF(E2342="CO",2,(IF(E2342="IM",3,(IF(E2342="MI",4,(IF(E2342="RP",5,(IF(E2342="SC",6,0)))))))))))))))))))))))))))))))))))))))</f>
        <v>4</v>
      </c>
      <c r="G2342" s="52">
        <v>1</v>
      </c>
      <c r="H2342" s="99">
        <v>1</v>
      </c>
      <c r="I2342" s="94" t="s">
        <v>37</v>
      </c>
      <c r="J2342" s="86">
        <v>7</v>
      </c>
      <c r="K2342" s="102" t="s">
        <v>3760</v>
      </c>
      <c r="L2342" s="117">
        <f>IF(O2342="","",N2342*O2342*M2342)</f>
        <v>0</v>
      </c>
      <c r="M2342" s="108">
        <v>1</v>
      </c>
      <c r="N2342" s="95">
        <v>1</v>
      </c>
      <c r="O2342" s="109">
        <f>IF(Key!D$1="ON",P2342,IF(SUM(Q2342:DL2342)&lt;1,"",SUM(Q2342:DL2342)/COUNTIF(Q2342:DL2342,"&gt;0")))</f>
        <v>0</v>
      </c>
      <c r="P2342" s="109">
        <f>SUMIFS(Q2342:DK2342,Q$1:DK$1,Dashboard!$K$31)</f>
        <v>0</v>
      </c>
      <c r="U2342" s="95">
        <v>33</v>
      </c>
      <c r="AA2342" s="95">
        <v>25</v>
      </c>
      <c r="AH2342" s="95">
        <v>75</v>
      </c>
    </row>
    <row r="2343" spans="1:34" x14ac:dyDescent="0.3">
      <c r="A2343" s="89" t="str">
        <f>CONCATENATE(D2343,".",F2343,"-",G2343,".",H2343,"")</f>
        <v>2.4-1.1</v>
      </c>
      <c r="B2343" s="89" t="str">
        <f>IF(CONCATENATE(I2343,Key!F$2)=CONCATENATE(INDEX(Dashboard!J:J,MATCH(I2343,Dashboard!J:J,0),1),INDEX(Dashboard!J:K,MATCH(I2343,Dashboard!J:J,0),2)),"ON",IF(Dashboard!K$32="ALL","ON","-"))</f>
        <v>-</v>
      </c>
      <c r="C2343" s="88" t="s">
        <v>152</v>
      </c>
      <c r="D2343" s="89">
        <f>IF(C2343="ID",1,(IF(C2343="PR",2,(IF(C2343="DE",3,(IF(C2343="RS",4,(IF(C2343="RC",5,0)))))))))</f>
        <v>2</v>
      </c>
      <c r="E2343" s="89" t="s">
        <v>228</v>
      </c>
      <c r="F2343" s="89">
        <f>IF(E2343="AM",1,(IF(E2343="BE",2,(IF(E2343="GV",3,(IF(E2343="RA",4,(IF(E2343="RM",5,(IF(E2343="AC",1,(IF(E2343="AT",2,(IF(E2343="DS",3,(IF(E2343="IP",4,(IF(E2343="MA",5,(IF(E2343="PT",6,(IF(E2343="AE",1,(IF(E2343="CM",2,(IF(E2343="DP",3,(IF(E2343="AN",1,(IF(E2343="CO",2,(IF(E2343="IM",3,(IF(E2343="MI",4,(IF(E2343="RP",5,(IF(E2343="SC",6,0)))))))))))))))))))))))))))))))))))))))</f>
        <v>4</v>
      </c>
      <c r="G2343" s="52">
        <v>1</v>
      </c>
      <c r="H2343" s="99">
        <v>1</v>
      </c>
      <c r="I2343" s="94" t="s">
        <v>37</v>
      </c>
      <c r="J2343" s="86">
        <v>7.1</v>
      </c>
      <c r="K2343" s="102" t="s">
        <v>3761</v>
      </c>
      <c r="L2343" s="117">
        <f>IF(O2343="","",N2343*O2343*M2343)</f>
        <v>0</v>
      </c>
      <c r="M2343" s="108">
        <v>1</v>
      </c>
      <c r="N2343" s="95">
        <v>1</v>
      </c>
      <c r="O2343" s="109">
        <f>IF(Key!D$1="ON",P2343,IF(SUM(Q2343:DL2343)&lt;1,"",SUM(Q2343:DL2343)/COUNTIF(Q2343:DL2343,"&gt;0")))</f>
        <v>0</v>
      </c>
      <c r="P2343" s="109">
        <f>SUMIFS(Q2343:DK2343,Q$1:DK$1,Dashboard!$K$31)</f>
        <v>0</v>
      </c>
      <c r="U2343" s="95">
        <v>33</v>
      </c>
      <c r="AA2343" s="95">
        <v>25</v>
      </c>
      <c r="AH2343" s="95">
        <v>75</v>
      </c>
    </row>
    <row r="2344" spans="1:34" x14ac:dyDescent="0.3">
      <c r="A2344" s="89" t="str">
        <f>CONCATENATE(D2344,".",F2344,"-",G2344,".",H2344,"")</f>
        <v>2.4-1.1</v>
      </c>
      <c r="B2344" s="89" t="str">
        <f>IF(CONCATENATE(I2344,Key!F$2)=CONCATENATE(INDEX(Dashboard!J:J,MATCH(I2344,Dashboard!J:J,0),1),INDEX(Dashboard!J:K,MATCH(I2344,Dashboard!J:J,0),2)),"ON",IF(Dashboard!K$32="ALL","ON","-"))</f>
        <v>-</v>
      </c>
      <c r="C2344" s="88" t="s">
        <v>152</v>
      </c>
      <c r="D2344" s="89">
        <f>IF(C2344="ID",1,(IF(C2344="PR",2,(IF(C2344="DE",3,(IF(C2344="RS",4,(IF(C2344="RC",5,0)))))))))</f>
        <v>2</v>
      </c>
      <c r="E2344" s="89" t="s">
        <v>228</v>
      </c>
      <c r="F2344" s="89">
        <f>IF(E2344="AM",1,(IF(E2344="BE",2,(IF(E2344="GV",3,(IF(E2344="RA",4,(IF(E2344="RM",5,(IF(E2344="AC",1,(IF(E2344="AT",2,(IF(E2344="DS",3,(IF(E2344="IP",4,(IF(E2344="MA",5,(IF(E2344="PT",6,(IF(E2344="AE",1,(IF(E2344="CM",2,(IF(E2344="DP",3,(IF(E2344="AN",1,(IF(E2344="CO",2,(IF(E2344="IM",3,(IF(E2344="MI",4,(IF(E2344="RP",5,(IF(E2344="SC",6,0)))))))))))))))))))))))))))))))))))))))</f>
        <v>4</v>
      </c>
      <c r="G2344" s="52">
        <v>1</v>
      </c>
      <c r="H2344" s="99">
        <v>1</v>
      </c>
      <c r="I2344" s="94" t="s">
        <v>37</v>
      </c>
      <c r="J2344" s="86">
        <v>10.1</v>
      </c>
      <c r="K2344" s="102" t="s">
        <v>3762</v>
      </c>
      <c r="L2344" s="117">
        <f>IF(O2344="","",N2344*O2344*M2344)</f>
        <v>0</v>
      </c>
      <c r="M2344" s="108">
        <v>1</v>
      </c>
      <c r="N2344" s="95">
        <v>1</v>
      </c>
      <c r="O2344" s="109">
        <f>IF(Key!D$1="ON",P2344,IF(SUM(Q2344:DL2344)&lt;1,"",SUM(Q2344:DL2344)/COUNTIF(Q2344:DL2344,"&gt;0")))</f>
        <v>0</v>
      </c>
      <c r="P2344" s="109">
        <f>SUMIFS(Q2344:DK2344,Q$1:DK$1,Dashboard!$K$31)</f>
        <v>0</v>
      </c>
      <c r="U2344" s="95">
        <v>33</v>
      </c>
      <c r="AA2344" s="95">
        <v>25</v>
      </c>
      <c r="AH2344" s="95">
        <v>75</v>
      </c>
    </row>
    <row r="2345" spans="1:34" ht="15.6" x14ac:dyDescent="0.3">
      <c r="A2345" s="89" t="str">
        <f>CONCATENATE(D2345,".",F2345,"-",G2345,".",H2345,"")</f>
        <v>2.4-1.1</v>
      </c>
      <c r="B2345" s="89" t="str">
        <f>IF(CONCATENATE(I2345,Key!F$2)=CONCATENATE(INDEX(Dashboard!J:J,MATCH(I2345,Dashboard!J:J,0),1),INDEX(Dashboard!J:K,MATCH(I2345,Dashboard!J:J,0),2)),"ON",IF(Dashboard!K$32="ALL","ON","-"))</f>
        <v>-</v>
      </c>
      <c r="C2345" s="88" t="s">
        <v>152</v>
      </c>
      <c r="D2345" s="89">
        <f>IF(C2345="ID",1,(IF(C2345="PR",2,(IF(C2345="DE",3,(IF(C2345="RS",4,(IF(C2345="RC",5,0)))))))))</f>
        <v>2</v>
      </c>
      <c r="E2345" s="89" t="s">
        <v>228</v>
      </c>
      <c r="F2345" s="89">
        <f>IF(E2345="AM",1,(IF(E2345="BE",2,(IF(E2345="GV",3,(IF(E2345="RA",4,(IF(E2345="RM",5,(IF(E2345="AC",1,(IF(E2345="AT",2,(IF(E2345="DS",3,(IF(E2345="IP",4,(IF(E2345="MA",5,(IF(E2345="PT",6,(IF(E2345="AE",1,(IF(E2345="CM",2,(IF(E2345="DP",3,(IF(E2345="AN",1,(IF(E2345="CO",2,(IF(E2345="IM",3,(IF(E2345="MI",4,(IF(E2345="RP",5,(IF(E2345="SC",6,0)))))))))))))))))))))))))))))))))))))))</f>
        <v>4</v>
      </c>
      <c r="G2345" s="52">
        <v>1</v>
      </c>
      <c r="H2345" s="99">
        <v>1</v>
      </c>
      <c r="I2345" s="94" t="s">
        <v>37</v>
      </c>
      <c r="J2345" s="86">
        <v>18.7</v>
      </c>
      <c r="K2345" s="102" t="s">
        <v>3763</v>
      </c>
      <c r="L2345" s="117">
        <f>IF(O2345="","",N2345*O2345*M2345)</f>
        <v>0</v>
      </c>
      <c r="M2345" s="108">
        <v>1</v>
      </c>
      <c r="N2345" s="95">
        <v>1</v>
      </c>
      <c r="O2345" s="109">
        <f>IF(Key!D$1="ON",P2345,IF(SUM(Q2345:DL2345)&lt;1,"",SUM(Q2345:DL2345)/COUNTIF(Q2345:DL2345,"&gt;0")))</f>
        <v>0</v>
      </c>
      <c r="P2345" s="109">
        <f>SUMIFS(Q2345:DK2345,Q$1:DK$1,Dashboard!$K$31)</f>
        <v>0</v>
      </c>
      <c r="U2345" s="95">
        <v>33</v>
      </c>
      <c r="AA2345" s="95">
        <v>25</v>
      </c>
      <c r="AH2345" s="95">
        <v>75</v>
      </c>
    </row>
    <row r="2346" spans="1:34" ht="15.6" x14ac:dyDescent="0.3">
      <c r="A2346" s="89" t="str">
        <f>CONCATENATE(D2346,".",F2346,"-",G2346,".",H2346,"")</f>
        <v>2.4-1.1</v>
      </c>
      <c r="B2346" s="89" t="str">
        <f>IF(CONCATENATE(I2346,Key!F$2)=CONCATENATE(INDEX(Dashboard!J:J,MATCH(I2346,Dashboard!J:J,0),1),INDEX(Dashboard!J:K,MATCH(I2346,Dashboard!J:J,0),2)),"ON",IF(Dashboard!K$32="ALL","ON","-"))</f>
        <v>-</v>
      </c>
      <c r="C2346" s="88" t="s">
        <v>152</v>
      </c>
      <c r="D2346" s="89">
        <f>IF(C2346="ID",1,(IF(C2346="PR",2,(IF(C2346="DE",3,(IF(C2346="RS",4,(IF(C2346="RC",5,0)))))))))</f>
        <v>2</v>
      </c>
      <c r="E2346" s="89" t="s">
        <v>228</v>
      </c>
      <c r="F2346" s="89">
        <f>IF(E2346="AM",1,(IF(E2346="BE",2,(IF(E2346="GV",3,(IF(E2346="RA",4,(IF(E2346="RM",5,(IF(E2346="AC",1,(IF(E2346="AT",2,(IF(E2346="DS",3,(IF(E2346="IP",4,(IF(E2346="MA",5,(IF(E2346="PT",6,(IF(E2346="AE",1,(IF(E2346="CM",2,(IF(E2346="DP",3,(IF(E2346="AN",1,(IF(E2346="CO",2,(IF(E2346="IM",3,(IF(E2346="MI",4,(IF(E2346="RP",5,(IF(E2346="SC",6,0)))))))))))))))))))))))))))))))))))))))</f>
        <v>4</v>
      </c>
      <c r="G2346" s="52">
        <v>1</v>
      </c>
      <c r="H2346" s="99">
        <v>1</v>
      </c>
      <c r="I2346" s="94" t="s">
        <v>41</v>
      </c>
      <c r="J2346" s="86">
        <v>5.0999999999999996</v>
      </c>
      <c r="K2346" s="103" t="s">
        <v>3487</v>
      </c>
      <c r="L2346" s="117">
        <f>IF(O2346="","",N2346*O2346*M2346)</f>
        <v>0</v>
      </c>
      <c r="M2346" s="108">
        <v>1</v>
      </c>
      <c r="N2346" s="95">
        <v>1</v>
      </c>
      <c r="O2346" s="109">
        <f>IF(Key!D$1="ON",P2346,IF(SUM(Q2346:DL2346)&lt;1,"",SUM(Q2346:DL2346)/COUNTIF(Q2346:DL2346,"&gt;0")))</f>
        <v>0</v>
      </c>
      <c r="P2346" s="109">
        <f>SUMIFS(Q2346:DK2346,Q$1:DK$1,Dashboard!$K$31)</f>
        <v>0</v>
      </c>
      <c r="U2346" s="95">
        <v>33</v>
      </c>
    </row>
    <row r="2347" spans="1:34" x14ac:dyDescent="0.3">
      <c r="A2347" s="89" t="str">
        <f>CONCATENATE(D2347,".",F2347,"-",G2347,".",H2347,"")</f>
        <v>2.4-1.1</v>
      </c>
      <c r="B2347" s="89" t="str">
        <f>IF(CONCATENATE(I2347,Key!F$2)=CONCATENATE(INDEX(Dashboard!J:J,MATCH(I2347,Dashboard!J:J,0),1),INDEX(Dashboard!J:K,MATCH(I2347,Dashboard!J:J,0),2)),"ON",IF(Dashboard!K$32="ALL","ON","-"))</f>
        <v>-</v>
      </c>
      <c r="C2347" s="88" t="s">
        <v>152</v>
      </c>
      <c r="D2347" s="89">
        <f>IF(C2347="ID",1,(IF(C2347="PR",2,(IF(C2347="DE",3,(IF(C2347="RS",4,(IF(C2347="RC",5,0)))))))))</f>
        <v>2</v>
      </c>
      <c r="E2347" s="89" t="s">
        <v>228</v>
      </c>
      <c r="F2347" s="89">
        <f>IF(E2347="AM",1,(IF(E2347="BE",2,(IF(E2347="GV",3,(IF(E2347="RA",4,(IF(E2347="RM",5,(IF(E2347="AC",1,(IF(E2347="AT",2,(IF(E2347="DS",3,(IF(E2347="IP",4,(IF(E2347="MA",5,(IF(E2347="PT",6,(IF(E2347="AE",1,(IF(E2347="CM",2,(IF(E2347="DP",3,(IF(E2347="AN",1,(IF(E2347="CO",2,(IF(E2347="IM",3,(IF(E2347="MI",4,(IF(E2347="RP",5,(IF(E2347="SC",6,0)))))))))))))))))))))))))))))))))))))))</f>
        <v>4</v>
      </c>
      <c r="G2347" s="52">
        <v>1</v>
      </c>
      <c r="H2347" s="99">
        <v>1</v>
      </c>
      <c r="I2347" s="94" t="s">
        <v>41</v>
      </c>
      <c r="J2347" s="86">
        <v>7</v>
      </c>
      <c r="K2347" s="103" t="s">
        <v>3501</v>
      </c>
      <c r="L2347" s="117">
        <f>IF(O2347="","",N2347*O2347*M2347)</f>
        <v>0</v>
      </c>
      <c r="M2347" s="108">
        <v>1</v>
      </c>
      <c r="N2347" s="95">
        <v>1</v>
      </c>
      <c r="O2347" s="109">
        <f>IF(Key!D$1="ON",P2347,IF(SUM(Q2347:DL2347)&lt;1,"",SUM(Q2347:DL2347)/COUNTIF(Q2347:DL2347,"&gt;0")))</f>
        <v>0</v>
      </c>
      <c r="P2347" s="109">
        <f>SUMIFS(Q2347:DK2347,Q$1:DK$1,Dashboard!$K$31)</f>
        <v>0</v>
      </c>
      <c r="U2347" s="95">
        <v>33</v>
      </c>
    </row>
    <row r="2348" spans="1:34" x14ac:dyDescent="0.3">
      <c r="A2348" s="89" t="str">
        <f>CONCATENATE(D2348,".",F2348,"-",G2348,".",H2348,"")</f>
        <v>2.4-1.1</v>
      </c>
      <c r="B2348" s="89" t="str">
        <f>IF(CONCATENATE(I2348,Key!F$2)=CONCATENATE(INDEX(Dashboard!J:J,MATCH(I2348,Dashboard!J:J,0),1),INDEX(Dashboard!J:K,MATCH(I2348,Dashboard!J:J,0),2)),"ON",IF(Dashboard!K$32="ALL","ON","-"))</f>
        <v>-</v>
      </c>
      <c r="C2348" s="88" t="s">
        <v>152</v>
      </c>
      <c r="D2348" s="89">
        <f>IF(C2348="ID",1,(IF(C2348="PR",2,(IF(C2348="DE",3,(IF(C2348="RS",4,(IF(C2348="RC",5,0)))))))))</f>
        <v>2</v>
      </c>
      <c r="E2348" s="89" t="s">
        <v>228</v>
      </c>
      <c r="F2348" s="89">
        <f>IF(E2348="AM",1,(IF(E2348="BE",2,(IF(E2348="GV",3,(IF(E2348="RA",4,(IF(E2348="RM",5,(IF(E2348="AC",1,(IF(E2348="AT",2,(IF(E2348="DS",3,(IF(E2348="IP",4,(IF(E2348="MA",5,(IF(E2348="PT",6,(IF(E2348="AE",1,(IF(E2348="CM",2,(IF(E2348="DP",3,(IF(E2348="AN",1,(IF(E2348="CO",2,(IF(E2348="IM",3,(IF(E2348="MI",4,(IF(E2348="RP",5,(IF(E2348="SC",6,0)))))))))))))))))))))))))))))))))))))))</f>
        <v>4</v>
      </c>
      <c r="G2348" s="52">
        <v>1</v>
      </c>
      <c r="H2348" s="99">
        <v>1</v>
      </c>
      <c r="I2348" s="94" t="s">
        <v>41</v>
      </c>
      <c r="J2348" s="86">
        <v>7.1</v>
      </c>
      <c r="K2348" s="103" t="s">
        <v>3502</v>
      </c>
      <c r="L2348" s="117">
        <f>IF(O2348="","",N2348*O2348*M2348)</f>
        <v>0</v>
      </c>
      <c r="M2348" s="108">
        <v>1</v>
      </c>
      <c r="N2348" s="95">
        <v>1</v>
      </c>
      <c r="O2348" s="109">
        <f>IF(Key!D$1="ON",P2348,IF(SUM(Q2348:DL2348)&lt;1,"",SUM(Q2348:DL2348)/COUNTIF(Q2348:DL2348,"&gt;0")))</f>
        <v>0</v>
      </c>
      <c r="P2348" s="109">
        <f>SUMIFS(Q2348:DK2348,Q$1:DK$1,Dashboard!$K$31)</f>
        <v>0</v>
      </c>
      <c r="U2348" s="95">
        <v>33</v>
      </c>
    </row>
    <row r="2349" spans="1:34" x14ac:dyDescent="0.3">
      <c r="A2349" s="89" t="str">
        <f>CONCATENATE(D2349,".",F2349,"-",G2349,".",H2349,"")</f>
        <v>2.4-1.1</v>
      </c>
      <c r="B2349" s="89" t="str">
        <f>IF(CONCATENATE(I2349,Key!F$2)=CONCATENATE(INDEX(Dashboard!J:J,MATCH(I2349,Dashboard!J:J,0),1),INDEX(Dashboard!J:K,MATCH(I2349,Dashboard!J:J,0),2)),"ON",IF(Dashboard!K$32="ALL","ON","-"))</f>
        <v>-</v>
      </c>
      <c r="C2349" s="88" t="s">
        <v>152</v>
      </c>
      <c r="D2349" s="89">
        <f>IF(C2349="ID",1,(IF(C2349="PR",2,(IF(C2349="DE",3,(IF(C2349="RS",4,(IF(C2349="RC",5,0)))))))))</f>
        <v>2</v>
      </c>
      <c r="E2349" s="89" t="s">
        <v>228</v>
      </c>
      <c r="F2349" s="89">
        <f>IF(E2349="AM",1,(IF(E2349="BE",2,(IF(E2349="GV",3,(IF(E2349="RA",4,(IF(E2349="RM",5,(IF(E2349="AC",1,(IF(E2349="AT",2,(IF(E2349="DS",3,(IF(E2349="IP",4,(IF(E2349="MA",5,(IF(E2349="PT",6,(IF(E2349="AE",1,(IF(E2349="CM",2,(IF(E2349="DP",3,(IF(E2349="AN",1,(IF(E2349="CO",2,(IF(E2349="IM",3,(IF(E2349="MI",4,(IF(E2349="RP",5,(IF(E2349="SC",6,0)))))))))))))))))))))))))))))))))))))))</f>
        <v>4</v>
      </c>
      <c r="G2349" s="52">
        <v>1</v>
      </c>
      <c r="H2349" s="99">
        <v>1</v>
      </c>
      <c r="I2349" s="94" t="s">
        <v>41</v>
      </c>
      <c r="J2349" s="86">
        <v>10.1</v>
      </c>
      <c r="K2349" s="103" t="s">
        <v>3527</v>
      </c>
      <c r="L2349" s="117">
        <f>IF(O2349="","",N2349*O2349*M2349)</f>
        <v>0</v>
      </c>
      <c r="M2349" s="108">
        <v>1</v>
      </c>
      <c r="N2349" s="95">
        <v>1</v>
      </c>
      <c r="O2349" s="109">
        <f>IF(Key!D$1="ON",P2349,IF(SUM(Q2349:DL2349)&lt;1,"",SUM(Q2349:DL2349)/COUNTIF(Q2349:DL2349,"&gt;0")))</f>
        <v>0</v>
      </c>
      <c r="P2349" s="109">
        <f>SUMIFS(Q2349:DK2349,Q$1:DK$1,Dashboard!$K$31)</f>
        <v>0</v>
      </c>
      <c r="U2349" s="95">
        <v>33</v>
      </c>
    </row>
    <row r="2350" spans="1:34" x14ac:dyDescent="0.3">
      <c r="A2350" s="89" t="str">
        <f>CONCATENATE(D2350,".",F2350,"-",G2350,".",H2350,"")</f>
        <v>2.4-1.1</v>
      </c>
      <c r="B2350" s="89" t="str">
        <f>IF(CONCATENATE(I2350,Key!F$2)=CONCATENATE(INDEX(Dashboard!J:J,MATCH(I2350,Dashboard!J:J,0),1),INDEX(Dashboard!J:K,MATCH(I2350,Dashboard!J:J,0),2)),"ON",IF(Dashboard!K$32="ALL","ON","-"))</f>
        <v>-</v>
      </c>
      <c r="C2350" s="88" t="s">
        <v>152</v>
      </c>
      <c r="D2350" s="89">
        <f>IF(C2350="ID",1,(IF(C2350="PR",2,(IF(C2350="DE",3,(IF(C2350="RS",4,(IF(C2350="RC",5,0)))))))))</f>
        <v>2</v>
      </c>
      <c r="E2350" s="89" t="s">
        <v>228</v>
      </c>
      <c r="F2350" s="89">
        <f>IF(E2350="AM",1,(IF(E2350="BE",2,(IF(E2350="GV",3,(IF(E2350="RA",4,(IF(E2350="RM",5,(IF(E2350="AC",1,(IF(E2350="AT",2,(IF(E2350="DS",3,(IF(E2350="IP",4,(IF(E2350="MA",5,(IF(E2350="PT",6,(IF(E2350="AE",1,(IF(E2350="CM",2,(IF(E2350="DP",3,(IF(E2350="AN",1,(IF(E2350="CO",2,(IF(E2350="IM",3,(IF(E2350="MI",4,(IF(E2350="RP",5,(IF(E2350="SC",6,0)))))))))))))))))))))))))))))))))))))))</f>
        <v>4</v>
      </c>
      <c r="G2350" s="52">
        <v>1</v>
      </c>
      <c r="H2350" s="99">
        <v>1</v>
      </c>
      <c r="I2350" s="94" t="s">
        <v>41</v>
      </c>
      <c r="J2350" s="86">
        <v>18.11</v>
      </c>
      <c r="K2350" s="103" t="s">
        <v>3598</v>
      </c>
      <c r="L2350" s="117">
        <f>IF(O2350="","",N2350*O2350*M2350)</f>
        <v>0</v>
      </c>
      <c r="M2350" s="108">
        <v>1</v>
      </c>
      <c r="N2350" s="95">
        <v>1</v>
      </c>
      <c r="O2350" s="109">
        <f>IF(Key!D$1="ON",P2350,IF(SUM(Q2350:DL2350)&lt;1,"",SUM(Q2350:DL2350)/COUNTIF(Q2350:DL2350,"&gt;0")))</f>
        <v>0</v>
      </c>
      <c r="P2350" s="109">
        <f>SUMIFS(Q2350:DK2350,Q$1:DK$1,Dashboard!$K$31)</f>
        <v>0</v>
      </c>
      <c r="U2350" s="95">
        <v>33</v>
      </c>
    </row>
    <row r="2351" spans="1:34" ht="15.6" x14ac:dyDescent="0.3">
      <c r="A2351" s="89" t="str">
        <f>CONCATENATE(D2351,".",F2351,"-",G2351,".",H2351,"")</f>
        <v>2.4-1.1</v>
      </c>
      <c r="B2351" s="89" t="str">
        <f>IF(CONCATENATE(I2351,Key!F$2)=CONCATENATE(INDEX(Dashboard!J:J,MATCH(I2351,Dashboard!J:J,0),1),INDEX(Dashboard!J:K,MATCH(I2351,Dashboard!J:J,0),2)),"ON",IF(Dashboard!K$32="ALL","ON","-"))</f>
        <v>-</v>
      </c>
      <c r="C2351" s="96" t="s">
        <v>152</v>
      </c>
      <c r="D2351" s="89">
        <f>IF(C2351="ID",1,(IF(C2351="PR",2,(IF(C2351="DE",3,(IF(C2351="RS",4,(IF(C2351="RC",5,0)))))))))</f>
        <v>2</v>
      </c>
      <c r="E2351" s="89" t="s">
        <v>228</v>
      </c>
      <c r="F2351" s="89">
        <f>IF(E2351="AM",1,(IF(E2351="BE",2,(IF(E2351="GV",3,(IF(E2351="RA",4,(IF(E2351="RM",5,(IF(E2351="AC",1,(IF(E2351="AT",2,(IF(E2351="DS",3,(IF(E2351="IP",4,(IF(E2351="MA",5,(IF(E2351="PT",6,(IF(E2351="AE",1,(IF(E2351="CM",2,(IF(E2351="DP",3,(IF(E2351="AN",1,(IF(E2351="CO",2,(IF(E2351="IM",3,(IF(E2351="MI",4,(IF(E2351="RP",5,(IF(E2351="SC",6,0)))))))))))))))))))))))))))))))))))))))</f>
        <v>4</v>
      </c>
      <c r="G2351" s="98">
        <v>1</v>
      </c>
      <c r="H2351" s="90" t="s">
        <v>115</v>
      </c>
      <c r="I2351" s="94" t="s">
        <v>52</v>
      </c>
      <c r="J2351" s="88" t="s">
        <v>3301</v>
      </c>
      <c r="K2351" s="103" t="s">
        <v>3302</v>
      </c>
      <c r="L2351" s="117">
        <f>IF(O2351="","",N2351*O2351*M2351)</f>
        <v>0</v>
      </c>
      <c r="M2351" s="108">
        <v>1</v>
      </c>
      <c r="N2351" s="95">
        <v>1</v>
      </c>
      <c r="O2351" s="109">
        <f>IF(Key!D$1="ON",P2351,IF(SUM(Q2351:DL2351)&lt;1,"",SUM(Q2351:DL2351)/COUNTIF(Q2351:DL2351,"&gt;0")))</f>
        <v>0</v>
      </c>
      <c r="P2351" s="109">
        <f>SUMIFS(Q2351:DK2351,Q$1:DK$1,Dashboard!$K$31)</f>
        <v>0</v>
      </c>
      <c r="U2351" s="95">
        <v>33</v>
      </c>
      <c r="AA2351" s="95">
        <v>25</v>
      </c>
      <c r="AH2351" s="95">
        <v>75</v>
      </c>
    </row>
    <row r="2352" spans="1:34" x14ac:dyDescent="0.3">
      <c r="A2352" s="89" t="str">
        <f>CONCATENATE(D2352,".",F2352,"-",G2352,".",H2352,"")</f>
        <v>2.4-1.1</v>
      </c>
      <c r="B2352" s="89" t="str">
        <f>IF(CONCATENATE(I2352,Key!F$2)=CONCATENATE(INDEX(Dashboard!J:J,MATCH(I2352,Dashboard!J:J,0),1),INDEX(Dashboard!J:K,MATCH(I2352,Dashboard!J:J,0),2)),"ON",IF(Dashboard!K$32="ALL","ON","-"))</f>
        <v>-</v>
      </c>
      <c r="C2352" s="96" t="s">
        <v>152</v>
      </c>
      <c r="D2352" s="89">
        <f>IF(C2352="ID",1,(IF(C2352="PR",2,(IF(C2352="DE",3,(IF(C2352="RS",4,(IF(C2352="RC",5,0)))))))))</f>
        <v>2</v>
      </c>
      <c r="E2352" s="89" t="s">
        <v>228</v>
      </c>
      <c r="F2352" s="89">
        <f>IF(E2352="AM",1,(IF(E2352="BE",2,(IF(E2352="GV",3,(IF(E2352="RA",4,(IF(E2352="RM",5,(IF(E2352="AC",1,(IF(E2352="AT",2,(IF(E2352="DS",3,(IF(E2352="IP",4,(IF(E2352="MA",5,(IF(E2352="PT",6,(IF(E2352="AE",1,(IF(E2352="CM",2,(IF(E2352="DP",3,(IF(E2352="AN",1,(IF(E2352="CO",2,(IF(E2352="IM",3,(IF(E2352="MI",4,(IF(E2352="RP",5,(IF(E2352="SC",6,0)))))))))))))))))))))))))))))))))))))))</f>
        <v>4</v>
      </c>
      <c r="G2352" s="98">
        <v>1</v>
      </c>
      <c r="H2352" s="90" t="s">
        <v>115</v>
      </c>
      <c r="I2352" s="94" t="s">
        <v>52</v>
      </c>
      <c r="J2352" s="88" t="s">
        <v>3292</v>
      </c>
      <c r="K2352" s="103" t="s">
        <v>3293</v>
      </c>
      <c r="L2352" s="117">
        <f>IF(O2352="","",N2352*O2352*M2352)</f>
        <v>0</v>
      </c>
      <c r="M2352" s="108">
        <v>1</v>
      </c>
      <c r="N2352" s="95">
        <v>1</v>
      </c>
      <c r="O2352" s="109">
        <f>IF(Key!D$1="ON",P2352,IF(SUM(Q2352:DL2352)&lt;1,"",SUM(Q2352:DL2352)/COUNTIF(Q2352:DL2352,"&gt;0")))</f>
        <v>0</v>
      </c>
      <c r="P2352" s="109">
        <f>SUMIFS(Q2352:DK2352,Q$1:DK$1,Dashboard!$K$31)</f>
        <v>0</v>
      </c>
      <c r="U2352" s="95">
        <v>33</v>
      </c>
      <c r="AA2352" s="95">
        <v>25</v>
      </c>
      <c r="AH2352" s="95">
        <v>75</v>
      </c>
    </row>
    <row r="2353" spans="1:34" x14ac:dyDescent="0.3">
      <c r="A2353" s="89" t="str">
        <f>CONCATENATE(D2353,".",F2353,"-",G2353,".",H2353,"")</f>
        <v>2.4-1.1</v>
      </c>
      <c r="B2353" s="89" t="str">
        <f>IF(CONCATENATE(I2353,Key!F$2)=CONCATENATE(INDEX(Dashboard!J:J,MATCH(I2353,Dashboard!J:J,0),1),INDEX(Dashboard!J:K,MATCH(I2353,Dashboard!J:J,0),2)),"ON",IF(Dashboard!K$32="ALL","ON","-"))</f>
        <v>-</v>
      </c>
      <c r="C2353" s="88" t="s">
        <v>152</v>
      </c>
      <c r="D2353" s="89">
        <f>IF(C2353="ID",1,(IF(C2353="PR",2,(IF(C2353="DE",3,(IF(C2353="RS",4,(IF(C2353="RC",5,0)))))))))</f>
        <v>2</v>
      </c>
      <c r="E2353" s="89" t="s">
        <v>228</v>
      </c>
      <c r="F2353" s="89">
        <f>IF(E2353="AM",1,(IF(E2353="BE",2,(IF(E2353="GV",3,(IF(E2353="RA",4,(IF(E2353="RM",5,(IF(E2353="AC",1,(IF(E2353="AT",2,(IF(E2353="DS",3,(IF(E2353="IP",4,(IF(E2353="MA",5,(IF(E2353="PT",6,(IF(E2353="AE",1,(IF(E2353="CM",2,(IF(E2353="DP",3,(IF(E2353="AN",1,(IF(E2353="CO",2,(IF(E2353="IM",3,(IF(E2353="MI",4,(IF(E2353="RP",5,(IF(E2353="SC",6,0)))))))))))))))))))))))))))))))))))))))</f>
        <v>4</v>
      </c>
      <c r="G2353" s="52">
        <v>1</v>
      </c>
      <c r="H2353" s="90" t="s">
        <v>115</v>
      </c>
      <c r="I2353" s="94" t="s">
        <v>60</v>
      </c>
      <c r="J2353" s="87" t="s">
        <v>3178</v>
      </c>
      <c r="K2353" s="51" t="s">
        <v>5291</v>
      </c>
      <c r="L2353" s="117">
        <f>IF(O2353="","",N2353*O2353*M2353)</f>
        <v>0</v>
      </c>
      <c r="M2353" s="108">
        <v>1</v>
      </c>
      <c r="N2353" s="95">
        <v>1</v>
      </c>
      <c r="O2353" s="109">
        <f>IF(Key!D$1="ON",P2353,IF(SUM(Q2353:DL2353)&lt;1,"",SUM(Q2353:DL2353)/COUNTIF(Q2353:DL2353,"&gt;0")))</f>
        <v>0</v>
      </c>
      <c r="P2353" s="109">
        <f>SUMIFS(Q2353:DK2353,Q$1:DK$1,Dashboard!$K$31)</f>
        <v>0</v>
      </c>
      <c r="U2353" s="95">
        <v>33</v>
      </c>
      <c r="AA2353" s="95">
        <v>25</v>
      </c>
      <c r="AH2353" s="95">
        <v>75</v>
      </c>
    </row>
    <row r="2354" spans="1:34" x14ac:dyDescent="0.3">
      <c r="A2354" s="89" t="str">
        <f>CONCATENATE(D2354,".",F2354,"-",G2354,".",H2354,"")</f>
        <v>2.4-1.1</v>
      </c>
      <c r="B2354" s="89" t="str">
        <f>IF(CONCATENATE(I2354,Key!F$2)=CONCATENATE(INDEX(Dashboard!J:J,MATCH(I2354,Dashboard!J:J,0),1),INDEX(Dashboard!J:K,MATCH(I2354,Dashboard!J:J,0),2)),"ON",IF(Dashboard!K$32="ALL","ON","-"))</f>
        <v>-</v>
      </c>
      <c r="C2354" s="88" t="s">
        <v>152</v>
      </c>
      <c r="D2354" s="89">
        <f>IF(C2354="ID",1,(IF(C2354="PR",2,(IF(C2354="DE",3,(IF(C2354="RS",4,(IF(C2354="RC",5,0)))))))))</f>
        <v>2</v>
      </c>
      <c r="E2354" s="89" t="s">
        <v>228</v>
      </c>
      <c r="F2354" s="89">
        <f>IF(E2354="AM",1,(IF(E2354="BE",2,(IF(E2354="GV",3,(IF(E2354="RA",4,(IF(E2354="RM",5,(IF(E2354="AC",1,(IF(E2354="AT",2,(IF(E2354="DS",3,(IF(E2354="IP",4,(IF(E2354="MA",5,(IF(E2354="PT",6,(IF(E2354="AE",1,(IF(E2354="CM",2,(IF(E2354="DP",3,(IF(E2354="AN",1,(IF(E2354="CO",2,(IF(E2354="IM",3,(IF(E2354="MI",4,(IF(E2354="RP",5,(IF(E2354="SC",6,0)))))))))))))))))))))))))))))))))))))))</f>
        <v>4</v>
      </c>
      <c r="G2354" s="52">
        <v>1</v>
      </c>
      <c r="H2354" s="90" t="s">
        <v>115</v>
      </c>
      <c r="I2354" s="94" t="s">
        <v>60</v>
      </c>
      <c r="J2354" s="87" t="s">
        <v>3228</v>
      </c>
      <c r="K2354" s="51" t="s">
        <v>5341</v>
      </c>
      <c r="L2354" s="117">
        <f>IF(O2354="","",N2354*O2354*M2354)</f>
        <v>0</v>
      </c>
      <c r="M2354" s="108">
        <v>1</v>
      </c>
      <c r="N2354" s="95">
        <v>1</v>
      </c>
      <c r="O2354" s="109">
        <f>IF(Key!D$1="ON",P2354,IF(SUM(Q2354:DL2354)&lt;1,"",SUM(Q2354:DL2354)/COUNTIF(Q2354:DL2354,"&gt;0")))</f>
        <v>0</v>
      </c>
      <c r="P2354" s="109">
        <f>SUMIFS(Q2354:DK2354,Q$1:DK$1,Dashboard!$K$31)</f>
        <v>0</v>
      </c>
      <c r="U2354" s="95">
        <v>33</v>
      </c>
      <c r="AA2354" s="95">
        <v>25</v>
      </c>
      <c r="AH2354" s="95">
        <v>75</v>
      </c>
    </row>
    <row r="2355" spans="1:34" x14ac:dyDescent="0.3">
      <c r="A2355" s="89" t="str">
        <f>CONCATENATE(D2355,".",F2355,"-",G2355,".",H2355,"")</f>
        <v>2.4-1.1</v>
      </c>
      <c r="B2355" s="89" t="str">
        <f>IF(CONCATENATE(I2355,Key!F$2)=CONCATENATE(INDEX(Dashboard!J:J,MATCH(I2355,Dashboard!J:J,0),1),INDEX(Dashboard!J:K,MATCH(I2355,Dashboard!J:J,0),2)),"ON",IF(Dashboard!K$32="ALL","ON","-"))</f>
        <v>-</v>
      </c>
      <c r="C2355" s="88" t="s">
        <v>152</v>
      </c>
      <c r="D2355" s="89">
        <f>IF(C2355="ID",1,(IF(C2355="PR",2,(IF(C2355="DE",3,(IF(C2355="RS",4,(IF(C2355="RC",5,0)))))))))</f>
        <v>2</v>
      </c>
      <c r="E2355" s="89" t="s">
        <v>228</v>
      </c>
      <c r="F2355" s="89">
        <f>IF(E2355="AM",1,(IF(E2355="BE",2,(IF(E2355="GV",3,(IF(E2355="RA",4,(IF(E2355="RM",5,(IF(E2355="AC",1,(IF(E2355="AT",2,(IF(E2355="DS",3,(IF(E2355="IP",4,(IF(E2355="MA",5,(IF(E2355="PT",6,(IF(E2355="AE",1,(IF(E2355="CM",2,(IF(E2355="DP",3,(IF(E2355="AN",1,(IF(E2355="CO",2,(IF(E2355="IM",3,(IF(E2355="MI",4,(IF(E2355="RP",5,(IF(E2355="SC",6,0)))))))))))))))))))))))))))))))))))))))</f>
        <v>4</v>
      </c>
      <c r="G2355" s="52">
        <v>1</v>
      </c>
      <c r="H2355" s="90" t="s">
        <v>115</v>
      </c>
      <c r="I2355" s="94" t="s">
        <v>60</v>
      </c>
      <c r="J2355" s="87" t="s">
        <v>3232</v>
      </c>
      <c r="K2355" s="51" t="s">
        <v>5345</v>
      </c>
      <c r="L2355" s="117">
        <f>IF(O2355="","",N2355*O2355*M2355)</f>
        <v>0</v>
      </c>
      <c r="M2355" s="108">
        <v>1</v>
      </c>
      <c r="N2355" s="95">
        <v>1</v>
      </c>
      <c r="O2355" s="109">
        <f>IF(Key!D$1="ON",P2355,IF(SUM(Q2355:DL2355)&lt;1,"",SUM(Q2355:DL2355)/COUNTIF(Q2355:DL2355,"&gt;0")))</f>
        <v>0</v>
      </c>
      <c r="P2355" s="109">
        <f>SUMIFS(Q2355:DK2355,Q$1:DK$1,Dashboard!$K$31)</f>
        <v>0</v>
      </c>
      <c r="U2355" s="95">
        <v>33</v>
      </c>
      <c r="AA2355" s="95">
        <v>25</v>
      </c>
      <c r="AH2355" s="95">
        <v>75</v>
      </c>
    </row>
    <row r="2356" spans="1:34" ht="15.6" x14ac:dyDescent="0.3">
      <c r="A2356" s="89" t="str">
        <f>CONCATENATE(D2356,".",F2356,"-",G2356,".",H2356,"")</f>
        <v>2.4-1.1</v>
      </c>
      <c r="B2356" s="89" t="str">
        <f>IF(CONCATENATE(I2356,Key!F$2)=CONCATENATE(INDEX(Dashboard!J:J,MATCH(I2356,Dashboard!J:J,0),1),INDEX(Dashboard!J:K,MATCH(I2356,Dashboard!J:J,0),2)),"ON",IF(Dashboard!K$32="ALL","ON","-"))</f>
        <v>-</v>
      </c>
      <c r="C2356" s="88" t="s">
        <v>152</v>
      </c>
      <c r="D2356" s="89">
        <f>IF(C2356="ID",1,(IF(C2356="PR",2,(IF(C2356="DE",3,(IF(C2356="RS",4,(IF(C2356="RC",5,0)))))))))</f>
        <v>2</v>
      </c>
      <c r="E2356" s="89" t="s">
        <v>228</v>
      </c>
      <c r="F2356" s="89">
        <f>IF(E2356="AM",1,(IF(E2356="BE",2,(IF(E2356="GV",3,(IF(E2356="RA",4,(IF(E2356="RM",5,(IF(E2356="AC",1,(IF(E2356="AT",2,(IF(E2356="DS",3,(IF(E2356="IP",4,(IF(E2356="MA",5,(IF(E2356="PT",6,(IF(E2356="AE",1,(IF(E2356="CM",2,(IF(E2356="DP",3,(IF(E2356="AN",1,(IF(E2356="CO",2,(IF(E2356="IM",3,(IF(E2356="MI",4,(IF(E2356="RP",5,(IF(E2356="SC",6,0)))))))))))))))))))))))))))))))))))))))</f>
        <v>4</v>
      </c>
      <c r="G2356" s="52">
        <v>1</v>
      </c>
      <c r="H2356" s="90" t="s">
        <v>115</v>
      </c>
      <c r="I2356" s="94" t="s">
        <v>60</v>
      </c>
      <c r="J2356" s="87" t="s">
        <v>3125</v>
      </c>
      <c r="K2356" s="51" t="s">
        <v>5238</v>
      </c>
      <c r="L2356" s="117">
        <f>IF(O2356="","",N2356*O2356*M2356)</f>
        <v>0</v>
      </c>
      <c r="M2356" s="108">
        <v>1</v>
      </c>
      <c r="N2356" s="95">
        <v>1</v>
      </c>
      <c r="O2356" s="109">
        <f>IF(Key!D$1="ON",P2356,IF(SUM(Q2356:DL2356)&lt;1,"",SUM(Q2356:DL2356)/COUNTIF(Q2356:DL2356,"&gt;0")))</f>
        <v>0</v>
      </c>
      <c r="P2356" s="109">
        <f>SUMIFS(Q2356:DK2356,Q$1:DK$1,Dashboard!$K$31)</f>
        <v>0</v>
      </c>
      <c r="U2356" s="95">
        <v>33</v>
      </c>
      <c r="AA2356" s="95">
        <v>25</v>
      </c>
      <c r="AH2356" s="95">
        <v>75</v>
      </c>
    </row>
    <row r="2357" spans="1:34" ht="15.6" x14ac:dyDescent="0.3">
      <c r="A2357" s="89" t="str">
        <f>CONCATENATE(D2357,".",F2357,"-",G2357,".",H2357,"")</f>
        <v>2.4-1.1</v>
      </c>
      <c r="B2357" s="89" t="str">
        <f>IF(CONCATENATE(I2357,Key!F$2)=CONCATENATE(INDEX(Dashboard!J:J,MATCH(I2357,Dashboard!J:J,0),1),INDEX(Dashboard!J:K,MATCH(I2357,Dashboard!J:J,0),2)),"ON",IF(Dashboard!K$32="ALL","ON","-"))</f>
        <v>-</v>
      </c>
      <c r="C2357" s="88" t="s">
        <v>152</v>
      </c>
      <c r="D2357" s="89">
        <f>IF(C2357="ID",1,(IF(C2357="PR",2,(IF(C2357="DE",3,(IF(C2357="RS",4,(IF(C2357="RC",5,0)))))))))</f>
        <v>2</v>
      </c>
      <c r="E2357" s="89" t="s">
        <v>228</v>
      </c>
      <c r="F2357" s="89">
        <f>IF(E2357="AM",1,(IF(E2357="BE",2,(IF(E2357="GV",3,(IF(E2357="RA",4,(IF(E2357="RM",5,(IF(E2357="AC",1,(IF(E2357="AT",2,(IF(E2357="DS",3,(IF(E2357="IP",4,(IF(E2357="MA",5,(IF(E2357="PT",6,(IF(E2357="AE",1,(IF(E2357="CM",2,(IF(E2357="DP",3,(IF(E2357="AN",1,(IF(E2357="CO",2,(IF(E2357="IM",3,(IF(E2357="MI",4,(IF(E2357="RP",5,(IF(E2357="SC",6,0)))))))))))))))))))))))))))))))))))))))</f>
        <v>4</v>
      </c>
      <c r="G2357" s="52">
        <v>1</v>
      </c>
      <c r="H2357" s="89">
        <v>1</v>
      </c>
      <c r="I2357" s="94" t="s">
        <v>60</v>
      </c>
      <c r="J2357" s="88" t="s">
        <v>3233</v>
      </c>
      <c r="K2357" s="51" t="s">
        <v>5346</v>
      </c>
      <c r="L2357" s="117">
        <f>IF(O2357="","",N2357*O2357*M2357)</f>
        <v>0</v>
      </c>
      <c r="M2357" s="108">
        <v>1</v>
      </c>
      <c r="N2357" s="95">
        <v>1</v>
      </c>
      <c r="O2357" s="109">
        <f>IF(Key!D$1="ON",P2357,IF(SUM(Q2357:DL2357)&lt;1,"",SUM(Q2357:DL2357)/COUNTIF(Q2357:DL2357,"&gt;0")))</f>
        <v>0</v>
      </c>
      <c r="P2357" s="109">
        <f>SUMIFS(Q2357:DK2357,Q$1:DK$1,Dashboard!$K$31)</f>
        <v>0</v>
      </c>
      <c r="U2357" s="95">
        <v>33</v>
      </c>
      <c r="AA2357" s="95">
        <v>25</v>
      </c>
      <c r="AH2357" s="95">
        <v>75</v>
      </c>
    </row>
    <row r="2358" spans="1:34" x14ac:dyDescent="0.3">
      <c r="A2358" s="89" t="str">
        <f>CONCATENATE(D2358,".",F2358,"-",G2358,".",H2358,"")</f>
        <v>2.4-1.1</v>
      </c>
      <c r="B2358" s="89" t="str">
        <f>IF(CONCATENATE(I2358,Key!F$2)=CONCATENATE(INDEX(Dashboard!J:J,MATCH(I2358,Dashboard!J:J,0),1),INDEX(Dashboard!J:K,MATCH(I2358,Dashboard!J:J,0),2)),"ON",IF(Dashboard!K$32="ALL","ON","-"))</f>
        <v>-</v>
      </c>
      <c r="C2358" s="88" t="s">
        <v>152</v>
      </c>
      <c r="D2358" s="89">
        <f>IF(C2358="ID",1,(IF(C2358="PR",2,(IF(C2358="DE",3,(IF(C2358="RS",4,(IF(C2358="RC",5,0)))))))))</f>
        <v>2</v>
      </c>
      <c r="E2358" s="89" t="s">
        <v>228</v>
      </c>
      <c r="F2358" s="89">
        <f>IF(E2358="AM",1,(IF(E2358="BE",2,(IF(E2358="GV",3,(IF(E2358="RA",4,(IF(E2358="RM",5,(IF(E2358="AC",1,(IF(E2358="AT",2,(IF(E2358="DS",3,(IF(E2358="IP",4,(IF(E2358="MA",5,(IF(E2358="PT",6,(IF(E2358="AE",1,(IF(E2358="CM",2,(IF(E2358="DP",3,(IF(E2358="AN",1,(IF(E2358="CO",2,(IF(E2358="IM",3,(IF(E2358="MI",4,(IF(E2358="RP",5,(IF(E2358="SC",6,0)))))))))))))))))))))))))))))))))))))))</f>
        <v>4</v>
      </c>
      <c r="G2358" s="52">
        <v>1</v>
      </c>
      <c r="H2358" s="89">
        <v>1</v>
      </c>
      <c r="I2358" s="94" t="s">
        <v>60</v>
      </c>
      <c r="J2358" s="88" t="s">
        <v>3229</v>
      </c>
      <c r="K2358" s="51" t="s">
        <v>5342</v>
      </c>
      <c r="L2358" s="117">
        <f>IF(O2358="","",N2358*O2358*M2358)</f>
        <v>0</v>
      </c>
      <c r="M2358" s="108">
        <v>1</v>
      </c>
      <c r="N2358" s="95">
        <v>1</v>
      </c>
      <c r="O2358" s="109">
        <f>IF(Key!D$1="ON",P2358,IF(SUM(Q2358:DL2358)&lt;1,"",SUM(Q2358:DL2358)/COUNTIF(Q2358:DL2358,"&gt;0")))</f>
        <v>0</v>
      </c>
      <c r="P2358" s="109">
        <f>SUMIFS(Q2358:DK2358,Q$1:DK$1,Dashboard!$K$31)</f>
        <v>0</v>
      </c>
      <c r="U2358" s="95">
        <v>33</v>
      </c>
      <c r="AA2358" s="95">
        <v>25</v>
      </c>
      <c r="AH2358" s="95">
        <v>75</v>
      </c>
    </row>
    <row r="2359" spans="1:34" x14ac:dyDescent="0.3">
      <c r="A2359" s="89" t="str">
        <f>CONCATENATE(D2359,".",F2359,"-",G2359,".",H2359,"")</f>
        <v>2.4-1.1</v>
      </c>
      <c r="B2359" s="89" t="str">
        <f>IF(CONCATENATE(I2359,Key!F$2)=CONCATENATE(INDEX(Dashboard!J:J,MATCH(I2359,Dashboard!J:J,0),1),INDEX(Dashboard!J:K,MATCH(I2359,Dashboard!J:J,0),2)),"ON",IF(Dashboard!K$32="ALL","ON","-"))</f>
        <v>-</v>
      </c>
      <c r="C2359" s="88" t="s">
        <v>152</v>
      </c>
      <c r="D2359" s="89">
        <f>IF(C2359="ID",1,(IF(C2359="PR",2,(IF(C2359="DE",3,(IF(C2359="RS",4,(IF(C2359="RC",5,0)))))))))</f>
        <v>2</v>
      </c>
      <c r="E2359" s="89" t="s">
        <v>228</v>
      </c>
      <c r="F2359" s="89">
        <f>IF(E2359="AM",1,(IF(E2359="BE",2,(IF(E2359="GV",3,(IF(E2359="RA",4,(IF(E2359="RM",5,(IF(E2359="AC",1,(IF(E2359="AT",2,(IF(E2359="DS",3,(IF(E2359="IP",4,(IF(E2359="MA",5,(IF(E2359="PT",6,(IF(E2359="AE",1,(IF(E2359="CM",2,(IF(E2359="DP",3,(IF(E2359="AN",1,(IF(E2359="CO",2,(IF(E2359="IM",3,(IF(E2359="MI",4,(IF(E2359="RP",5,(IF(E2359="SC",6,0)))))))))))))))))))))))))))))))))))))))</f>
        <v>4</v>
      </c>
      <c r="G2359" s="52">
        <v>1</v>
      </c>
      <c r="H2359" s="89">
        <v>1</v>
      </c>
      <c r="I2359" s="94" t="s">
        <v>60</v>
      </c>
      <c r="J2359" s="88" t="s">
        <v>3145</v>
      </c>
      <c r="K2359" s="51" t="s">
        <v>5258</v>
      </c>
      <c r="L2359" s="117">
        <f>IF(O2359="","",N2359*O2359*M2359)</f>
        <v>0</v>
      </c>
      <c r="M2359" s="108">
        <v>1</v>
      </c>
      <c r="N2359" s="95">
        <v>1</v>
      </c>
      <c r="O2359" s="109">
        <f>IF(Key!D$1="ON",P2359,IF(SUM(Q2359:DL2359)&lt;1,"",SUM(Q2359:DL2359)/COUNTIF(Q2359:DL2359,"&gt;0")))</f>
        <v>0</v>
      </c>
      <c r="P2359" s="109">
        <f>SUMIFS(Q2359:DK2359,Q$1:DK$1,Dashboard!$K$31)</f>
        <v>0</v>
      </c>
      <c r="U2359" s="95">
        <v>33</v>
      </c>
      <c r="AA2359" s="95">
        <v>25</v>
      </c>
      <c r="AH2359" s="95">
        <v>75</v>
      </c>
    </row>
    <row r="2360" spans="1:34" x14ac:dyDescent="0.3">
      <c r="A2360" s="89" t="str">
        <f>CONCATENATE(D2360,".",F2360,"-",G2360,".",H2360,"")</f>
        <v>2.4-1.1</v>
      </c>
      <c r="B2360" s="89" t="str">
        <f>IF(CONCATENATE(I2360,Key!F$2)=CONCATENATE(INDEX(Dashboard!J:J,MATCH(I2360,Dashboard!J:J,0),1),INDEX(Dashboard!J:K,MATCH(I2360,Dashboard!J:J,0),2)),"ON",IF(Dashboard!K$32="ALL","ON","-"))</f>
        <v>-</v>
      </c>
      <c r="C2360" s="88" t="s">
        <v>152</v>
      </c>
      <c r="D2360" s="89">
        <f>IF(C2360="ID",1,(IF(C2360="PR",2,(IF(C2360="DE",3,(IF(C2360="RS",4,(IF(C2360="RC",5,0)))))))))</f>
        <v>2</v>
      </c>
      <c r="E2360" s="89" t="s">
        <v>228</v>
      </c>
      <c r="F2360" s="89">
        <f>IF(E2360="AM",1,(IF(E2360="BE",2,(IF(E2360="GV",3,(IF(E2360="RA",4,(IF(E2360="RM",5,(IF(E2360="AC",1,(IF(E2360="AT",2,(IF(E2360="DS",3,(IF(E2360="IP",4,(IF(E2360="MA",5,(IF(E2360="PT",6,(IF(E2360="AE",1,(IF(E2360="CM",2,(IF(E2360="DP",3,(IF(E2360="AN",1,(IF(E2360="CO",2,(IF(E2360="IM",3,(IF(E2360="MI",4,(IF(E2360="RP",5,(IF(E2360="SC",6,0)))))))))))))))))))))))))))))))))))))))</f>
        <v>4</v>
      </c>
      <c r="G2360" s="52">
        <v>1</v>
      </c>
      <c r="H2360" s="90" t="s">
        <v>115</v>
      </c>
      <c r="I2360" s="94" t="s">
        <v>73</v>
      </c>
      <c r="J2360" s="86" t="s">
        <v>211</v>
      </c>
      <c r="K2360" s="101" t="s">
        <v>5178</v>
      </c>
      <c r="L2360" s="117">
        <f>IF(O2360="","",N2360*O2360*M2360)</f>
        <v>0</v>
      </c>
      <c r="M2360" s="108">
        <v>1</v>
      </c>
      <c r="N2360" s="95">
        <v>1</v>
      </c>
      <c r="O2360" s="109">
        <f>IF(Key!D$1="ON",P2360,IF(SUM(Q2360:DL2360)&lt;1,"",SUM(Q2360:DL2360)/COUNTIF(Q2360:DL2360,"&gt;0")))</f>
        <v>0</v>
      </c>
      <c r="P2360" s="109">
        <f>SUMIFS(Q2360:DK2360,Q$1:DK$1,Dashboard!$K$31)</f>
        <v>0</v>
      </c>
      <c r="U2360" s="95">
        <v>33</v>
      </c>
      <c r="AA2360" s="95">
        <v>25</v>
      </c>
      <c r="AH2360" s="95">
        <v>75</v>
      </c>
    </row>
    <row r="2361" spans="1:34" ht="15.6" x14ac:dyDescent="0.3">
      <c r="A2361" s="89" t="str">
        <f>CONCATENATE(D2361,".",F2361,"-",G2361,".",H2361,"")</f>
        <v>2.4-1.1</v>
      </c>
      <c r="B2361" s="89" t="str">
        <f>IF(CONCATENATE(I2361,Key!F$2)=CONCATENATE(INDEX(Dashboard!J:J,MATCH(I2361,Dashboard!J:J,0),1),INDEX(Dashboard!J:K,MATCH(I2361,Dashboard!J:J,0),2)),"ON",IF(Dashboard!K$32="ALL","ON","-"))</f>
        <v>-</v>
      </c>
      <c r="C2361" s="88" t="s">
        <v>152</v>
      </c>
      <c r="D2361" s="89">
        <f>IF(C2361="ID",1,(IF(C2361="PR",2,(IF(C2361="DE",3,(IF(C2361="RS",4,(IF(C2361="RC",5,0)))))))))</f>
        <v>2</v>
      </c>
      <c r="E2361" s="89" t="s">
        <v>228</v>
      </c>
      <c r="F2361" s="89">
        <f>IF(E2361="AM",1,(IF(E2361="BE",2,(IF(E2361="GV",3,(IF(E2361="RA",4,(IF(E2361="RM",5,(IF(E2361="AC",1,(IF(E2361="AT",2,(IF(E2361="DS",3,(IF(E2361="IP",4,(IF(E2361="MA",5,(IF(E2361="PT",6,(IF(E2361="AE",1,(IF(E2361="CM",2,(IF(E2361="DP",3,(IF(E2361="AN",1,(IF(E2361="CO",2,(IF(E2361="IM",3,(IF(E2361="MI",4,(IF(E2361="RP",5,(IF(E2361="SC",6,0)))))))))))))))))))))))))))))))))))))))</f>
        <v>4</v>
      </c>
      <c r="G2361" s="98">
        <v>1</v>
      </c>
      <c r="H2361" s="99">
        <v>1</v>
      </c>
      <c r="I2361" s="94" t="s">
        <v>73</v>
      </c>
      <c r="J2361" s="86" t="s">
        <v>4156</v>
      </c>
      <c r="K2361" s="107" t="s">
        <v>4283</v>
      </c>
      <c r="L2361" s="117">
        <f>IF(O2361="","",N2361*O2361*M2361)</f>
        <v>0</v>
      </c>
      <c r="M2361" s="108">
        <v>1</v>
      </c>
      <c r="N2361" s="95">
        <v>1</v>
      </c>
      <c r="O2361" s="109">
        <f>IF(Key!D$1="ON",P2361,IF(SUM(Q2361:DL2361)&lt;1,"",SUM(Q2361:DL2361)/COUNTIF(Q2361:DL2361,"&gt;0")))</f>
        <v>0</v>
      </c>
      <c r="P2361" s="109">
        <f>SUMIFS(Q2361:DK2361,Q$1:DK$1,Dashboard!$K$31)</f>
        <v>0</v>
      </c>
      <c r="U2361" s="95">
        <v>33</v>
      </c>
      <c r="AA2361" s="95">
        <v>25</v>
      </c>
      <c r="AH2361" s="95">
        <v>75</v>
      </c>
    </row>
    <row r="2362" spans="1:34" ht="15.6" x14ac:dyDescent="0.3">
      <c r="A2362" s="89" t="str">
        <f>CONCATENATE(D2362,".",F2362,"-",G2362,".",H2362,"")</f>
        <v>2.4-1.1</v>
      </c>
      <c r="B2362" s="89" t="str">
        <f>IF(CONCATENATE(I2362,Key!F$2)=CONCATENATE(INDEX(Dashboard!J:J,MATCH(I2362,Dashboard!J:J,0),1),INDEX(Dashboard!J:K,MATCH(I2362,Dashboard!J:J,0),2)),"ON",IF(Dashboard!K$32="ALL","ON","-"))</f>
        <v>-</v>
      </c>
      <c r="C2362" s="88" t="s">
        <v>152</v>
      </c>
      <c r="D2362" s="89">
        <f>IF(C2362="ID",1,(IF(C2362="PR",2,(IF(C2362="DE",3,(IF(C2362="RS",4,(IF(C2362="RC",5,0)))))))))</f>
        <v>2</v>
      </c>
      <c r="E2362" s="89" t="s">
        <v>228</v>
      </c>
      <c r="F2362" s="89">
        <f>IF(E2362="AM",1,(IF(E2362="BE",2,(IF(E2362="GV",3,(IF(E2362="RA",4,(IF(E2362="RM",5,(IF(E2362="AC",1,(IF(E2362="AT",2,(IF(E2362="DS",3,(IF(E2362="IP",4,(IF(E2362="MA",5,(IF(E2362="PT",6,(IF(E2362="AE",1,(IF(E2362="CM",2,(IF(E2362="DP",3,(IF(E2362="AN",1,(IF(E2362="CO",2,(IF(E2362="IM",3,(IF(E2362="MI",4,(IF(E2362="RP",5,(IF(E2362="SC",6,0)))))))))))))))))))))))))))))))))))))))</f>
        <v>4</v>
      </c>
      <c r="G2362" s="98">
        <v>1</v>
      </c>
      <c r="H2362" s="99">
        <v>1</v>
      </c>
      <c r="I2362" s="94" t="s">
        <v>73</v>
      </c>
      <c r="J2362" s="86" t="s">
        <v>4161</v>
      </c>
      <c r="K2362" s="107" t="s">
        <v>4287</v>
      </c>
      <c r="L2362" s="117">
        <f>IF(O2362="","",N2362*O2362*M2362)</f>
        <v>0</v>
      </c>
      <c r="M2362" s="108">
        <v>1</v>
      </c>
      <c r="N2362" s="95">
        <v>1</v>
      </c>
      <c r="O2362" s="109">
        <f>IF(Key!D$1="ON",P2362,IF(SUM(Q2362:DL2362)&lt;1,"",SUM(Q2362:DL2362)/COUNTIF(Q2362:DL2362,"&gt;0")))</f>
        <v>0</v>
      </c>
      <c r="P2362" s="109">
        <f>SUMIFS(Q2362:DK2362,Q$1:DK$1,Dashboard!$K$31)</f>
        <v>0</v>
      </c>
      <c r="U2362" s="95">
        <v>33</v>
      </c>
      <c r="AA2362" s="95">
        <v>25</v>
      </c>
      <c r="AH2362" s="95">
        <v>75</v>
      </c>
    </row>
    <row r="2363" spans="1:34" ht="15.6" x14ac:dyDescent="0.3">
      <c r="A2363" s="89" t="str">
        <f>CONCATENATE(D2363,".",F2363,"-",G2363,".",H2363,"")</f>
        <v>2.4-1.1</v>
      </c>
      <c r="B2363" s="89" t="str">
        <f>IF(CONCATENATE(I2363,Key!F$2)=CONCATENATE(INDEX(Dashboard!J:J,MATCH(I2363,Dashboard!J:J,0),1),INDEX(Dashboard!J:K,MATCH(I2363,Dashboard!J:J,0),2)),"ON",IF(Dashboard!K$32="ALL","ON","-"))</f>
        <v>-</v>
      </c>
      <c r="C2363" s="88" t="s">
        <v>152</v>
      </c>
      <c r="D2363" s="89">
        <f>IF(C2363="ID",1,(IF(C2363="PR",2,(IF(C2363="DE",3,(IF(C2363="RS",4,(IF(C2363="RC",5,0)))))))))</f>
        <v>2</v>
      </c>
      <c r="E2363" s="89" t="s">
        <v>228</v>
      </c>
      <c r="F2363" s="89">
        <f>IF(E2363="AM",1,(IF(E2363="BE",2,(IF(E2363="GV",3,(IF(E2363="RA",4,(IF(E2363="RM",5,(IF(E2363="AC",1,(IF(E2363="AT",2,(IF(E2363="DS",3,(IF(E2363="IP",4,(IF(E2363="MA",5,(IF(E2363="PT",6,(IF(E2363="AE",1,(IF(E2363="CM",2,(IF(E2363="DP",3,(IF(E2363="AN",1,(IF(E2363="CO",2,(IF(E2363="IM",3,(IF(E2363="MI",4,(IF(E2363="RP",5,(IF(E2363="SC",6,0)))))))))))))))))))))))))))))))))))))))</f>
        <v>4</v>
      </c>
      <c r="G2363" s="98">
        <v>1</v>
      </c>
      <c r="H2363" s="99">
        <v>1</v>
      </c>
      <c r="I2363" s="94" t="s">
        <v>73</v>
      </c>
      <c r="J2363" s="86" t="s">
        <v>4162</v>
      </c>
      <c r="K2363" s="107" t="s">
        <v>4288</v>
      </c>
      <c r="L2363" s="117">
        <f>IF(O2363="","",N2363*O2363*M2363)</f>
        <v>0</v>
      </c>
      <c r="M2363" s="108">
        <v>1</v>
      </c>
      <c r="N2363" s="95">
        <v>1</v>
      </c>
      <c r="O2363" s="109">
        <f>IF(Key!D$1="ON",P2363,IF(SUM(Q2363:DL2363)&lt;1,"",SUM(Q2363:DL2363)/COUNTIF(Q2363:DL2363,"&gt;0")))</f>
        <v>0</v>
      </c>
      <c r="P2363" s="109">
        <f>SUMIFS(Q2363:DK2363,Q$1:DK$1,Dashboard!$K$31)</f>
        <v>0</v>
      </c>
      <c r="U2363" s="95">
        <v>33</v>
      </c>
      <c r="AA2363" s="95">
        <v>25</v>
      </c>
      <c r="AH2363" s="95">
        <v>75</v>
      </c>
    </row>
    <row r="2364" spans="1:34" x14ac:dyDescent="0.3">
      <c r="A2364" s="89" t="str">
        <f>CONCATENATE(D2364,".",F2364,"-",G2364,".",H2364,"")</f>
        <v>2.4-1.1</v>
      </c>
      <c r="B2364" s="89" t="str">
        <f>IF(CONCATENATE(I2364,Key!F$2)=CONCATENATE(INDEX(Dashboard!J:J,MATCH(I2364,Dashboard!J:J,0),1),INDEX(Dashboard!J:K,MATCH(I2364,Dashboard!J:J,0),2)),"ON",IF(Dashboard!K$32="ALL","ON","-"))</f>
        <v>-</v>
      </c>
      <c r="C2364" s="88" t="s">
        <v>152</v>
      </c>
      <c r="D2364" s="89">
        <f>IF(C2364="ID",1,(IF(C2364="PR",2,(IF(C2364="DE",3,(IF(C2364="RS",4,(IF(C2364="RC",5,0)))))))))</f>
        <v>2</v>
      </c>
      <c r="E2364" s="89" t="s">
        <v>228</v>
      </c>
      <c r="F2364" s="89">
        <f>IF(E2364="AM",1,(IF(E2364="BE",2,(IF(E2364="GV",3,(IF(E2364="RA",4,(IF(E2364="RM",5,(IF(E2364="AC",1,(IF(E2364="AT",2,(IF(E2364="DS",3,(IF(E2364="IP",4,(IF(E2364="MA",5,(IF(E2364="PT",6,(IF(E2364="AE",1,(IF(E2364="CM",2,(IF(E2364="DP",3,(IF(E2364="AN",1,(IF(E2364="CO",2,(IF(E2364="IM",3,(IF(E2364="MI",4,(IF(E2364="RP",5,(IF(E2364="SC",6,0)))))))))))))))))))))))))))))))))))))))</f>
        <v>4</v>
      </c>
      <c r="G2364" s="98">
        <v>1</v>
      </c>
      <c r="H2364" s="99">
        <v>1</v>
      </c>
      <c r="I2364" s="94" t="s">
        <v>73</v>
      </c>
      <c r="J2364" s="86" t="s">
        <v>4163</v>
      </c>
      <c r="K2364" s="107" t="s">
        <v>4289</v>
      </c>
      <c r="L2364" s="117">
        <f>IF(O2364="","",N2364*O2364*M2364)</f>
        <v>0</v>
      </c>
      <c r="M2364" s="108">
        <v>1</v>
      </c>
      <c r="N2364" s="95">
        <v>1</v>
      </c>
      <c r="O2364" s="109">
        <f>IF(Key!D$1="ON",P2364,IF(SUM(Q2364:DL2364)&lt;1,"",SUM(Q2364:DL2364)/COUNTIF(Q2364:DL2364,"&gt;0")))</f>
        <v>0</v>
      </c>
      <c r="P2364" s="109">
        <f>SUMIFS(Q2364:DK2364,Q$1:DK$1,Dashboard!$K$31)</f>
        <v>0</v>
      </c>
      <c r="U2364" s="95">
        <v>33</v>
      </c>
      <c r="AA2364" s="95">
        <v>25</v>
      </c>
      <c r="AH2364" s="95">
        <v>75</v>
      </c>
    </row>
    <row r="2365" spans="1:34" ht="15.6" x14ac:dyDescent="0.3">
      <c r="A2365" s="89" t="str">
        <f>CONCATENATE(D2365,".",F2365,"-",G2365,".",H2365,"")</f>
        <v>2.4-1.1</v>
      </c>
      <c r="B2365" s="89" t="str">
        <f>IF(CONCATENATE(I2365,Key!F$2)=CONCATENATE(INDEX(Dashboard!J:J,MATCH(I2365,Dashboard!J:J,0),1),INDEX(Dashboard!J:K,MATCH(I2365,Dashboard!J:J,0),2)),"ON",IF(Dashboard!K$32="ALL","ON","-"))</f>
        <v>-</v>
      </c>
      <c r="C2365" s="88" t="s">
        <v>152</v>
      </c>
      <c r="D2365" s="89">
        <f>IF(C2365="ID",1,(IF(C2365="PR",2,(IF(C2365="DE",3,(IF(C2365="RS",4,(IF(C2365="RC",5,0)))))))))</f>
        <v>2</v>
      </c>
      <c r="E2365" s="89" t="s">
        <v>228</v>
      </c>
      <c r="F2365" s="89">
        <f>IF(E2365="AM",1,(IF(E2365="BE",2,(IF(E2365="GV",3,(IF(E2365="RA",4,(IF(E2365="RM",5,(IF(E2365="AC",1,(IF(E2365="AT",2,(IF(E2365="DS",3,(IF(E2365="IP",4,(IF(E2365="MA",5,(IF(E2365="PT",6,(IF(E2365="AE",1,(IF(E2365="CM",2,(IF(E2365="DP",3,(IF(E2365="AN",1,(IF(E2365="CO",2,(IF(E2365="IM",3,(IF(E2365="MI",4,(IF(E2365="RP",5,(IF(E2365="SC",6,0)))))))))))))))))))))))))))))))))))))))</f>
        <v>4</v>
      </c>
      <c r="G2365" s="52">
        <v>1</v>
      </c>
      <c r="H2365" s="90" t="s">
        <v>115</v>
      </c>
      <c r="I2365" s="94" t="s">
        <v>77</v>
      </c>
      <c r="J2365" s="87" t="s">
        <v>1474</v>
      </c>
      <c r="K2365" s="102" t="s">
        <v>2452</v>
      </c>
      <c r="L2365" s="117">
        <f>IF(O2365="","",N2365*O2365*M2365)</f>
        <v>0</v>
      </c>
      <c r="M2365" s="108">
        <v>1</v>
      </c>
      <c r="N2365" s="95">
        <v>1</v>
      </c>
      <c r="O2365" s="109">
        <f>IF(Key!D$1="ON",P2365,IF(SUM(Q2365:DL2365)&lt;1,"",SUM(Q2365:DL2365)/COUNTIF(Q2365:DL2365,"&gt;0")))</f>
        <v>0</v>
      </c>
      <c r="P2365" s="109">
        <f>SUMIFS(Q2365:DK2365,Q$1:DK$1,Dashboard!$K$31)</f>
        <v>0</v>
      </c>
      <c r="U2365" s="95">
        <v>33</v>
      </c>
      <c r="AA2365" s="95">
        <v>25</v>
      </c>
      <c r="AH2365" s="95">
        <v>75</v>
      </c>
    </row>
    <row r="2366" spans="1:34" x14ac:dyDescent="0.3">
      <c r="A2366" s="89" t="str">
        <f>CONCATENATE(D2366,".",F2366,"-",G2366,".",H2366,"")</f>
        <v>2.4-1.1</v>
      </c>
      <c r="B2366" s="89" t="str">
        <f>IF(CONCATENATE(I2366,Key!F$2)=CONCATENATE(INDEX(Dashboard!J:J,MATCH(I2366,Dashboard!J:J,0),1),INDEX(Dashboard!J:K,MATCH(I2366,Dashboard!J:J,0),2)),"ON",IF(Dashboard!K$32="ALL","ON","-"))</f>
        <v>-</v>
      </c>
      <c r="C2366" s="96" t="s">
        <v>152</v>
      </c>
      <c r="D2366" s="89">
        <f>IF(C2366="ID",1,(IF(C2366="PR",2,(IF(C2366="DE",3,(IF(C2366="RS",4,(IF(C2366="RC",5,0)))))))))</f>
        <v>2</v>
      </c>
      <c r="E2366" s="89" t="s">
        <v>228</v>
      </c>
      <c r="F2366" s="89">
        <f>IF(E2366="AM",1,(IF(E2366="BE",2,(IF(E2366="GV",3,(IF(E2366="RA",4,(IF(E2366="RM",5,(IF(E2366="AC",1,(IF(E2366="AT",2,(IF(E2366="DS",3,(IF(E2366="IP",4,(IF(E2366="MA",5,(IF(E2366="PT",6,(IF(E2366="AE",1,(IF(E2366="CM",2,(IF(E2366="DP",3,(IF(E2366="AN",1,(IF(E2366="CO",2,(IF(E2366="IM",3,(IF(E2366="MI",4,(IF(E2366="RP",5,(IF(E2366="SC",6,0)))))))))))))))))))))))))))))))))))))))</f>
        <v>4</v>
      </c>
      <c r="G2366" s="98">
        <v>1</v>
      </c>
      <c r="H2366" s="90" t="s">
        <v>115</v>
      </c>
      <c r="I2366" s="94" t="s">
        <v>77</v>
      </c>
      <c r="J2366" s="87" t="s">
        <v>1475</v>
      </c>
      <c r="K2366" s="102" t="s">
        <v>2453</v>
      </c>
      <c r="L2366" s="117">
        <f>IF(O2366="","",N2366*O2366*M2366)</f>
        <v>0</v>
      </c>
      <c r="M2366" s="108">
        <v>1</v>
      </c>
      <c r="N2366" s="95">
        <v>1</v>
      </c>
      <c r="O2366" s="109">
        <f>IF(Key!D$1="ON",P2366,IF(SUM(Q2366:DL2366)&lt;1,"",SUM(Q2366:DL2366)/COUNTIF(Q2366:DL2366,"&gt;0")))</f>
        <v>0</v>
      </c>
      <c r="P2366" s="109">
        <f>SUMIFS(Q2366:DK2366,Q$1:DK$1,Dashboard!$K$31)</f>
        <v>0</v>
      </c>
      <c r="U2366" s="95">
        <v>33</v>
      </c>
      <c r="AA2366" s="95">
        <v>25</v>
      </c>
      <c r="AH2366" s="95">
        <v>75</v>
      </c>
    </row>
    <row r="2367" spans="1:34" ht="15.6" x14ac:dyDescent="0.3">
      <c r="A2367" s="89" t="str">
        <f>CONCATENATE(D2367,".",F2367,"-",G2367,".",H2367,"")</f>
        <v>2.4-1.1</v>
      </c>
      <c r="B2367" s="89" t="str">
        <f>IF(CONCATENATE(I2367,Key!F$2)=CONCATENATE(INDEX(Dashboard!J:J,MATCH(I2367,Dashboard!J:J,0),1),INDEX(Dashboard!J:K,MATCH(I2367,Dashboard!J:J,0),2)),"ON",IF(Dashboard!K$32="ALL","ON","-"))</f>
        <v>-</v>
      </c>
      <c r="C2367" s="88" t="s">
        <v>152</v>
      </c>
      <c r="D2367" s="89">
        <f>IF(C2367="ID",1,(IF(C2367="PR",2,(IF(C2367="DE",3,(IF(C2367="RS",4,(IF(C2367="RC",5,0)))))))))</f>
        <v>2</v>
      </c>
      <c r="E2367" s="89" t="s">
        <v>228</v>
      </c>
      <c r="F2367" s="89">
        <f>IF(E2367="AM",1,(IF(E2367="BE",2,(IF(E2367="GV",3,(IF(E2367="RA",4,(IF(E2367="RM",5,(IF(E2367="AC",1,(IF(E2367="AT",2,(IF(E2367="DS",3,(IF(E2367="IP",4,(IF(E2367="MA",5,(IF(E2367="PT",6,(IF(E2367="AE",1,(IF(E2367="CM",2,(IF(E2367="DP",3,(IF(E2367="AN",1,(IF(E2367="CO",2,(IF(E2367="IM",3,(IF(E2367="MI",4,(IF(E2367="RP",5,(IF(E2367="SC",6,0)))))))))))))))))))))))))))))))))))))))</f>
        <v>4</v>
      </c>
      <c r="G2367" s="52">
        <v>1</v>
      </c>
      <c r="H2367" s="90" t="s">
        <v>115</v>
      </c>
      <c r="I2367" s="94" t="s">
        <v>77</v>
      </c>
      <c r="J2367" s="87" t="s">
        <v>1477</v>
      </c>
      <c r="K2367" s="102" t="s">
        <v>2454</v>
      </c>
      <c r="L2367" s="117">
        <f>IF(O2367="","",N2367*O2367*M2367)</f>
        <v>0</v>
      </c>
      <c r="M2367" s="108">
        <v>1</v>
      </c>
      <c r="N2367" s="95">
        <v>1</v>
      </c>
      <c r="O2367" s="109">
        <f>IF(Key!D$1="ON",P2367,IF(SUM(Q2367:DL2367)&lt;1,"",SUM(Q2367:DL2367)/COUNTIF(Q2367:DL2367,"&gt;0")))</f>
        <v>0</v>
      </c>
      <c r="P2367" s="109">
        <f>SUMIFS(Q2367:DK2367,Q$1:DK$1,Dashboard!$K$31)</f>
        <v>0</v>
      </c>
      <c r="U2367" s="95">
        <v>33</v>
      </c>
      <c r="AA2367" s="95">
        <v>25</v>
      </c>
      <c r="AH2367" s="95">
        <v>75</v>
      </c>
    </row>
    <row r="2368" spans="1:34" ht="15.6" x14ac:dyDescent="0.3">
      <c r="A2368" s="89" t="str">
        <f>CONCATENATE(D2368,".",F2368,"-",G2368,".",H2368,"")</f>
        <v>2.4-1.1</v>
      </c>
      <c r="B2368" s="89" t="str">
        <f>IF(CONCATENATE(I2368,Key!F$2)=CONCATENATE(INDEX(Dashboard!J:J,MATCH(I2368,Dashboard!J:J,0),1),INDEX(Dashboard!J:K,MATCH(I2368,Dashboard!J:J,0),2)),"ON",IF(Dashboard!K$32="ALL","ON","-"))</f>
        <v>-</v>
      </c>
      <c r="C2368" s="88" t="s">
        <v>152</v>
      </c>
      <c r="D2368" s="89">
        <f>IF(C2368="ID",1,(IF(C2368="PR",2,(IF(C2368="DE",3,(IF(C2368="RS",4,(IF(C2368="RC",5,0)))))))))</f>
        <v>2</v>
      </c>
      <c r="E2368" s="89" t="s">
        <v>228</v>
      </c>
      <c r="F2368" s="89">
        <f>IF(E2368="AM",1,(IF(E2368="BE",2,(IF(E2368="GV",3,(IF(E2368="RA",4,(IF(E2368="RM",5,(IF(E2368="AC",1,(IF(E2368="AT",2,(IF(E2368="DS",3,(IF(E2368="IP",4,(IF(E2368="MA",5,(IF(E2368="PT",6,(IF(E2368="AE",1,(IF(E2368="CM",2,(IF(E2368="DP",3,(IF(E2368="AN",1,(IF(E2368="CO",2,(IF(E2368="IM",3,(IF(E2368="MI",4,(IF(E2368="RP",5,(IF(E2368="SC",6,0)))))))))))))))))))))))))))))))))))))))</f>
        <v>4</v>
      </c>
      <c r="G2368" s="52">
        <v>1</v>
      </c>
      <c r="H2368" s="90" t="s">
        <v>115</v>
      </c>
      <c r="I2368" s="94" t="s">
        <v>77</v>
      </c>
      <c r="J2368" s="87" t="s">
        <v>1478</v>
      </c>
      <c r="K2368" s="102" t="s">
        <v>2455</v>
      </c>
      <c r="L2368" s="117">
        <f>IF(O2368="","",N2368*O2368*M2368)</f>
        <v>0</v>
      </c>
      <c r="M2368" s="108">
        <v>1</v>
      </c>
      <c r="N2368" s="95">
        <v>1</v>
      </c>
      <c r="O2368" s="109">
        <f>IF(Key!D$1="ON",P2368,IF(SUM(Q2368:DL2368)&lt;1,"",SUM(Q2368:DL2368)/COUNTIF(Q2368:DL2368,"&gt;0")))</f>
        <v>0</v>
      </c>
      <c r="P2368" s="109">
        <f>SUMIFS(Q2368:DK2368,Q$1:DK$1,Dashboard!$K$31)</f>
        <v>0</v>
      </c>
      <c r="U2368" s="95">
        <v>33</v>
      </c>
      <c r="AA2368" s="95">
        <v>25</v>
      </c>
      <c r="AH2368" s="95">
        <v>75</v>
      </c>
    </row>
    <row r="2369" spans="1:34" ht="15.6" x14ac:dyDescent="0.3">
      <c r="A2369" s="89" t="str">
        <f>CONCATENATE(D2369,".",F2369,"-",G2369,".",H2369,"")</f>
        <v>2.4-1.1</v>
      </c>
      <c r="B2369" s="89" t="str">
        <f>IF(CONCATENATE(I2369,Key!F$2)=CONCATENATE(INDEX(Dashboard!J:J,MATCH(I2369,Dashboard!J:J,0),1),INDEX(Dashboard!J:K,MATCH(I2369,Dashboard!J:J,0),2)),"ON",IF(Dashboard!K$32="ALL","ON","-"))</f>
        <v>-</v>
      </c>
      <c r="C2369" s="96" t="s">
        <v>152</v>
      </c>
      <c r="D2369" s="89">
        <f>IF(C2369="ID",1,(IF(C2369="PR",2,(IF(C2369="DE",3,(IF(C2369="RS",4,(IF(C2369="RC",5,0)))))))))</f>
        <v>2</v>
      </c>
      <c r="E2369" s="89" t="s">
        <v>228</v>
      </c>
      <c r="F2369" s="89">
        <f>IF(E2369="AM",1,(IF(E2369="BE",2,(IF(E2369="GV",3,(IF(E2369="RA",4,(IF(E2369="RM",5,(IF(E2369="AC",1,(IF(E2369="AT",2,(IF(E2369="DS",3,(IF(E2369="IP",4,(IF(E2369="MA",5,(IF(E2369="PT",6,(IF(E2369="AE",1,(IF(E2369="CM",2,(IF(E2369="DP",3,(IF(E2369="AN",1,(IF(E2369="CO",2,(IF(E2369="IM",3,(IF(E2369="MI",4,(IF(E2369="RP",5,(IF(E2369="SC",6,0)))))))))))))))))))))))))))))))))))))))</f>
        <v>4</v>
      </c>
      <c r="G2369" s="98">
        <v>1</v>
      </c>
      <c r="H2369" s="90" t="s">
        <v>115</v>
      </c>
      <c r="I2369" s="94" t="s">
        <v>77</v>
      </c>
      <c r="J2369" s="87" t="s">
        <v>1479</v>
      </c>
      <c r="K2369" s="102" t="s">
        <v>2456</v>
      </c>
      <c r="L2369" s="117">
        <f>IF(O2369="","",N2369*O2369*M2369)</f>
        <v>0</v>
      </c>
      <c r="M2369" s="108">
        <v>1</v>
      </c>
      <c r="N2369" s="95">
        <v>1</v>
      </c>
      <c r="O2369" s="109">
        <f>IF(Key!D$1="ON",P2369,IF(SUM(Q2369:DL2369)&lt;1,"",SUM(Q2369:DL2369)/COUNTIF(Q2369:DL2369,"&gt;0")))</f>
        <v>0</v>
      </c>
      <c r="P2369" s="109">
        <f>SUMIFS(Q2369:DK2369,Q$1:DK$1,Dashboard!$K$31)</f>
        <v>0</v>
      </c>
      <c r="U2369" s="95">
        <v>33</v>
      </c>
      <c r="AA2369" s="95">
        <v>25</v>
      </c>
      <c r="AH2369" s="95">
        <v>75</v>
      </c>
    </row>
    <row r="2370" spans="1:34" x14ac:dyDescent="0.3">
      <c r="A2370" s="89" t="str">
        <f>CONCATENATE(D2370,".",F2370,"-",G2370,".",H2370,"")</f>
        <v>2.4-1.1</v>
      </c>
      <c r="B2370" s="89" t="str">
        <f>IF(CONCATENATE(I2370,Key!F$2)=CONCATENATE(INDEX(Dashboard!J:J,MATCH(I2370,Dashboard!J:J,0),1),INDEX(Dashboard!J:K,MATCH(I2370,Dashboard!J:J,0),2)),"ON",IF(Dashboard!K$32="ALL","ON","-"))</f>
        <v>-</v>
      </c>
      <c r="C2370" s="88" t="s">
        <v>152</v>
      </c>
      <c r="D2370" s="89">
        <f>IF(C2370="ID",1,(IF(C2370="PR",2,(IF(C2370="DE",3,(IF(C2370="RS",4,(IF(C2370="RC",5,0)))))))))</f>
        <v>2</v>
      </c>
      <c r="E2370" s="89" t="s">
        <v>228</v>
      </c>
      <c r="F2370" s="89">
        <f>IF(E2370="AM",1,(IF(E2370="BE",2,(IF(E2370="GV",3,(IF(E2370="RA",4,(IF(E2370="RM",5,(IF(E2370="AC",1,(IF(E2370="AT",2,(IF(E2370="DS",3,(IF(E2370="IP",4,(IF(E2370="MA",5,(IF(E2370="PT",6,(IF(E2370="AE",1,(IF(E2370="CM",2,(IF(E2370="DP",3,(IF(E2370="AN",1,(IF(E2370="CO",2,(IF(E2370="IM",3,(IF(E2370="MI",4,(IF(E2370="RP",5,(IF(E2370="SC",6,0)))))))))))))))))))))))))))))))))))))))</f>
        <v>4</v>
      </c>
      <c r="G2370" s="52">
        <v>1</v>
      </c>
      <c r="H2370" s="90" t="s">
        <v>115</v>
      </c>
      <c r="I2370" s="94" t="s">
        <v>77</v>
      </c>
      <c r="J2370" s="87" t="s">
        <v>1481</v>
      </c>
      <c r="K2370" s="102" t="s">
        <v>2457</v>
      </c>
      <c r="L2370" s="117">
        <f>IF(O2370="","",N2370*O2370*M2370)</f>
        <v>0</v>
      </c>
      <c r="M2370" s="108">
        <v>1</v>
      </c>
      <c r="N2370" s="95">
        <v>1</v>
      </c>
      <c r="O2370" s="109">
        <f>IF(Key!D$1="ON",P2370,IF(SUM(Q2370:DL2370)&lt;1,"",SUM(Q2370:DL2370)/COUNTIF(Q2370:DL2370,"&gt;0")))</f>
        <v>0</v>
      </c>
      <c r="P2370" s="109">
        <f>SUMIFS(Q2370:DK2370,Q$1:DK$1,Dashboard!$K$31)</f>
        <v>0</v>
      </c>
      <c r="U2370" s="95">
        <v>33</v>
      </c>
      <c r="AA2370" s="95">
        <v>25</v>
      </c>
      <c r="AH2370" s="95">
        <v>75</v>
      </c>
    </row>
    <row r="2371" spans="1:34" x14ac:dyDescent="0.3">
      <c r="A2371" s="89" t="str">
        <f>CONCATENATE(D2371,".",F2371,"-",G2371,".",H2371,"")</f>
        <v>2.4-1.1</v>
      </c>
      <c r="B2371" s="89" t="str">
        <f>IF(CONCATENATE(I2371,Key!F$2)=CONCATENATE(INDEX(Dashboard!J:J,MATCH(I2371,Dashboard!J:J,0),1),INDEX(Dashboard!J:K,MATCH(I2371,Dashboard!J:J,0),2)),"ON",IF(Dashboard!K$32="ALL","ON","-"))</f>
        <v>-</v>
      </c>
      <c r="C2371" s="88" t="s">
        <v>152</v>
      </c>
      <c r="D2371" s="89">
        <f>IF(C2371="ID",1,(IF(C2371="PR",2,(IF(C2371="DE",3,(IF(C2371="RS",4,(IF(C2371="RC",5,0)))))))))</f>
        <v>2</v>
      </c>
      <c r="E2371" s="89" t="s">
        <v>228</v>
      </c>
      <c r="F2371" s="89">
        <f>IF(E2371="AM",1,(IF(E2371="BE",2,(IF(E2371="GV",3,(IF(E2371="RA",4,(IF(E2371="RM",5,(IF(E2371="AC",1,(IF(E2371="AT",2,(IF(E2371="DS",3,(IF(E2371="IP",4,(IF(E2371="MA",5,(IF(E2371="PT",6,(IF(E2371="AE",1,(IF(E2371="CM",2,(IF(E2371="DP",3,(IF(E2371="AN",1,(IF(E2371="CO",2,(IF(E2371="IM",3,(IF(E2371="MI",4,(IF(E2371="RP",5,(IF(E2371="SC",6,0)))))))))))))))))))))))))))))))))))))))</f>
        <v>4</v>
      </c>
      <c r="G2371" s="52">
        <v>1</v>
      </c>
      <c r="H2371" s="90" t="s">
        <v>115</v>
      </c>
      <c r="I2371" s="94" t="s">
        <v>77</v>
      </c>
      <c r="J2371" s="87" t="s">
        <v>1482</v>
      </c>
      <c r="K2371" s="102" t="s">
        <v>2458</v>
      </c>
      <c r="L2371" s="117">
        <f>IF(O2371="","",N2371*O2371*M2371)</f>
        <v>0</v>
      </c>
      <c r="M2371" s="108">
        <v>1</v>
      </c>
      <c r="N2371" s="95">
        <v>1</v>
      </c>
      <c r="O2371" s="109">
        <f>IF(Key!D$1="ON",P2371,IF(SUM(Q2371:DL2371)&lt;1,"",SUM(Q2371:DL2371)/COUNTIF(Q2371:DL2371,"&gt;0")))</f>
        <v>0</v>
      </c>
      <c r="P2371" s="109">
        <f>SUMIFS(Q2371:DK2371,Q$1:DK$1,Dashboard!$K$31)</f>
        <v>0</v>
      </c>
      <c r="U2371" s="95">
        <v>33</v>
      </c>
      <c r="AA2371" s="95">
        <v>25</v>
      </c>
      <c r="AH2371" s="95">
        <v>75</v>
      </c>
    </row>
    <row r="2372" spans="1:34" x14ac:dyDescent="0.3">
      <c r="A2372" s="89" t="str">
        <f>CONCATENATE(D2372,".",F2372,"-",G2372,".",H2372,"")</f>
        <v>2.4-1.1</v>
      </c>
      <c r="B2372" s="89" t="str">
        <f>IF(CONCATENATE(I2372,Key!F$2)=CONCATENATE(INDEX(Dashboard!J:J,MATCH(I2372,Dashboard!J:J,0),1),INDEX(Dashboard!J:K,MATCH(I2372,Dashboard!J:J,0),2)),"ON",IF(Dashboard!K$32="ALL","ON","-"))</f>
        <v>-</v>
      </c>
      <c r="C2372" s="88" t="s">
        <v>152</v>
      </c>
      <c r="D2372" s="89">
        <f>IF(C2372="ID",1,(IF(C2372="PR",2,(IF(C2372="DE",3,(IF(C2372="RS",4,(IF(C2372="RC",5,0)))))))))</f>
        <v>2</v>
      </c>
      <c r="E2372" s="89" t="s">
        <v>228</v>
      </c>
      <c r="F2372" s="89">
        <f>IF(E2372="AM",1,(IF(E2372="BE",2,(IF(E2372="GV",3,(IF(E2372="RA",4,(IF(E2372="RM",5,(IF(E2372="AC",1,(IF(E2372="AT",2,(IF(E2372="DS",3,(IF(E2372="IP",4,(IF(E2372="MA",5,(IF(E2372="PT",6,(IF(E2372="AE",1,(IF(E2372="CM",2,(IF(E2372="DP",3,(IF(E2372="AN",1,(IF(E2372="CO",2,(IF(E2372="IM",3,(IF(E2372="MI",4,(IF(E2372="RP",5,(IF(E2372="SC",6,0)))))))))))))))))))))))))))))))))))))))</f>
        <v>4</v>
      </c>
      <c r="G2372" s="52">
        <v>1</v>
      </c>
      <c r="H2372" s="90" t="s">
        <v>115</v>
      </c>
      <c r="I2372" s="94" t="s">
        <v>77</v>
      </c>
      <c r="J2372" s="87" t="s">
        <v>1483</v>
      </c>
      <c r="K2372" s="102" t="s">
        <v>2459</v>
      </c>
      <c r="L2372" s="117">
        <f>IF(O2372="","",N2372*O2372*M2372)</f>
        <v>0</v>
      </c>
      <c r="M2372" s="108">
        <v>1</v>
      </c>
      <c r="N2372" s="95">
        <v>1</v>
      </c>
      <c r="O2372" s="109">
        <f>IF(Key!D$1="ON",P2372,IF(SUM(Q2372:DL2372)&lt;1,"",SUM(Q2372:DL2372)/COUNTIF(Q2372:DL2372,"&gt;0")))</f>
        <v>0</v>
      </c>
      <c r="P2372" s="109">
        <f>SUMIFS(Q2372:DK2372,Q$1:DK$1,Dashboard!$K$31)</f>
        <v>0</v>
      </c>
      <c r="U2372" s="95">
        <v>33</v>
      </c>
      <c r="AA2372" s="95">
        <v>25</v>
      </c>
      <c r="AH2372" s="95">
        <v>75</v>
      </c>
    </row>
    <row r="2373" spans="1:34" ht="15.6" x14ac:dyDescent="0.3">
      <c r="A2373" s="89" t="str">
        <f>CONCATENATE(D2373,".",F2373,"-",G2373,".",H2373,"")</f>
        <v>2.4-1.1</v>
      </c>
      <c r="B2373" s="89" t="str">
        <f>IF(CONCATENATE(I2373,Key!F$2)=CONCATENATE(INDEX(Dashboard!J:J,MATCH(I2373,Dashboard!J:J,0),1),INDEX(Dashboard!J:K,MATCH(I2373,Dashboard!J:J,0),2)),"ON",IF(Dashboard!K$32="ALL","ON","-"))</f>
        <v>-</v>
      </c>
      <c r="C2373" s="88" t="s">
        <v>152</v>
      </c>
      <c r="D2373" s="89">
        <f>IF(C2373="ID",1,(IF(C2373="PR",2,(IF(C2373="DE",3,(IF(C2373="RS",4,(IF(C2373="RC",5,0)))))))))</f>
        <v>2</v>
      </c>
      <c r="E2373" s="89" t="s">
        <v>228</v>
      </c>
      <c r="F2373" s="89">
        <f>IF(E2373="AM",1,(IF(E2373="BE",2,(IF(E2373="GV",3,(IF(E2373="RA",4,(IF(E2373="RM",5,(IF(E2373="AC",1,(IF(E2373="AT",2,(IF(E2373="DS",3,(IF(E2373="IP",4,(IF(E2373="MA",5,(IF(E2373="PT",6,(IF(E2373="AE",1,(IF(E2373="CM",2,(IF(E2373="DP",3,(IF(E2373="AN",1,(IF(E2373="CO",2,(IF(E2373="IM",3,(IF(E2373="MI",4,(IF(E2373="RP",5,(IF(E2373="SC",6,0)))))))))))))))))))))))))))))))))))))))</f>
        <v>4</v>
      </c>
      <c r="G2373" s="52">
        <v>1</v>
      </c>
      <c r="H2373" s="90" t="s">
        <v>115</v>
      </c>
      <c r="I2373" s="94" t="s">
        <v>77</v>
      </c>
      <c r="J2373" s="87" t="s">
        <v>1484</v>
      </c>
      <c r="K2373" s="102" t="s">
        <v>2460</v>
      </c>
      <c r="L2373" s="117">
        <f>IF(O2373="","",N2373*O2373*M2373)</f>
        <v>0</v>
      </c>
      <c r="M2373" s="108">
        <v>1</v>
      </c>
      <c r="N2373" s="95">
        <v>1</v>
      </c>
      <c r="O2373" s="109">
        <f>IF(Key!D$1="ON",P2373,IF(SUM(Q2373:DL2373)&lt;1,"",SUM(Q2373:DL2373)/COUNTIF(Q2373:DL2373,"&gt;0")))</f>
        <v>0</v>
      </c>
      <c r="P2373" s="109">
        <f>SUMIFS(Q2373:DK2373,Q$1:DK$1,Dashboard!$K$31)</f>
        <v>0</v>
      </c>
      <c r="U2373" s="95">
        <v>33</v>
      </c>
      <c r="AA2373" s="95">
        <v>25</v>
      </c>
      <c r="AH2373" s="95">
        <v>75</v>
      </c>
    </row>
    <row r="2374" spans="1:34" ht="15.6" x14ac:dyDescent="0.3">
      <c r="A2374" s="89" t="str">
        <f>CONCATENATE(D2374,".",F2374,"-",G2374,".",H2374,"")</f>
        <v>2.4-1.1</v>
      </c>
      <c r="B2374" s="89" t="str">
        <f>IF(CONCATENATE(I2374,Key!F$2)=CONCATENATE(INDEX(Dashboard!J:J,MATCH(I2374,Dashboard!J:J,0),1),INDEX(Dashboard!J:K,MATCH(I2374,Dashboard!J:J,0),2)),"ON",IF(Dashboard!K$32="ALL","ON","-"))</f>
        <v>-</v>
      </c>
      <c r="C2374" s="88" t="s">
        <v>152</v>
      </c>
      <c r="D2374" s="89">
        <f>IF(C2374="ID",1,(IF(C2374="PR",2,(IF(C2374="DE",3,(IF(C2374="RS",4,(IF(C2374="RC",5,0)))))))))</f>
        <v>2</v>
      </c>
      <c r="E2374" s="89" t="s">
        <v>228</v>
      </c>
      <c r="F2374" s="89">
        <f>IF(E2374="AM",1,(IF(E2374="BE",2,(IF(E2374="GV",3,(IF(E2374="RA",4,(IF(E2374="RM",5,(IF(E2374="AC",1,(IF(E2374="AT",2,(IF(E2374="DS",3,(IF(E2374="IP",4,(IF(E2374="MA",5,(IF(E2374="PT",6,(IF(E2374="AE",1,(IF(E2374="CM",2,(IF(E2374="DP",3,(IF(E2374="AN",1,(IF(E2374="CO",2,(IF(E2374="IM",3,(IF(E2374="MI",4,(IF(E2374="RP",5,(IF(E2374="SC",6,0)))))))))))))))))))))))))))))))))))))))</f>
        <v>4</v>
      </c>
      <c r="G2374" s="52">
        <v>1</v>
      </c>
      <c r="H2374" s="90" t="s">
        <v>115</v>
      </c>
      <c r="I2374" s="94" t="s">
        <v>77</v>
      </c>
      <c r="J2374" s="87" t="s">
        <v>1485</v>
      </c>
      <c r="K2374" s="102" t="s">
        <v>2461</v>
      </c>
      <c r="L2374" s="117">
        <f>IF(O2374="","",N2374*O2374*M2374)</f>
        <v>0</v>
      </c>
      <c r="M2374" s="108">
        <v>1</v>
      </c>
      <c r="N2374" s="95">
        <v>1</v>
      </c>
      <c r="O2374" s="109">
        <f>IF(Key!D$1="ON",P2374,IF(SUM(Q2374:DL2374)&lt;1,"",SUM(Q2374:DL2374)/COUNTIF(Q2374:DL2374,"&gt;0")))</f>
        <v>0</v>
      </c>
      <c r="P2374" s="109">
        <f>SUMIFS(Q2374:DK2374,Q$1:DK$1,Dashboard!$K$31)</f>
        <v>0</v>
      </c>
      <c r="U2374" s="95">
        <v>33</v>
      </c>
      <c r="AA2374" s="95">
        <v>25</v>
      </c>
      <c r="AH2374" s="95">
        <v>75</v>
      </c>
    </row>
    <row r="2375" spans="1:34" ht="15.6" x14ac:dyDescent="0.3">
      <c r="A2375" s="89" t="str">
        <f>CONCATENATE(D2375,".",F2375,"-",G2375,".",H2375,"")</f>
        <v>2.4-1.1</v>
      </c>
      <c r="B2375" s="89" t="str">
        <f>IF(CONCATENATE(I2375,Key!F$2)=CONCATENATE(INDEX(Dashboard!J:J,MATCH(I2375,Dashboard!J:J,0),1),INDEX(Dashboard!J:K,MATCH(I2375,Dashboard!J:J,0),2)),"ON",IF(Dashboard!K$32="ALL","ON","-"))</f>
        <v>-</v>
      </c>
      <c r="C2375" s="88" t="s">
        <v>152</v>
      </c>
      <c r="D2375" s="89">
        <f>IF(C2375="ID",1,(IF(C2375="PR",2,(IF(C2375="DE",3,(IF(C2375="RS",4,(IF(C2375="RC",5,0)))))))))</f>
        <v>2</v>
      </c>
      <c r="E2375" s="89" t="s">
        <v>228</v>
      </c>
      <c r="F2375" s="89">
        <f>IF(E2375="AM",1,(IF(E2375="BE",2,(IF(E2375="GV",3,(IF(E2375="RA",4,(IF(E2375="RM",5,(IF(E2375="AC",1,(IF(E2375="AT",2,(IF(E2375="DS",3,(IF(E2375="IP",4,(IF(E2375="MA",5,(IF(E2375="PT",6,(IF(E2375="AE",1,(IF(E2375="CM",2,(IF(E2375="DP",3,(IF(E2375="AN",1,(IF(E2375="CO",2,(IF(E2375="IM",3,(IF(E2375="MI",4,(IF(E2375="RP",5,(IF(E2375="SC",6,0)))))))))))))))))))))))))))))))))))))))</f>
        <v>4</v>
      </c>
      <c r="G2375" s="52">
        <v>1</v>
      </c>
      <c r="H2375" s="90" t="s">
        <v>115</v>
      </c>
      <c r="I2375" s="94" t="s">
        <v>77</v>
      </c>
      <c r="J2375" s="87" t="s">
        <v>1486</v>
      </c>
      <c r="K2375" s="102" t="s">
        <v>2462</v>
      </c>
      <c r="L2375" s="117">
        <f>IF(O2375="","",N2375*O2375*M2375)</f>
        <v>0</v>
      </c>
      <c r="M2375" s="108">
        <v>1</v>
      </c>
      <c r="N2375" s="95">
        <v>1</v>
      </c>
      <c r="O2375" s="109">
        <f>IF(Key!D$1="ON",P2375,IF(SUM(Q2375:DL2375)&lt;1,"",SUM(Q2375:DL2375)/COUNTIF(Q2375:DL2375,"&gt;0")))</f>
        <v>0</v>
      </c>
      <c r="P2375" s="109">
        <f>SUMIFS(Q2375:DK2375,Q$1:DK$1,Dashboard!$K$31)</f>
        <v>0</v>
      </c>
      <c r="U2375" s="95">
        <v>33</v>
      </c>
      <c r="AA2375" s="95">
        <v>25</v>
      </c>
      <c r="AH2375" s="95">
        <v>75</v>
      </c>
    </row>
    <row r="2376" spans="1:34" x14ac:dyDescent="0.3">
      <c r="A2376" s="89" t="str">
        <f>CONCATENATE(D2376,".",F2376,"-",G2376,".",H2376,"")</f>
        <v>2.4-1.1</v>
      </c>
      <c r="B2376" s="89" t="str">
        <f>IF(CONCATENATE(I2376,Key!F$2)=CONCATENATE(INDEX(Dashboard!J:J,MATCH(I2376,Dashboard!J:J,0),1),INDEX(Dashboard!J:K,MATCH(I2376,Dashboard!J:J,0),2)),"ON",IF(Dashboard!K$32="ALL","ON","-"))</f>
        <v>-</v>
      </c>
      <c r="C2376" s="96" t="s">
        <v>152</v>
      </c>
      <c r="D2376" s="89">
        <f>IF(C2376="ID",1,(IF(C2376="PR",2,(IF(C2376="DE",3,(IF(C2376="RS",4,(IF(C2376="RC",5,0)))))))))</f>
        <v>2</v>
      </c>
      <c r="E2376" s="89" t="s">
        <v>228</v>
      </c>
      <c r="F2376" s="89">
        <f>IF(E2376="AM",1,(IF(E2376="BE",2,(IF(E2376="GV",3,(IF(E2376="RA",4,(IF(E2376="RM",5,(IF(E2376="AC",1,(IF(E2376="AT",2,(IF(E2376="DS",3,(IF(E2376="IP",4,(IF(E2376="MA",5,(IF(E2376="PT",6,(IF(E2376="AE",1,(IF(E2376="CM",2,(IF(E2376="DP",3,(IF(E2376="AN",1,(IF(E2376="CO",2,(IF(E2376="IM",3,(IF(E2376="MI",4,(IF(E2376="RP",5,(IF(E2376="SC",6,0)))))))))))))))))))))))))))))))))))))))</f>
        <v>4</v>
      </c>
      <c r="G2376" s="98">
        <v>1</v>
      </c>
      <c r="H2376" s="90" t="s">
        <v>115</v>
      </c>
      <c r="I2376" s="94" t="s">
        <v>77</v>
      </c>
      <c r="J2376" s="87" t="s">
        <v>1487</v>
      </c>
      <c r="K2376" s="102" t="s">
        <v>2463</v>
      </c>
      <c r="L2376" s="117">
        <f>IF(O2376="","",N2376*O2376*M2376)</f>
        <v>0</v>
      </c>
      <c r="M2376" s="108">
        <v>1</v>
      </c>
      <c r="N2376" s="95">
        <v>1</v>
      </c>
      <c r="O2376" s="109">
        <f>IF(Key!D$1="ON",P2376,IF(SUM(Q2376:DL2376)&lt;1,"",SUM(Q2376:DL2376)/COUNTIF(Q2376:DL2376,"&gt;0")))</f>
        <v>0</v>
      </c>
      <c r="P2376" s="109">
        <f>SUMIFS(Q2376:DK2376,Q$1:DK$1,Dashboard!$K$31)</f>
        <v>0</v>
      </c>
      <c r="U2376" s="95">
        <v>33</v>
      </c>
      <c r="AA2376" s="95">
        <v>25</v>
      </c>
      <c r="AH2376" s="95">
        <v>75</v>
      </c>
    </row>
    <row r="2377" spans="1:34" x14ac:dyDescent="0.3">
      <c r="A2377" s="89" t="str">
        <f>CONCATENATE(D2377,".",F2377,"-",G2377,".",H2377,"")</f>
        <v>2.4-1.1</v>
      </c>
      <c r="B2377" s="89" t="str">
        <f>IF(CONCATENATE(I2377,Key!F$2)=CONCATENATE(INDEX(Dashboard!J:J,MATCH(I2377,Dashboard!J:J,0),1),INDEX(Dashboard!J:K,MATCH(I2377,Dashboard!J:J,0),2)),"ON",IF(Dashboard!K$32="ALL","ON","-"))</f>
        <v>-</v>
      </c>
      <c r="C2377" s="88" t="s">
        <v>152</v>
      </c>
      <c r="D2377" s="89">
        <f>IF(C2377="ID",1,(IF(C2377="PR",2,(IF(C2377="DE",3,(IF(C2377="RS",4,(IF(C2377="RC",5,0)))))))))</f>
        <v>2</v>
      </c>
      <c r="E2377" s="89" t="s">
        <v>228</v>
      </c>
      <c r="F2377" s="89">
        <f>IF(E2377="AM",1,(IF(E2377="BE",2,(IF(E2377="GV",3,(IF(E2377="RA",4,(IF(E2377="RM",5,(IF(E2377="AC",1,(IF(E2377="AT",2,(IF(E2377="DS",3,(IF(E2377="IP",4,(IF(E2377="MA",5,(IF(E2377="PT",6,(IF(E2377="AE",1,(IF(E2377="CM",2,(IF(E2377="DP",3,(IF(E2377="AN",1,(IF(E2377="CO",2,(IF(E2377="IM",3,(IF(E2377="MI",4,(IF(E2377="RP",5,(IF(E2377="SC",6,0)))))))))))))))))))))))))))))))))))))))</f>
        <v>4</v>
      </c>
      <c r="G2377" s="52">
        <v>1</v>
      </c>
      <c r="H2377" s="90" t="s">
        <v>115</v>
      </c>
      <c r="I2377" s="94" t="s">
        <v>77</v>
      </c>
      <c r="J2377" s="87" t="s">
        <v>1489</v>
      </c>
      <c r="K2377" s="103" t="s">
        <v>2464</v>
      </c>
      <c r="L2377" s="117">
        <f>IF(O2377="","",N2377*O2377*M2377)</f>
        <v>0</v>
      </c>
      <c r="M2377" s="108">
        <v>1</v>
      </c>
      <c r="N2377" s="95">
        <v>1</v>
      </c>
      <c r="O2377" s="109">
        <f>IF(Key!D$1="ON",P2377,IF(SUM(Q2377:DL2377)&lt;1,"",SUM(Q2377:DL2377)/COUNTIF(Q2377:DL2377,"&gt;0")))</f>
        <v>0</v>
      </c>
      <c r="P2377" s="109">
        <f>SUMIFS(Q2377:DK2377,Q$1:DK$1,Dashboard!$K$31)</f>
        <v>0</v>
      </c>
      <c r="U2377" s="95">
        <v>33</v>
      </c>
      <c r="AA2377" s="95">
        <v>25</v>
      </c>
      <c r="AH2377" s="95">
        <v>75</v>
      </c>
    </row>
    <row r="2378" spans="1:34" ht="15.6" x14ac:dyDescent="0.3">
      <c r="A2378" s="89" t="str">
        <f>CONCATENATE(D2378,".",F2378,"-",G2378,".",H2378,"")</f>
        <v>2.4-1.1</v>
      </c>
      <c r="B2378" s="89" t="str">
        <f>IF(CONCATENATE(I2378,Key!F$2)=CONCATENATE(INDEX(Dashboard!J:J,MATCH(I2378,Dashboard!J:J,0),1),INDEX(Dashboard!J:K,MATCH(I2378,Dashboard!J:J,0),2)),"ON",IF(Dashboard!K$32="ALL","ON","-"))</f>
        <v>-</v>
      </c>
      <c r="C2378" s="88" t="s">
        <v>152</v>
      </c>
      <c r="D2378" s="89">
        <f>IF(C2378="ID",1,(IF(C2378="PR",2,(IF(C2378="DE",3,(IF(C2378="RS",4,(IF(C2378="RC",5,0)))))))))</f>
        <v>2</v>
      </c>
      <c r="E2378" s="89" t="s">
        <v>228</v>
      </c>
      <c r="F2378" s="89">
        <f>IF(E2378="AM",1,(IF(E2378="BE",2,(IF(E2378="GV",3,(IF(E2378="RA",4,(IF(E2378="RM",5,(IF(E2378="AC",1,(IF(E2378="AT",2,(IF(E2378="DS",3,(IF(E2378="IP",4,(IF(E2378="MA",5,(IF(E2378="PT",6,(IF(E2378="AE",1,(IF(E2378="CM",2,(IF(E2378="DP",3,(IF(E2378="AN",1,(IF(E2378="CO",2,(IF(E2378="IM",3,(IF(E2378="MI",4,(IF(E2378="RP",5,(IF(E2378="SC",6,0)))))))))))))))))))))))))))))))))))))))</f>
        <v>4</v>
      </c>
      <c r="G2378" s="52">
        <v>1</v>
      </c>
      <c r="H2378" s="90" t="s">
        <v>115</v>
      </c>
      <c r="I2378" s="94" t="s">
        <v>77</v>
      </c>
      <c r="J2378" s="87" t="s">
        <v>1490</v>
      </c>
      <c r="K2378" s="102" t="s">
        <v>2465</v>
      </c>
      <c r="L2378" s="117">
        <f>IF(O2378="","",N2378*O2378*M2378)</f>
        <v>0</v>
      </c>
      <c r="M2378" s="108">
        <v>1</v>
      </c>
      <c r="N2378" s="95">
        <v>1</v>
      </c>
      <c r="O2378" s="109">
        <f>IF(Key!D$1="ON",P2378,IF(SUM(Q2378:DL2378)&lt;1,"",SUM(Q2378:DL2378)/COUNTIF(Q2378:DL2378,"&gt;0")))</f>
        <v>0</v>
      </c>
      <c r="P2378" s="109">
        <f>SUMIFS(Q2378:DK2378,Q$1:DK$1,Dashboard!$K$31)</f>
        <v>0</v>
      </c>
      <c r="U2378" s="95">
        <v>33</v>
      </c>
      <c r="AA2378" s="95">
        <v>25</v>
      </c>
      <c r="AH2378" s="95">
        <v>75</v>
      </c>
    </row>
    <row r="2379" spans="1:34" x14ac:dyDescent="0.3">
      <c r="A2379" s="89" t="str">
        <f>CONCATENATE(D2379,".",F2379,"-",G2379,".",H2379,"")</f>
        <v>2.4-1.1</v>
      </c>
      <c r="B2379" s="89" t="str">
        <f>IF(CONCATENATE(I2379,Key!F$2)=CONCATENATE(INDEX(Dashboard!J:J,MATCH(I2379,Dashboard!J:J,0),1),INDEX(Dashboard!J:K,MATCH(I2379,Dashboard!J:J,0),2)),"ON",IF(Dashboard!K$32="ALL","ON","-"))</f>
        <v>-</v>
      </c>
      <c r="C2379" s="96" t="s">
        <v>152</v>
      </c>
      <c r="D2379" s="89">
        <f>IF(C2379="ID",1,(IF(C2379="PR",2,(IF(C2379="DE",3,(IF(C2379="RS",4,(IF(C2379="RC",5,0)))))))))</f>
        <v>2</v>
      </c>
      <c r="E2379" s="89" t="s">
        <v>228</v>
      </c>
      <c r="F2379" s="89">
        <f>IF(E2379="AM",1,(IF(E2379="BE",2,(IF(E2379="GV",3,(IF(E2379="RA",4,(IF(E2379="RM",5,(IF(E2379="AC",1,(IF(E2379="AT",2,(IF(E2379="DS",3,(IF(E2379="IP",4,(IF(E2379="MA",5,(IF(E2379="PT",6,(IF(E2379="AE",1,(IF(E2379="CM",2,(IF(E2379="DP",3,(IF(E2379="AN",1,(IF(E2379="CO",2,(IF(E2379="IM",3,(IF(E2379="MI",4,(IF(E2379="RP",5,(IF(E2379="SC",6,0)))))))))))))))))))))))))))))))))))))))</f>
        <v>4</v>
      </c>
      <c r="G2379" s="98">
        <v>1</v>
      </c>
      <c r="H2379" s="90" t="s">
        <v>115</v>
      </c>
      <c r="I2379" s="94" t="s">
        <v>77</v>
      </c>
      <c r="J2379" s="87" t="s">
        <v>1491</v>
      </c>
      <c r="K2379" s="102" t="s">
        <v>2466</v>
      </c>
      <c r="L2379" s="117">
        <f>IF(O2379="","",N2379*O2379*M2379)</f>
        <v>0</v>
      </c>
      <c r="M2379" s="108">
        <v>1</v>
      </c>
      <c r="N2379" s="95">
        <v>1</v>
      </c>
      <c r="O2379" s="109">
        <f>IF(Key!D$1="ON",P2379,IF(SUM(Q2379:DL2379)&lt;1,"",SUM(Q2379:DL2379)/COUNTIF(Q2379:DL2379,"&gt;0")))</f>
        <v>0</v>
      </c>
      <c r="P2379" s="109">
        <f>SUMIFS(Q2379:DK2379,Q$1:DK$1,Dashboard!$K$31)</f>
        <v>0</v>
      </c>
      <c r="U2379" s="95">
        <v>33</v>
      </c>
      <c r="AA2379" s="95">
        <v>25</v>
      </c>
      <c r="AH2379" s="95">
        <v>75</v>
      </c>
    </row>
    <row r="2380" spans="1:34" ht="15.6" x14ac:dyDescent="0.3">
      <c r="A2380" s="89" t="str">
        <f>CONCATENATE(D2380,".",F2380,"-",G2380,".",H2380,"")</f>
        <v>2.4-1.1</v>
      </c>
      <c r="B2380" s="89" t="str">
        <f>IF(CONCATENATE(I2380,Key!F$2)=CONCATENATE(INDEX(Dashboard!J:J,MATCH(I2380,Dashboard!J:J,0),1),INDEX(Dashboard!J:K,MATCH(I2380,Dashboard!J:J,0),2)),"ON",IF(Dashboard!K$32="ALL","ON","-"))</f>
        <v>-</v>
      </c>
      <c r="C2380" s="88" t="s">
        <v>152</v>
      </c>
      <c r="D2380" s="89">
        <f>IF(C2380="ID",1,(IF(C2380="PR",2,(IF(C2380="DE",3,(IF(C2380="RS",4,(IF(C2380="RC",5,0)))))))))</f>
        <v>2</v>
      </c>
      <c r="E2380" s="89" t="s">
        <v>228</v>
      </c>
      <c r="F2380" s="89">
        <f>IF(E2380="AM",1,(IF(E2380="BE",2,(IF(E2380="GV",3,(IF(E2380="RA",4,(IF(E2380="RM",5,(IF(E2380="AC",1,(IF(E2380="AT",2,(IF(E2380="DS",3,(IF(E2380="IP",4,(IF(E2380="MA",5,(IF(E2380="PT",6,(IF(E2380="AE",1,(IF(E2380="CM",2,(IF(E2380="DP",3,(IF(E2380="AN",1,(IF(E2380="CO",2,(IF(E2380="IM",3,(IF(E2380="MI",4,(IF(E2380="RP",5,(IF(E2380="SC",6,0)))))))))))))))))))))))))))))))))))))))</f>
        <v>4</v>
      </c>
      <c r="G2380" s="52">
        <v>1</v>
      </c>
      <c r="H2380" s="90" t="s">
        <v>115</v>
      </c>
      <c r="I2380" s="94" t="s">
        <v>77</v>
      </c>
      <c r="J2380" s="87" t="s">
        <v>1493</v>
      </c>
      <c r="K2380" s="102" t="s">
        <v>2467</v>
      </c>
      <c r="L2380" s="117">
        <f>IF(O2380="","",N2380*O2380*M2380)</f>
        <v>0</v>
      </c>
      <c r="M2380" s="108">
        <v>1</v>
      </c>
      <c r="N2380" s="95">
        <v>1</v>
      </c>
      <c r="O2380" s="109">
        <f>IF(Key!D$1="ON",P2380,IF(SUM(Q2380:DL2380)&lt;1,"",SUM(Q2380:DL2380)/COUNTIF(Q2380:DL2380,"&gt;0")))</f>
        <v>0</v>
      </c>
      <c r="P2380" s="109">
        <f>SUMIFS(Q2380:DK2380,Q$1:DK$1,Dashboard!$K$31)</f>
        <v>0</v>
      </c>
      <c r="U2380" s="95">
        <v>33</v>
      </c>
      <c r="AA2380" s="95">
        <v>25</v>
      </c>
      <c r="AH2380" s="95">
        <v>75</v>
      </c>
    </row>
    <row r="2381" spans="1:34" ht="15.6" x14ac:dyDescent="0.3">
      <c r="A2381" s="89" t="str">
        <f>CONCATENATE(D2381,".",F2381,"-",G2381,".",H2381,"")</f>
        <v>2.4-1.1</v>
      </c>
      <c r="B2381" s="89" t="str">
        <f>IF(CONCATENATE(I2381,Key!F$2)=CONCATENATE(INDEX(Dashboard!J:J,MATCH(I2381,Dashboard!J:J,0),1),INDEX(Dashboard!J:K,MATCH(I2381,Dashboard!J:J,0),2)),"ON",IF(Dashboard!K$32="ALL","ON","-"))</f>
        <v>-</v>
      </c>
      <c r="C2381" s="88" t="s">
        <v>152</v>
      </c>
      <c r="D2381" s="89">
        <f>IF(C2381="ID",1,(IF(C2381="PR",2,(IF(C2381="DE",3,(IF(C2381="RS",4,(IF(C2381="RC",5,0)))))))))</f>
        <v>2</v>
      </c>
      <c r="E2381" s="89" t="s">
        <v>228</v>
      </c>
      <c r="F2381" s="89">
        <f>IF(E2381="AM",1,(IF(E2381="BE",2,(IF(E2381="GV",3,(IF(E2381="RA",4,(IF(E2381="RM",5,(IF(E2381="AC",1,(IF(E2381="AT",2,(IF(E2381="DS",3,(IF(E2381="IP",4,(IF(E2381="MA",5,(IF(E2381="PT",6,(IF(E2381="AE",1,(IF(E2381="CM",2,(IF(E2381="DP",3,(IF(E2381="AN",1,(IF(E2381="CO",2,(IF(E2381="IM",3,(IF(E2381="MI",4,(IF(E2381="RP",5,(IF(E2381="SC",6,0)))))))))))))))))))))))))))))))))))))))</f>
        <v>4</v>
      </c>
      <c r="G2381" s="52">
        <v>1</v>
      </c>
      <c r="H2381" s="90" t="s">
        <v>115</v>
      </c>
      <c r="I2381" s="94" t="s">
        <v>77</v>
      </c>
      <c r="J2381" s="87" t="s">
        <v>1494</v>
      </c>
      <c r="K2381" s="102" t="s">
        <v>2468</v>
      </c>
      <c r="L2381" s="117">
        <f>IF(O2381="","",N2381*O2381*M2381)</f>
        <v>0</v>
      </c>
      <c r="M2381" s="108">
        <v>1</v>
      </c>
      <c r="N2381" s="95">
        <v>1</v>
      </c>
      <c r="O2381" s="109">
        <f>IF(Key!D$1="ON",P2381,IF(SUM(Q2381:DL2381)&lt;1,"",SUM(Q2381:DL2381)/COUNTIF(Q2381:DL2381,"&gt;0")))</f>
        <v>0</v>
      </c>
      <c r="P2381" s="109">
        <f>SUMIFS(Q2381:DK2381,Q$1:DK$1,Dashboard!$K$31)</f>
        <v>0</v>
      </c>
      <c r="U2381" s="95">
        <v>33</v>
      </c>
      <c r="AA2381" s="95">
        <v>25</v>
      </c>
      <c r="AH2381" s="95">
        <v>75</v>
      </c>
    </row>
    <row r="2382" spans="1:34" x14ac:dyDescent="0.3">
      <c r="A2382" s="89" t="str">
        <f>CONCATENATE(D2382,".",F2382,"-",G2382,".",H2382,"")</f>
        <v>2.4-1.1</v>
      </c>
      <c r="B2382" s="89" t="str">
        <f>IF(CONCATENATE(I2382,Key!F$2)=CONCATENATE(INDEX(Dashboard!J:J,MATCH(I2382,Dashboard!J:J,0),1),INDEX(Dashboard!J:K,MATCH(I2382,Dashboard!J:J,0),2)),"ON",IF(Dashboard!K$32="ALL","ON","-"))</f>
        <v>-</v>
      </c>
      <c r="C2382" s="88" t="s">
        <v>152</v>
      </c>
      <c r="D2382" s="89">
        <f>IF(C2382="ID",1,(IF(C2382="PR",2,(IF(C2382="DE",3,(IF(C2382="RS",4,(IF(C2382="RC",5,0)))))))))</f>
        <v>2</v>
      </c>
      <c r="E2382" s="89" t="s">
        <v>228</v>
      </c>
      <c r="F2382" s="89">
        <f>IF(E2382="AM",1,(IF(E2382="BE",2,(IF(E2382="GV",3,(IF(E2382="RA",4,(IF(E2382="RM",5,(IF(E2382="AC",1,(IF(E2382="AT",2,(IF(E2382="DS",3,(IF(E2382="IP",4,(IF(E2382="MA",5,(IF(E2382="PT",6,(IF(E2382="AE",1,(IF(E2382="CM",2,(IF(E2382="DP",3,(IF(E2382="AN",1,(IF(E2382="CO",2,(IF(E2382="IM",3,(IF(E2382="MI",4,(IF(E2382="RP",5,(IF(E2382="SC",6,0)))))))))))))))))))))))))))))))))))))))</f>
        <v>4</v>
      </c>
      <c r="G2382" s="52">
        <v>1</v>
      </c>
      <c r="H2382" s="90" t="s">
        <v>115</v>
      </c>
      <c r="I2382" s="94" t="s">
        <v>77</v>
      </c>
      <c r="J2382" s="87" t="s">
        <v>1495</v>
      </c>
      <c r="K2382" s="102" t="s">
        <v>2469</v>
      </c>
      <c r="L2382" s="117">
        <f>IF(O2382="","",N2382*O2382*M2382)</f>
        <v>0</v>
      </c>
      <c r="M2382" s="108">
        <v>1</v>
      </c>
      <c r="N2382" s="95">
        <v>1</v>
      </c>
      <c r="O2382" s="109">
        <f>IF(Key!D$1="ON",P2382,IF(SUM(Q2382:DL2382)&lt;1,"",SUM(Q2382:DL2382)/COUNTIF(Q2382:DL2382,"&gt;0")))</f>
        <v>0</v>
      </c>
      <c r="P2382" s="109">
        <f>SUMIFS(Q2382:DK2382,Q$1:DK$1,Dashboard!$K$31)</f>
        <v>0</v>
      </c>
      <c r="U2382" s="95">
        <v>33</v>
      </c>
      <c r="AA2382" s="95">
        <v>25</v>
      </c>
      <c r="AH2382" s="95">
        <v>75</v>
      </c>
    </row>
    <row r="2383" spans="1:34" x14ac:dyDescent="0.3">
      <c r="A2383" s="89" t="str">
        <f>CONCATENATE(D2383,".",F2383,"-",G2383,".",H2383,"")</f>
        <v>2.4-1.1</v>
      </c>
      <c r="B2383" s="89" t="str">
        <f>IF(CONCATENATE(I2383,Key!F$2)=CONCATENATE(INDEX(Dashboard!J:J,MATCH(I2383,Dashboard!J:J,0),1),INDEX(Dashboard!J:K,MATCH(I2383,Dashboard!J:J,0),2)),"ON",IF(Dashboard!K$32="ALL","ON","-"))</f>
        <v>-</v>
      </c>
      <c r="C2383" s="88" t="s">
        <v>152</v>
      </c>
      <c r="D2383" s="89">
        <f>IF(C2383="ID",1,(IF(C2383="PR",2,(IF(C2383="DE",3,(IF(C2383="RS",4,(IF(C2383="RC",5,0)))))))))</f>
        <v>2</v>
      </c>
      <c r="E2383" s="89" t="s">
        <v>228</v>
      </c>
      <c r="F2383" s="89">
        <f>IF(E2383="AM",1,(IF(E2383="BE",2,(IF(E2383="GV",3,(IF(E2383="RA",4,(IF(E2383="RM",5,(IF(E2383="AC",1,(IF(E2383="AT",2,(IF(E2383="DS",3,(IF(E2383="IP",4,(IF(E2383="MA",5,(IF(E2383="PT",6,(IF(E2383="AE",1,(IF(E2383="CM",2,(IF(E2383="DP",3,(IF(E2383="AN",1,(IF(E2383="CO",2,(IF(E2383="IM",3,(IF(E2383="MI",4,(IF(E2383="RP",5,(IF(E2383="SC",6,0)))))))))))))))))))))))))))))))))))))))</f>
        <v>4</v>
      </c>
      <c r="G2383" s="52">
        <v>1</v>
      </c>
      <c r="H2383" s="90" t="s">
        <v>115</v>
      </c>
      <c r="I2383" s="94" t="s">
        <v>77</v>
      </c>
      <c r="J2383" s="87" t="s">
        <v>1496</v>
      </c>
      <c r="K2383" s="102" t="s">
        <v>2470</v>
      </c>
      <c r="L2383" s="117">
        <f>IF(O2383="","",N2383*O2383*M2383)</f>
        <v>0</v>
      </c>
      <c r="M2383" s="108">
        <v>1</v>
      </c>
      <c r="N2383" s="95">
        <v>1</v>
      </c>
      <c r="O2383" s="109">
        <f>IF(Key!D$1="ON",P2383,IF(SUM(Q2383:DL2383)&lt;1,"",SUM(Q2383:DL2383)/COUNTIF(Q2383:DL2383,"&gt;0")))</f>
        <v>0</v>
      </c>
      <c r="P2383" s="109">
        <f>SUMIFS(Q2383:DK2383,Q$1:DK$1,Dashboard!$K$31)</f>
        <v>0</v>
      </c>
      <c r="U2383" s="95">
        <v>33</v>
      </c>
      <c r="AA2383" s="95">
        <v>25</v>
      </c>
      <c r="AH2383" s="95">
        <v>75</v>
      </c>
    </row>
    <row r="2384" spans="1:34" ht="15.6" x14ac:dyDescent="0.3">
      <c r="A2384" s="89" t="str">
        <f>CONCATENATE(D2384,".",F2384,"-",G2384,".",H2384,"")</f>
        <v>2.4-1.1</v>
      </c>
      <c r="B2384" s="89" t="str">
        <f>IF(CONCATENATE(I2384,Key!F$2)=CONCATENATE(INDEX(Dashboard!J:J,MATCH(I2384,Dashboard!J:J,0),1),INDEX(Dashboard!J:K,MATCH(I2384,Dashboard!J:J,0),2)),"ON",IF(Dashboard!K$32="ALL","ON","-"))</f>
        <v>-</v>
      </c>
      <c r="C2384" s="88" t="s">
        <v>152</v>
      </c>
      <c r="D2384" s="89">
        <f>IF(C2384="ID",1,(IF(C2384="PR",2,(IF(C2384="DE",3,(IF(C2384="RS",4,(IF(C2384="RC",5,0)))))))))</f>
        <v>2</v>
      </c>
      <c r="E2384" s="89" t="s">
        <v>228</v>
      </c>
      <c r="F2384" s="89">
        <f>IF(E2384="AM",1,(IF(E2384="BE",2,(IF(E2384="GV",3,(IF(E2384="RA",4,(IF(E2384="RM",5,(IF(E2384="AC",1,(IF(E2384="AT",2,(IF(E2384="DS",3,(IF(E2384="IP",4,(IF(E2384="MA",5,(IF(E2384="PT",6,(IF(E2384="AE",1,(IF(E2384="CM",2,(IF(E2384="DP",3,(IF(E2384="AN",1,(IF(E2384="CO",2,(IF(E2384="IM",3,(IF(E2384="MI",4,(IF(E2384="RP",5,(IF(E2384="SC",6,0)))))))))))))))))))))))))))))))))))))))</f>
        <v>4</v>
      </c>
      <c r="G2384" s="52">
        <v>1</v>
      </c>
      <c r="H2384" s="90" t="s">
        <v>115</v>
      </c>
      <c r="I2384" s="94" t="s">
        <v>77</v>
      </c>
      <c r="J2384" s="87" t="s">
        <v>1497</v>
      </c>
      <c r="K2384" s="102" t="s">
        <v>2471</v>
      </c>
      <c r="L2384" s="117">
        <f>IF(O2384="","",N2384*O2384*M2384)</f>
        <v>0</v>
      </c>
      <c r="M2384" s="108">
        <v>1</v>
      </c>
      <c r="N2384" s="95">
        <v>1</v>
      </c>
      <c r="O2384" s="109">
        <f>IF(Key!D$1="ON",P2384,IF(SUM(Q2384:DL2384)&lt;1,"",SUM(Q2384:DL2384)/COUNTIF(Q2384:DL2384,"&gt;0")))</f>
        <v>0</v>
      </c>
      <c r="P2384" s="109">
        <f>SUMIFS(Q2384:DK2384,Q$1:DK$1,Dashboard!$K$31)</f>
        <v>0</v>
      </c>
      <c r="U2384" s="95">
        <v>33</v>
      </c>
      <c r="AA2384" s="95">
        <v>25</v>
      </c>
      <c r="AH2384" s="95">
        <v>75</v>
      </c>
    </row>
    <row r="2385" spans="1:34" ht="15.6" x14ac:dyDescent="0.3">
      <c r="A2385" s="89" t="str">
        <f>CONCATENATE(D2385,".",F2385,"-",G2385,".",H2385,"")</f>
        <v>2.4-1.1</v>
      </c>
      <c r="B2385" s="89" t="str">
        <f>IF(CONCATENATE(I2385,Key!F$2)=CONCATENATE(INDEX(Dashboard!J:J,MATCH(I2385,Dashboard!J:J,0),1),INDEX(Dashboard!J:K,MATCH(I2385,Dashboard!J:J,0),2)),"ON",IF(Dashboard!K$32="ALL","ON","-"))</f>
        <v>-</v>
      </c>
      <c r="C2385" s="88" t="s">
        <v>152</v>
      </c>
      <c r="D2385" s="89">
        <f>IF(C2385="ID",1,(IF(C2385="PR",2,(IF(C2385="DE",3,(IF(C2385="RS",4,(IF(C2385="RC",5,0)))))))))</f>
        <v>2</v>
      </c>
      <c r="E2385" s="89" t="s">
        <v>228</v>
      </c>
      <c r="F2385" s="89">
        <f>IF(E2385="AM",1,(IF(E2385="BE",2,(IF(E2385="GV",3,(IF(E2385="RA",4,(IF(E2385="RM",5,(IF(E2385="AC",1,(IF(E2385="AT",2,(IF(E2385="DS",3,(IF(E2385="IP",4,(IF(E2385="MA",5,(IF(E2385="PT",6,(IF(E2385="AE",1,(IF(E2385="CM",2,(IF(E2385="DP",3,(IF(E2385="AN",1,(IF(E2385="CO",2,(IF(E2385="IM",3,(IF(E2385="MI",4,(IF(E2385="RP",5,(IF(E2385="SC",6,0)))))))))))))))))))))))))))))))))))))))</f>
        <v>4</v>
      </c>
      <c r="G2385" s="52">
        <v>1</v>
      </c>
      <c r="H2385" s="90" t="s">
        <v>115</v>
      </c>
      <c r="I2385" s="94" t="s">
        <v>77</v>
      </c>
      <c r="J2385" s="87" t="s">
        <v>1498</v>
      </c>
      <c r="K2385" s="102" t="s">
        <v>2472</v>
      </c>
      <c r="L2385" s="117">
        <f>IF(O2385="","",N2385*O2385*M2385)</f>
        <v>0</v>
      </c>
      <c r="M2385" s="108">
        <v>1</v>
      </c>
      <c r="N2385" s="95">
        <v>1</v>
      </c>
      <c r="O2385" s="109">
        <f>IF(Key!D$1="ON",P2385,IF(SUM(Q2385:DL2385)&lt;1,"",SUM(Q2385:DL2385)/COUNTIF(Q2385:DL2385,"&gt;0")))</f>
        <v>0</v>
      </c>
      <c r="P2385" s="109">
        <f>SUMIFS(Q2385:DK2385,Q$1:DK$1,Dashboard!$K$31)</f>
        <v>0</v>
      </c>
      <c r="U2385" s="95">
        <v>33</v>
      </c>
      <c r="AA2385" s="95">
        <v>25</v>
      </c>
      <c r="AH2385" s="95">
        <v>75</v>
      </c>
    </row>
    <row r="2386" spans="1:34" ht="15.6" x14ac:dyDescent="0.3">
      <c r="A2386" s="89" t="str">
        <f>CONCATENATE(D2386,".",F2386,"-",G2386,".",H2386,"")</f>
        <v>2.4-1.1</v>
      </c>
      <c r="B2386" s="89" t="str">
        <f>IF(CONCATENATE(I2386,Key!F$2)=CONCATENATE(INDEX(Dashboard!J:J,MATCH(I2386,Dashboard!J:J,0),1),INDEX(Dashboard!J:K,MATCH(I2386,Dashboard!J:J,0),2)),"ON",IF(Dashboard!K$32="ALL","ON","-"))</f>
        <v>-</v>
      </c>
      <c r="C2386" s="96" t="s">
        <v>152</v>
      </c>
      <c r="D2386" s="89">
        <f>IF(C2386="ID",1,(IF(C2386="PR",2,(IF(C2386="DE",3,(IF(C2386="RS",4,(IF(C2386="RC",5,0)))))))))</f>
        <v>2</v>
      </c>
      <c r="E2386" s="89" t="s">
        <v>228</v>
      </c>
      <c r="F2386" s="89">
        <f>IF(E2386="AM",1,(IF(E2386="BE",2,(IF(E2386="GV",3,(IF(E2386="RA",4,(IF(E2386="RM",5,(IF(E2386="AC",1,(IF(E2386="AT",2,(IF(E2386="DS",3,(IF(E2386="IP",4,(IF(E2386="MA",5,(IF(E2386="PT",6,(IF(E2386="AE",1,(IF(E2386="CM",2,(IF(E2386="DP",3,(IF(E2386="AN",1,(IF(E2386="CO",2,(IF(E2386="IM",3,(IF(E2386="MI",4,(IF(E2386="RP",5,(IF(E2386="SC",6,0)))))))))))))))))))))))))))))))))))))))</f>
        <v>4</v>
      </c>
      <c r="G2386" s="98">
        <v>1</v>
      </c>
      <c r="H2386" s="90" t="s">
        <v>115</v>
      </c>
      <c r="I2386" s="94" t="s">
        <v>77</v>
      </c>
      <c r="J2386" s="87" t="s">
        <v>1499</v>
      </c>
      <c r="K2386" s="102" t="s">
        <v>2473</v>
      </c>
      <c r="L2386" s="117">
        <f>IF(O2386="","",N2386*O2386*M2386)</f>
        <v>0</v>
      </c>
      <c r="M2386" s="108">
        <v>1</v>
      </c>
      <c r="N2386" s="95">
        <v>1</v>
      </c>
      <c r="O2386" s="109">
        <f>IF(Key!D$1="ON",P2386,IF(SUM(Q2386:DL2386)&lt;1,"",SUM(Q2386:DL2386)/COUNTIF(Q2386:DL2386,"&gt;0")))</f>
        <v>0</v>
      </c>
      <c r="P2386" s="109">
        <f>SUMIFS(Q2386:DK2386,Q$1:DK$1,Dashboard!$K$31)</f>
        <v>0</v>
      </c>
      <c r="U2386" s="95">
        <v>33</v>
      </c>
      <c r="AA2386" s="95">
        <v>25</v>
      </c>
      <c r="AH2386" s="95">
        <v>75</v>
      </c>
    </row>
    <row r="2387" spans="1:34" ht="15.6" x14ac:dyDescent="0.3">
      <c r="A2387" s="89" t="str">
        <f>CONCATENATE(D2387,".",F2387,"-",G2387,".",H2387,"")</f>
        <v>2.4-1.1</v>
      </c>
      <c r="B2387" s="89" t="str">
        <f>IF(CONCATENATE(I2387,Key!F$2)=CONCATENATE(INDEX(Dashboard!J:J,MATCH(I2387,Dashboard!J:J,0),1),INDEX(Dashboard!J:K,MATCH(I2387,Dashboard!J:J,0),2)),"ON",IF(Dashboard!K$32="ALL","ON","-"))</f>
        <v>-</v>
      </c>
      <c r="C2387" s="88" t="s">
        <v>152</v>
      </c>
      <c r="D2387" s="89">
        <f>IF(C2387="ID",1,(IF(C2387="PR",2,(IF(C2387="DE",3,(IF(C2387="RS",4,(IF(C2387="RC",5,0)))))))))</f>
        <v>2</v>
      </c>
      <c r="E2387" s="89" t="s">
        <v>228</v>
      </c>
      <c r="F2387" s="89">
        <f>IF(E2387="AM",1,(IF(E2387="BE",2,(IF(E2387="GV",3,(IF(E2387="RA",4,(IF(E2387="RM",5,(IF(E2387="AC",1,(IF(E2387="AT",2,(IF(E2387="DS",3,(IF(E2387="IP",4,(IF(E2387="MA",5,(IF(E2387="PT",6,(IF(E2387="AE",1,(IF(E2387="CM",2,(IF(E2387="DP",3,(IF(E2387="AN",1,(IF(E2387="CO",2,(IF(E2387="IM",3,(IF(E2387="MI",4,(IF(E2387="RP",5,(IF(E2387="SC",6,0)))))))))))))))))))))))))))))))))))))))</f>
        <v>4</v>
      </c>
      <c r="G2387" s="52">
        <v>1</v>
      </c>
      <c r="H2387" s="90" t="s">
        <v>115</v>
      </c>
      <c r="I2387" s="94" t="s">
        <v>77</v>
      </c>
      <c r="J2387" s="87" t="s">
        <v>1501</v>
      </c>
      <c r="K2387" s="102" t="s">
        <v>2474</v>
      </c>
      <c r="L2387" s="117">
        <f>IF(O2387="","",N2387*O2387*M2387)</f>
        <v>0</v>
      </c>
      <c r="M2387" s="108">
        <v>1</v>
      </c>
      <c r="N2387" s="95">
        <v>1</v>
      </c>
      <c r="O2387" s="109">
        <f>IF(Key!D$1="ON",P2387,IF(SUM(Q2387:DL2387)&lt;1,"",SUM(Q2387:DL2387)/COUNTIF(Q2387:DL2387,"&gt;0")))</f>
        <v>0</v>
      </c>
      <c r="P2387" s="109">
        <f>SUMIFS(Q2387:DK2387,Q$1:DK$1,Dashboard!$K$31)</f>
        <v>0</v>
      </c>
      <c r="U2387" s="95">
        <v>33</v>
      </c>
      <c r="AA2387" s="95">
        <v>25</v>
      </c>
      <c r="AH2387" s="95">
        <v>75</v>
      </c>
    </row>
    <row r="2388" spans="1:34" ht="15.6" x14ac:dyDescent="0.3">
      <c r="A2388" s="89" t="str">
        <f>CONCATENATE(D2388,".",F2388,"-",G2388,".",H2388,"")</f>
        <v>2.4-1.1</v>
      </c>
      <c r="B2388" s="89" t="str">
        <f>IF(CONCATENATE(I2388,Key!F$2)=CONCATENATE(INDEX(Dashboard!J:J,MATCH(I2388,Dashboard!J:J,0),1),INDEX(Dashboard!J:K,MATCH(I2388,Dashboard!J:J,0),2)),"ON",IF(Dashboard!K$32="ALL","ON","-"))</f>
        <v>-</v>
      </c>
      <c r="C2388" s="88" t="s">
        <v>152</v>
      </c>
      <c r="D2388" s="89">
        <f>IF(C2388="ID",1,(IF(C2388="PR",2,(IF(C2388="DE",3,(IF(C2388="RS",4,(IF(C2388="RC",5,0)))))))))</f>
        <v>2</v>
      </c>
      <c r="E2388" s="89" t="s">
        <v>228</v>
      </c>
      <c r="F2388" s="89">
        <f>IF(E2388="AM",1,(IF(E2388="BE",2,(IF(E2388="GV",3,(IF(E2388="RA",4,(IF(E2388="RM",5,(IF(E2388="AC",1,(IF(E2388="AT",2,(IF(E2388="DS",3,(IF(E2388="IP",4,(IF(E2388="MA",5,(IF(E2388="PT",6,(IF(E2388="AE",1,(IF(E2388="CM",2,(IF(E2388="DP",3,(IF(E2388="AN",1,(IF(E2388="CO",2,(IF(E2388="IM",3,(IF(E2388="MI",4,(IF(E2388="RP",5,(IF(E2388="SC",6,0)))))))))))))))))))))))))))))))))))))))</f>
        <v>4</v>
      </c>
      <c r="G2388" s="52">
        <v>1</v>
      </c>
      <c r="H2388" s="90" t="s">
        <v>115</v>
      </c>
      <c r="I2388" s="94" t="s">
        <v>77</v>
      </c>
      <c r="J2388" s="87" t="s">
        <v>1502</v>
      </c>
      <c r="K2388" s="102" t="s">
        <v>2475</v>
      </c>
      <c r="L2388" s="117">
        <f>IF(O2388="","",N2388*O2388*M2388)</f>
        <v>0</v>
      </c>
      <c r="M2388" s="108">
        <v>1</v>
      </c>
      <c r="N2388" s="95">
        <v>1</v>
      </c>
      <c r="O2388" s="109">
        <f>IF(Key!D$1="ON",P2388,IF(SUM(Q2388:DL2388)&lt;1,"",SUM(Q2388:DL2388)/COUNTIF(Q2388:DL2388,"&gt;0")))</f>
        <v>0</v>
      </c>
      <c r="P2388" s="109">
        <f>SUMIFS(Q2388:DK2388,Q$1:DK$1,Dashboard!$K$31)</f>
        <v>0</v>
      </c>
      <c r="U2388" s="95">
        <v>33</v>
      </c>
      <c r="AA2388" s="95">
        <v>25</v>
      </c>
      <c r="AH2388" s="95">
        <v>75</v>
      </c>
    </row>
    <row r="2389" spans="1:34" ht="15.6" x14ac:dyDescent="0.3">
      <c r="A2389" s="89" t="str">
        <f>CONCATENATE(D2389,".",F2389,"-",G2389,".",H2389,"")</f>
        <v>2.4-1.1</v>
      </c>
      <c r="B2389" s="89" t="str">
        <f>IF(CONCATENATE(I2389,Key!F$2)=CONCATENATE(INDEX(Dashboard!J:J,MATCH(I2389,Dashboard!J:J,0),1),INDEX(Dashboard!J:K,MATCH(I2389,Dashboard!J:J,0),2)),"ON",IF(Dashboard!K$32="ALL","ON","-"))</f>
        <v>-</v>
      </c>
      <c r="C2389" s="96" t="s">
        <v>152</v>
      </c>
      <c r="D2389" s="89">
        <f>IF(C2389="ID",1,(IF(C2389="PR",2,(IF(C2389="DE",3,(IF(C2389="RS",4,(IF(C2389="RC",5,0)))))))))</f>
        <v>2</v>
      </c>
      <c r="E2389" s="89" t="s">
        <v>228</v>
      </c>
      <c r="F2389" s="89">
        <f>IF(E2389="AM",1,(IF(E2389="BE",2,(IF(E2389="GV",3,(IF(E2389="RA",4,(IF(E2389="RM",5,(IF(E2389="AC",1,(IF(E2389="AT",2,(IF(E2389="DS",3,(IF(E2389="IP",4,(IF(E2389="MA",5,(IF(E2389="PT",6,(IF(E2389="AE",1,(IF(E2389="CM",2,(IF(E2389="DP",3,(IF(E2389="AN",1,(IF(E2389="CO",2,(IF(E2389="IM",3,(IF(E2389="MI",4,(IF(E2389="RP",5,(IF(E2389="SC",6,0)))))))))))))))))))))))))))))))))))))))</f>
        <v>4</v>
      </c>
      <c r="G2389" s="98">
        <v>1</v>
      </c>
      <c r="H2389" s="90" t="s">
        <v>115</v>
      </c>
      <c r="I2389" s="94" t="s">
        <v>77</v>
      </c>
      <c r="J2389" s="87" t="s">
        <v>1503</v>
      </c>
      <c r="K2389" s="102" t="s">
        <v>2476</v>
      </c>
      <c r="L2389" s="117">
        <f>IF(O2389="","",N2389*O2389*M2389)</f>
        <v>0</v>
      </c>
      <c r="M2389" s="108">
        <v>1</v>
      </c>
      <c r="N2389" s="95">
        <v>1</v>
      </c>
      <c r="O2389" s="109">
        <f>IF(Key!D$1="ON",P2389,IF(SUM(Q2389:DL2389)&lt;1,"",SUM(Q2389:DL2389)/COUNTIF(Q2389:DL2389,"&gt;0")))</f>
        <v>0</v>
      </c>
      <c r="P2389" s="109">
        <f>SUMIFS(Q2389:DK2389,Q$1:DK$1,Dashboard!$K$31)</f>
        <v>0</v>
      </c>
      <c r="U2389" s="95">
        <v>33</v>
      </c>
      <c r="AA2389" s="95">
        <v>25</v>
      </c>
      <c r="AH2389" s="95">
        <v>75</v>
      </c>
    </row>
    <row r="2390" spans="1:34" x14ac:dyDescent="0.3">
      <c r="A2390" s="89" t="str">
        <f>CONCATENATE(D2390,".",F2390,"-",G2390,".",H2390,"")</f>
        <v>2.4-1.1</v>
      </c>
      <c r="B2390" s="89" t="str">
        <f>IF(CONCATENATE(I2390,Key!F$2)=CONCATENATE(INDEX(Dashboard!J:J,MATCH(I2390,Dashboard!J:J,0),1),INDEX(Dashboard!J:K,MATCH(I2390,Dashboard!J:J,0),2)),"ON",IF(Dashboard!K$32="ALL","ON","-"))</f>
        <v>-</v>
      </c>
      <c r="C2390" s="88" t="s">
        <v>152</v>
      </c>
      <c r="D2390" s="89">
        <f>IF(C2390="ID",1,(IF(C2390="PR",2,(IF(C2390="DE",3,(IF(C2390="RS",4,(IF(C2390="RC",5,0)))))))))</f>
        <v>2</v>
      </c>
      <c r="E2390" s="89" t="s">
        <v>228</v>
      </c>
      <c r="F2390" s="89">
        <f>IF(E2390="AM",1,(IF(E2390="BE",2,(IF(E2390="GV",3,(IF(E2390="RA",4,(IF(E2390="RM",5,(IF(E2390="AC",1,(IF(E2390="AT",2,(IF(E2390="DS",3,(IF(E2390="IP",4,(IF(E2390="MA",5,(IF(E2390="PT",6,(IF(E2390="AE",1,(IF(E2390="CM",2,(IF(E2390="DP",3,(IF(E2390="AN",1,(IF(E2390="CO",2,(IF(E2390="IM",3,(IF(E2390="MI",4,(IF(E2390="RP",5,(IF(E2390="SC",6,0)))))))))))))))))))))))))))))))))))))))</f>
        <v>4</v>
      </c>
      <c r="G2390" s="52">
        <v>1</v>
      </c>
      <c r="H2390" s="90" t="s">
        <v>115</v>
      </c>
      <c r="I2390" s="94" t="s">
        <v>77</v>
      </c>
      <c r="J2390" s="87" t="s">
        <v>1505</v>
      </c>
      <c r="K2390" s="102" t="s">
        <v>2477</v>
      </c>
      <c r="L2390" s="117">
        <f>IF(O2390="","",N2390*O2390*M2390)</f>
        <v>0</v>
      </c>
      <c r="M2390" s="108">
        <v>1</v>
      </c>
      <c r="N2390" s="95">
        <v>1</v>
      </c>
      <c r="O2390" s="109">
        <f>IF(Key!D$1="ON",P2390,IF(SUM(Q2390:DL2390)&lt;1,"",SUM(Q2390:DL2390)/COUNTIF(Q2390:DL2390,"&gt;0")))</f>
        <v>0</v>
      </c>
      <c r="P2390" s="109">
        <f>SUMIFS(Q2390:DK2390,Q$1:DK$1,Dashboard!$K$31)</f>
        <v>0</v>
      </c>
      <c r="U2390" s="95">
        <v>33</v>
      </c>
      <c r="AA2390" s="95">
        <v>25</v>
      </c>
      <c r="AH2390" s="95">
        <v>75</v>
      </c>
    </row>
    <row r="2391" spans="1:34" ht="15.6" x14ac:dyDescent="0.3">
      <c r="A2391" s="89" t="str">
        <f>CONCATENATE(D2391,".",F2391,"-",G2391,".",H2391,"")</f>
        <v>2.4-1.1</v>
      </c>
      <c r="B2391" s="89" t="str">
        <f>IF(CONCATENATE(I2391,Key!F$2)=CONCATENATE(INDEX(Dashboard!J:J,MATCH(I2391,Dashboard!J:J,0),1),INDEX(Dashboard!J:K,MATCH(I2391,Dashboard!J:J,0),2)),"ON",IF(Dashboard!K$32="ALL","ON","-"))</f>
        <v>-</v>
      </c>
      <c r="C2391" s="88" t="s">
        <v>152</v>
      </c>
      <c r="D2391" s="89">
        <f>IF(C2391="ID",1,(IF(C2391="PR",2,(IF(C2391="DE",3,(IF(C2391="RS",4,(IF(C2391="RC",5,0)))))))))</f>
        <v>2</v>
      </c>
      <c r="E2391" s="89" t="s">
        <v>228</v>
      </c>
      <c r="F2391" s="89">
        <f>IF(E2391="AM",1,(IF(E2391="BE",2,(IF(E2391="GV",3,(IF(E2391="RA",4,(IF(E2391="RM",5,(IF(E2391="AC",1,(IF(E2391="AT",2,(IF(E2391="DS",3,(IF(E2391="IP",4,(IF(E2391="MA",5,(IF(E2391="PT",6,(IF(E2391="AE",1,(IF(E2391="CM",2,(IF(E2391="DP",3,(IF(E2391="AN",1,(IF(E2391="CO",2,(IF(E2391="IM",3,(IF(E2391="MI",4,(IF(E2391="RP",5,(IF(E2391="SC",6,0)))))))))))))))))))))))))))))))))))))))</f>
        <v>4</v>
      </c>
      <c r="G2391" s="52">
        <v>1</v>
      </c>
      <c r="H2391" s="90" t="s">
        <v>115</v>
      </c>
      <c r="I2391" s="94" t="s">
        <v>77</v>
      </c>
      <c r="J2391" s="87" t="s">
        <v>1506</v>
      </c>
      <c r="K2391" s="102" t="s">
        <v>2478</v>
      </c>
      <c r="L2391" s="117">
        <f>IF(O2391="","",N2391*O2391*M2391)</f>
        <v>0</v>
      </c>
      <c r="M2391" s="108">
        <v>1</v>
      </c>
      <c r="N2391" s="95">
        <v>1</v>
      </c>
      <c r="O2391" s="109">
        <f>IF(Key!D$1="ON",P2391,IF(SUM(Q2391:DL2391)&lt;1,"",SUM(Q2391:DL2391)/COUNTIF(Q2391:DL2391,"&gt;0")))</f>
        <v>0</v>
      </c>
      <c r="P2391" s="109">
        <f>SUMIFS(Q2391:DK2391,Q$1:DK$1,Dashboard!$K$31)</f>
        <v>0</v>
      </c>
      <c r="U2391" s="95">
        <v>33</v>
      </c>
      <c r="AA2391" s="95">
        <v>25</v>
      </c>
      <c r="AH2391" s="95">
        <v>75</v>
      </c>
    </row>
    <row r="2392" spans="1:34" x14ac:dyDescent="0.3">
      <c r="A2392" s="89" t="str">
        <f>CONCATENATE(D2392,".",F2392,"-",G2392,".",H2392,"")</f>
        <v>2.4-1.1</v>
      </c>
      <c r="B2392" s="89" t="str">
        <f>IF(CONCATENATE(I2392,Key!F$2)=CONCATENATE(INDEX(Dashboard!J:J,MATCH(I2392,Dashboard!J:J,0),1),INDEX(Dashboard!J:K,MATCH(I2392,Dashboard!J:J,0),2)),"ON",IF(Dashboard!K$32="ALL","ON","-"))</f>
        <v>-</v>
      </c>
      <c r="C2392" s="88" t="s">
        <v>152</v>
      </c>
      <c r="D2392" s="89">
        <f>IF(C2392="ID",1,(IF(C2392="PR",2,(IF(C2392="DE",3,(IF(C2392="RS",4,(IF(C2392="RC",5,0)))))))))</f>
        <v>2</v>
      </c>
      <c r="E2392" s="89" t="s">
        <v>228</v>
      </c>
      <c r="F2392" s="89">
        <f>IF(E2392="AM",1,(IF(E2392="BE",2,(IF(E2392="GV",3,(IF(E2392="RA",4,(IF(E2392="RM",5,(IF(E2392="AC",1,(IF(E2392="AT",2,(IF(E2392="DS",3,(IF(E2392="IP",4,(IF(E2392="MA",5,(IF(E2392="PT",6,(IF(E2392="AE",1,(IF(E2392="CM",2,(IF(E2392="DP",3,(IF(E2392="AN",1,(IF(E2392="CO",2,(IF(E2392="IM",3,(IF(E2392="MI",4,(IF(E2392="RP",5,(IF(E2392="SC",6,0)))))))))))))))))))))))))))))))))))))))</f>
        <v>4</v>
      </c>
      <c r="G2392" s="52">
        <v>1</v>
      </c>
      <c r="H2392" s="90" t="s">
        <v>115</v>
      </c>
      <c r="I2392" s="94" t="s">
        <v>77</v>
      </c>
      <c r="J2392" s="87" t="s">
        <v>1507</v>
      </c>
      <c r="K2392" s="102" t="s">
        <v>2479</v>
      </c>
      <c r="L2392" s="117">
        <f>IF(O2392="","",N2392*O2392*M2392)</f>
        <v>0</v>
      </c>
      <c r="M2392" s="108">
        <v>1</v>
      </c>
      <c r="N2392" s="95">
        <v>1</v>
      </c>
      <c r="O2392" s="109">
        <f>IF(Key!D$1="ON",P2392,IF(SUM(Q2392:DL2392)&lt;1,"",SUM(Q2392:DL2392)/COUNTIF(Q2392:DL2392,"&gt;0")))</f>
        <v>0</v>
      </c>
      <c r="P2392" s="109">
        <f>SUMIFS(Q2392:DK2392,Q$1:DK$1,Dashboard!$K$31)</f>
        <v>0</v>
      </c>
      <c r="U2392" s="95">
        <v>33</v>
      </c>
      <c r="AA2392" s="95">
        <v>25</v>
      </c>
      <c r="AH2392" s="95">
        <v>75</v>
      </c>
    </row>
    <row r="2393" spans="1:34" ht="15.6" x14ac:dyDescent="0.3">
      <c r="A2393" s="89" t="str">
        <f>CONCATENATE(D2393,".",F2393,"-",G2393,".",H2393,"")</f>
        <v>2.4-1.1</v>
      </c>
      <c r="B2393" s="89" t="str">
        <f>IF(CONCATENATE(I2393,Key!F$2)=CONCATENATE(INDEX(Dashboard!J:J,MATCH(I2393,Dashboard!J:J,0),1),INDEX(Dashboard!J:K,MATCH(I2393,Dashboard!J:J,0),2)),"ON",IF(Dashboard!K$32="ALL","ON","-"))</f>
        <v>-</v>
      </c>
      <c r="C2393" s="88" t="s">
        <v>152</v>
      </c>
      <c r="D2393" s="89">
        <f>IF(C2393="ID",1,(IF(C2393="PR",2,(IF(C2393="DE",3,(IF(C2393="RS",4,(IF(C2393="RC",5,0)))))))))</f>
        <v>2</v>
      </c>
      <c r="E2393" s="89" t="s">
        <v>228</v>
      </c>
      <c r="F2393" s="89">
        <f>IF(E2393="AM",1,(IF(E2393="BE",2,(IF(E2393="GV",3,(IF(E2393="RA",4,(IF(E2393="RM",5,(IF(E2393="AC",1,(IF(E2393="AT",2,(IF(E2393="DS",3,(IF(E2393="IP",4,(IF(E2393="MA",5,(IF(E2393="PT",6,(IF(E2393="AE",1,(IF(E2393="CM",2,(IF(E2393="DP",3,(IF(E2393="AN",1,(IF(E2393="CO",2,(IF(E2393="IM",3,(IF(E2393="MI",4,(IF(E2393="RP",5,(IF(E2393="SC",6,0)))))))))))))))))))))))))))))))))))))))</f>
        <v>4</v>
      </c>
      <c r="G2393" s="52">
        <v>1</v>
      </c>
      <c r="H2393" s="90" t="s">
        <v>115</v>
      </c>
      <c r="I2393" s="94" t="s">
        <v>77</v>
      </c>
      <c r="J2393" s="87" t="s">
        <v>1508</v>
      </c>
      <c r="K2393" s="102" t="s">
        <v>2480</v>
      </c>
      <c r="L2393" s="117">
        <f>IF(O2393="","",N2393*O2393*M2393)</f>
        <v>0</v>
      </c>
      <c r="M2393" s="108">
        <v>1</v>
      </c>
      <c r="N2393" s="95">
        <v>1</v>
      </c>
      <c r="O2393" s="109">
        <f>IF(Key!D$1="ON",P2393,IF(SUM(Q2393:DL2393)&lt;1,"",SUM(Q2393:DL2393)/COUNTIF(Q2393:DL2393,"&gt;0")))</f>
        <v>0</v>
      </c>
      <c r="P2393" s="109">
        <f>SUMIFS(Q2393:DK2393,Q$1:DK$1,Dashboard!$K$31)</f>
        <v>0</v>
      </c>
      <c r="U2393" s="95">
        <v>33</v>
      </c>
      <c r="AA2393" s="95">
        <v>25</v>
      </c>
      <c r="AH2393" s="95">
        <v>75</v>
      </c>
    </row>
    <row r="2394" spans="1:34" x14ac:dyDescent="0.3">
      <c r="A2394" s="89" t="str">
        <f>CONCATENATE(D2394,".",F2394,"-",G2394,".",H2394,"")</f>
        <v>2.4-1.1</v>
      </c>
      <c r="B2394" s="89" t="str">
        <f>IF(CONCATENATE(I2394,Key!F$2)=CONCATENATE(INDEX(Dashboard!J:J,MATCH(I2394,Dashboard!J:J,0),1),INDEX(Dashboard!J:K,MATCH(I2394,Dashboard!J:J,0),2)),"ON",IF(Dashboard!K$32="ALL","ON","-"))</f>
        <v>-</v>
      </c>
      <c r="C2394" s="88" t="s">
        <v>152</v>
      </c>
      <c r="D2394" s="89">
        <f>IF(C2394="ID",1,(IF(C2394="PR",2,(IF(C2394="DE",3,(IF(C2394="RS",4,(IF(C2394="RC",5,0)))))))))</f>
        <v>2</v>
      </c>
      <c r="E2394" s="89" t="s">
        <v>228</v>
      </c>
      <c r="F2394" s="89">
        <f>IF(E2394="AM",1,(IF(E2394="BE",2,(IF(E2394="GV",3,(IF(E2394="RA",4,(IF(E2394="RM",5,(IF(E2394="AC",1,(IF(E2394="AT",2,(IF(E2394="DS",3,(IF(E2394="IP",4,(IF(E2394="MA",5,(IF(E2394="PT",6,(IF(E2394="AE",1,(IF(E2394="CM",2,(IF(E2394="DP",3,(IF(E2394="AN",1,(IF(E2394="CO",2,(IF(E2394="IM",3,(IF(E2394="MI",4,(IF(E2394="RP",5,(IF(E2394="SC",6,0)))))))))))))))))))))))))))))))))))))))</f>
        <v>4</v>
      </c>
      <c r="G2394" s="52">
        <v>1</v>
      </c>
      <c r="H2394" s="90" t="s">
        <v>115</v>
      </c>
      <c r="I2394" s="94" t="s">
        <v>77</v>
      </c>
      <c r="J2394" s="87" t="s">
        <v>1509</v>
      </c>
      <c r="K2394" s="102" t="s">
        <v>2481</v>
      </c>
      <c r="L2394" s="117">
        <f>IF(O2394="","",N2394*O2394*M2394)</f>
        <v>0</v>
      </c>
      <c r="M2394" s="108">
        <v>1</v>
      </c>
      <c r="N2394" s="95">
        <v>1</v>
      </c>
      <c r="O2394" s="109">
        <f>IF(Key!D$1="ON",P2394,IF(SUM(Q2394:DL2394)&lt;1,"",SUM(Q2394:DL2394)/COUNTIF(Q2394:DL2394,"&gt;0")))</f>
        <v>0</v>
      </c>
      <c r="P2394" s="109">
        <f>SUMIFS(Q2394:DK2394,Q$1:DK$1,Dashboard!$K$31)</f>
        <v>0</v>
      </c>
      <c r="U2394" s="95">
        <v>33</v>
      </c>
      <c r="AA2394" s="95">
        <v>25</v>
      </c>
      <c r="AH2394" s="95">
        <v>75</v>
      </c>
    </row>
    <row r="2395" spans="1:34" ht="15.6" x14ac:dyDescent="0.3">
      <c r="A2395" s="89" t="str">
        <f>CONCATENATE(D2395,".",F2395,"-",G2395,".",H2395,"")</f>
        <v>2.4-1.1</v>
      </c>
      <c r="B2395" s="89" t="str">
        <f>IF(CONCATENATE(I2395,Key!F$2)=CONCATENATE(INDEX(Dashboard!J:J,MATCH(I2395,Dashboard!J:J,0),1),INDEX(Dashboard!J:K,MATCH(I2395,Dashboard!J:J,0),2)),"ON",IF(Dashboard!K$32="ALL","ON","-"))</f>
        <v>-</v>
      </c>
      <c r="C2395" s="88" t="s">
        <v>152</v>
      </c>
      <c r="D2395" s="89">
        <f>IF(C2395="ID",1,(IF(C2395="PR",2,(IF(C2395="DE",3,(IF(C2395="RS",4,(IF(C2395="RC",5,0)))))))))</f>
        <v>2</v>
      </c>
      <c r="E2395" s="89" t="s">
        <v>228</v>
      </c>
      <c r="F2395" s="89">
        <f>IF(E2395="AM",1,(IF(E2395="BE",2,(IF(E2395="GV",3,(IF(E2395="RA",4,(IF(E2395="RM",5,(IF(E2395="AC",1,(IF(E2395="AT",2,(IF(E2395="DS",3,(IF(E2395="IP",4,(IF(E2395="MA",5,(IF(E2395="PT",6,(IF(E2395="AE",1,(IF(E2395="CM",2,(IF(E2395="DP",3,(IF(E2395="AN",1,(IF(E2395="CO",2,(IF(E2395="IM",3,(IF(E2395="MI",4,(IF(E2395="RP",5,(IF(E2395="SC",6,0)))))))))))))))))))))))))))))))))))))))</f>
        <v>4</v>
      </c>
      <c r="G2395" s="52">
        <v>1</v>
      </c>
      <c r="H2395" s="90" t="s">
        <v>115</v>
      </c>
      <c r="I2395" s="94" t="s">
        <v>77</v>
      </c>
      <c r="J2395" s="87" t="s">
        <v>1361</v>
      </c>
      <c r="K2395" s="102" t="s">
        <v>2360</v>
      </c>
      <c r="L2395" s="117">
        <f>IF(O2395="","",N2395*O2395*M2395)</f>
        <v>0</v>
      </c>
      <c r="M2395" s="108">
        <v>1</v>
      </c>
      <c r="N2395" s="95">
        <v>1</v>
      </c>
      <c r="O2395" s="109">
        <f>IF(Key!D$1="ON",P2395,IF(SUM(Q2395:DL2395)&lt;1,"",SUM(Q2395:DL2395)/COUNTIF(Q2395:DL2395,"&gt;0")))</f>
        <v>0</v>
      </c>
      <c r="P2395" s="109">
        <f>SUMIFS(Q2395:DK2395,Q$1:DK$1,Dashboard!$K$31)</f>
        <v>0</v>
      </c>
      <c r="U2395" s="95">
        <v>33</v>
      </c>
      <c r="AA2395" s="95">
        <v>25</v>
      </c>
      <c r="AH2395" s="95">
        <v>75</v>
      </c>
    </row>
    <row r="2396" spans="1:34" ht="15.6" x14ac:dyDescent="0.3">
      <c r="A2396" s="89" t="str">
        <f>CONCATENATE(D2396,".",F2396,"-",G2396,".",H2396,"")</f>
        <v>2.4-1.1</v>
      </c>
      <c r="B2396" s="89" t="str">
        <f>IF(CONCATENATE(I2396,Key!F$2)=CONCATENATE(INDEX(Dashboard!J:J,MATCH(I2396,Dashboard!J:J,0),1),INDEX(Dashboard!J:K,MATCH(I2396,Dashboard!J:J,0),2)),"ON",IF(Dashboard!K$32="ALL","ON","-"))</f>
        <v>-</v>
      </c>
      <c r="C2396" s="96" t="s">
        <v>152</v>
      </c>
      <c r="D2396" s="89">
        <f>IF(C2396="ID",1,(IF(C2396="PR",2,(IF(C2396="DE",3,(IF(C2396="RS",4,(IF(C2396="RC",5,0)))))))))</f>
        <v>2</v>
      </c>
      <c r="E2396" s="89" t="s">
        <v>228</v>
      </c>
      <c r="F2396" s="89">
        <f>IF(E2396="AM",1,(IF(E2396="BE",2,(IF(E2396="GV",3,(IF(E2396="RA",4,(IF(E2396="RM",5,(IF(E2396="AC",1,(IF(E2396="AT",2,(IF(E2396="DS",3,(IF(E2396="IP",4,(IF(E2396="MA",5,(IF(E2396="PT",6,(IF(E2396="AE",1,(IF(E2396="CM",2,(IF(E2396="DP",3,(IF(E2396="AN",1,(IF(E2396="CO",2,(IF(E2396="IM",3,(IF(E2396="MI",4,(IF(E2396="RP",5,(IF(E2396="SC",6,0)))))))))))))))))))))))))))))))))))))))</f>
        <v>4</v>
      </c>
      <c r="G2396" s="98">
        <v>1</v>
      </c>
      <c r="H2396" s="90" t="s">
        <v>115</v>
      </c>
      <c r="I2396" s="94" t="s">
        <v>77</v>
      </c>
      <c r="J2396" s="87" t="s">
        <v>1510</v>
      </c>
      <c r="K2396" s="102" t="s">
        <v>2482</v>
      </c>
      <c r="L2396" s="117">
        <f>IF(O2396="","",N2396*O2396*M2396)</f>
        <v>0</v>
      </c>
      <c r="M2396" s="108">
        <v>1</v>
      </c>
      <c r="N2396" s="95">
        <v>1</v>
      </c>
      <c r="O2396" s="109">
        <f>IF(Key!D$1="ON",P2396,IF(SUM(Q2396:DL2396)&lt;1,"",SUM(Q2396:DL2396)/COUNTIF(Q2396:DL2396,"&gt;0")))</f>
        <v>0</v>
      </c>
      <c r="P2396" s="109">
        <f>SUMIFS(Q2396:DK2396,Q$1:DK$1,Dashboard!$K$31)</f>
        <v>0</v>
      </c>
      <c r="U2396" s="95">
        <v>33</v>
      </c>
      <c r="AA2396" s="95">
        <v>25</v>
      </c>
      <c r="AH2396" s="95">
        <v>75</v>
      </c>
    </row>
    <row r="2397" spans="1:34" ht="15.6" x14ac:dyDescent="0.3">
      <c r="A2397" s="89" t="str">
        <f>CONCATENATE(D2397,".",F2397,"-",G2397,".",H2397,"")</f>
        <v>2.4-1.1</v>
      </c>
      <c r="B2397" s="89" t="str">
        <f>IF(CONCATENATE(I2397,Key!F$2)=CONCATENATE(INDEX(Dashboard!J:J,MATCH(I2397,Dashboard!J:J,0),1),INDEX(Dashboard!J:K,MATCH(I2397,Dashboard!J:J,0),2)),"ON",IF(Dashboard!K$32="ALL","ON","-"))</f>
        <v>-</v>
      </c>
      <c r="C2397" s="88" t="s">
        <v>152</v>
      </c>
      <c r="D2397" s="89">
        <f>IF(C2397="ID",1,(IF(C2397="PR",2,(IF(C2397="DE",3,(IF(C2397="RS",4,(IF(C2397="RC",5,0)))))))))</f>
        <v>2</v>
      </c>
      <c r="E2397" s="89" t="s">
        <v>228</v>
      </c>
      <c r="F2397" s="89">
        <f>IF(E2397="AM",1,(IF(E2397="BE",2,(IF(E2397="GV",3,(IF(E2397="RA",4,(IF(E2397="RM",5,(IF(E2397="AC",1,(IF(E2397="AT",2,(IF(E2397="DS",3,(IF(E2397="IP",4,(IF(E2397="MA",5,(IF(E2397="PT",6,(IF(E2397="AE",1,(IF(E2397="CM",2,(IF(E2397="DP",3,(IF(E2397="AN",1,(IF(E2397="CO",2,(IF(E2397="IM",3,(IF(E2397="MI",4,(IF(E2397="RP",5,(IF(E2397="SC",6,0)))))))))))))))))))))))))))))))))))))))</f>
        <v>4</v>
      </c>
      <c r="G2397" s="52">
        <v>1</v>
      </c>
      <c r="H2397" s="90" t="s">
        <v>115</v>
      </c>
      <c r="I2397" s="94" t="s">
        <v>77</v>
      </c>
      <c r="J2397" s="87" t="s">
        <v>1512</v>
      </c>
      <c r="K2397" s="102" t="s">
        <v>2483</v>
      </c>
      <c r="L2397" s="117">
        <f>IF(O2397="","",N2397*O2397*M2397)</f>
        <v>0</v>
      </c>
      <c r="M2397" s="108">
        <v>1</v>
      </c>
      <c r="N2397" s="95">
        <v>1</v>
      </c>
      <c r="O2397" s="109">
        <f>IF(Key!D$1="ON",P2397,IF(SUM(Q2397:DL2397)&lt;1,"",SUM(Q2397:DL2397)/COUNTIF(Q2397:DL2397,"&gt;0")))</f>
        <v>0</v>
      </c>
      <c r="P2397" s="109">
        <f>SUMIFS(Q2397:DK2397,Q$1:DK$1,Dashboard!$K$31)</f>
        <v>0</v>
      </c>
      <c r="U2397" s="95">
        <v>33</v>
      </c>
      <c r="AA2397" s="95">
        <v>25</v>
      </c>
      <c r="AH2397" s="95">
        <v>75</v>
      </c>
    </row>
    <row r="2398" spans="1:34" ht="15.6" x14ac:dyDescent="0.3">
      <c r="A2398" s="89" t="str">
        <f>CONCATENATE(D2398,".",F2398,"-",G2398,".",H2398,"")</f>
        <v>2.4-1.1</v>
      </c>
      <c r="B2398" s="89" t="str">
        <f>IF(CONCATENATE(I2398,Key!F$2)=CONCATENATE(INDEX(Dashboard!J:J,MATCH(I2398,Dashboard!J:J,0),1),INDEX(Dashboard!J:K,MATCH(I2398,Dashboard!J:J,0),2)),"ON",IF(Dashboard!K$32="ALL","ON","-"))</f>
        <v>-</v>
      </c>
      <c r="C2398" s="96" t="s">
        <v>152</v>
      </c>
      <c r="D2398" s="89">
        <f>IF(C2398="ID",1,(IF(C2398="PR",2,(IF(C2398="DE",3,(IF(C2398="RS",4,(IF(C2398="RC",5,0)))))))))</f>
        <v>2</v>
      </c>
      <c r="E2398" s="89" t="s">
        <v>228</v>
      </c>
      <c r="F2398" s="89">
        <f>IF(E2398="AM",1,(IF(E2398="BE",2,(IF(E2398="GV",3,(IF(E2398="RA",4,(IF(E2398="RM",5,(IF(E2398="AC",1,(IF(E2398="AT",2,(IF(E2398="DS",3,(IF(E2398="IP",4,(IF(E2398="MA",5,(IF(E2398="PT",6,(IF(E2398="AE",1,(IF(E2398="CM",2,(IF(E2398="DP",3,(IF(E2398="AN",1,(IF(E2398="CO",2,(IF(E2398="IM",3,(IF(E2398="MI",4,(IF(E2398="RP",5,(IF(E2398="SC",6,0)))))))))))))))))))))))))))))))))))))))</f>
        <v>4</v>
      </c>
      <c r="G2398" s="98">
        <v>1</v>
      </c>
      <c r="H2398" s="90" t="s">
        <v>115</v>
      </c>
      <c r="I2398" s="94" t="s">
        <v>77</v>
      </c>
      <c r="J2398" s="87" t="s">
        <v>1513</v>
      </c>
      <c r="K2398" s="102" t="s">
        <v>2484</v>
      </c>
      <c r="L2398" s="117">
        <f>IF(O2398="","",N2398*O2398*M2398)</f>
        <v>0</v>
      </c>
      <c r="M2398" s="108">
        <v>1</v>
      </c>
      <c r="N2398" s="95">
        <v>1</v>
      </c>
      <c r="O2398" s="109">
        <f>IF(Key!D$1="ON",P2398,IF(SUM(Q2398:DL2398)&lt;1,"",SUM(Q2398:DL2398)/COUNTIF(Q2398:DL2398,"&gt;0")))</f>
        <v>0</v>
      </c>
      <c r="P2398" s="109">
        <f>SUMIFS(Q2398:DK2398,Q$1:DK$1,Dashboard!$K$31)</f>
        <v>0</v>
      </c>
      <c r="U2398" s="95">
        <v>33</v>
      </c>
      <c r="AA2398" s="95">
        <v>25</v>
      </c>
      <c r="AH2398" s="95">
        <v>75</v>
      </c>
    </row>
    <row r="2399" spans="1:34" ht="15.6" x14ac:dyDescent="0.3">
      <c r="A2399" s="89" t="str">
        <f>CONCATENATE(D2399,".",F2399,"-",G2399,".",H2399,"")</f>
        <v>2.4-1.1</v>
      </c>
      <c r="B2399" s="89" t="str">
        <f>IF(CONCATENATE(I2399,Key!F$2)=CONCATENATE(INDEX(Dashboard!J:J,MATCH(I2399,Dashboard!J:J,0),1),INDEX(Dashboard!J:K,MATCH(I2399,Dashboard!J:J,0),2)),"ON",IF(Dashboard!K$32="ALL","ON","-"))</f>
        <v>-</v>
      </c>
      <c r="C2399" s="88" t="s">
        <v>152</v>
      </c>
      <c r="D2399" s="89">
        <f>IF(C2399="ID",1,(IF(C2399="PR",2,(IF(C2399="DE",3,(IF(C2399="RS",4,(IF(C2399="RC",5,0)))))))))</f>
        <v>2</v>
      </c>
      <c r="E2399" s="89" t="s">
        <v>228</v>
      </c>
      <c r="F2399" s="89">
        <f>IF(E2399="AM",1,(IF(E2399="BE",2,(IF(E2399="GV",3,(IF(E2399="RA",4,(IF(E2399="RM",5,(IF(E2399="AC",1,(IF(E2399="AT",2,(IF(E2399="DS",3,(IF(E2399="IP",4,(IF(E2399="MA",5,(IF(E2399="PT",6,(IF(E2399="AE",1,(IF(E2399="CM",2,(IF(E2399="DP",3,(IF(E2399="AN",1,(IF(E2399="CO",2,(IF(E2399="IM",3,(IF(E2399="MI",4,(IF(E2399="RP",5,(IF(E2399="SC",6,0)))))))))))))))))))))))))))))))))))))))</f>
        <v>4</v>
      </c>
      <c r="G2399" s="52">
        <v>1</v>
      </c>
      <c r="H2399" s="90" t="s">
        <v>115</v>
      </c>
      <c r="I2399" s="94" t="s">
        <v>77</v>
      </c>
      <c r="J2399" s="87" t="s">
        <v>1515</v>
      </c>
      <c r="K2399" s="102" t="s">
        <v>2485</v>
      </c>
      <c r="L2399" s="117">
        <f>IF(O2399="","",N2399*O2399*M2399)</f>
        <v>0</v>
      </c>
      <c r="M2399" s="108">
        <v>1</v>
      </c>
      <c r="N2399" s="95">
        <v>1</v>
      </c>
      <c r="O2399" s="109">
        <f>IF(Key!D$1="ON",P2399,IF(SUM(Q2399:DL2399)&lt;1,"",SUM(Q2399:DL2399)/COUNTIF(Q2399:DL2399,"&gt;0")))</f>
        <v>0</v>
      </c>
      <c r="P2399" s="109">
        <f>SUMIFS(Q2399:DK2399,Q$1:DK$1,Dashboard!$K$31)</f>
        <v>0</v>
      </c>
      <c r="U2399" s="95">
        <v>33</v>
      </c>
      <c r="AA2399" s="95">
        <v>25</v>
      </c>
      <c r="AH2399" s="95">
        <v>75</v>
      </c>
    </row>
    <row r="2400" spans="1:34" x14ac:dyDescent="0.3">
      <c r="A2400" s="89" t="str">
        <f>CONCATENATE(D2400,".",F2400,"-",G2400,".",H2400,"")</f>
        <v>2.4-1.1</v>
      </c>
      <c r="B2400" s="89" t="str">
        <f>IF(CONCATENATE(I2400,Key!F$2)=CONCATENATE(INDEX(Dashboard!J:J,MATCH(I2400,Dashboard!J:J,0),1),INDEX(Dashboard!J:K,MATCH(I2400,Dashboard!J:J,0),2)),"ON",IF(Dashboard!K$32="ALL","ON","-"))</f>
        <v>-</v>
      </c>
      <c r="C2400" s="88" t="s">
        <v>152</v>
      </c>
      <c r="D2400" s="89">
        <f>IF(C2400="ID",1,(IF(C2400="PR",2,(IF(C2400="DE",3,(IF(C2400="RS",4,(IF(C2400="RC",5,0)))))))))</f>
        <v>2</v>
      </c>
      <c r="E2400" s="89" t="s">
        <v>228</v>
      </c>
      <c r="F2400" s="89">
        <f>IF(E2400="AM",1,(IF(E2400="BE",2,(IF(E2400="GV",3,(IF(E2400="RA",4,(IF(E2400="RM",5,(IF(E2400="AC",1,(IF(E2400="AT",2,(IF(E2400="DS",3,(IF(E2400="IP",4,(IF(E2400="MA",5,(IF(E2400="PT",6,(IF(E2400="AE",1,(IF(E2400="CM",2,(IF(E2400="DP",3,(IF(E2400="AN",1,(IF(E2400="CO",2,(IF(E2400="IM",3,(IF(E2400="MI",4,(IF(E2400="RP",5,(IF(E2400="SC",6,0)))))))))))))))))))))))))))))))))))))))</f>
        <v>4</v>
      </c>
      <c r="G2400" s="52">
        <v>1</v>
      </c>
      <c r="H2400" s="90" t="s">
        <v>115</v>
      </c>
      <c r="I2400" s="94" t="s">
        <v>77</v>
      </c>
      <c r="J2400" s="87" t="s">
        <v>1517</v>
      </c>
      <c r="K2400" s="102" t="s">
        <v>2486</v>
      </c>
      <c r="L2400" s="117">
        <f>IF(O2400="","",N2400*O2400*M2400)</f>
        <v>0</v>
      </c>
      <c r="M2400" s="108">
        <v>1</v>
      </c>
      <c r="N2400" s="95">
        <v>1</v>
      </c>
      <c r="O2400" s="109">
        <f>IF(Key!D$1="ON",P2400,IF(SUM(Q2400:DL2400)&lt;1,"",SUM(Q2400:DL2400)/COUNTIF(Q2400:DL2400,"&gt;0")))</f>
        <v>0</v>
      </c>
      <c r="P2400" s="109">
        <f>SUMIFS(Q2400:DK2400,Q$1:DK$1,Dashboard!$K$31)</f>
        <v>0</v>
      </c>
      <c r="U2400" s="95">
        <v>33</v>
      </c>
      <c r="AA2400" s="95">
        <v>25</v>
      </c>
      <c r="AH2400" s="95">
        <v>75</v>
      </c>
    </row>
    <row r="2401" spans="1:34" ht="15.6" x14ac:dyDescent="0.3">
      <c r="A2401" s="89" t="str">
        <f>CONCATENATE(D2401,".",F2401,"-",G2401,".",H2401,"")</f>
        <v>2.4-1.1</v>
      </c>
      <c r="B2401" s="89" t="str">
        <f>IF(CONCATENATE(I2401,Key!F$2)=CONCATENATE(INDEX(Dashboard!J:J,MATCH(I2401,Dashboard!J:J,0),1),INDEX(Dashboard!J:K,MATCH(I2401,Dashboard!J:J,0),2)),"ON",IF(Dashboard!K$32="ALL","ON","-"))</f>
        <v>-</v>
      </c>
      <c r="C2401" s="88" t="s">
        <v>152</v>
      </c>
      <c r="D2401" s="89">
        <f>IF(C2401="ID",1,(IF(C2401="PR",2,(IF(C2401="DE",3,(IF(C2401="RS",4,(IF(C2401="RC",5,0)))))))))</f>
        <v>2</v>
      </c>
      <c r="E2401" s="89" t="s">
        <v>228</v>
      </c>
      <c r="F2401" s="89">
        <f>IF(E2401="AM",1,(IF(E2401="BE",2,(IF(E2401="GV",3,(IF(E2401="RA",4,(IF(E2401="RM",5,(IF(E2401="AC",1,(IF(E2401="AT",2,(IF(E2401="DS",3,(IF(E2401="IP",4,(IF(E2401="MA",5,(IF(E2401="PT",6,(IF(E2401="AE",1,(IF(E2401="CM",2,(IF(E2401="DP",3,(IF(E2401="AN",1,(IF(E2401="CO",2,(IF(E2401="IM",3,(IF(E2401="MI",4,(IF(E2401="RP",5,(IF(E2401="SC",6,0)))))))))))))))))))))))))))))))))))))))</f>
        <v>4</v>
      </c>
      <c r="G2401" s="52">
        <v>1</v>
      </c>
      <c r="H2401" s="90" t="s">
        <v>115</v>
      </c>
      <c r="I2401" s="94" t="s">
        <v>77</v>
      </c>
      <c r="J2401" s="87" t="s">
        <v>1519</v>
      </c>
      <c r="K2401" s="102" t="s">
        <v>2487</v>
      </c>
      <c r="L2401" s="117">
        <f>IF(O2401="","",N2401*O2401*M2401)</f>
        <v>0</v>
      </c>
      <c r="M2401" s="108">
        <v>1</v>
      </c>
      <c r="N2401" s="95">
        <v>1</v>
      </c>
      <c r="O2401" s="109">
        <f>IF(Key!D$1="ON",P2401,IF(SUM(Q2401:DL2401)&lt;1,"",SUM(Q2401:DL2401)/COUNTIF(Q2401:DL2401,"&gt;0")))</f>
        <v>0</v>
      </c>
      <c r="P2401" s="109">
        <f>SUMIFS(Q2401:DK2401,Q$1:DK$1,Dashboard!$K$31)</f>
        <v>0</v>
      </c>
      <c r="U2401" s="95">
        <v>33</v>
      </c>
      <c r="AA2401" s="95">
        <v>25</v>
      </c>
      <c r="AH2401" s="95">
        <v>75</v>
      </c>
    </row>
    <row r="2402" spans="1:34" x14ac:dyDescent="0.3">
      <c r="A2402" s="89" t="str">
        <f>CONCATENATE(D2402,".",F2402,"-",G2402,".",H2402,"")</f>
        <v>2.4-1.1</v>
      </c>
      <c r="B2402" s="89" t="str">
        <f>IF(CONCATENATE(I2402,Key!F$2)=CONCATENATE(INDEX(Dashboard!J:J,MATCH(I2402,Dashboard!J:J,0),1),INDEX(Dashboard!J:K,MATCH(I2402,Dashboard!J:J,0),2)),"ON",IF(Dashboard!K$32="ALL","ON","-"))</f>
        <v>-</v>
      </c>
      <c r="C2402" s="88" t="s">
        <v>152</v>
      </c>
      <c r="D2402" s="89">
        <f>IF(C2402="ID",1,(IF(C2402="PR",2,(IF(C2402="DE",3,(IF(C2402="RS",4,(IF(C2402="RC",5,0)))))))))</f>
        <v>2</v>
      </c>
      <c r="E2402" s="89" t="s">
        <v>228</v>
      </c>
      <c r="F2402" s="89">
        <f>IF(E2402="AM",1,(IF(E2402="BE",2,(IF(E2402="GV",3,(IF(E2402="RA",4,(IF(E2402="RM",5,(IF(E2402="AC",1,(IF(E2402="AT",2,(IF(E2402="DS",3,(IF(E2402="IP",4,(IF(E2402="MA",5,(IF(E2402="PT",6,(IF(E2402="AE",1,(IF(E2402="CM",2,(IF(E2402="DP",3,(IF(E2402="AN",1,(IF(E2402="CO",2,(IF(E2402="IM",3,(IF(E2402="MI",4,(IF(E2402="RP",5,(IF(E2402="SC",6,0)))))))))))))))))))))))))))))))))))))))</f>
        <v>4</v>
      </c>
      <c r="G2402" s="52">
        <v>1</v>
      </c>
      <c r="H2402" s="90" t="s">
        <v>115</v>
      </c>
      <c r="I2402" s="94" t="s">
        <v>77</v>
      </c>
      <c r="J2402" s="87" t="s">
        <v>1520</v>
      </c>
      <c r="K2402" s="102" t="s">
        <v>2488</v>
      </c>
      <c r="L2402" s="117">
        <f>IF(O2402="","",N2402*O2402*M2402)</f>
        <v>0</v>
      </c>
      <c r="M2402" s="108">
        <v>1</v>
      </c>
      <c r="N2402" s="95">
        <v>1</v>
      </c>
      <c r="O2402" s="109">
        <f>IF(Key!D$1="ON",P2402,IF(SUM(Q2402:DL2402)&lt;1,"",SUM(Q2402:DL2402)/COUNTIF(Q2402:DL2402,"&gt;0")))</f>
        <v>0</v>
      </c>
      <c r="P2402" s="109">
        <f>SUMIFS(Q2402:DK2402,Q$1:DK$1,Dashboard!$K$31)</f>
        <v>0</v>
      </c>
      <c r="U2402" s="95">
        <v>33</v>
      </c>
      <c r="AA2402" s="95">
        <v>25</v>
      </c>
      <c r="AH2402" s="95">
        <v>75</v>
      </c>
    </row>
    <row r="2403" spans="1:34" ht="15.6" x14ac:dyDescent="0.3">
      <c r="A2403" s="89" t="str">
        <f>CONCATENATE(D2403,".",F2403,"-",G2403,".",H2403,"")</f>
        <v>2.4-1.1</v>
      </c>
      <c r="B2403" s="89" t="str">
        <f>IF(CONCATENATE(I2403,Key!F$2)=CONCATENATE(INDEX(Dashboard!J:J,MATCH(I2403,Dashboard!J:J,0),1),INDEX(Dashboard!J:K,MATCH(I2403,Dashboard!J:J,0),2)),"ON",IF(Dashboard!K$32="ALL","ON","-"))</f>
        <v>-</v>
      </c>
      <c r="C2403" s="88" t="s">
        <v>152</v>
      </c>
      <c r="D2403" s="89">
        <f>IF(C2403="ID",1,(IF(C2403="PR",2,(IF(C2403="DE",3,(IF(C2403="RS",4,(IF(C2403="RC",5,0)))))))))</f>
        <v>2</v>
      </c>
      <c r="E2403" s="89" t="s">
        <v>228</v>
      </c>
      <c r="F2403" s="89">
        <f>IF(E2403="AM",1,(IF(E2403="BE",2,(IF(E2403="GV",3,(IF(E2403="RA",4,(IF(E2403="RM",5,(IF(E2403="AC",1,(IF(E2403="AT",2,(IF(E2403="DS",3,(IF(E2403="IP",4,(IF(E2403="MA",5,(IF(E2403="PT",6,(IF(E2403="AE",1,(IF(E2403="CM",2,(IF(E2403="DP",3,(IF(E2403="AN",1,(IF(E2403="CO",2,(IF(E2403="IM",3,(IF(E2403="MI",4,(IF(E2403="RP",5,(IF(E2403="SC",6,0)))))))))))))))))))))))))))))))))))))))</f>
        <v>4</v>
      </c>
      <c r="G2403" s="52">
        <v>1</v>
      </c>
      <c r="H2403" s="90" t="s">
        <v>115</v>
      </c>
      <c r="I2403" s="94" t="s">
        <v>77</v>
      </c>
      <c r="J2403" s="87" t="s">
        <v>1521</v>
      </c>
      <c r="K2403" s="102" t="s">
        <v>2489</v>
      </c>
      <c r="L2403" s="117">
        <f>IF(O2403="","",N2403*O2403*M2403)</f>
        <v>0</v>
      </c>
      <c r="M2403" s="108">
        <v>1</v>
      </c>
      <c r="N2403" s="95">
        <v>1</v>
      </c>
      <c r="O2403" s="109">
        <f>IF(Key!D$1="ON",P2403,IF(SUM(Q2403:DL2403)&lt;1,"",SUM(Q2403:DL2403)/COUNTIF(Q2403:DL2403,"&gt;0")))</f>
        <v>0</v>
      </c>
      <c r="P2403" s="109">
        <f>SUMIFS(Q2403:DK2403,Q$1:DK$1,Dashboard!$K$31)</f>
        <v>0</v>
      </c>
      <c r="U2403" s="95">
        <v>33</v>
      </c>
      <c r="AA2403" s="95">
        <v>25</v>
      </c>
      <c r="AH2403" s="95">
        <v>75</v>
      </c>
    </row>
    <row r="2404" spans="1:34" x14ac:dyDescent="0.3">
      <c r="A2404" s="89" t="str">
        <f>CONCATENATE(D2404,".",F2404,"-",G2404,".",H2404,"")</f>
        <v>2.4-1.1</v>
      </c>
      <c r="B2404" s="89" t="str">
        <f>IF(CONCATENATE(I2404,Key!F$2)=CONCATENATE(INDEX(Dashboard!J:J,MATCH(I2404,Dashboard!J:J,0),1),INDEX(Dashboard!J:K,MATCH(I2404,Dashboard!J:J,0),2)),"ON",IF(Dashboard!K$32="ALL","ON","-"))</f>
        <v>-</v>
      </c>
      <c r="C2404" s="88" t="s">
        <v>152</v>
      </c>
      <c r="D2404" s="89">
        <f>IF(C2404="ID",1,(IF(C2404="PR",2,(IF(C2404="DE",3,(IF(C2404="RS",4,(IF(C2404="RC",5,0)))))))))</f>
        <v>2</v>
      </c>
      <c r="E2404" s="89" t="s">
        <v>228</v>
      </c>
      <c r="F2404" s="89">
        <f>IF(E2404="AM",1,(IF(E2404="BE",2,(IF(E2404="GV",3,(IF(E2404="RA",4,(IF(E2404="RM",5,(IF(E2404="AC",1,(IF(E2404="AT",2,(IF(E2404="DS",3,(IF(E2404="IP",4,(IF(E2404="MA",5,(IF(E2404="PT",6,(IF(E2404="AE",1,(IF(E2404="CM",2,(IF(E2404="DP",3,(IF(E2404="AN",1,(IF(E2404="CO",2,(IF(E2404="IM",3,(IF(E2404="MI",4,(IF(E2404="RP",5,(IF(E2404="SC",6,0)))))))))))))))))))))))))))))))))))))))</f>
        <v>4</v>
      </c>
      <c r="G2404" s="52">
        <v>1</v>
      </c>
      <c r="H2404" s="90" t="s">
        <v>115</v>
      </c>
      <c r="I2404" s="94" t="s">
        <v>77</v>
      </c>
      <c r="J2404" s="87" t="s">
        <v>1522</v>
      </c>
      <c r="K2404" s="102" t="s">
        <v>2490</v>
      </c>
      <c r="L2404" s="117">
        <f>IF(O2404="","",N2404*O2404*M2404)</f>
        <v>0</v>
      </c>
      <c r="M2404" s="108">
        <v>1</v>
      </c>
      <c r="N2404" s="95">
        <v>1</v>
      </c>
      <c r="O2404" s="109">
        <f>IF(Key!D$1="ON",P2404,IF(SUM(Q2404:DL2404)&lt;1,"",SUM(Q2404:DL2404)/COUNTIF(Q2404:DL2404,"&gt;0")))</f>
        <v>0</v>
      </c>
      <c r="P2404" s="109">
        <f>SUMIFS(Q2404:DK2404,Q$1:DK$1,Dashboard!$K$31)</f>
        <v>0</v>
      </c>
      <c r="U2404" s="95">
        <v>33</v>
      </c>
      <c r="AA2404" s="95">
        <v>25</v>
      </c>
      <c r="AH2404" s="95">
        <v>75</v>
      </c>
    </row>
    <row r="2405" spans="1:34" ht="15.6" x14ac:dyDescent="0.3">
      <c r="A2405" s="89" t="str">
        <f>CONCATENATE(D2405,".",F2405,"-",G2405,".",H2405,"")</f>
        <v>2.4-1.1</v>
      </c>
      <c r="B2405" s="89" t="str">
        <f>IF(CONCATENATE(I2405,Key!F$2)=CONCATENATE(INDEX(Dashboard!J:J,MATCH(I2405,Dashboard!J:J,0),1),INDEX(Dashboard!J:K,MATCH(I2405,Dashboard!J:J,0),2)),"ON",IF(Dashboard!K$32="ALL","ON","-"))</f>
        <v>-</v>
      </c>
      <c r="C2405" s="96" t="s">
        <v>152</v>
      </c>
      <c r="D2405" s="89">
        <f>IF(C2405="ID",1,(IF(C2405="PR",2,(IF(C2405="DE",3,(IF(C2405="RS",4,(IF(C2405="RC",5,0)))))))))</f>
        <v>2</v>
      </c>
      <c r="E2405" s="89" t="s">
        <v>228</v>
      </c>
      <c r="F2405" s="89">
        <f>IF(E2405="AM",1,(IF(E2405="BE",2,(IF(E2405="GV",3,(IF(E2405="RA",4,(IF(E2405="RM",5,(IF(E2405="AC",1,(IF(E2405="AT",2,(IF(E2405="DS",3,(IF(E2405="IP",4,(IF(E2405="MA",5,(IF(E2405="PT",6,(IF(E2405="AE",1,(IF(E2405="CM",2,(IF(E2405="DP",3,(IF(E2405="AN",1,(IF(E2405="CO",2,(IF(E2405="IM",3,(IF(E2405="MI",4,(IF(E2405="RP",5,(IF(E2405="SC",6,0)))))))))))))))))))))))))))))))))))))))</f>
        <v>4</v>
      </c>
      <c r="G2405" s="98">
        <v>1</v>
      </c>
      <c r="H2405" s="90" t="s">
        <v>115</v>
      </c>
      <c r="I2405" s="94" t="s">
        <v>77</v>
      </c>
      <c r="J2405" s="87" t="s">
        <v>1523</v>
      </c>
      <c r="K2405" s="102" t="s">
        <v>2491</v>
      </c>
      <c r="L2405" s="117">
        <f>IF(O2405="","",N2405*O2405*M2405)</f>
        <v>0</v>
      </c>
      <c r="M2405" s="108">
        <v>1</v>
      </c>
      <c r="N2405" s="95">
        <v>1</v>
      </c>
      <c r="O2405" s="109">
        <f>IF(Key!D$1="ON",P2405,IF(SUM(Q2405:DL2405)&lt;1,"",SUM(Q2405:DL2405)/COUNTIF(Q2405:DL2405,"&gt;0")))</f>
        <v>0</v>
      </c>
      <c r="P2405" s="109">
        <f>SUMIFS(Q2405:DK2405,Q$1:DK$1,Dashboard!$K$31)</f>
        <v>0</v>
      </c>
      <c r="U2405" s="95">
        <v>33</v>
      </c>
      <c r="AA2405" s="95">
        <v>25</v>
      </c>
      <c r="AH2405" s="95">
        <v>75</v>
      </c>
    </row>
    <row r="2406" spans="1:34" ht="15.6" x14ac:dyDescent="0.3">
      <c r="A2406" s="89" t="str">
        <f>CONCATENATE(D2406,".",F2406,"-",G2406,".",H2406,"")</f>
        <v>2.4-1.1</v>
      </c>
      <c r="B2406" s="89" t="str">
        <f>IF(CONCATENATE(I2406,Key!F$2)=CONCATENATE(INDEX(Dashboard!J:J,MATCH(I2406,Dashboard!J:J,0),1),INDEX(Dashboard!J:K,MATCH(I2406,Dashboard!J:J,0),2)),"ON",IF(Dashboard!K$32="ALL","ON","-"))</f>
        <v>-</v>
      </c>
      <c r="C2406" s="88" t="s">
        <v>152</v>
      </c>
      <c r="D2406" s="89">
        <f>IF(C2406="ID",1,(IF(C2406="PR",2,(IF(C2406="DE",3,(IF(C2406="RS",4,(IF(C2406="RC",5,0)))))))))</f>
        <v>2</v>
      </c>
      <c r="E2406" s="89" t="s">
        <v>228</v>
      </c>
      <c r="F2406" s="89">
        <f>IF(E2406="AM",1,(IF(E2406="BE",2,(IF(E2406="GV",3,(IF(E2406="RA",4,(IF(E2406="RM",5,(IF(E2406="AC",1,(IF(E2406="AT",2,(IF(E2406="DS",3,(IF(E2406="IP",4,(IF(E2406="MA",5,(IF(E2406="PT",6,(IF(E2406="AE",1,(IF(E2406="CM",2,(IF(E2406="DP",3,(IF(E2406="AN",1,(IF(E2406="CO",2,(IF(E2406="IM",3,(IF(E2406="MI",4,(IF(E2406="RP",5,(IF(E2406="SC",6,0)))))))))))))))))))))))))))))))))))))))</f>
        <v>4</v>
      </c>
      <c r="G2406" s="52">
        <v>1</v>
      </c>
      <c r="H2406" s="90" t="s">
        <v>115</v>
      </c>
      <c r="I2406" s="94" t="s">
        <v>77</v>
      </c>
      <c r="J2406" s="87" t="s">
        <v>1525</v>
      </c>
      <c r="K2406" s="102" t="s">
        <v>2492</v>
      </c>
      <c r="L2406" s="117">
        <f>IF(O2406="","",N2406*O2406*M2406)</f>
        <v>0</v>
      </c>
      <c r="M2406" s="108">
        <v>1</v>
      </c>
      <c r="N2406" s="95">
        <v>1</v>
      </c>
      <c r="O2406" s="109">
        <f>IF(Key!D$1="ON",P2406,IF(SUM(Q2406:DL2406)&lt;1,"",SUM(Q2406:DL2406)/COUNTIF(Q2406:DL2406,"&gt;0")))</f>
        <v>0</v>
      </c>
      <c r="P2406" s="109">
        <f>SUMIFS(Q2406:DK2406,Q$1:DK$1,Dashboard!$K$31)</f>
        <v>0</v>
      </c>
      <c r="U2406" s="95">
        <v>33</v>
      </c>
      <c r="AA2406" s="95">
        <v>25</v>
      </c>
      <c r="AH2406" s="95">
        <v>75</v>
      </c>
    </row>
    <row r="2407" spans="1:34" ht="15.6" x14ac:dyDescent="0.3">
      <c r="A2407" s="89" t="str">
        <f>CONCATENATE(D2407,".",F2407,"-",G2407,".",H2407,"")</f>
        <v>2.4-1.1</v>
      </c>
      <c r="B2407" s="89" t="str">
        <f>IF(CONCATENATE(I2407,Key!F$2)=CONCATENATE(INDEX(Dashboard!J:J,MATCH(I2407,Dashboard!J:J,0),1),INDEX(Dashboard!J:K,MATCH(I2407,Dashboard!J:J,0),2)),"ON",IF(Dashboard!K$32="ALL","ON","-"))</f>
        <v>-</v>
      </c>
      <c r="C2407" s="88" t="s">
        <v>152</v>
      </c>
      <c r="D2407" s="89">
        <f>IF(C2407="ID",1,(IF(C2407="PR",2,(IF(C2407="DE",3,(IF(C2407="RS",4,(IF(C2407="RC",5,0)))))))))</f>
        <v>2</v>
      </c>
      <c r="E2407" s="89" t="s">
        <v>228</v>
      </c>
      <c r="F2407" s="89">
        <f>IF(E2407="AM",1,(IF(E2407="BE",2,(IF(E2407="GV",3,(IF(E2407="RA",4,(IF(E2407="RM",5,(IF(E2407="AC",1,(IF(E2407="AT",2,(IF(E2407="DS",3,(IF(E2407="IP",4,(IF(E2407="MA",5,(IF(E2407="PT",6,(IF(E2407="AE",1,(IF(E2407="CM",2,(IF(E2407="DP",3,(IF(E2407="AN",1,(IF(E2407="CO",2,(IF(E2407="IM",3,(IF(E2407="MI",4,(IF(E2407="RP",5,(IF(E2407="SC",6,0)))))))))))))))))))))))))))))))))))))))</f>
        <v>4</v>
      </c>
      <c r="G2407" s="52">
        <v>1</v>
      </c>
      <c r="H2407" s="90" t="s">
        <v>115</v>
      </c>
      <c r="I2407" s="94" t="s">
        <v>77</v>
      </c>
      <c r="J2407" s="87" t="s">
        <v>1526</v>
      </c>
      <c r="K2407" s="102" t="s">
        <v>2493</v>
      </c>
      <c r="L2407" s="117">
        <f>IF(O2407="","",N2407*O2407*M2407)</f>
        <v>0</v>
      </c>
      <c r="M2407" s="108">
        <v>1</v>
      </c>
      <c r="N2407" s="95">
        <v>1</v>
      </c>
      <c r="O2407" s="109">
        <f>IF(Key!D$1="ON",P2407,IF(SUM(Q2407:DL2407)&lt;1,"",SUM(Q2407:DL2407)/COUNTIF(Q2407:DL2407,"&gt;0")))</f>
        <v>0</v>
      </c>
      <c r="P2407" s="109">
        <f>SUMIFS(Q2407:DK2407,Q$1:DK$1,Dashboard!$K$31)</f>
        <v>0</v>
      </c>
      <c r="U2407" s="95">
        <v>33</v>
      </c>
      <c r="AA2407" s="95">
        <v>25</v>
      </c>
      <c r="AH2407" s="95">
        <v>75</v>
      </c>
    </row>
    <row r="2408" spans="1:34" ht="15.6" x14ac:dyDescent="0.3">
      <c r="A2408" s="89" t="str">
        <f>CONCATENATE(D2408,".",F2408,"-",G2408,".",H2408,"")</f>
        <v>2.4-1.1</v>
      </c>
      <c r="B2408" s="89" t="str">
        <f>IF(CONCATENATE(I2408,Key!F$2)=CONCATENATE(INDEX(Dashboard!J:J,MATCH(I2408,Dashboard!J:J,0),1),INDEX(Dashboard!J:K,MATCH(I2408,Dashboard!J:J,0),2)),"ON",IF(Dashboard!K$32="ALL","ON","-"))</f>
        <v>-</v>
      </c>
      <c r="C2408" s="88" t="s">
        <v>152</v>
      </c>
      <c r="D2408" s="89">
        <f>IF(C2408="ID",1,(IF(C2408="PR",2,(IF(C2408="DE",3,(IF(C2408="RS",4,(IF(C2408="RC",5,0)))))))))</f>
        <v>2</v>
      </c>
      <c r="E2408" s="89" t="s">
        <v>228</v>
      </c>
      <c r="F2408" s="89">
        <f>IF(E2408="AM",1,(IF(E2408="BE",2,(IF(E2408="GV",3,(IF(E2408="RA",4,(IF(E2408="RM",5,(IF(E2408="AC",1,(IF(E2408="AT",2,(IF(E2408="DS",3,(IF(E2408="IP",4,(IF(E2408="MA",5,(IF(E2408="PT",6,(IF(E2408="AE",1,(IF(E2408="CM",2,(IF(E2408="DP",3,(IF(E2408="AN",1,(IF(E2408="CO",2,(IF(E2408="IM",3,(IF(E2408="MI",4,(IF(E2408="RP",5,(IF(E2408="SC",6,0)))))))))))))))))))))))))))))))))))))))</f>
        <v>4</v>
      </c>
      <c r="G2408" s="52">
        <v>1</v>
      </c>
      <c r="H2408" s="90" t="s">
        <v>115</v>
      </c>
      <c r="I2408" s="94" t="s">
        <v>77</v>
      </c>
      <c r="J2408" s="87" t="s">
        <v>1527</v>
      </c>
      <c r="K2408" s="102" t="s">
        <v>2494</v>
      </c>
      <c r="L2408" s="117">
        <f>IF(O2408="","",N2408*O2408*M2408)</f>
        <v>0</v>
      </c>
      <c r="M2408" s="108">
        <v>1</v>
      </c>
      <c r="N2408" s="95">
        <v>1</v>
      </c>
      <c r="O2408" s="109">
        <f>IF(Key!D$1="ON",P2408,IF(SUM(Q2408:DL2408)&lt;1,"",SUM(Q2408:DL2408)/COUNTIF(Q2408:DL2408,"&gt;0")))</f>
        <v>0</v>
      </c>
      <c r="P2408" s="109">
        <f>SUMIFS(Q2408:DK2408,Q$1:DK$1,Dashboard!$K$31)</f>
        <v>0</v>
      </c>
      <c r="U2408" s="95">
        <v>33</v>
      </c>
      <c r="AA2408" s="95">
        <v>25</v>
      </c>
      <c r="AH2408" s="95">
        <v>75</v>
      </c>
    </row>
    <row r="2409" spans="1:34" x14ac:dyDescent="0.3">
      <c r="A2409" s="89" t="str">
        <f>CONCATENATE(D2409,".",F2409,"-",G2409,".",H2409,"")</f>
        <v>2.4-1.1</v>
      </c>
      <c r="B2409" s="89" t="str">
        <f>IF(CONCATENATE(I2409,Key!F$2)=CONCATENATE(INDEX(Dashboard!J:J,MATCH(I2409,Dashboard!J:J,0),1),INDEX(Dashboard!J:K,MATCH(I2409,Dashboard!J:J,0),2)),"ON",IF(Dashboard!K$32="ALL","ON","-"))</f>
        <v>-</v>
      </c>
      <c r="C2409" s="88" t="s">
        <v>152</v>
      </c>
      <c r="D2409" s="89">
        <f>IF(C2409="ID",1,(IF(C2409="PR",2,(IF(C2409="DE",3,(IF(C2409="RS",4,(IF(C2409="RC",5,0)))))))))</f>
        <v>2</v>
      </c>
      <c r="E2409" s="89" t="s">
        <v>228</v>
      </c>
      <c r="F2409" s="89">
        <f>IF(E2409="AM",1,(IF(E2409="BE",2,(IF(E2409="GV",3,(IF(E2409="RA",4,(IF(E2409="RM",5,(IF(E2409="AC",1,(IF(E2409="AT",2,(IF(E2409="DS",3,(IF(E2409="IP",4,(IF(E2409="MA",5,(IF(E2409="PT",6,(IF(E2409="AE",1,(IF(E2409="CM",2,(IF(E2409="DP",3,(IF(E2409="AN",1,(IF(E2409="CO",2,(IF(E2409="IM",3,(IF(E2409="MI",4,(IF(E2409="RP",5,(IF(E2409="SC",6,0)))))))))))))))))))))))))))))))))))))))</f>
        <v>4</v>
      </c>
      <c r="G2409" s="52">
        <v>1</v>
      </c>
      <c r="H2409" s="90" t="s">
        <v>115</v>
      </c>
      <c r="I2409" s="94" t="s">
        <v>77</v>
      </c>
      <c r="J2409" s="87" t="s">
        <v>1528</v>
      </c>
      <c r="K2409" s="102" t="s">
        <v>2495</v>
      </c>
      <c r="L2409" s="117">
        <f>IF(O2409="","",N2409*O2409*M2409)</f>
        <v>0</v>
      </c>
      <c r="M2409" s="108">
        <v>1</v>
      </c>
      <c r="N2409" s="95">
        <v>1</v>
      </c>
      <c r="O2409" s="109">
        <f>IF(Key!D$1="ON",P2409,IF(SUM(Q2409:DL2409)&lt;1,"",SUM(Q2409:DL2409)/COUNTIF(Q2409:DL2409,"&gt;0")))</f>
        <v>0</v>
      </c>
      <c r="P2409" s="109">
        <f>SUMIFS(Q2409:DK2409,Q$1:DK$1,Dashboard!$K$31)</f>
        <v>0</v>
      </c>
      <c r="U2409" s="95">
        <v>33</v>
      </c>
      <c r="AA2409" s="95">
        <v>25</v>
      </c>
      <c r="AH2409" s="95">
        <v>75</v>
      </c>
    </row>
    <row r="2410" spans="1:34" x14ac:dyDescent="0.3">
      <c r="A2410" s="89" t="str">
        <f>CONCATENATE(D2410,".",F2410,"-",G2410,".",H2410,"")</f>
        <v>2.4-1.1</v>
      </c>
      <c r="B2410" s="89" t="str">
        <f>IF(CONCATENATE(I2410,Key!F$2)=CONCATENATE(INDEX(Dashboard!J:J,MATCH(I2410,Dashboard!J:J,0),1),INDEX(Dashboard!J:K,MATCH(I2410,Dashboard!J:J,0),2)),"ON",IF(Dashboard!K$32="ALL","ON","-"))</f>
        <v>-</v>
      </c>
      <c r="C2410" s="88" t="s">
        <v>152</v>
      </c>
      <c r="D2410" s="89">
        <f>IF(C2410="ID",1,(IF(C2410="PR",2,(IF(C2410="DE",3,(IF(C2410="RS",4,(IF(C2410="RC",5,0)))))))))</f>
        <v>2</v>
      </c>
      <c r="E2410" s="89" t="s">
        <v>228</v>
      </c>
      <c r="F2410" s="89">
        <f>IF(E2410="AM",1,(IF(E2410="BE",2,(IF(E2410="GV",3,(IF(E2410="RA",4,(IF(E2410="RM",5,(IF(E2410="AC",1,(IF(E2410="AT",2,(IF(E2410="DS",3,(IF(E2410="IP",4,(IF(E2410="MA",5,(IF(E2410="PT",6,(IF(E2410="AE",1,(IF(E2410="CM",2,(IF(E2410="DP",3,(IF(E2410="AN",1,(IF(E2410="CO",2,(IF(E2410="IM",3,(IF(E2410="MI",4,(IF(E2410="RP",5,(IF(E2410="SC",6,0)))))))))))))))))))))))))))))))))))))))</f>
        <v>4</v>
      </c>
      <c r="G2410" s="52">
        <v>1</v>
      </c>
      <c r="H2410" s="90" t="s">
        <v>115</v>
      </c>
      <c r="I2410" s="94" t="s">
        <v>77</v>
      </c>
      <c r="J2410" s="87" t="s">
        <v>1529</v>
      </c>
      <c r="K2410" s="102" t="s">
        <v>2496</v>
      </c>
      <c r="L2410" s="117">
        <f>IF(O2410="","",N2410*O2410*M2410)</f>
        <v>0</v>
      </c>
      <c r="M2410" s="108">
        <v>1</v>
      </c>
      <c r="N2410" s="95">
        <v>1</v>
      </c>
      <c r="O2410" s="109">
        <f>IF(Key!D$1="ON",P2410,IF(SUM(Q2410:DL2410)&lt;1,"",SUM(Q2410:DL2410)/COUNTIF(Q2410:DL2410,"&gt;0")))</f>
        <v>0</v>
      </c>
      <c r="P2410" s="109">
        <f>SUMIFS(Q2410:DK2410,Q$1:DK$1,Dashboard!$K$31)</f>
        <v>0</v>
      </c>
      <c r="U2410" s="95">
        <v>33</v>
      </c>
      <c r="AA2410" s="95">
        <v>25</v>
      </c>
      <c r="AH2410" s="95">
        <v>75</v>
      </c>
    </row>
    <row r="2411" spans="1:34" x14ac:dyDescent="0.3">
      <c r="A2411" s="89" t="str">
        <f>CONCATENATE(D2411,".",F2411,"-",G2411,".",H2411,"")</f>
        <v>2.4-1.1</v>
      </c>
      <c r="B2411" s="89" t="str">
        <f>IF(CONCATENATE(I2411,Key!F$2)=CONCATENATE(INDEX(Dashboard!J:J,MATCH(I2411,Dashboard!J:J,0),1),INDEX(Dashboard!J:K,MATCH(I2411,Dashboard!J:J,0),2)),"ON",IF(Dashboard!K$32="ALL","ON","-"))</f>
        <v>-</v>
      </c>
      <c r="C2411" s="96" t="s">
        <v>152</v>
      </c>
      <c r="D2411" s="89">
        <f>IF(C2411="ID",1,(IF(C2411="PR",2,(IF(C2411="DE",3,(IF(C2411="RS",4,(IF(C2411="RC",5,0)))))))))</f>
        <v>2</v>
      </c>
      <c r="E2411" s="89" t="s">
        <v>228</v>
      </c>
      <c r="F2411" s="89">
        <f>IF(E2411="AM",1,(IF(E2411="BE",2,(IF(E2411="GV",3,(IF(E2411="RA",4,(IF(E2411="RM",5,(IF(E2411="AC",1,(IF(E2411="AT",2,(IF(E2411="DS",3,(IF(E2411="IP",4,(IF(E2411="MA",5,(IF(E2411="PT",6,(IF(E2411="AE",1,(IF(E2411="CM",2,(IF(E2411="DP",3,(IF(E2411="AN",1,(IF(E2411="CO",2,(IF(E2411="IM",3,(IF(E2411="MI",4,(IF(E2411="RP",5,(IF(E2411="SC",6,0)))))))))))))))))))))))))))))))))))))))</f>
        <v>4</v>
      </c>
      <c r="G2411" s="98">
        <v>1</v>
      </c>
      <c r="H2411" s="90" t="s">
        <v>115</v>
      </c>
      <c r="I2411" s="94" t="s">
        <v>85</v>
      </c>
      <c r="J2411" s="87" t="s">
        <v>1491</v>
      </c>
      <c r="K2411" s="119" t="s">
        <v>1492</v>
      </c>
      <c r="L2411" s="117">
        <f>IF(O2411="","",N2411*O2411*M2411)</f>
        <v>0</v>
      </c>
      <c r="M2411" s="108">
        <v>1</v>
      </c>
      <c r="N2411" s="95">
        <v>1</v>
      </c>
      <c r="O2411" s="109">
        <f>IF(Key!D$1="ON",P2411,IF(SUM(Q2411:DL2411)&lt;1,"",SUM(Q2411:DL2411)/COUNTIF(Q2411:DL2411,"&gt;0")))</f>
        <v>0</v>
      </c>
      <c r="P2411" s="109">
        <f>SUMIFS(Q2411:DK2411,Q$1:DK$1,Dashboard!$K$31)</f>
        <v>0</v>
      </c>
      <c r="U2411" s="95">
        <v>33</v>
      </c>
      <c r="AA2411" s="95">
        <v>25</v>
      </c>
      <c r="AH2411" s="95">
        <v>75</v>
      </c>
    </row>
    <row r="2412" spans="1:34" x14ac:dyDescent="0.3">
      <c r="A2412" s="89" t="str">
        <f>CONCATENATE(D2412,".",F2412,"-",G2412,".",H2412,"")</f>
        <v>2.4-1.1</v>
      </c>
      <c r="B2412" s="89" t="str">
        <f>IF(CONCATENATE(I2412,Key!F$2)=CONCATENATE(INDEX(Dashboard!J:J,MATCH(I2412,Dashboard!J:J,0),1),INDEX(Dashboard!J:K,MATCH(I2412,Dashboard!J:J,0),2)),"ON",IF(Dashboard!K$32="ALL","ON","-"))</f>
        <v>-</v>
      </c>
      <c r="C2412" s="88" t="s">
        <v>152</v>
      </c>
      <c r="D2412" s="89">
        <f>IF(C2412="ID",1,(IF(C2412="PR",2,(IF(C2412="DE",3,(IF(C2412="RS",4,(IF(C2412="RC",5,0)))))))))</f>
        <v>2</v>
      </c>
      <c r="E2412" s="89" t="s">
        <v>228</v>
      </c>
      <c r="F2412" s="89">
        <f>IF(E2412="AM",1,(IF(E2412="BE",2,(IF(E2412="GV",3,(IF(E2412="RA",4,(IF(E2412="RM",5,(IF(E2412="AC",1,(IF(E2412="AT",2,(IF(E2412="DS",3,(IF(E2412="IP",4,(IF(E2412="MA",5,(IF(E2412="PT",6,(IF(E2412="AE",1,(IF(E2412="CM",2,(IF(E2412="DP",3,(IF(E2412="AN",1,(IF(E2412="CO",2,(IF(E2412="IM",3,(IF(E2412="MI",4,(IF(E2412="RP",5,(IF(E2412="SC",6,0)))))))))))))))))))))))))))))))))))))))</f>
        <v>4</v>
      </c>
      <c r="G2412" s="52">
        <v>1</v>
      </c>
      <c r="H2412" s="90" t="s">
        <v>115</v>
      </c>
      <c r="I2412" s="94" t="s">
        <v>85</v>
      </c>
      <c r="J2412" s="87" t="s">
        <v>1525</v>
      </c>
      <c r="K2412" s="119" t="s">
        <v>4965</v>
      </c>
      <c r="L2412" s="117">
        <f>IF(O2412="","",N2412*O2412*M2412)</f>
        <v>0</v>
      </c>
      <c r="M2412" s="108">
        <v>1</v>
      </c>
      <c r="N2412" s="95">
        <v>1</v>
      </c>
      <c r="O2412" s="109">
        <f>IF(Key!D$1="ON",P2412,IF(SUM(Q2412:DL2412)&lt;1,"",SUM(Q2412:DL2412)/COUNTIF(Q2412:DL2412,"&gt;0")))</f>
        <v>0</v>
      </c>
      <c r="P2412" s="109">
        <f>SUMIFS(Q2412:DK2412,Q$1:DK$1,Dashboard!$K$31)</f>
        <v>0</v>
      </c>
      <c r="U2412" s="95">
        <v>33</v>
      </c>
      <c r="AA2412" s="95">
        <v>25</v>
      </c>
      <c r="AH2412" s="95">
        <v>75</v>
      </c>
    </row>
    <row r="2413" spans="1:34" ht="15.6" x14ac:dyDescent="0.3">
      <c r="A2413" s="89" t="str">
        <f>CONCATENATE(D2413,".",F2413,"-",G2413,".",H2413,"")</f>
        <v>2.4-1.1</v>
      </c>
      <c r="B2413" s="89" t="str">
        <f>IF(CONCATENATE(I2413,Key!F$2)=CONCATENATE(INDEX(Dashboard!J:J,MATCH(I2413,Dashboard!J:J,0),1),INDEX(Dashboard!J:K,MATCH(I2413,Dashboard!J:J,0),2)),"ON",IF(Dashboard!K$32="ALL","ON","-"))</f>
        <v>-</v>
      </c>
      <c r="C2413" s="88" t="s">
        <v>152</v>
      </c>
      <c r="D2413" s="89">
        <f>IF(C2413="ID",1,(IF(C2413="PR",2,(IF(C2413="DE",3,(IF(C2413="RS",4,(IF(C2413="RC",5,0)))))))))</f>
        <v>2</v>
      </c>
      <c r="E2413" s="89" t="s">
        <v>228</v>
      </c>
      <c r="F2413" s="89">
        <f>IF(E2413="AM",1,(IF(E2413="BE",2,(IF(E2413="GV",3,(IF(E2413="RA",4,(IF(E2413="RM",5,(IF(E2413="AC",1,(IF(E2413="AT",2,(IF(E2413="DS",3,(IF(E2413="IP",4,(IF(E2413="MA",5,(IF(E2413="PT",6,(IF(E2413="AE",1,(IF(E2413="CM",2,(IF(E2413="DP",3,(IF(E2413="AN",1,(IF(E2413="CO",2,(IF(E2413="IM",3,(IF(E2413="MI",4,(IF(E2413="RP",5,(IF(E2413="SC",6,0)))))))))))))))))))))))))))))))))))))))</f>
        <v>4</v>
      </c>
      <c r="G2413" s="52">
        <v>1</v>
      </c>
      <c r="H2413" s="90" t="s">
        <v>115</v>
      </c>
      <c r="I2413" s="94" t="s">
        <v>85</v>
      </c>
      <c r="J2413" s="87" t="s">
        <v>1361</v>
      </c>
      <c r="K2413" s="119" t="s">
        <v>4699</v>
      </c>
      <c r="L2413" s="117">
        <f>IF(O2413="","",N2413*O2413*M2413)</f>
        <v>0</v>
      </c>
      <c r="M2413" s="108">
        <v>1</v>
      </c>
      <c r="N2413" s="95">
        <v>1</v>
      </c>
      <c r="O2413" s="109">
        <f>IF(Key!D$1="ON",P2413,IF(SUM(Q2413:DL2413)&lt;1,"",SUM(Q2413:DL2413)/COUNTIF(Q2413:DL2413,"&gt;0")))</f>
        <v>0</v>
      </c>
      <c r="P2413" s="109">
        <f>SUMIFS(Q2413:DK2413,Q$1:DK$1,Dashboard!$K$31)</f>
        <v>0</v>
      </c>
      <c r="U2413" s="95">
        <v>33</v>
      </c>
      <c r="AA2413" s="95">
        <v>25</v>
      </c>
      <c r="AH2413" s="95">
        <v>75</v>
      </c>
    </row>
    <row r="2414" spans="1:34" ht="15.6" x14ac:dyDescent="0.3">
      <c r="A2414" s="89" t="str">
        <f>CONCATENATE(D2414,".",F2414,"-",G2414,".",H2414,"")</f>
        <v>2.4-1.1</v>
      </c>
      <c r="B2414" s="89" t="str">
        <f>IF(CONCATENATE(I2414,Key!F$2)=CONCATENATE(INDEX(Dashboard!J:J,MATCH(I2414,Dashboard!J:J,0),1),INDEX(Dashboard!J:K,MATCH(I2414,Dashboard!J:J,0),2)),"ON",IF(Dashboard!K$32="ALL","ON","-"))</f>
        <v>-</v>
      </c>
      <c r="C2414" s="88" t="s">
        <v>152</v>
      </c>
      <c r="D2414" s="89">
        <f>IF(C2414="ID",1,(IF(C2414="PR",2,(IF(C2414="DE",3,(IF(C2414="RS",4,(IF(C2414="RC",5,0)))))))))</f>
        <v>2</v>
      </c>
      <c r="E2414" s="89" t="s">
        <v>228</v>
      </c>
      <c r="F2414" s="89">
        <f>IF(E2414="AM",1,(IF(E2414="BE",2,(IF(E2414="GV",3,(IF(E2414="RA",4,(IF(E2414="RM",5,(IF(E2414="AC",1,(IF(E2414="AT",2,(IF(E2414="DS",3,(IF(E2414="IP",4,(IF(E2414="MA",5,(IF(E2414="PT",6,(IF(E2414="AE",1,(IF(E2414="CM",2,(IF(E2414="DP",3,(IF(E2414="AN",1,(IF(E2414="CO",2,(IF(E2414="IM",3,(IF(E2414="MI",4,(IF(E2414="RP",5,(IF(E2414="SC",6,0)))))))))))))))))))))))))))))))))))))))</f>
        <v>4</v>
      </c>
      <c r="G2414" s="52">
        <v>1</v>
      </c>
      <c r="H2414" s="90" t="s">
        <v>115</v>
      </c>
      <c r="I2414" s="94" t="s">
        <v>85</v>
      </c>
      <c r="J2414" s="87" t="s">
        <v>1512</v>
      </c>
      <c r="K2414" s="119" t="s">
        <v>4703</v>
      </c>
      <c r="L2414" s="117">
        <f>IF(O2414="","",N2414*O2414*M2414)</f>
        <v>0</v>
      </c>
      <c r="M2414" s="108">
        <v>1</v>
      </c>
      <c r="N2414" s="95">
        <v>1</v>
      </c>
      <c r="O2414" s="109">
        <f>IF(Key!D$1="ON",P2414,IF(SUM(Q2414:DL2414)&lt;1,"",SUM(Q2414:DL2414)/COUNTIF(Q2414:DL2414,"&gt;0")))</f>
        <v>0</v>
      </c>
      <c r="P2414" s="109">
        <f>SUMIFS(Q2414:DK2414,Q$1:DK$1,Dashboard!$K$31)</f>
        <v>0</v>
      </c>
      <c r="U2414" s="95">
        <v>33</v>
      </c>
      <c r="AA2414" s="95">
        <v>25</v>
      </c>
      <c r="AH2414" s="95">
        <v>75</v>
      </c>
    </row>
    <row r="2415" spans="1:34" x14ac:dyDescent="0.3">
      <c r="A2415" s="89" t="str">
        <f>CONCATENATE(D2415,".",F2415,"-",G2415,".",H2415,"")</f>
        <v>2.4-1.1</v>
      </c>
      <c r="B2415" s="89" t="str">
        <f>IF(CONCATENATE(I2415,Key!F$2)=CONCATENATE(INDEX(Dashboard!J:J,MATCH(I2415,Dashboard!J:J,0),1),INDEX(Dashboard!J:K,MATCH(I2415,Dashboard!J:J,0),2)),"ON",IF(Dashboard!K$32="ALL","ON","-"))</f>
        <v>-</v>
      </c>
      <c r="C2415" s="88" t="s">
        <v>152</v>
      </c>
      <c r="D2415" s="89">
        <f>IF(C2415="ID",1,(IF(C2415="PR",2,(IF(C2415="DE",3,(IF(C2415="RS",4,(IF(C2415="RC",5,0)))))))))</f>
        <v>2</v>
      </c>
      <c r="E2415" s="89" t="s">
        <v>228</v>
      </c>
      <c r="F2415" s="89">
        <f>IF(E2415="AM",1,(IF(E2415="BE",2,(IF(E2415="GV",3,(IF(E2415="RA",4,(IF(E2415="RM",5,(IF(E2415="AC",1,(IF(E2415="AT",2,(IF(E2415="DS",3,(IF(E2415="IP",4,(IF(E2415="MA",5,(IF(E2415="PT",6,(IF(E2415="AE",1,(IF(E2415="CM",2,(IF(E2415="DP",3,(IF(E2415="AN",1,(IF(E2415="CO",2,(IF(E2415="IM",3,(IF(E2415="MI",4,(IF(E2415="RP",5,(IF(E2415="SC",6,0)))))))))))))))))))))))))))))))))))))))</f>
        <v>4</v>
      </c>
      <c r="G2415" s="52">
        <v>1</v>
      </c>
      <c r="H2415" s="90" t="s">
        <v>115</v>
      </c>
      <c r="I2415" s="94" t="s">
        <v>85</v>
      </c>
      <c r="J2415" s="87" t="s">
        <v>1509</v>
      </c>
      <c r="K2415" s="119" t="s">
        <v>4670</v>
      </c>
      <c r="L2415" s="117">
        <f>IF(O2415="","",N2415*O2415*M2415)</f>
        <v>0</v>
      </c>
      <c r="M2415" s="108">
        <v>1</v>
      </c>
      <c r="N2415" s="95">
        <v>1</v>
      </c>
      <c r="O2415" s="109">
        <f>IF(Key!D$1="ON",P2415,IF(SUM(Q2415:DL2415)&lt;1,"",SUM(Q2415:DL2415)/COUNTIF(Q2415:DL2415,"&gt;0")))</f>
        <v>0</v>
      </c>
      <c r="P2415" s="109">
        <f>SUMIFS(Q2415:DK2415,Q$1:DK$1,Dashboard!$K$31)</f>
        <v>0</v>
      </c>
      <c r="U2415" s="95">
        <v>33</v>
      </c>
      <c r="AA2415" s="95">
        <v>25</v>
      </c>
      <c r="AH2415" s="95">
        <v>75</v>
      </c>
    </row>
    <row r="2416" spans="1:34" x14ac:dyDescent="0.3">
      <c r="A2416" s="89" t="str">
        <f>CONCATENATE(D2416,".",F2416,"-",G2416,".",H2416,"")</f>
        <v>2.4-1.1</v>
      </c>
      <c r="B2416" s="89" t="str">
        <f>IF(CONCATENATE(I2416,Key!F$2)=CONCATENATE(INDEX(Dashboard!J:J,MATCH(I2416,Dashboard!J:J,0),1),INDEX(Dashboard!J:K,MATCH(I2416,Dashboard!J:J,0),2)),"ON",IF(Dashboard!K$32="ALL","ON","-"))</f>
        <v>-</v>
      </c>
      <c r="C2416" s="88" t="s">
        <v>152</v>
      </c>
      <c r="D2416" s="89">
        <f>IF(C2416="ID",1,(IF(C2416="PR",2,(IF(C2416="DE",3,(IF(C2416="RS",4,(IF(C2416="RC",5,0)))))))))</f>
        <v>2</v>
      </c>
      <c r="E2416" s="89" t="s">
        <v>228</v>
      </c>
      <c r="F2416" s="89">
        <f>IF(E2416="AM",1,(IF(E2416="BE",2,(IF(E2416="GV",3,(IF(E2416="RA",4,(IF(E2416="RM",5,(IF(E2416="AC",1,(IF(E2416="AT",2,(IF(E2416="DS",3,(IF(E2416="IP",4,(IF(E2416="MA",5,(IF(E2416="PT",6,(IF(E2416="AE",1,(IF(E2416="CM",2,(IF(E2416="DP",3,(IF(E2416="AN",1,(IF(E2416="CO",2,(IF(E2416="IM",3,(IF(E2416="MI",4,(IF(E2416="RP",5,(IF(E2416="SC",6,0)))))))))))))))))))))))))))))))))))))))</f>
        <v>4</v>
      </c>
      <c r="G2416" s="52">
        <v>1</v>
      </c>
      <c r="H2416" s="90" t="s">
        <v>115</v>
      </c>
      <c r="I2416" s="94" t="s">
        <v>85</v>
      </c>
      <c r="J2416" s="87" t="s">
        <v>1493</v>
      </c>
      <c r="K2416" s="119" t="s">
        <v>4683</v>
      </c>
      <c r="L2416" s="117">
        <f>IF(O2416="","",N2416*O2416*M2416)</f>
        <v>0</v>
      </c>
      <c r="M2416" s="108">
        <v>1</v>
      </c>
      <c r="N2416" s="95">
        <v>1</v>
      </c>
      <c r="O2416" s="109">
        <f>IF(Key!D$1="ON",P2416,IF(SUM(Q2416:DL2416)&lt;1,"",SUM(Q2416:DL2416)/COUNTIF(Q2416:DL2416,"&gt;0")))</f>
        <v>0</v>
      </c>
      <c r="P2416" s="109">
        <f>SUMIFS(Q2416:DK2416,Q$1:DK$1,Dashboard!$K$31)</f>
        <v>0</v>
      </c>
      <c r="U2416" s="95">
        <v>33</v>
      </c>
      <c r="AA2416" s="95">
        <v>25</v>
      </c>
      <c r="AH2416" s="95">
        <v>75</v>
      </c>
    </row>
    <row r="2417" spans="1:34" x14ac:dyDescent="0.3">
      <c r="A2417" s="89" t="str">
        <f>CONCATENATE(D2417,".",F2417,"-",G2417,".",H2417,"")</f>
        <v>2.4-1.1</v>
      </c>
      <c r="B2417" s="89" t="str">
        <f>IF(CONCATENATE(I2417,Key!F$2)=CONCATENATE(INDEX(Dashboard!J:J,MATCH(I2417,Dashboard!J:J,0),1),INDEX(Dashboard!J:K,MATCH(I2417,Dashboard!J:J,0),2)),"ON",IF(Dashboard!K$32="ALL","ON","-"))</f>
        <v>-</v>
      </c>
      <c r="C2417" s="88" t="s">
        <v>152</v>
      </c>
      <c r="D2417" s="89">
        <f>IF(C2417="ID",1,(IF(C2417="PR",2,(IF(C2417="DE",3,(IF(C2417="RS",4,(IF(C2417="RC",5,0)))))))))</f>
        <v>2</v>
      </c>
      <c r="E2417" s="89" t="s">
        <v>228</v>
      </c>
      <c r="F2417" s="89">
        <f>IF(E2417="AM",1,(IF(E2417="BE",2,(IF(E2417="GV",3,(IF(E2417="RA",4,(IF(E2417="RM",5,(IF(E2417="AC",1,(IF(E2417="AT",2,(IF(E2417="DS",3,(IF(E2417="IP",4,(IF(E2417="MA",5,(IF(E2417="PT",6,(IF(E2417="AE",1,(IF(E2417="CM",2,(IF(E2417="DP",3,(IF(E2417="AN",1,(IF(E2417="CO",2,(IF(E2417="IM",3,(IF(E2417="MI",4,(IF(E2417="RP",5,(IF(E2417="SC",6,0)))))))))))))))))))))))))))))))))))))))</f>
        <v>4</v>
      </c>
      <c r="G2417" s="52">
        <v>1</v>
      </c>
      <c r="H2417" s="90" t="s">
        <v>115</v>
      </c>
      <c r="I2417" s="94" t="s">
        <v>85</v>
      </c>
      <c r="J2417" s="87" t="s">
        <v>1483</v>
      </c>
      <c r="K2417" s="119" t="s">
        <v>4675</v>
      </c>
      <c r="L2417" s="117">
        <f>IF(O2417="","",N2417*O2417*M2417)</f>
        <v>0</v>
      </c>
      <c r="M2417" s="108">
        <v>1</v>
      </c>
      <c r="N2417" s="95">
        <v>1</v>
      </c>
      <c r="O2417" s="109">
        <f>IF(Key!D$1="ON",P2417,IF(SUM(Q2417:DL2417)&lt;1,"",SUM(Q2417:DL2417)/COUNTIF(Q2417:DL2417,"&gt;0")))</f>
        <v>0</v>
      </c>
      <c r="P2417" s="109">
        <f>SUMIFS(Q2417:DK2417,Q$1:DK$1,Dashboard!$K$31)</f>
        <v>0</v>
      </c>
      <c r="U2417" s="95">
        <v>33</v>
      </c>
      <c r="AA2417" s="95">
        <v>25</v>
      </c>
      <c r="AH2417" s="95">
        <v>75</v>
      </c>
    </row>
    <row r="2418" spans="1:34" x14ac:dyDescent="0.3">
      <c r="A2418" s="89" t="str">
        <f>CONCATENATE(D2418,".",F2418,"-",G2418,".",H2418,"")</f>
        <v>2.4-1.1</v>
      </c>
      <c r="B2418" s="89" t="str">
        <f>IF(CONCATENATE(I2418,Key!F$2)=CONCATENATE(INDEX(Dashboard!J:J,MATCH(I2418,Dashboard!J:J,0),1),INDEX(Dashboard!J:K,MATCH(I2418,Dashboard!J:J,0),2)),"ON",IF(Dashboard!K$32="ALL","ON","-"))</f>
        <v>-</v>
      </c>
      <c r="C2418" s="88" t="s">
        <v>152</v>
      </c>
      <c r="D2418" s="89">
        <f>IF(C2418="ID",1,(IF(C2418="PR",2,(IF(C2418="DE",3,(IF(C2418="RS",4,(IF(C2418="RC",5,0)))))))))</f>
        <v>2</v>
      </c>
      <c r="E2418" s="89" t="s">
        <v>228</v>
      </c>
      <c r="F2418" s="89">
        <f>IF(E2418="AM",1,(IF(E2418="BE",2,(IF(E2418="GV",3,(IF(E2418="RA",4,(IF(E2418="RM",5,(IF(E2418="AC",1,(IF(E2418="AT",2,(IF(E2418="DS",3,(IF(E2418="IP",4,(IF(E2418="MA",5,(IF(E2418="PT",6,(IF(E2418="AE",1,(IF(E2418="CM",2,(IF(E2418="DP",3,(IF(E2418="AN",1,(IF(E2418="CO",2,(IF(E2418="IM",3,(IF(E2418="MI",4,(IF(E2418="RP",5,(IF(E2418="SC",6,0)))))))))))))))))))))))))))))))))))))))</f>
        <v>4</v>
      </c>
      <c r="G2418" s="52">
        <v>1</v>
      </c>
      <c r="H2418" s="90" t="s">
        <v>115</v>
      </c>
      <c r="I2418" s="94" t="s">
        <v>85</v>
      </c>
      <c r="J2418" s="87" t="s">
        <v>1481</v>
      </c>
      <c r="K2418" s="119" t="s">
        <v>4673</v>
      </c>
      <c r="L2418" s="117">
        <f>IF(O2418="","",N2418*O2418*M2418)</f>
        <v>0</v>
      </c>
      <c r="M2418" s="108">
        <v>1</v>
      </c>
      <c r="N2418" s="95">
        <v>1</v>
      </c>
      <c r="O2418" s="109">
        <f>IF(Key!D$1="ON",P2418,IF(SUM(Q2418:DL2418)&lt;1,"",SUM(Q2418:DL2418)/COUNTIF(Q2418:DL2418,"&gt;0")))</f>
        <v>0</v>
      </c>
      <c r="P2418" s="109">
        <f>SUMIFS(Q2418:DK2418,Q$1:DK$1,Dashboard!$K$31)</f>
        <v>0</v>
      </c>
      <c r="U2418" s="95">
        <v>33</v>
      </c>
      <c r="AA2418" s="95">
        <v>25</v>
      </c>
      <c r="AH2418" s="95">
        <v>75</v>
      </c>
    </row>
    <row r="2419" spans="1:34" x14ac:dyDescent="0.3">
      <c r="A2419" s="89" t="str">
        <f>CONCATENATE(D2419,".",F2419,"-",G2419,".",H2419,"")</f>
        <v>2.4-1.1</v>
      </c>
      <c r="B2419" s="89" t="str">
        <f>IF(CONCATENATE(I2419,Key!F$2)=CONCATENATE(INDEX(Dashboard!J:J,MATCH(I2419,Dashboard!J:J,0),1),INDEX(Dashboard!J:K,MATCH(I2419,Dashboard!J:J,0),2)),"ON",IF(Dashboard!K$32="ALL","ON","-"))</f>
        <v>-</v>
      </c>
      <c r="C2419" s="88" t="s">
        <v>152</v>
      </c>
      <c r="D2419" s="89">
        <f>IF(C2419="ID",1,(IF(C2419="PR",2,(IF(C2419="DE",3,(IF(C2419="RS",4,(IF(C2419="RC",5,0)))))))))</f>
        <v>2</v>
      </c>
      <c r="E2419" s="89" t="s">
        <v>228</v>
      </c>
      <c r="F2419" s="89">
        <f>IF(E2419="AM",1,(IF(E2419="BE",2,(IF(E2419="GV",3,(IF(E2419="RA",4,(IF(E2419="RM",5,(IF(E2419="AC",1,(IF(E2419="AT",2,(IF(E2419="DS",3,(IF(E2419="IP",4,(IF(E2419="MA",5,(IF(E2419="PT",6,(IF(E2419="AE",1,(IF(E2419="CM",2,(IF(E2419="DP",3,(IF(E2419="AN",1,(IF(E2419="CO",2,(IF(E2419="IM",3,(IF(E2419="MI",4,(IF(E2419="RP",5,(IF(E2419="SC",6,0)))))))))))))))))))))))))))))))))))))))</f>
        <v>4</v>
      </c>
      <c r="G2419" s="52">
        <v>1</v>
      </c>
      <c r="H2419" s="90" t="s">
        <v>115</v>
      </c>
      <c r="I2419" s="94" t="s">
        <v>85</v>
      </c>
      <c r="J2419" s="87" t="s">
        <v>1501</v>
      </c>
      <c r="K2419" s="119" t="s">
        <v>4686</v>
      </c>
      <c r="L2419" s="117">
        <f>IF(O2419="","",N2419*O2419*M2419)</f>
        <v>0</v>
      </c>
      <c r="M2419" s="108">
        <v>1</v>
      </c>
      <c r="N2419" s="95">
        <v>1</v>
      </c>
      <c r="O2419" s="109">
        <f>IF(Key!D$1="ON",P2419,IF(SUM(Q2419:DL2419)&lt;1,"",SUM(Q2419:DL2419)/COUNTIF(Q2419:DL2419,"&gt;0")))</f>
        <v>0</v>
      </c>
      <c r="P2419" s="109">
        <f>SUMIFS(Q2419:DK2419,Q$1:DK$1,Dashboard!$K$31)</f>
        <v>0</v>
      </c>
      <c r="U2419" s="95">
        <v>33</v>
      </c>
      <c r="AA2419" s="95">
        <v>25</v>
      </c>
      <c r="AH2419" s="95">
        <v>75</v>
      </c>
    </row>
    <row r="2420" spans="1:34" x14ac:dyDescent="0.3">
      <c r="A2420" s="89" t="str">
        <f>CONCATENATE(D2420,".",F2420,"-",G2420,".",H2420,"")</f>
        <v>2.4-1.1</v>
      </c>
      <c r="B2420" s="89" t="str">
        <f>IF(CONCATENATE(I2420,Key!F$2)=CONCATENATE(INDEX(Dashboard!J:J,MATCH(I2420,Dashboard!J:J,0),1),INDEX(Dashboard!J:K,MATCH(I2420,Dashboard!J:J,0),2)),"ON",IF(Dashboard!K$32="ALL","ON","-"))</f>
        <v>-</v>
      </c>
      <c r="C2420" s="88" t="s">
        <v>152</v>
      </c>
      <c r="D2420" s="89">
        <f>IF(C2420="ID",1,(IF(C2420="PR",2,(IF(C2420="DE",3,(IF(C2420="RS",4,(IF(C2420="RC",5,0)))))))))</f>
        <v>2</v>
      </c>
      <c r="E2420" s="89" t="s">
        <v>228</v>
      </c>
      <c r="F2420" s="89">
        <f>IF(E2420="AM",1,(IF(E2420="BE",2,(IF(E2420="GV",3,(IF(E2420="RA",4,(IF(E2420="RM",5,(IF(E2420="AC",1,(IF(E2420="AT",2,(IF(E2420="DS",3,(IF(E2420="IP",4,(IF(E2420="MA",5,(IF(E2420="PT",6,(IF(E2420="AE",1,(IF(E2420="CM",2,(IF(E2420="DP",3,(IF(E2420="AN",1,(IF(E2420="CO",2,(IF(E2420="IM",3,(IF(E2420="MI",4,(IF(E2420="RP",5,(IF(E2420="SC",6,0)))))))))))))))))))))))))))))))))))))))</f>
        <v>4</v>
      </c>
      <c r="G2420" s="52">
        <v>1</v>
      </c>
      <c r="H2420" s="90" t="s">
        <v>115</v>
      </c>
      <c r="I2420" s="94" t="s">
        <v>85</v>
      </c>
      <c r="J2420" s="87" t="s">
        <v>1485</v>
      </c>
      <c r="K2420" s="119" t="s">
        <v>4677</v>
      </c>
      <c r="L2420" s="117">
        <f>IF(O2420="","",N2420*O2420*M2420)</f>
        <v>0</v>
      </c>
      <c r="M2420" s="108">
        <v>1</v>
      </c>
      <c r="N2420" s="95">
        <v>1</v>
      </c>
      <c r="O2420" s="109">
        <f>IF(Key!D$1="ON",P2420,IF(SUM(Q2420:DL2420)&lt;1,"",SUM(Q2420:DL2420)/COUNTIF(Q2420:DL2420,"&gt;0")))</f>
        <v>0</v>
      </c>
      <c r="P2420" s="109">
        <f>SUMIFS(Q2420:DK2420,Q$1:DK$1,Dashboard!$K$31)</f>
        <v>0</v>
      </c>
      <c r="U2420" s="95">
        <v>33</v>
      </c>
      <c r="AA2420" s="95">
        <v>25</v>
      </c>
      <c r="AH2420" s="95">
        <v>75</v>
      </c>
    </row>
    <row r="2421" spans="1:34" x14ac:dyDescent="0.3">
      <c r="A2421" s="89" t="str">
        <f>CONCATENATE(D2421,".",F2421,"-",G2421,".",H2421,"")</f>
        <v>2.4-1.1</v>
      </c>
      <c r="B2421" s="89" t="str">
        <f>IF(CONCATENATE(I2421,Key!F$2)=CONCATENATE(INDEX(Dashboard!J:J,MATCH(I2421,Dashboard!J:J,0),1),INDEX(Dashboard!J:K,MATCH(I2421,Dashboard!J:J,0),2)),"ON",IF(Dashboard!K$32="ALL","ON","-"))</f>
        <v>-</v>
      </c>
      <c r="C2421" s="88" t="s">
        <v>152</v>
      </c>
      <c r="D2421" s="89">
        <f>IF(C2421="ID",1,(IF(C2421="PR",2,(IF(C2421="DE",3,(IF(C2421="RS",4,(IF(C2421="RC",5,0)))))))))</f>
        <v>2</v>
      </c>
      <c r="E2421" s="89" t="s">
        <v>228</v>
      </c>
      <c r="F2421" s="89">
        <f>IF(E2421="AM",1,(IF(E2421="BE",2,(IF(E2421="GV",3,(IF(E2421="RA",4,(IF(E2421="RM",5,(IF(E2421="AC",1,(IF(E2421="AT",2,(IF(E2421="DS",3,(IF(E2421="IP",4,(IF(E2421="MA",5,(IF(E2421="PT",6,(IF(E2421="AE",1,(IF(E2421="CM",2,(IF(E2421="DP",3,(IF(E2421="AN",1,(IF(E2421="CO",2,(IF(E2421="IM",3,(IF(E2421="MI",4,(IF(E2421="RP",5,(IF(E2421="SC",6,0)))))))))))))))))))))))))))))))))))))))</f>
        <v>4</v>
      </c>
      <c r="G2421" s="52">
        <v>1</v>
      </c>
      <c r="H2421" s="90" t="s">
        <v>115</v>
      </c>
      <c r="I2421" s="94" t="s">
        <v>85</v>
      </c>
      <c r="J2421" s="87" t="s">
        <v>1478</v>
      </c>
      <c r="K2421" s="119" t="s">
        <v>4657</v>
      </c>
      <c r="L2421" s="117">
        <f>IF(O2421="","",N2421*O2421*M2421)</f>
        <v>0</v>
      </c>
      <c r="M2421" s="108">
        <v>1</v>
      </c>
      <c r="N2421" s="95">
        <v>1</v>
      </c>
      <c r="O2421" s="109">
        <f>IF(Key!D$1="ON",P2421,IF(SUM(Q2421:DL2421)&lt;1,"",SUM(Q2421:DL2421)/COUNTIF(Q2421:DL2421,"&gt;0")))</f>
        <v>0</v>
      </c>
      <c r="P2421" s="109">
        <f>SUMIFS(Q2421:DK2421,Q$1:DK$1,Dashboard!$K$31)</f>
        <v>0</v>
      </c>
      <c r="U2421" s="95">
        <v>33</v>
      </c>
      <c r="AA2421" s="95">
        <v>25</v>
      </c>
      <c r="AH2421" s="95">
        <v>75</v>
      </c>
    </row>
    <row r="2422" spans="1:34" x14ac:dyDescent="0.3">
      <c r="A2422" s="89" t="str">
        <f>CONCATENATE(D2422,".",F2422,"-",G2422,".",H2422,"")</f>
        <v>2.4-1.1</v>
      </c>
      <c r="B2422" s="89" t="str">
        <f>IF(CONCATENATE(I2422,Key!F$2)=CONCATENATE(INDEX(Dashboard!J:J,MATCH(I2422,Dashboard!J:J,0),1),INDEX(Dashboard!J:K,MATCH(I2422,Dashboard!J:J,0),2)),"ON",IF(Dashboard!K$32="ALL","ON","-"))</f>
        <v>-</v>
      </c>
      <c r="C2422" s="96" t="s">
        <v>152</v>
      </c>
      <c r="D2422" s="89">
        <f>IF(C2422="ID",1,(IF(C2422="PR",2,(IF(C2422="DE",3,(IF(C2422="RS",4,(IF(C2422="RC",5,0)))))))))</f>
        <v>2</v>
      </c>
      <c r="E2422" s="89" t="s">
        <v>228</v>
      </c>
      <c r="F2422" s="89">
        <f>IF(E2422="AM",1,(IF(E2422="BE",2,(IF(E2422="GV",3,(IF(E2422="RA",4,(IF(E2422="RM",5,(IF(E2422="AC",1,(IF(E2422="AT",2,(IF(E2422="DS",3,(IF(E2422="IP",4,(IF(E2422="MA",5,(IF(E2422="PT",6,(IF(E2422="AE",1,(IF(E2422="CM",2,(IF(E2422="DP",3,(IF(E2422="AN",1,(IF(E2422="CO",2,(IF(E2422="IM",3,(IF(E2422="MI",4,(IF(E2422="RP",5,(IF(E2422="SC",6,0)))))))))))))))))))))))))))))))))))))))</f>
        <v>4</v>
      </c>
      <c r="G2422" s="98">
        <v>1</v>
      </c>
      <c r="H2422" s="90" t="s">
        <v>115</v>
      </c>
      <c r="I2422" s="94" t="s">
        <v>85</v>
      </c>
      <c r="J2422" s="87" t="s">
        <v>1475</v>
      </c>
      <c r="K2422" s="119" t="s">
        <v>1476</v>
      </c>
      <c r="L2422" s="117">
        <f>IF(O2422="","",N2422*O2422*M2422)</f>
        <v>0</v>
      </c>
      <c r="M2422" s="108">
        <v>1</v>
      </c>
      <c r="N2422" s="95">
        <v>1</v>
      </c>
      <c r="O2422" s="109">
        <f>IF(Key!D$1="ON",P2422,IF(SUM(Q2422:DL2422)&lt;1,"",SUM(Q2422:DL2422)/COUNTIF(Q2422:DL2422,"&gt;0")))</f>
        <v>0</v>
      </c>
      <c r="P2422" s="109">
        <f>SUMIFS(Q2422:DK2422,Q$1:DK$1,Dashboard!$K$31)</f>
        <v>0</v>
      </c>
      <c r="U2422" s="95">
        <v>33</v>
      </c>
      <c r="AA2422" s="95">
        <v>25</v>
      </c>
      <c r="AH2422" s="95">
        <v>75</v>
      </c>
    </row>
    <row r="2423" spans="1:34" x14ac:dyDescent="0.3">
      <c r="A2423" s="89" t="str">
        <f>CONCATENATE(D2423,".",F2423,"-",G2423,".",H2423,"")</f>
        <v>2.4-1.1</v>
      </c>
      <c r="B2423" s="89" t="str">
        <f>IF(CONCATENATE(I2423,Key!F$2)=CONCATENATE(INDEX(Dashboard!J:J,MATCH(I2423,Dashboard!J:J,0),1),INDEX(Dashboard!J:K,MATCH(I2423,Dashboard!J:J,0),2)),"ON",IF(Dashboard!K$32="ALL","ON","-"))</f>
        <v>-</v>
      </c>
      <c r="C2423" s="88" t="s">
        <v>152</v>
      </c>
      <c r="D2423" s="89">
        <f>IF(C2423="ID",1,(IF(C2423="PR",2,(IF(C2423="DE",3,(IF(C2423="RS",4,(IF(C2423="RC",5,0)))))))))</f>
        <v>2</v>
      </c>
      <c r="E2423" s="89" t="s">
        <v>228</v>
      </c>
      <c r="F2423" s="89">
        <f>IF(E2423="AM",1,(IF(E2423="BE",2,(IF(E2423="GV",3,(IF(E2423="RA",4,(IF(E2423="RM",5,(IF(E2423="AC",1,(IF(E2423="AT",2,(IF(E2423="DS",3,(IF(E2423="IP",4,(IF(E2423="MA",5,(IF(E2423="PT",6,(IF(E2423="AE",1,(IF(E2423="CM",2,(IF(E2423="DP",3,(IF(E2423="AN",1,(IF(E2423="CO",2,(IF(E2423="IM",3,(IF(E2423="MI",4,(IF(E2423="RP",5,(IF(E2423="SC",6,0)))))))))))))))))))))))))))))))))))))))</f>
        <v>4</v>
      </c>
      <c r="G2423" s="52">
        <v>1</v>
      </c>
      <c r="H2423" s="90" t="s">
        <v>115</v>
      </c>
      <c r="I2423" s="94" t="s">
        <v>85</v>
      </c>
      <c r="J2423" s="87" t="s">
        <v>1522</v>
      </c>
      <c r="K2423" s="119" t="s">
        <v>4840</v>
      </c>
      <c r="L2423" s="117">
        <f>IF(O2423="","",N2423*O2423*M2423)</f>
        <v>0</v>
      </c>
      <c r="M2423" s="108">
        <v>1</v>
      </c>
      <c r="N2423" s="95">
        <v>1</v>
      </c>
      <c r="O2423" s="109">
        <f>IF(Key!D$1="ON",P2423,IF(SUM(Q2423:DL2423)&lt;1,"",SUM(Q2423:DL2423)/COUNTIF(Q2423:DL2423,"&gt;0")))</f>
        <v>0</v>
      </c>
      <c r="P2423" s="109">
        <f>SUMIFS(Q2423:DK2423,Q$1:DK$1,Dashboard!$K$31)</f>
        <v>0</v>
      </c>
      <c r="U2423" s="95">
        <v>33</v>
      </c>
      <c r="AA2423" s="95">
        <v>25</v>
      </c>
      <c r="AH2423" s="95">
        <v>75</v>
      </c>
    </row>
    <row r="2424" spans="1:34" ht="15.6" x14ac:dyDescent="0.3">
      <c r="A2424" s="89" t="str">
        <f>CONCATENATE(D2424,".",F2424,"-",G2424,".",H2424,"")</f>
        <v>2.4-1.1</v>
      </c>
      <c r="B2424" s="89" t="str">
        <f>IF(CONCATENATE(I2424,Key!F$2)=CONCATENATE(INDEX(Dashboard!J:J,MATCH(I2424,Dashboard!J:J,0),1),INDEX(Dashboard!J:K,MATCH(I2424,Dashboard!J:J,0),2)),"ON",IF(Dashboard!K$32="ALL","ON","-"))</f>
        <v>-</v>
      </c>
      <c r="C2424" s="96" t="s">
        <v>152</v>
      </c>
      <c r="D2424" s="89">
        <f>IF(C2424="ID",1,(IF(C2424="PR",2,(IF(C2424="DE",3,(IF(C2424="RS",4,(IF(C2424="RC",5,0)))))))))</f>
        <v>2</v>
      </c>
      <c r="E2424" s="89" t="s">
        <v>228</v>
      </c>
      <c r="F2424" s="89">
        <f>IF(E2424="AM",1,(IF(E2424="BE",2,(IF(E2424="GV",3,(IF(E2424="RA",4,(IF(E2424="RM",5,(IF(E2424="AC",1,(IF(E2424="AT",2,(IF(E2424="DS",3,(IF(E2424="IP",4,(IF(E2424="MA",5,(IF(E2424="PT",6,(IF(E2424="AE",1,(IF(E2424="CM",2,(IF(E2424="DP",3,(IF(E2424="AN",1,(IF(E2424="CO",2,(IF(E2424="IM",3,(IF(E2424="MI",4,(IF(E2424="RP",5,(IF(E2424="SC",6,0)))))))))))))))))))))))))))))))))))))))</f>
        <v>4</v>
      </c>
      <c r="G2424" s="98">
        <v>1</v>
      </c>
      <c r="H2424" s="90" t="s">
        <v>115</v>
      </c>
      <c r="I2424" s="94" t="s">
        <v>85</v>
      </c>
      <c r="J2424" s="87" t="s">
        <v>1479</v>
      </c>
      <c r="K2424" s="119" t="s">
        <v>1480</v>
      </c>
      <c r="L2424" s="117">
        <f>IF(O2424="","",N2424*O2424*M2424)</f>
        <v>0</v>
      </c>
      <c r="M2424" s="108">
        <v>1</v>
      </c>
      <c r="N2424" s="95">
        <v>1</v>
      </c>
      <c r="O2424" s="109">
        <f>IF(Key!D$1="ON",P2424,IF(SUM(Q2424:DL2424)&lt;1,"",SUM(Q2424:DL2424)/COUNTIF(Q2424:DL2424,"&gt;0")))</f>
        <v>0</v>
      </c>
      <c r="P2424" s="109">
        <f>SUMIFS(Q2424:DK2424,Q$1:DK$1,Dashboard!$K$31)</f>
        <v>0</v>
      </c>
      <c r="U2424" s="95">
        <v>33</v>
      </c>
      <c r="AA2424" s="95">
        <v>25</v>
      </c>
      <c r="AH2424" s="95">
        <v>75</v>
      </c>
    </row>
    <row r="2425" spans="1:34" ht="15.6" x14ac:dyDescent="0.3">
      <c r="A2425" s="89" t="str">
        <f>CONCATENATE(D2425,".",F2425,"-",G2425,".",H2425,"")</f>
        <v>2.4-1.1</v>
      </c>
      <c r="B2425" s="89" t="str">
        <f>IF(CONCATENATE(I2425,Key!F$2)=CONCATENATE(INDEX(Dashboard!J:J,MATCH(I2425,Dashboard!J:J,0),1),INDEX(Dashboard!J:K,MATCH(I2425,Dashboard!J:J,0),2)),"ON",IF(Dashboard!K$32="ALL","ON","-"))</f>
        <v>-</v>
      </c>
      <c r="C2425" s="96" t="s">
        <v>152</v>
      </c>
      <c r="D2425" s="89">
        <f>IF(C2425="ID",1,(IF(C2425="PR",2,(IF(C2425="DE",3,(IF(C2425="RS",4,(IF(C2425="RC",5,0)))))))))</f>
        <v>2</v>
      </c>
      <c r="E2425" s="89" t="s">
        <v>228</v>
      </c>
      <c r="F2425" s="89">
        <f>IF(E2425="AM",1,(IF(E2425="BE",2,(IF(E2425="GV",3,(IF(E2425="RA",4,(IF(E2425="RM",5,(IF(E2425="AC",1,(IF(E2425="AT",2,(IF(E2425="DS",3,(IF(E2425="IP",4,(IF(E2425="MA",5,(IF(E2425="PT",6,(IF(E2425="AE",1,(IF(E2425="CM",2,(IF(E2425="DP",3,(IF(E2425="AN",1,(IF(E2425="CO",2,(IF(E2425="IM",3,(IF(E2425="MI",4,(IF(E2425="RP",5,(IF(E2425="SC",6,0)))))))))))))))))))))))))))))))))))))))</f>
        <v>4</v>
      </c>
      <c r="G2425" s="98">
        <v>1</v>
      </c>
      <c r="H2425" s="90" t="s">
        <v>115</v>
      </c>
      <c r="I2425" s="94" t="s">
        <v>85</v>
      </c>
      <c r="J2425" s="87" t="s">
        <v>1510</v>
      </c>
      <c r="K2425" s="119" t="s">
        <v>1511</v>
      </c>
      <c r="L2425" s="117">
        <f>IF(O2425="","",N2425*O2425*M2425)</f>
        <v>0</v>
      </c>
      <c r="M2425" s="108">
        <v>1</v>
      </c>
      <c r="N2425" s="95">
        <v>1</v>
      </c>
      <c r="O2425" s="109">
        <f>IF(Key!D$1="ON",P2425,IF(SUM(Q2425:DL2425)&lt;1,"",SUM(Q2425:DL2425)/COUNTIF(Q2425:DL2425,"&gt;0")))</f>
        <v>0</v>
      </c>
      <c r="P2425" s="109">
        <f>SUMIFS(Q2425:DK2425,Q$1:DK$1,Dashboard!$K$31)</f>
        <v>0</v>
      </c>
      <c r="U2425" s="95">
        <v>33</v>
      </c>
      <c r="AA2425" s="95">
        <v>25</v>
      </c>
      <c r="AH2425" s="95">
        <v>75</v>
      </c>
    </row>
    <row r="2426" spans="1:34" ht="15.6" x14ac:dyDescent="0.3">
      <c r="A2426" s="89" t="str">
        <f>CONCATENATE(D2426,".",F2426,"-",G2426,".",H2426,"")</f>
        <v>2.4-1.1</v>
      </c>
      <c r="B2426" s="89" t="str">
        <f>IF(CONCATENATE(I2426,Key!F$2)=CONCATENATE(INDEX(Dashboard!J:J,MATCH(I2426,Dashboard!J:J,0),1),INDEX(Dashboard!J:K,MATCH(I2426,Dashboard!J:J,0),2)),"ON",IF(Dashboard!K$32="ALL","ON","-"))</f>
        <v>-</v>
      </c>
      <c r="C2426" s="96" t="s">
        <v>152</v>
      </c>
      <c r="D2426" s="89">
        <f>IF(C2426="ID",1,(IF(C2426="PR",2,(IF(C2426="DE",3,(IF(C2426="RS",4,(IF(C2426="RC",5,0)))))))))</f>
        <v>2</v>
      </c>
      <c r="E2426" s="89" t="s">
        <v>228</v>
      </c>
      <c r="F2426" s="89">
        <f>IF(E2426="AM",1,(IF(E2426="BE",2,(IF(E2426="GV",3,(IF(E2426="RA",4,(IF(E2426="RM",5,(IF(E2426="AC",1,(IF(E2426="AT",2,(IF(E2426="DS",3,(IF(E2426="IP",4,(IF(E2426="MA",5,(IF(E2426="PT",6,(IF(E2426="AE",1,(IF(E2426="CM",2,(IF(E2426="DP",3,(IF(E2426="AN",1,(IF(E2426="CO",2,(IF(E2426="IM",3,(IF(E2426="MI",4,(IF(E2426="RP",5,(IF(E2426="SC",6,0)))))))))))))))))))))))))))))))))))))))</f>
        <v>4</v>
      </c>
      <c r="G2426" s="98">
        <v>1</v>
      </c>
      <c r="H2426" s="90" t="s">
        <v>115</v>
      </c>
      <c r="I2426" s="94" t="s">
        <v>85</v>
      </c>
      <c r="J2426" s="87" t="s">
        <v>1499</v>
      </c>
      <c r="K2426" s="119" t="s">
        <v>1500</v>
      </c>
      <c r="L2426" s="117">
        <f>IF(O2426="","",N2426*O2426*M2426)</f>
        <v>0</v>
      </c>
      <c r="M2426" s="108">
        <v>1</v>
      </c>
      <c r="N2426" s="95">
        <v>1</v>
      </c>
      <c r="O2426" s="109">
        <f>IF(Key!D$1="ON",P2426,IF(SUM(Q2426:DL2426)&lt;1,"",SUM(Q2426:DL2426)/COUNTIF(Q2426:DL2426,"&gt;0")))</f>
        <v>0</v>
      </c>
      <c r="P2426" s="109">
        <f>SUMIFS(Q2426:DK2426,Q$1:DK$1,Dashboard!$K$31)</f>
        <v>0</v>
      </c>
      <c r="U2426" s="95">
        <v>33</v>
      </c>
      <c r="AA2426" s="95">
        <v>25</v>
      </c>
      <c r="AH2426" s="95">
        <v>75</v>
      </c>
    </row>
    <row r="2427" spans="1:34" ht="15.6" x14ac:dyDescent="0.3">
      <c r="A2427" s="89" t="str">
        <f>CONCATENATE(D2427,".",F2427,"-",G2427,".",H2427,"")</f>
        <v>2.4-1.1</v>
      </c>
      <c r="B2427" s="89" t="str">
        <f>IF(CONCATENATE(I2427,Key!F$2)=CONCATENATE(INDEX(Dashboard!J:J,MATCH(I2427,Dashboard!J:J,0),1),INDEX(Dashboard!J:K,MATCH(I2427,Dashboard!J:J,0),2)),"ON",IF(Dashboard!K$32="ALL","ON","-"))</f>
        <v>-</v>
      </c>
      <c r="C2427" s="88" t="s">
        <v>152</v>
      </c>
      <c r="D2427" s="89">
        <f>IF(C2427="ID",1,(IF(C2427="PR",2,(IF(C2427="DE",3,(IF(C2427="RS",4,(IF(C2427="RC",5,0)))))))))</f>
        <v>2</v>
      </c>
      <c r="E2427" s="89" t="s">
        <v>228</v>
      </c>
      <c r="F2427" s="89">
        <f>IF(E2427="AM",1,(IF(E2427="BE",2,(IF(E2427="GV",3,(IF(E2427="RA",4,(IF(E2427="RM",5,(IF(E2427="AC",1,(IF(E2427="AT",2,(IF(E2427="DS",3,(IF(E2427="IP",4,(IF(E2427="MA",5,(IF(E2427="PT",6,(IF(E2427="AE",1,(IF(E2427="CM",2,(IF(E2427="DP",3,(IF(E2427="AN",1,(IF(E2427="CO",2,(IF(E2427="IM",3,(IF(E2427="MI",4,(IF(E2427="RP",5,(IF(E2427="SC",6,0)))))))))))))))))))))))))))))))))))))))</f>
        <v>4</v>
      </c>
      <c r="G2427" s="52">
        <v>1</v>
      </c>
      <c r="H2427" s="90" t="s">
        <v>115</v>
      </c>
      <c r="I2427" s="94" t="s">
        <v>85</v>
      </c>
      <c r="J2427" s="87" t="s">
        <v>1521</v>
      </c>
      <c r="K2427" s="119" t="s">
        <v>4839</v>
      </c>
      <c r="L2427" s="117">
        <f>IF(O2427="","",N2427*O2427*M2427)</f>
        <v>0</v>
      </c>
      <c r="M2427" s="108">
        <v>1</v>
      </c>
      <c r="N2427" s="95">
        <v>1</v>
      </c>
      <c r="O2427" s="109">
        <f>IF(Key!D$1="ON",P2427,IF(SUM(Q2427:DL2427)&lt;1,"",SUM(Q2427:DL2427)/COUNTIF(Q2427:DL2427,"&gt;0")))</f>
        <v>0</v>
      </c>
      <c r="P2427" s="109">
        <f>SUMIFS(Q2427:DK2427,Q$1:DK$1,Dashboard!$K$31)</f>
        <v>0</v>
      </c>
      <c r="U2427" s="95">
        <v>33</v>
      </c>
      <c r="AA2427" s="95">
        <v>25</v>
      </c>
      <c r="AH2427" s="95">
        <v>75</v>
      </c>
    </row>
    <row r="2428" spans="1:34" ht="15.6" x14ac:dyDescent="0.3">
      <c r="A2428" s="89" t="str">
        <f>CONCATENATE(D2428,".",F2428,"-",G2428,".",H2428,"")</f>
        <v>2.4-1.1</v>
      </c>
      <c r="B2428" s="89" t="str">
        <f>IF(CONCATENATE(I2428,Key!F$2)=CONCATENATE(INDEX(Dashboard!J:J,MATCH(I2428,Dashboard!J:J,0),1),INDEX(Dashboard!J:K,MATCH(I2428,Dashboard!J:J,0),2)),"ON",IF(Dashboard!K$32="ALL","ON","-"))</f>
        <v>-</v>
      </c>
      <c r="C2428" s="88" t="s">
        <v>152</v>
      </c>
      <c r="D2428" s="89">
        <f>IF(C2428="ID",1,(IF(C2428="PR",2,(IF(C2428="DE",3,(IF(C2428="RS",4,(IF(C2428="RC",5,0)))))))))</f>
        <v>2</v>
      </c>
      <c r="E2428" s="89" t="s">
        <v>228</v>
      </c>
      <c r="F2428" s="89">
        <f>IF(E2428="AM",1,(IF(E2428="BE",2,(IF(E2428="GV",3,(IF(E2428="RA",4,(IF(E2428="RM",5,(IF(E2428="AC",1,(IF(E2428="AT",2,(IF(E2428="DS",3,(IF(E2428="IP",4,(IF(E2428="MA",5,(IF(E2428="PT",6,(IF(E2428="AE",1,(IF(E2428="CM",2,(IF(E2428="DP",3,(IF(E2428="AN",1,(IF(E2428="CO",2,(IF(E2428="IM",3,(IF(E2428="MI",4,(IF(E2428="RP",5,(IF(E2428="SC",6,0)))))))))))))))))))))))))))))))))))))))</f>
        <v>4</v>
      </c>
      <c r="G2428" s="52">
        <v>1</v>
      </c>
      <c r="H2428" s="90" t="s">
        <v>115</v>
      </c>
      <c r="I2428" s="94" t="s">
        <v>85</v>
      </c>
      <c r="J2428" s="87" t="s">
        <v>1486</v>
      </c>
      <c r="K2428" s="119" t="s">
        <v>4678</v>
      </c>
      <c r="L2428" s="117">
        <f>IF(O2428="","",N2428*O2428*M2428)</f>
        <v>0</v>
      </c>
      <c r="M2428" s="108">
        <v>1</v>
      </c>
      <c r="N2428" s="95">
        <v>1</v>
      </c>
      <c r="O2428" s="109">
        <f>IF(Key!D$1="ON",P2428,IF(SUM(Q2428:DL2428)&lt;1,"",SUM(Q2428:DL2428)/COUNTIF(Q2428:DL2428,"&gt;0")))</f>
        <v>0</v>
      </c>
      <c r="P2428" s="109">
        <f>SUMIFS(Q2428:DK2428,Q$1:DK$1,Dashboard!$K$31)</f>
        <v>0</v>
      </c>
      <c r="U2428" s="95">
        <v>33</v>
      </c>
      <c r="AA2428" s="95">
        <v>25</v>
      </c>
      <c r="AH2428" s="95">
        <v>75</v>
      </c>
    </row>
    <row r="2429" spans="1:34" ht="15.6" x14ac:dyDescent="0.3">
      <c r="A2429" s="89" t="str">
        <f>CONCATENATE(D2429,".",F2429,"-",G2429,".",H2429,"")</f>
        <v>2.4-1.1</v>
      </c>
      <c r="B2429" s="89" t="str">
        <f>IF(CONCATENATE(I2429,Key!F$2)=CONCATENATE(INDEX(Dashboard!J:J,MATCH(I2429,Dashboard!J:J,0),1),INDEX(Dashboard!J:K,MATCH(I2429,Dashboard!J:J,0),2)),"ON",IF(Dashboard!K$32="ALL","ON","-"))</f>
        <v>-</v>
      </c>
      <c r="C2429" s="88" t="s">
        <v>152</v>
      </c>
      <c r="D2429" s="89">
        <f>IF(C2429="ID",1,(IF(C2429="PR",2,(IF(C2429="DE",3,(IF(C2429="RS",4,(IF(C2429="RC",5,0)))))))))</f>
        <v>2</v>
      </c>
      <c r="E2429" s="89" t="s">
        <v>228</v>
      </c>
      <c r="F2429" s="89">
        <f>IF(E2429="AM",1,(IF(E2429="BE",2,(IF(E2429="GV",3,(IF(E2429="RA",4,(IF(E2429="RM",5,(IF(E2429="AC",1,(IF(E2429="AT",2,(IF(E2429="DS",3,(IF(E2429="IP",4,(IF(E2429="MA",5,(IF(E2429="PT",6,(IF(E2429="AE",1,(IF(E2429="CM",2,(IF(E2429="DP",3,(IF(E2429="AN",1,(IF(E2429="CO",2,(IF(E2429="IM",3,(IF(E2429="MI",4,(IF(E2429="RP",5,(IF(E2429="SC",6,0)))))))))))))))))))))))))))))))))))))))</f>
        <v>4</v>
      </c>
      <c r="G2429" s="52">
        <v>1</v>
      </c>
      <c r="H2429" s="90" t="s">
        <v>115</v>
      </c>
      <c r="I2429" s="94" t="s">
        <v>85</v>
      </c>
      <c r="J2429" s="87" t="s">
        <v>969</v>
      </c>
      <c r="K2429" s="119" t="s">
        <v>4873</v>
      </c>
      <c r="L2429" s="117">
        <f>IF(O2429="","",N2429*O2429*M2429)</f>
        <v>0</v>
      </c>
      <c r="M2429" s="108">
        <v>1</v>
      </c>
      <c r="N2429" s="95">
        <v>1</v>
      </c>
      <c r="O2429" s="109">
        <f>IF(Key!D$1="ON",P2429,IF(SUM(Q2429:DL2429)&lt;1,"",SUM(Q2429:DL2429)/COUNTIF(Q2429:DL2429,"&gt;0")))</f>
        <v>0</v>
      </c>
      <c r="P2429" s="109">
        <f>SUMIFS(Q2429:DK2429,Q$1:DK$1,Dashboard!$K$31)</f>
        <v>0</v>
      </c>
      <c r="U2429" s="95">
        <v>33</v>
      </c>
      <c r="AA2429" s="95">
        <v>25</v>
      </c>
      <c r="AH2429" s="95">
        <v>75</v>
      </c>
    </row>
    <row r="2430" spans="1:34" x14ac:dyDescent="0.3">
      <c r="A2430" s="89" t="str">
        <f>CONCATENATE(D2430,".",F2430,"-",G2430,".",H2430,"")</f>
        <v>2.4-1.1</v>
      </c>
      <c r="B2430" s="89" t="str">
        <f>IF(CONCATENATE(I2430,Key!F$2)=CONCATENATE(INDEX(Dashboard!J:J,MATCH(I2430,Dashboard!J:J,0),1),INDEX(Dashboard!J:K,MATCH(I2430,Dashboard!J:J,0),2)),"ON",IF(Dashboard!K$32="ALL","ON","-"))</f>
        <v>-</v>
      </c>
      <c r="C2430" s="96" t="s">
        <v>152</v>
      </c>
      <c r="D2430" s="89">
        <f>IF(C2430="ID",1,(IF(C2430="PR",2,(IF(C2430="DE",3,(IF(C2430="RS",4,(IF(C2430="RC",5,0)))))))))</f>
        <v>2</v>
      </c>
      <c r="E2430" s="89" t="s">
        <v>228</v>
      </c>
      <c r="F2430" s="89">
        <f>IF(E2430="AM",1,(IF(E2430="BE",2,(IF(E2430="GV",3,(IF(E2430="RA",4,(IF(E2430="RM",5,(IF(E2430="AC",1,(IF(E2430="AT",2,(IF(E2430="DS",3,(IF(E2430="IP",4,(IF(E2430="MA",5,(IF(E2430="PT",6,(IF(E2430="AE",1,(IF(E2430="CM",2,(IF(E2430="DP",3,(IF(E2430="AN",1,(IF(E2430="CO",2,(IF(E2430="IM",3,(IF(E2430="MI",4,(IF(E2430="RP",5,(IF(E2430="SC",6,0)))))))))))))))))))))))))))))))))))))))</f>
        <v>4</v>
      </c>
      <c r="G2430" s="98">
        <v>1</v>
      </c>
      <c r="H2430" s="90" t="s">
        <v>115</v>
      </c>
      <c r="I2430" s="94" t="s">
        <v>85</v>
      </c>
      <c r="J2430" s="87" t="s">
        <v>1523</v>
      </c>
      <c r="K2430" s="119" t="s">
        <v>1524</v>
      </c>
      <c r="L2430" s="117">
        <f>IF(O2430="","",N2430*O2430*M2430)</f>
        <v>0</v>
      </c>
      <c r="M2430" s="108">
        <v>1</v>
      </c>
      <c r="N2430" s="95">
        <v>1</v>
      </c>
      <c r="O2430" s="109">
        <f>IF(Key!D$1="ON",P2430,IF(SUM(Q2430:DL2430)&lt;1,"",SUM(Q2430:DL2430)/COUNTIF(Q2430:DL2430,"&gt;0")))</f>
        <v>0</v>
      </c>
      <c r="P2430" s="109">
        <f>SUMIFS(Q2430:DK2430,Q$1:DK$1,Dashboard!$K$31)</f>
        <v>0</v>
      </c>
      <c r="U2430" s="95">
        <v>33</v>
      </c>
      <c r="AA2430" s="95">
        <v>25</v>
      </c>
      <c r="AH2430" s="95">
        <v>75</v>
      </c>
    </row>
    <row r="2431" spans="1:34" x14ac:dyDescent="0.3">
      <c r="A2431" s="89" t="str">
        <f>CONCATENATE(D2431,".",F2431,"-",G2431,".",H2431,"")</f>
        <v>2.4-1.1</v>
      </c>
      <c r="B2431" s="89" t="str">
        <f>IF(CONCATENATE(I2431,Key!F$2)=CONCATENATE(INDEX(Dashboard!J:J,MATCH(I2431,Dashboard!J:J,0),1),INDEX(Dashboard!J:K,MATCH(I2431,Dashboard!J:J,0),2)),"ON",IF(Dashboard!K$32="ALL","ON","-"))</f>
        <v>-</v>
      </c>
      <c r="C2431" s="88" t="s">
        <v>152</v>
      </c>
      <c r="D2431" s="89">
        <f>IF(C2431="ID",1,(IF(C2431="PR",2,(IF(C2431="DE",3,(IF(C2431="RS",4,(IF(C2431="RC",5,0)))))))))</f>
        <v>2</v>
      </c>
      <c r="E2431" s="89" t="s">
        <v>228</v>
      </c>
      <c r="F2431" s="89">
        <f>IF(E2431="AM",1,(IF(E2431="BE",2,(IF(E2431="GV",3,(IF(E2431="RA",4,(IF(E2431="RM",5,(IF(E2431="AC",1,(IF(E2431="AT",2,(IF(E2431="DS",3,(IF(E2431="IP",4,(IF(E2431="MA",5,(IF(E2431="PT",6,(IF(E2431="AE",1,(IF(E2431="CM",2,(IF(E2431="DP",3,(IF(E2431="AN",1,(IF(E2431="CO",2,(IF(E2431="IM",3,(IF(E2431="MI",4,(IF(E2431="RP",5,(IF(E2431="SC",6,0)))))))))))))))))))))))))))))))))))))))</f>
        <v>4</v>
      </c>
      <c r="G2431" s="52">
        <v>1</v>
      </c>
      <c r="H2431" s="90" t="s">
        <v>115</v>
      </c>
      <c r="I2431" s="94" t="s">
        <v>85</v>
      </c>
      <c r="J2431" s="87" t="s">
        <v>1474</v>
      </c>
      <c r="K2431" s="119" t="s">
        <v>4582</v>
      </c>
      <c r="L2431" s="117">
        <f>IF(O2431="","",N2431*O2431*M2431)</f>
        <v>0</v>
      </c>
      <c r="M2431" s="108">
        <v>1</v>
      </c>
      <c r="N2431" s="95">
        <v>1</v>
      </c>
      <c r="O2431" s="109">
        <f>IF(Key!D$1="ON",P2431,IF(SUM(Q2431:DL2431)&lt;1,"",SUM(Q2431:DL2431)/COUNTIF(Q2431:DL2431,"&gt;0")))</f>
        <v>0</v>
      </c>
      <c r="P2431" s="109">
        <f>SUMIFS(Q2431:DK2431,Q$1:DK$1,Dashboard!$K$31)</f>
        <v>0</v>
      </c>
      <c r="U2431" s="95">
        <v>33</v>
      </c>
      <c r="AA2431" s="95">
        <v>25</v>
      </c>
      <c r="AH2431" s="95">
        <v>75</v>
      </c>
    </row>
    <row r="2432" spans="1:34" x14ac:dyDescent="0.3">
      <c r="A2432" s="89" t="str">
        <f>CONCATENATE(D2432,".",F2432,"-",G2432,".",H2432,"")</f>
        <v>2.4-1.1</v>
      </c>
      <c r="B2432" s="89" t="str">
        <f>IF(CONCATENATE(I2432,Key!F$2)=CONCATENATE(INDEX(Dashboard!J:J,MATCH(I2432,Dashboard!J:J,0),1),INDEX(Dashboard!J:K,MATCH(I2432,Dashboard!J:J,0),2)),"ON",IF(Dashboard!K$32="ALL","ON","-"))</f>
        <v>-</v>
      </c>
      <c r="C2432" s="88" t="s">
        <v>152</v>
      </c>
      <c r="D2432" s="89">
        <f>IF(C2432="ID",1,(IF(C2432="PR",2,(IF(C2432="DE",3,(IF(C2432="RS",4,(IF(C2432="RC",5,0)))))))))</f>
        <v>2</v>
      </c>
      <c r="E2432" s="89" t="s">
        <v>228</v>
      </c>
      <c r="F2432" s="89">
        <f>IF(E2432="AM",1,(IF(E2432="BE",2,(IF(E2432="GV",3,(IF(E2432="RA",4,(IF(E2432="RM",5,(IF(E2432="AC",1,(IF(E2432="AT",2,(IF(E2432="DS",3,(IF(E2432="IP",4,(IF(E2432="MA",5,(IF(E2432="PT",6,(IF(E2432="AE",1,(IF(E2432="CM",2,(IF(E2432="DP",3,(IF(E2432="AN",1,(IF(E2432="CO",2,(IF(E2432="IM",3,(IF(E2432="MI",4,(IF(E2432="RP",5,(IF(E2432="SC",6,0)))))))))))))))))))))))))))))))))))))))</f>
        <v>4</v>
      </c>
      <c r="G2432" s="52">
        <v>1</v>
      </c>
      <c r="H2432" s="90" t="s">
        <v>115</v>
      </c>
      <c r="I2432" s="94" t="s">
        <v>85</v>
      </c>
      <c r="J2432" s="87" t="s">
        <v>1519</v>
      </c>
      <c r="K2432" s="119" t="s">
        <v>4843</v>
      </c>
      <c r="L2432" s="117">
        <f>IF(O2432="","",N2432*O2432*M2432)</f>
        <v>0</v>
      </c>
      <c r="M2432" s="108">
        <v>1</v>
      </c>
      <c r="N2432" s="95">
        <v>1</v>
      </c>
      <c r="O2432" s="109">
        <f>IF(Key!D$1="ON",P2432,IF(SUM(Q2432:DL2432)&lt;1,"",SUM(Q2432:DL2432)/COUNTIF(Q2432:DL2432,"&gt;0")))</f>
        <v>0</v>
      </c>
      <c r="P2432" s="109">
        <f>SUMIFS(Q2432:DK2432,Q$1:DK$1,Dashboard!$K$31)</f>
        <v>0</v>
      </c>
      <c r="U2432" s="95">
        <v>33</v>
      </c>
      <c r="AA2432" s="95">
        <v>25</v>
      </c>
      <c r="AH2432" s="95">
        <v>75</v>
      </c>
    </row>
    <row r="2433" spans="1:34" x14ac:dyDescent="0.3">
      <c r="A2433" s="89" t="str">
        <f>CONCATENATE(D2433,".",F2433,"-",G2433,".",H2433,"")</f>
        <v>2.4-1.1</v>
      </c>
      <c r="B2433" s="89" t="str">
        <f>IF(CONCATENATE(I2433,Key!F$2)=CONCATENATE(INDEX(Dashboard!J:J,MATCH(I2433,Dashboard!J:J,0),1),INDEX(Dashboard!J:K,MATCH(I2433,Dashboard!J:J,0),2)),"ON",IF(Dashboard!K$32="ALL","ON","-"))</f>
        <v>-</v>
      </c>
      <c r="C2433" s="88" t="s">
        <v>152</v>
      </c>
      <c r="D2433" s="89">
        <f>IF(C2433="ID",1,(IF(C2433="PR",2,(IF(C2433="DE",3,(IF(C2433="RS",4,(IF(C2433="RC",5,0)))))))))</f>
        <v>2</v>
      </c>
      <c r="E2433" s="89" t="s">
        <v>228</v>
      </c>
      <c r="F2433" s="89">
        <f>IF(E2433="AM",1,(IF(E2433="BE",2,(IF(E2433="GV",3,(IF(E2433="RA",4,(IF(E2433="RM",5,(IF(E2433="AC",1,(IF(E2433="AT",2,(IF(E2433="DS",3,(IF(E2433="IP",4,(IF(E2433="MA",5,(IF(E2433="PT",6,(IF(E2433="AE",1,(IF(E2433="CM",2,(IF(E2433="DP",3,(IF(E2433="AN",1,(IF(E2433="CO",2,(IF(E2433="IM",3,(IF(E2433="MI",4,(IF(E2433="RP",5,(IF(E2433="SC",6,0)))))))))))))))))))))))))))))))))))))))</f>
        <v>4</v>
      </c>
      <c r="G2433" s="52">
        <v>1</v>
      </c>
      <c r="H2433" s="90" t="s">
        <v>115</v>
      </c>
      <c r="I2433" s="94" t="s">
        <v>85</v>
      </c>
      <c r="J2433" s="87" t="s">
        <v>1496</v>
      </c>
      <c r="K2433" s="119" t="s">
        <v>4500</v>
      </c>
      <c r="L2433" s="117">
        <f>IF(O2433="","",N2433*O2433*M2433)</f>
        <v>0</v>
      </c>
      <c r="M2433" s="108">
        <v>1</v>
      </c>
      <c r="N2433" s="95">
        <v>1</v>
      </c>
      <c r="O2433" s="109">
        <f>IF(Key!D$1="ON",P2433,IF(SUM(Q2433:DL2433)&lt;1,"",SUM(Q2433:DL2433)/COUNTIF(Q2433:DL2433,"&gt;0")))</f>
        <v>0</v>
      </c>
      <c r="P2433" s="109">
        <f>SUMIFS(Q2433:DK2433,Q$1:DK$1,Dashboard!$K$31)</f>
        <v>0</v>
      </c>
      <c r="U2433" s="95">
        <v>33</v>
      </c>
      <c r="AA2433" s="95">
        <v>25</v>
      </c>
      <c r="AH2433" s="95">
        <v>75</v>
      </c>
    </row>
    <row r="2434" spans="1:34" x14ac:dyDescent="0.3">
      <c r="A2434" s="89" t="str">
        <f>CONCATENATE(D2434,".",F2434,"-",G2434,".",H2434,"")</f>
        <v>2.4-1.1</v>
      </c>
      <c r="B2434" s="89" t="str">
        <f>IF(CONCATENATE(I2434,Key!F$2)=CONCATENATE(INDEX(Dashboard!J:J,MATCH(I2434,Dashboard!J:J,0),1),INDEX(Dashboard!J:K,MATCH(I2434,Dashboard!J:J,0),2)),"ON",IF(Dashboard!K$32="ALL","ON","-"))</f>
        <v>-</v>
      </c>
      <c r="C2434" s="88" t="s">
        <v>152</v>
      </c>
      <c r="D2434" s="89">
        <f>IF(C2434="ID",1,(IF(C2434="PR",2,(IF(C2434="DE",3,(IF(C2434="RS",4,(IF(C2434="RC",5,0)))))))))</f>
        <v>2</v>
      </c>
      <c r="E2434" s="89" t="s">
        <v>228</v>
      </c>
      <c r="F2434" s="89">
        <f>IF(E2434="AM",1,(IF(E2434="BE",2,(IF(E2434="GV",3,(IF(E2434="RA",4,(IF(E2434="RM",5,(IF(E2434="AC",1,(IF(E2434="AT",2,(IF(E2434="DS",3,(IF(E2434="IP",4,(IF(E2434="MA",5,(IF(E2434="PT",6,(IF(E2434="AE",1,(IF(E2434="CM",2,(IF(E2434="DP",3,(IF(E2434="AN",1,(IF(E2434="CO",2,(IF(E2434="IM",3,(IF(E2434="MI",4,(IF(E2434="RP",5,(IF(E2434="SC",6,0)))))))))))))))))))))))))))))))))))))))</f>
        <v>4</v>
      </c>
      <c r="G2434" s="52">
        <v>1</v>
      </c>
      <c r="H2434" s="90" t="s">
        <v>115</v>
      </c>
      <c r="I2434" s="94" t="s">
        <v>85</v>
      </c>
      <c r="J2434" s="87" t="s">
        <v>1520</v>
      </c>
      <c r="K2434" s="119" t="s">
        <v>4837</v>
      </c>
      <c r="L2434" s="117">
        <f>IF(O2434="","",N2434*O2434*M2434)</f>
        <v>0</v>
      </c>
      <c r="M2434" s="108">
        <v>1</v>
      </c>
      <c r="N2434" s="95">
        <v>1</v>
      </c>
      <c r="O2434" s="109">
        <f>IF(Key!D$1="ON",P2434,IF(SUM(Q2434:DL2434)&lt;1,"",SUM(Q2434:DL2434)/COUNTIF(Q2434:DL2434,"&gt;0")))</f>
        <v>0</v>
      </c>
      <c r="P2434" s="109">
        <f>SUMIFS(Q2434:DK2434,Q$1:DK$1,Dashboard!$K$31)</f>
        <v>0</v>
      </c>
      <c r="U2434" s="95">
        <v>33</v>
      </c>
      <c r="AA2434" s="95">
        <v>25</v>
      </c>
      <c r="AH2434" s="95">
        <v>75</v>
      </c>
    </row>
    <row r="2435" spans="1:34" x14ac:dyDescent="0.3">
      <c r="A2435" s="89" t="str">
        <f>CONCATENATE(D2435,".",F2435,"-",G2435,".",H2435,"")</f>
        <v>2.4-1.1</v>
      </c>
      <c r="B2435" s="89" t="str">
        <f>IF(CONCATENATE(I2435,Key!F$2)=CONCATENATE(INDEX(Dashboard!J:J,MATCH(I2435,Dashboard!J:J,0),1),INDEX(Dashboard!J:K,MATCH(I2435,Dashboard!J:J,0),2)),"ON",IF(Dashboard!K$32="ALL","ON","-"))</f>
        <v>-</v>
      </c>
      <c r="C2435" s="88" t="s">
        <v>152</v>
      </c>
      <c r="D2435" s="89">
        <f>IF(C2435="ID",1,(IF(C2435="PR",2,(IF(C2435="DE",3,(IF(C2435="RS",4,(IF(C2435="RC",5,0)))))))))</f>
        <v>2</v>
      </c>
      <c r="E2435" s="89" t="s">
        <v>228</v>
      </c>
      <c r="F2435" s="89">
        <f>IF(E2435="AM",1,(IF(E2435="BE",2,(IF(E2435="GV",3,(IF(E2435="RA",4,(IF(E2435="RM",5,(IF(E2435="AC",1,(IF(E2435="AT",2,(IF(E2435="DS",3,(IF(E2435="IP",4,(IF(E2435="MA",5,(IF(E2435="PT",6,(IF(E2435="AE",1,(IF(E2435="CM",2,(IF(E2435="DP",3,(IF(E2435="AN",1,(IF(E2435="CO",2,(IF(E2435="IM",3,(IF(E2435="MI",4,(IF(E2435="RP",5,(IF(E2435="SC",6,0)))))))))))))))))))))))))))))))))))))))</f>
        <v>4</v>
      </c>
      <c r="G2435" s="52">
        <v>1</v>
      </c>
      <c r="H2435" s="90" t="s">
        <v>115</v>
      </c>
      <c r="I2435" s="94" t="s">
        <v>85</v>
      </c>
      <c r="J2435" s="87" t="s">
        <v>1526</v>
      </c>
      <c r="K2435" s="119" t="s">
        <v>4966</v>
      </c>
      <c r="L2435" s="117">
        <f>IF(O2435="","",N2435*O2435*M2435)</f>
        <v>0</v>
      </c>
      <c r="M2435" s="108">
        <v>1</v>
      </c>
      <c r="N2435" s="95">
        <v>1</v>
      </c>
      <c r="O2435" s="109">
        <f>IF(Key!D$1="ON",P2435,IF(SUM(Q2435:DL2435)&lt;1,"",SUM(Q2435:DL2435)/COUNTIF(Q2435:DL2435,"&gt;0")))</f>
        <v>0</v>
      </c>
      <c r="P2435" s="109">
        <f>SUMIFS(Q2435:DK2435,Q$1:DK$1,Dashboard!$K$31)</f>
        <v>0</v>
      </c>
      <c r="U2435" s="95">
        <v>33</v>
      </c>
      <c r="AA2435" s="95">
        <v>25</v>
      </c>
      <c r="AH2435" s="95">
        <v>75</v>
      </c>
    </row>
    <row r="2436" spans="1:34" x14ac:dyDescent="0.3">
      <c r="A2436" s="89" t="str">
        <f>CONCATENATE(D2436,".",F2436,"-",G2436,".",H2436,"")</f>
        <v>2.4-1.1</v>
      </c>
      <c r="B2436" s="89" t="str">
        <f>IF(CONCATENATE(I2436,Key!F$2)=CONCATENATE(INDEX(Dashboard!J:J,MATCH(I2436,Dashboard!J:J,0),1),INDEX(Dashboard!J:K,MATCH(I2436,Dashboard!J:J,0),2)),"ON",IF(Dashboard!K$32="ALL","ON","-"))</f>
        <v>-</v>
      </c>
      <c r="C2436" s="96" t="s">
        <v>152</v>
      </c>
      <c r="D2436" s="89">
        <f>IF(C2436="ID",1,(IF(C2436="PR",2,(IF(C2436="DE",3,(IF(C2436="RS",4,(IF(C2436="RC",5,0)))))))))</f>
        <v>2</v>
      </c>
      <c r="E2436" s="89" t="s">
        <v>228</v>
      </c>
      <c r="F2436" s="89">
        <f>IF(E2436="AM",1,(IF(E2436="BE",2,(IF(E2436="GV",3,(IF(E2436="RA",4,(IF(E2436="RM",5,(IF(E2436="AC",1,(IF(E2436="AT",2,(IF(E2436="DS",3,(IF(E2436="IP",4,(IF(E2436="MA",5,(IF(E2436="PT",6,(IF(E2436="AE",1,(IF(E2436="CM",2,(IF(E2436="DP",3,(IF(E2436="AN",1,(IF(E2436="CO",2,(IF(E2436="IM",3,(IF(E2436="MI",4,(IF(E2436="RP",5,(IF(E2436="SC",6,0)))))))))))))))))))))))))))))))))))))))</f>
        <v>4</v>
      </c>
      <c r="G2436" s="98">
        <v>1</v>
      </c>
      <c r="H2436" s="90" t="s">
        <v>115</v>
      </c>
      <c r="I2436" s="94" t="s">
        <v>85</v>
      </c>
      <c r="J2436" s="87" t="s">
        <v>1487</v>
      </c>
      <c r="K2436" s="119" t="s">
        <v>1488</v>
      </c>
      <c r="L2436" s="117">
        <f>IF(O2436="","",N2436*O2436*M2436)</f>
        <v>0</v>
      </c>
      <c r="M2436" s="108">
        <v>1</v>
      </c>
      <c r="N2436" s="95">
        <v>1</v>
      </c>
      <c r="O2436" s="109">
        <f>IF(Key!D$1="ON",P2436,IF(SUM(Q2436:DL2436)&lt;1,"",SUM(Q2436:DL2436)/COUNTIF(Q2436:DL2436,"&gt;0")))</f>
        <v>0</v>
      </c>
      <c r="P2436" s="109">
        <f>SUMIFS(Q2436:DK2436,Q$1:DK$1,Dashboard!$K$31)</f>
        <v>0</v>
      </c>
      <c r="U2436" s="95">
        <v>33</v>
      </c>
      <c r="AA2436" s="95">
        <v>25</v>
      </c>
      <c r="AH2436" s="95">
        <v>75</v>
      </c>
    </row>
    <row r="2437" spans="1:34" x14ac:dyDescent="0.3">
      <c r="A2437" s="89" t="str">
        <f>CONCATENATE(D2437,".",F2437,"-",G2437,".",H2437,"")</f>
        <v>2.4-1.1</v>
      </c>
      <c r="B2437" s="89" t="str">
        <f>IF(CONCATENATE(I2437,Key!F$2)=CONCATENATE(INDEX(Dashboard!J:J,MATCH(I2437,Dashboard!J:J,0),1),INDEX(Dashboard!J:K,MATCH(I2437,Dashboard!J:J,0),2)),"ON",IF(Dashboard!K$32="ALL","ON","-"))</f>
        <v>-</v>
      </c>
      <c r="C2437" s="96" t="s">
        <v>152</v>
      </c>
      <c r="D2437" s="89">
        <f>IF(C2437="ID",1,(IF(C2437="PR",2,(IF(C2437="DE",3,(IF(C2437="RS",4,(IF(C2437="RC",5,0)))))))))</f>
        <v>2</v>
      </c>
      <c r="E2437" s="89" t="s">
        <v>228</v>
      </c>
      <c r="F2437" s="89">
        <f>IF(E2437="AM",1,(IF(E2437="BE",2,(IF(E2437="GV",3,(IF(E2437="RA",4,(IF(E2437="RM",5,(IF(E2437="AC",1,(IF(E2437="AT",2,(IF(E2437="DS",3,(IF(E2437="IP",4,(IF(E2437="MA",5,(IF(E2437="PT",6,(IF(E2437="AE",1,(IF(E2437="CM",2,(IF(E2437="DP",3,(IF(E2437="AN",1,(IF(E2437="CO",2,(IF(E2437="IM",3,(IF(E2437="MI",4,(IF(E2437="RP",5,(IF(E2437="SC",6,0)))))))))))))))))))))))))))))))))))))))</f>
        <v>4</v>
      </c>
      <c r="G2437" s="98">
        <v>1</v>
      </c>
      <c r="H2437" s="90" t="s">
        <v>115</v>
      </c>
      <c r="I2437" s="94" t="s">
        <v>85</v>
      </c>
      <c r="J2437" s="87" t="s">
        <v>1513</v>
      </c>
      <c r="K2437" s="119" t="s">
        <v>1514</v>
      </c>
      <c r="L2437" s="117">
        <f>IF(O2437="","",N2437*O2437*M2437)</f>
        <v>0</v>
      </c>
      <c r="M2437" s="108">
        <v>1</v>
      </c>
      <c r="N2437" s="95">
        <v>1</v>
      </c>
      <c r="O2437" s="109">
        <f>IF(Key!D$1="ON",P2437,IF(SUM(Q2437:DL2437)&lt;1,"",SUM(Q2437:DL2437)/COUNTIF(Q2437:DL2437,"&gt;0")))</f>
        <v>0</v>
      </c>
      <c r="P2437" s="109">
        <f>SUMIFS(Q2437:DK2437,Q$1:DK$1,Dashboard!$K$31)</f>
        <v>0</v>
      </c>
      <c r="U2437" s="95">
        <v>33</v>
      </c>
      <c r="AA2437" s="95">
        <v>25</v>
      </c>
      <c r="AH2437" s="95">
        <v>75</v>
      </c>
    </row>
    <row r="2438" spans="1:34" x14ac:dyDescent="0.3">
      <c r="A2438" s="89" t="str">
        <f>CONCATENATE(D2438,".",F2438,"-",G2438,".",H2438,"")</f>
        <v>2.4-1.1</v>
      </c>
      <c r="B2438" s="89" t="str">
        <f>IF(CONCATENATE(I2438,Key!F$2)=CONCATENATE(INDEX(Dashboard!J:J,MATCH(I2438,Dashboard!J:J,0),1),INDEX(Dashboard!J:K,MATCH(I2438,Dashboard!J:J,0),2)),"ON",IF(Dashboard!K$32="ALL","ON","-"))</f>
        <v>-</v>
      </c>
      <c r="C2438" s="96" t="s">
        <v>152</v>
      </c>
      <c r="D2438" s="89">
        <f>IF(C2438="ID",1,(IF(C2438="PR",2,(IF(C2438="DE",3,(IF(C2438="RS",4,(IF(C2438="RC",5,0)))))))))</f>
        <v>2</v>
      </c>
      <c r="E2438" s="89" t="s">
        <v>228</v>
      </c>
      <c r="F2438" s="89">
        <f>IF(E2438="AM",1,(IF(E2438="BE",2,(IF(E2438="GV",3,(IF(E2438="RA",4,(IF(E2438="RM",5,(IF(E2438="AC",1,(IF(E2438="AT",2,(IF(E2438="DS",3,(IF(E2438="IP",4,(IF(E2438="MA",5,(IF(E2438="PT",6,(IF(E2438="AE",1,(IF(E2438="CM",2,(IF(E2438="DP",3,(IF(E2438="AN",1,(IF(E2438="CO",2,(IF(E2438="IM",3,(IF(E2438="MI",4,(IF(E2438="RP",5,(IF(E2438="SC",6,0)))))))))))))))))))))))))))))))))))))))</f>
        <v>4</v>
      </c>
      <c r="G2438" s="98">
        <v>1</v>
      </c>
      <c r="H2438" s="90" t="s">
        <v>115</v>
      </c>
      <c r="I2438" s="94" t="s">
        <v>85</v>
      </c>
      <c r="J2438" s="87" t="s">
        <v>1503</v>
      </c>
      <c r="K2438" s="119" t="s">
        <v>1504</v>
      </c>
      <c r="L2438" s="117">
        <f>IF(O2438="","",N2438*O2438*M2438)</f>
        <v>0</v>
      </c>
      <c r="M2438" s="108">
        <v>1</v>
      </c>
      <c r="N2438" s="95">
        <v>1</v>
      </c>
      <c r="O2438" s="109">
        <f>IF(Key!D$1="ON",P2438,IF(SUM(Q2438:DL2438)&lt;1,"",SUM(Q2438:DL2438)/COUNTIF(Q2438:DL2438,"&gt;0")))</f>
        <v>0</v>
      </c>
      <c r="P2438" s="109">
        <f>SUMIFS(Q2438:DK2438,Q$1:DK$1,Dashboard!$K$31)</f>
        <v>0</v>
      </c>
      <c r="U2438" s="95">
        <v>33</v>
      </c>
      <c r="AA2438" s="95">
        <v>25</v>
      </c>
      <c r="AH2438" s="95">
        <v>75</v>
      </c>
    </row>
    <row r="2439" spans="1:34" x14ac:dyDescent="0.3">
      <c r="A2439" s="89" t="str">
        <f>CONCATENATE(D2439,".",F2439,"-",G2439,".",H2439,"")</f>
        <v>2.4-1.1</v>
      </c>
      <c r="B2439" s="89" t="str">
        <f>IF(CONCATENATE(I2439,Key!F$2)=CONCATENATE(INDEX(Dashboard!J:J,MATCH(I2439,Dashboard!J:J,0),1),INDEX(Dashboard!J:K,MATCH(I2439,Dashboard!J:J,0),2)),"ON",IF(Dashboard!K$32="ALL","ON","-"))</f>
        <v>-</v>
      </c>
      <c r="C2439" s="88" t="s">
        <v>152</v>
      </c>
      <c r="D2439" s="89">
        <f>IF(C2439="ID",1,(IF(C2439="PR",2,(IF(C2439="DE",3,(IF(C2439="RS",4,(IF(C2439="RC",5,0)))))))))</f>
        <v>2</v>
      </c>
      <c r="E2439" s="89" t="s">
        <v>228</v>
      </c>
      <c r="F2439" s="89">
        <f>IF(E2439="AM",1,(IF(E2439="BE",2,(IF(E2439="GV",3,(IF(E2439="RA",4,(IF(E2439="RM",5,(IF(E2439="AC",1,(IF(E2439="AT",2,(IF(E2439="DS",3,(IF(E2439="IP",4,(IF(E2439="MA",5,(IF(E2439="PT",6,(IF(E2439="AE",1,(IF(E2439="CM",2,(IF(E2439="DP",3,(IF(E2439="AN",1,(IF(E2439="CO",2,(IF(E2439="IM",3,(IF(E2439="MI",4,(IF(E2439="RP",5,(IF(E2439="SC",6,0)))))))))))))))))))))))))))))))))))))))</f>
        <v>4</v>
      </c>
      <c r="G2439" s="52">
        <v>1</v>
      </c>
      <c r="H2439" s="90" t="s">
        <v>115</v>
      </c>
      <c r="I2439" s="94" t="s">
        <v>85</v>
      </c>
      <c r="J2439" s="87" t="s">
        <v>1498</v>
      </c>
      <c r="K2439" s="119" t="s">
        <v>4685</v>
      </c>
      <c r="L2439" s="117">
        <f>IF(O2439="","",N2439*O2439*M2439)</f>
        <v>0</v>
      </c>
      <c r="M2439" s="108">
        <v>1</v>
      </c>
      <c r="N2439" s="95">
        <v>1</v>
      </c>
      <c r="O2439" s="109">
        <f>IF(Key!D$1="ON",P2439,IF(SUM(Q2439:DL2439)&lt;1,"",SUM(Q2439:DL2439)/COUNTIF(Q2439:DL2439,"&gt;0")))</f>
        <v>0</v>
      </c>
      <c r="P2439" s="109">
        <f>SUMIFS(Q2439:DK2439,Q$1:DK$1,Dashboard!$K$31)</f>
        <v>0</v>
      </c>
      <c r="U2439" s="95">
        <v>33</v>
      </c>
      <c r="AA2439" s="95">
        <v>25</v>
      </c>
      <c r="AH2439" s="95">
        <v>75</v>
      </c>
    </row>
    <row r="2440" spans="1:34" x14ac:dyDescent="0.3">
      <c r="A2440" s="89" t="str">
        <f>CONCATENATE(D2440,".",F2440,"-",G2440,".",H2440,"")</f>
        <v>2.4-1.1</v>
      </c>
      <c r="B2440" s="89" t="str">
        <f>IF(CONCATENATE(I2440,Key!F$2)=CONCATENATE(INDEX(Dashboard!J:J,MATCH(I2440,Dashboard!J:J,0),1),INDEX(Dashboard!J:K,MATCH(I2440,Dashboard!J:J,0),2)),"ON",IF(Dashboard!K$32="ALL","ON","-"))</f>
        <v>-</v>
      </c>
      <c r="C2440" s="88" t="s">
        <v>152</v>
      </c>
      <c r="D2440" s="89">
        <f>IF(C2440="ID",1,(IF(C2440="PR",2,(IF(C2440="DE",3,(IF(C2440="RS",4,(IF(C2440="RC",5,0)))))))))</f>
        <v>2</v>
      </c>
      <c r="E2440" s="89" t="s">
        <v>228</v>
      </c>
      <c r="F2440" s="89">
        <f>IF(E2440="AM",1,(IF(E2440="BE",2,(IF(E2440="GV",3,(IF(E2440="RA",4,(IF(E2440="RM",5,(IF(E2440="AC",1,(IF(E2440="AT",2,(IF(E2440="DS",3,(IF(E2440="IP",4,(IF(E2440="MA",5,(IF(E2440="PT",6,(IF(E2440="AE",1,(IF(E2440="CM",2,(IF(E2440="DP",3,(IF(E2440="AN",1,(IF(E2440="CO",2,(IF(E2440="IM",3,(IF(E2440="MI",4,(IF(E2440="RP",5,(IF(E2440="SC",6,0)))))))))))))))))))))))))))))))))))))))</f>
        <v>4</v>
      </c>
      <c r="G2440" s="52">
        <v>1</v>
      </c>
      <c r="H2440" s="90" t="s">
        <v>115</v>
      </c>
      <c r="I2440" s="94" t="s">
        <v>85</v>
      </c>
      <c r="J2440" s="87" t="s">
        <v>1528</v>
      </c>
      <c r="K2440" s="119" t="s">
        <v>4968</v>
      </c>
      <c r="L2440" s="117">
        <f>IF(O2440="","",N2440*O2440*M2440)</f>
        <v>0</v>
      </c>
      <c r="M2440" s="108">
        <v>1</v>
      </c>
      <c r="N2440" s="95">
        <v>1</v>
      </c>
      <c r="O2440" s="109">
        <f>IF(Key!D$1="ON",P2440,IF(SUM(Q2440:DL2440)&lt;1,"",SUM(Q2440:DL2440)/COUNTIF(Q2440:DL2440,"&gt;0")))</f>
        <v>0</v>
      </c>
      <c r="P2440" s="109">
        <f>SUMIFS(Q2440:DK2440,Q$1:DK$1,Dashboard!$K$31)</f>
        <v>0</v>
      </c>
      <c r="U2440" s="95">
        <v>33</v>
      </c>
      <c r="AA2440" s="95">
        <v>25</v>
      </c>
      <c r="AH2440" s="95">
        <v>75</v>
      </c>
    </row>
    <row r="2441" spans="1:34" x14ac:dyDescent="0.3">
      <c r="A2441" s="89" t="str">
        <f>CONCATENATE(D2441,".",F2441,"-",G2441,".",H2441,"")</f>
        <v>2.4-1.1</v>
      </c>
      <c r="B2441" s="89" t="str">
        <f>IF(CONCATENATE(I2441,Key!F$2)=CONCATENATE(INDEX(Dashboard!J:J,MATCH(I2441,Dashboard!J:J,0),1),INDEX(Dashboard!J:K,MATCH(I2441,Dashboard!J:J,0),2)),"ON",IF(Dashboard!K$32="ALL","ON","-"))</f>
        <v>-</v>
      </c>
      <c r="C2441" s="88" t="s">
        <v>152</v>
      </c>
      <c r="D2441" s="89">
        <f>IF(C2441="ID",1,(IF(C2441="PR",2,(IF(C2441="DE",3,(IF(C2441="RS",4,(IF(C2441="RC",5,0)))))))))</f>
        <v>2</v>
      </c>
      <c r="E2441" s="89" t="s">
        <v>228</v>
      </c>
      <c r="F2441" s="89">
        <f>IF(E2441="AM",1,(IF(E2441="BE",2,(IF(E2441="GV",3,(IF(E2441="RA",4,(IF(E2441="RM",5,(IF(E2441="AC",1,(IF(E2441="AT",2,(IF(E2441="DS",3,(IF(E2441="IP",4,(IF(E2441="MA",5,(IF(E2441="PT",6,(IF(E2441="AE",1,(IF(E2441="CM",2,(IF(E2441="DP",3,(IF(E2441="AN",1,(IF(E2441="CO",2,(IF(E2441="IM",3,(IF(E2441="MI",4,(IF(E2441="RP",5,(IF(E2441="SC",6,0)))))))))))))))))))))))))))))))))))))))</f>
        <v>4</v>
      </c>
      <c r="G2441" s="52">
        <v>1</v>
      </c>
      <c r="H2441" s="90" t="s">
        <v>115</v>
      </c>
      <c r="I2441" s="94" t="s">
        <v>85</v>
      </c>
      <c r="J2441" s="87" t="s">
        <v>1517</v>
      </c>
      <c r="K2441" s="119" t="s">
        <v>1518</v>
      </c>
      <c r="L2441" s="117">
        <f>IF(O2441="","",N2441*O2441*M2441)</f>
        <v>0</v>
      </c>
      <c r="M2441" s="108">
        <v>1</v>
      </c>
      <c r="N2441" s="95">
        <v>1</v>
      </c>
      <c r="O2441" s="109">
        <f>IF(Key!D$1="ON",P2441,IF(SUM(Q2441:DL2441)&lt;1,"",SUM(Q2441:DL2441)/COUNTIF(Q2441:DL2441,"&gt;0")))</f>
        <v>0</v>
      </c>
      <c r="P2441" s="109">
        <f>SUMIFS(Q2441:DK2441,Q$1:DK$1,Dashboard!$K$31)</f>
        <v>0</v>
      </c>
      <c r="U2441" s="95">
        <v>33</v>
      </c>
      <c r="AA2441" s="95">
        <v>25</v>
      </c>
      <c r="AH2441" s="95">
        <v>75</v>
      </c>
    </row>
    <row r="2442" spans="1:34" x14ac:dyDescent="0.3">
      <c r="A2442" s="89" t="str">
        <f>CONCATENATE(D2442,".",F2442,"-",G2442,".",H2442,"")</f>
        <v>2.4-1.1</v>
      </c>
      <c r="B2442" s="89" t="str">
        <f>IF(CONCATENATE(I2442,Key!F$2)=CONCATENATE(INDEX(Dashboard!J:J,MATCH(I2442,Dashboard!J:J,0),1),INDEX(Dashboard!J:K,MATCH(I2442,Dashboard!J:J,0),2)),"ON",IF(Dashboard!K$32="ALL","ON","-"))</f>
        <v>-</v>
      </c>
      <c r="C2442" s="88" t="s">
        <v>152</v>
      </c>
      <c r="D2442" s="89">
        <f>IF(C2442="ID",1,(IF(C2442="PR",2,(IF(C2442="DE",3,(IF(C2442="RS",4,(IF(C2442="RC",5,0)))))))))</f>
        <v>2</v>
      </c>
      <c r="E2442" s="89" t="s">
        <v>228</v>
      </c>
      <c r="F2442" s="89">
        <f>IF(E2442="AM",1,(IF(E2442="BE",2,(IF(E2442="GV",3,(IF(E2442="RA",4,(IF(E2442="RM",5,(IF(E2442="AC",1,(IF(E2442="AT",2,(IF(E2442="DS",3,(IF(E2442="IP",4,(IF(E2442="MA",5,(IF(E2442="PT",6,(IF(E2442="AE",1,(IF(E2442="CM",2,(IF(E2442="DP",3,(IF(E2442="AN",1,(IF(E2442="CO",2,(IF(E2442="IM",3,(IF(E2442="MI",4,(IF(E2442="RP",5,(IF(E2442="SC",6,0)))))))))))))))))))))))))))))))))))))))</f>
        <v>4</v>
      </c>
      <c r="G2442" s="52">
        <v>1</v>
      </c>
      <c r="H2442" s="90" t="s">
        <v>115</v>
      </c>
      <c r="I2442" s="94" t="s">
        <v>85</v>
      </c>
      <c r="J2442" s="87" t="s">
        <v>1515</v>
      </c>
      <c r="K2442" s="119" t="s">
        <v>1516</v>
      </c>
      <c r="L2442" s="117">
        <f>IF(O2442="","",N2442*O2442*M2442)</f>
        <v>0</v>
      </c>
      <c r="M2442" s="108">
        <v>1</v>
      </c>
      <c r="N2442" s="95">
        <v>1</v>
      </c>
      <c r="O2442" s="109">
        <f>IF(Key!D$1="ON",P2442,IF(SUM(Q2442:DL2442)&lt;1,"",SUM(Q2442:DL2442)/COUNTIF(Q2442:DL2442,"&gt;0")))</f>
        <v>0</v>
      </c>
      <c r="P2442" s="109">
        <f>SUMIFS(Q2442:DK2442,Q$1:DK$1,Dashboard!$K$31)</f>
        <v>0</v>
      </c>
      <c r="U2442" s="95">
        <v>33</v>
      </c>
      <c r="AA2442" s="95">
        <v>25</v>
      </c>
      <c r="AH2442" s="95">
        <v>75</v>
      </c>
    </row>
    <row r="2443" spans="1:34" x14ac:dyDescent="0.3">
      <c r="A2443" s="89" t="str">
        <f>CONCATENATE(D2443,".",F2443,"-",G2443,".",H2443,"")</f>
        <v>2.4-1.1</v>
      </c>
      <c r="B2443" s="89" t="str">
        <f>IF(CONCATENATE(I2443,Key!F$2)=CONCATENATE(INDEX(Dashboard!J:J,MATCH(I2443,Dashboard!J:J,0),1),INDEX(Dashboard!J:K,MATCH(I2443,Dashboard!J:J,0),2)),"ON",IF(Dashboard!K$32="ALL","ON","-"))</f>
        <v>-</v>
      </c>
      <c r="C2443" s="88" t="s">
        <v>152</v>
      </c>
      <c r="D2443" s="89">
        <f>IF(C2443="ID",1,(IF(C2443="PR",2,(IF(C2443="DE",3,(IF(C2443="RS",4,(IF(C2443="RC",5,0)))))))))</f>
        <v>2</v>
      </c>
      <c r="E2443" s="89" t="s">
        <v>228</v>
      </c>
      <c r="F2443" s="89">
        <f>IF(E2443="AM",1,(IF(E2443="BE",2,(IF(E2443="GV",3,(IF(E2443="RA",4,(IF(E2443="RM",5,(IF(E2443="AC",1,(IF(E2443="AT",2,(IF(E2443="DS",3,(IF(E2443="IP",4,(IF(E2443="MA",5,(IF(E2443="PT",6,(IF(E2443="AE",1,(IF(E2443="CM",2,(IF(E2443="DP",3,(IF(E2443="AN",1,(IF(E2443="CO",2,(IF(E2443="IM",3,(IF(E2443="MI",4,(IF(E2443="RP",5,(IF(E2443="SC",6,0)))))))))))))))))))))))))))))))))))))))</f>
        <v>4</v>
      </c>
      <c r="G2443" s="52">
        <v>1</v>
      </c>
      <c r="H2443" s="90" t="s">
        <v>115</v>
      </c>
      <c r="I2443" s="94" t="s">
        <v>85</v>
      </c>
      <c r="J2443" s="87" t="s">
        <v>1530</v>
      </c>
      <c r="K2443" s="119" t="s">
        <v>5148</v>
      </c>
      <c r="L2443" s="117">
        <f>IF(O2443="","",N2443*O2443*M2443)</f>
        <v>0</v>
      </c>
      <c r="M2443" s="108">
        <v>1</v>
      </c>
      <c r="N2443" s="95">
        <v>1</v>
      </c>
      <c r="O2443" s="109">
        <f>IF(Key!D$1="ON",P2443,IF(SUM(Q2443:DL2443)&lt;1,"",SUM(Q2443:DL2443)/COUNTIF(Q2443:DL2443,"&gt;0")))</f>
        <v>0</v>
      </c>
      <c r="P2443" s="109">
        <f>SUMIFS(Q2443:DK2443,Q$1:DK$1,Dashboard!$K$31)</f>
        <v>0</v>
      </c>
      <c r="U2443" s="95">
        <v>33</v>
      </c>
      <c r="AA2443" s="95">
        <v>25</v>
      </c>
      <c r="AH2443" s="95">
        <v>75</v>
      </c>
    </row>
    <row r="2444" spans="1:34" x14ac:dyDescent="0.3">
      <c r="A2444" s="89" t="str">
        <f>CONCATENATE(D2444,".",F2444,"-",G2444,".",H2444,"")</f>
        <v>2.4-1.1</v>
      </c>
      <c r="B2444" s="89" t="str">
        <f>IF(CONCATENATE(I2444,Key!F$2)=CONCATENATE(INDEX(Dashboard!J:J,MATCH(I2444,Dashboard!J:J,0),1),INDEX(Dashboard!J:K,MATCH(I2444,Dashboard!J:J,0),2)),"ON",IF(Dashboard!K$32="ALL","ON","-"))</f>
        <v>-</v>
      </c>
      <c r="C2444" s="88" t="s">
        <v>152</v>
      </c>
      <c r="D2444" s="89">
        <f>IF(C2444="ID",1,(IF(C2444="PR",2,(IF(C2444="DE",3,(IF(C2444="RS",4,(IF(C2444="RC",5,0)))))))))</f>
        <v>2</v>
      </c>
      <c r="E2444" s="89" t="s">
        <v>228</v>
      </c>
      <c r="F2444" s="89">
        <f>IF(E2444="AM",1,(IF(E2444="BE",2,(IF(E2444="GV",3,(IF(E2444="RA",4,(IF(E2444="RM",5,(IF(E2444="AC",1,(IF(E2444="AT",2,(IF(E2444="DS",3,(IF(E2444="IP",4,(IF(E2444="MA",5,(IF(E2444="PT",6,(IF(E2444="AE",1,(IF(E2444="CM",2,(IF(E2444="DP",3,(IF(E2444="AN",1,(IF(E2444="CO",2,(IF(E2444="IM",3,(IF(E2444="MI",4,(IF(E2444="RP",5,(IF(E2444="SC",6,0)))))))))))))))))))))))))))))))))))))))</f>
        <v>4</v>
      </c>
      <c r="G2444" s="52">
        <v>1</v>
      </c>
      <c r="H2444" s="90" t="s">
        <v>115</v>
      </c>
      <c r="I2444" s="94" t="s">
        <v>85</v>
      </c>
      <c r="J2444" s="87" t="s">
        <v>1505</v>
      </c>
      <c r="K2444" s="119" t="s">
        <v>4688</v>
      </c>
      <c r="L2444" s="117">
        <f>IF(O2444="","",N2444*O2444*M2444)</f>
        <v>0</v>
      </c>
      <c r="M2444" s="108">
        <v>1</v>
      </c>
      <c r="N2444" s="95">
        <v>1</v>
      </c>
      <c r="O2444" s="109">
        <f>IF(Key!D$1="ON",P2444,IF(SUM(Q2444:DL2444)&lt;1,"",SUM(Q2444:DL2444)/COUNTIF(Q2444:DL2444,"&gt;0")))</f>
        <v>0</v>
      </c>
      <c r="P2444" s="109">
        <f>SUMIFS(Q2444:DK2444,Q$1:DK$1,Dashboard!$K$31)</f>
        <v>0</v>
      </c>
      <c r="U2444" s="95">
        <v>33</v>
      </c>
      <c r="AA2444" s="95">
        <v>25</v>
      </c>
      <c r="AH2444" s="95">
        <v>75</v>
      </c>
    </row>
    <row r="2445" spans="1:34" x14ac:dyDescent="0.3">
      <c r="A2445" s="89" t="str">
        <f>CONCATENATE(D2445,".",F2445,"-",G2445,".",H2445,"")</f>
        <v>2.4-1.1</v>
      </c>
      <c r="B2445" s="89" t="str">
        <f>IF(CONCATENATE(I2445,Key!F$2)=CONCATENATE(INDEX(Dashboard!J:J,MATCH(I2445,Dashboard!J:J,0),1),INDEX(Dashboard!J:K,MATCH(I2445,Dashboard!J:J,0),2)),"ON",IF(Dashboard!K$32="ALL","ON","-"))</f>
        <v>-</v>
      </c>
      <c r="C2445" s="88" t="s">
        <v>152</v>
      </c>
      <c r="D2445" s="89">
        <f>IF(C2445="ID",1,(IF(C2445="PR",2,(IF(C2445="DE",3,(IF(C2445="RS",4,(IF(C2445="RC",5,0)))))))))</f>
        <v>2</v>
      </c>
      <c r="E2445" s="89" t="s">
        <v>228</v>
      </c>
      <c r="F2445" s="89">
        <f>IF(E2445="AM",1,(IF(E2445="BE",2,(IF(E2445="GV",3,(IF(E2445="RA",4,(IF(E2445="RM",5,(IF(E2445="AC",1,(IF(E2445="AT",2,(IF(E2445="DS",3,(IF(E2445="IP",4,(IF(E2445="MA",5,(IF(E2445="PT",6,(IF(E2445="AE",1,(IF(E2445="CM",2,(IF(E2445="DP",3,(IF(E2445="AN",1,(IF(E2445="CO",2,(IF(E2445="IM",3,(IF(E2445="MI",4,(IF(E2445="RP",5,(IF(E2445="SC",6,0)))))))))))))))))))))))))))))))))))))))</f>
        <v>4</v>
      </c>
      <c r="G2445" s="52">
        <v>1</v>
      </c>
      <c r="H2445" s="90" t="s">
        <v>115</v>
      </c>
      <c r="I2445" s="94" t="s">
        <v>85</v>
      </c>
      <c r="J2445" s="87" t="s">
        <v>1506</v>
      </c>
      <c r="K2445" s="119" t="s">
        <v>4689</v>
      </c>
      <c r="L2445" s="117">
        <f>IF(O2445="","",N2445*O2445*M2445)</f>
        <v>0</v>
      </c>
      <c r="M2445" s="108">
        <v>1</v>
      </c>
      <c r="N2445" s="95">
        <v>1</v>
      </c>
      <c r="O2445" s="109">
        <f>IF(Key!D$1="ON",P2445,IF(SUM(Q2445:DL2445)&lt;1,"",SUM(Q2445:DL2445)/COUNTIF(Q2445:DL2445,"&gt;0")))</f>
        <v>0</v>
      </c>
      <c r="P2445" s="109">
        <f>SUMIFS(Q2445:DK2445,Q$1:DK$1,Dashboard!$K$31)</f>
        <v>0</v>
      </c>
      <c r="U2445" s="95">
        <v>33</v>
      </c>
      <c r="AA2445" s="95">
        <v>25</v>
      </c>
      <c r="AH2445" s="95">
        <v>75</v>
      </c>
    </row>
    <row r="2446" spans="1:34" x14ac:dyDescent="0.3">
      <c r="A2446" s="89" t="str">
        <f>CONCATENATE(D2446,".",F2446,"-",G2446,".",H2446,"")</f>
        <v>2.4-1.1</v>
      </c>
      <c r="B2446" s="89" t="str">
        <f>IF(CONCATENATE(I2446,Key!F$2)=CONCATENATE(INDEX(Dashboard!J:J,MATCH(I2446,Dashboard!J:J,0),1),INDEX(Dashboard!J:K,MATCH(I2446,Dashboard!J:J,0),2)),"ON",IF(Dashboard!K$32="ALL","ON","-"))</f>
        <v>-</v>
      </c>
      <c r="C2446" s="88" t="s">
        <v>152</v>
      </c>
      <c r="D2446" s="89">
        <f>IF(C2446="ID",1,(IF(C2446="PR",2,(IF(C2446="DE",3,(IF(C2446="RS",4,(IF(C2446="RC",5,0)))))))))</f>
        <v>2</v>
      </c>
      <c r="E2446" s="89" t="s">
        <v>228</v>
      </c>
      <c r="F2446" s="89">
        <f>IF(E2446="AM",1,(IF(E2446="BE",2,(IF(E2446="GV",3,(IF(E2446="RA",4,(IF(E2446="RM",5,(IF(E2446="AC",1,(IF(E2446="AT",2,(IF(E2446="DS",3,(IF(E2446="IP",4,(IF(E2446="MA",5,(IF(E2446="PT",6,(IF(E2446="AE",1,(IF(E2446="CM",2,(IF(E2446="DP",3,(IF(E2446="AN",1,(IF(E2446="CO",2,(IF(E2446="IM",3,(IF(E2446="MI",4,(IF(E2446="RP",5,(IF(E2446="SC",6,0)))))))))))))))))))))))))))))))))))))))</f>
        <v>4</v>
      </c>
      <c r="G2446" s="52">
        <v>1</v>
      </c>
      <c r="H2446" s="90" t="s">
        <v>115</v>
      </c>
      <c r="I2446" s="94" t="s">
        <v>85</v>
      </c>
      <c r="J2446" s="87" t="s">
        <v>1497</v>
      </c>
      <c r="K2446" s="119" t="s">
        <v>4684</v>
      </c>
      <c r="L2446" s="117">
        <f>IF(O2446="","",N2446*O2446*M2446)</f>
        <v>0</v>
      </c>
      <c r="M2446" s="108">
        <v>1</v>
      </c>
      <c r="N2446" s="95">
        <v>1</v>
      </c>
      <c r="O2446" s="109">
        <f>IF(Key!D$1="ON",P2446,IF(SUM(Q2446:DL2446)&lt;1,"",SUM(Q2446:DL2446)/COUNTIF(Q2446:DL2446,"&gt;0")))</f>
        <v>0</v>
      </c>
      <c r="P2446" s="109">
        <f>SUMIFS(Q2446:DK2446,Q$1:DK$1,Dashboard!$K$31)</f>
        <v>0</v>
      </c>
      <c r="U2446" s="95">
        <v>33</v>
      </c>
      <c r="AA2446" s="95">
        <v>25</v>
      </c>
      <c r="AH2446" s="95">
        <v>75</v>
      </c>
    </row>
    <row r="2447" spans="1:34" x14ac:dyDescent="0.3">
      <c r="A2447" s="89" t="str">
        <f>CONCATENATE(D2447,".",F2447,"-",G2447,".",H2447,"")</f>
        <v>2.4-1.1</v>
      </c>
      <c r="B2447" s="89" t="str">
        <f>IF(CONCATENATE(I2447,Key!F$2)=CONCATENATE(INDEX(Dashboard!J:J,MATCH(I2447,Dashboard!J:J,0),1),INDEX(Dashboard!J:K,MATCH(I2447,Dashboard!J:J,0),2)),"ON",IF(Dashboard!K$32="ALL","ON","-"))</f>
        <v>-</v>
      </c>
      <c r="C2447" s="88" t="s">
        <v>152</v>
      </c>
      <c r="D2447" s="89">
        <f>IF(C2447="ID",1,(IF(C2447="PR",2,(IF(C2447="DE",3,(IF(C2447="RS",4,(IF(C2447="RC",5,0)))))))))</f>
        <v>2</v>
      </c>
      <c r="E2447" s="89" t="s">
        <v>228</v>
      </c>
      <c r="F2447" s="89">
        <f>IF(E2447="AM",1,(IF(E2447="BE",2,(IF(E2447="GV",3,(IF(E2447="RA",4,(IF(E2447="RM",5,(IF(E2447="AC",1,(IF(E2447="AT",2,(IF(E2447="DS",3,(IF(E2447="IP",4,(IF(E2447="MA",5,(IF(E2447="PT",6,(IF(E2447="AE",1,(IF(E2447="CM",2,(IF(E2447="DP",3,(IF(E2447="AN",1,(IF(E2447="CO",2,(IF(E2447="IM",3,(IF(E2447="MI",4,(IF(E2447="RP",5,(IF(E2447="SC",6,0)))))))))))))))))))))))))))))))))))))))</f>
        <v>4</v>
      </c>
      <c r="G2447" s="52">
        <v>1</v>
      </c>
      <c r="H2447" s="90" t="s">
        <v>115</v>
      </c>
      <c r="I2447" s="94" t="s">
        <v>85</v>
      </c>
      <c r="J2447" s="87" t="s">
        <v>1531</v>
      </c>
      <c r="K2447" s="119" t="s">
        <v>5149</v>
      </c>
      <c r="L2447" s="117">
        <f>IF(O2447="","",N2447*O2447*M2447)</f>
        <v>0</v>
      </c>
      <c r="M2447" s="108">
        <v>1</v>
      </c>
      <c r="N2447" s="95">
        <v>1</v>
      </c>
      <c r="O2447" s="109">
        <f>IF(Key!D$1="ON",P2447,IF(SUM(Q2447:DL2447)&lt;1,"",SUM(Q2447:DL2447)/COUNTIF(Q2447:DL2447,"&gt;0")))</f>
        <v>0</v>
      </c>
      <c r="P2447" s="109">
        <f>SUMIFS(Q2447:DK2447,Q$1:DK$1,Dashboard!$K$31)</f>
        <v>0</v>
      </c>
      <c r="U2447" s="95">
        <v>33</v>
      </c>
      <c r="AA2447" s="95">
        <v>25</v>
      </c>
      <c r="AH2447" s="95">
        <v>75</v>
      </c>
    </row>
    <row r="2448" spans="1:34" x14ac:dyDescent="0.3">
      <c r="A2448" s="89" t="str">
        <f>CONCATENATE(D2448,".",F2448,"-",G2448,".",H2448,"")</f>
        <v>2.4-1.1</v>
      </c>
      <c r="B2448" s="89" t="str">
        <f>IF(CONCATENATE(I2448,Key!F$2)=CONCATENATE(INDEX(Dashboard!J:J,MATCH(I2448,Dashboard!J:J,0),1),INDEX(Dashboard!J:K,MATCH(I2448,Dashboard!J:J,0),2)),"ON",IF(Dashboard!K$32="ALL","ON","-"))</f>
        <v>-</v>
      </c>
      <c r="C2448" s="88" t="s">
        <v>152</v>
      </c>
      <c r="D2448" s="89">
        <f>IF(C2448="ID",1,(IF(C2448="PR",2,(IF(C2448="DE",3,(IF(C2448="RS",4,(IF(C2448="RC",5,0)))))))))</f>
        <v>2</v>
      </c>
      <c r="E2448" s="89" t="s">
        <v>228</v>
      </c>
      <c r="F2448" s="89">
        <f>IF(E2448="AM",1,(IF(E2448="BE",2,(IF(E2448="GV",3,(IF(E2448="RA",4,(IF(E2448="RM",5,(IF(E2448="AC",1,(IF(E2448="AT",2,(IF(E2448="DS",3,(IF(E2448="IP",4,(IF(E2448="MA",5,(IF(E2448="PT",6,(IF(E2448="AE",1,(IF(E2448="CM",2,(IF(E2448="DP",3,(IF(E2448="AN",1,(IF(E2448="CO",2,(IF(E2448="IM",3,(IF(E2448="MI",4,(IF(E2448="RP",5,(IF(E2448="SC",6,0)))))))))))))))))))))))))))))))))))))))</f>
        <v>4</v>
      </c>
      <c r="G2448" s="52">
        <v>1</v>
      </c>
      <c r="H2448" s="90" t="s">
        <v>115</v>
      </c>
      <c r="I2448" s="94" t="s">
        <v>85</v>
      </c>
      <c r="J2448" s="87" t="s">
        <v>1507</v>
      </c>
      <c r="K2448" s="119" t="s">
        <v>4690</v>
      </c>
      <c r="L2448" s="117">
        <f>IF(O2448="","",N2448*O2448*M2448)</f>
        <v>0</v>
      </c>
      <c r="M2448" s="108">
        <v>1</v>
      </c>
      <c r="N2448" s="95">
        <v>1</v>
      </c>
      <c r="O2448" s="109">
        <f>IF(Key!D$1="ON",P2448,IF(SUM(Q2448:DL2448)&lt;1,"",SUM(Q2448:DL2448)/COUNTIF(Q2448:DL2448,"&gt;0")))</f>
        <v>0</v>
      </c>
      <c r="P2448" s="109">
        <f>SUMIFS(Q2448:DK2448,Q$1:DK$1,Dashboard!$K$31)</f>
        <v>0</v>
      </c>
      <c r="U2448" s="95">
        <v>33</v>
      </c>
      <c r="AA2448" s="95">
        <v>25</v>
      </c>
      <c r="AH2448" s="95">
        <v>75</v>
      </c>
    </row>
    <row r="2449" spans="1:34" x14ac:dyDescent="0.3">
      <c r="A2449" s="89" t="str">
        <f>CONCATENATE(D2449,".",F2449,"-",G2449,".",H2449,"")</f>
        <v>2.4-1.1</v>
      </c>
      <c r="B2449" s="89" t="str">
        <f>IF(CONCATENATE(I2449,Key!F$2)=CONCATENATE(INDEX(Dashboard!J:J,MATCH(I2449,Dashboard!J:J,0),1),INDEX(Dashboard!J:K,MATCH(I2449,Dashboard!J:J,0),2)),"ON",IF(Dashboard!K$32="ALL","ON","-"))</f>
        <v>-</v>
      </c>
      <c r="C2449" s="88" t="s">
        <v>152</v>
      </c>
      <c r="D2449" s="89">
        <f>IF(C2449="ID",1,(IF(C2449="PR",2,(IF(C2449="DE",3,(IF(C2449="RS",4,(IF(C2449="RC",5,0)))))))))</f>
        <v>2</v>
      </c>
      <c r="E2449" s="89" t="s">
        <v>228</v>
      </c>
      <c r="F2449" s="89">
        <f>IF(E2449="AM",1,(IF(E2449="BE",2,(IF(E2449="GV",3,(IF(E2449="RA",4,(IF(E2449="RM",5,(IF(E2449="AC",1,(IF(E2449="AT",2,(IF(E2449="DS",3,(IF(E2449="IP",4,(IF(E2449="MA",5,(IF(E2449="PT",6,(IF(E2449="AE",1,(IF(E2449="CM",2,(IF(E2449="DP",3,(IF(E2449="AN",1,(IF(E2449="CO",2,(IF(E2449="IM",3,(IF(E2449="MI",4,(IF(E2449="RP",5,(IF(E2449="SC",6,0)))))))))))))))))))))))))))))))))))))))</f>
        <v>4</v>
      </c>
      <c r="G2449" s="52">
        <v>1</v>
      </c>
      <c r="H2449" s="90" t="s">
        <v>115</v>
      </c>
      <c r="I2449" s="94" t="s">
        <v>85</v>
      </c>
      <c r="J2449" s="87" t="s">
        <v>1502</v>
      </c>
      <c r="K2449" s="119" t="s">
        <v>4687</v>
      </c>
      <c r="L2449" s="117">
        <f>IF(O2449="","",N2449*O2449*M2449)</f>
        <v>0</v>
      </c>
      <c r="M2449" s="108">
        <v>1</v>
      </c>
      <c r="N2449" s="95">
        <v>1</v>
      </c>
      <c r="O2449" s="109">
        <f>IF(Key!D$1="ON",P2449,IF(SUM(Q2449:DL2449)&lt;1,"",SUM(Q2449:DL2449)/COUNTIF(Q2449:DL2449,"&gt;0")))</f>
        <v>0</v>
      </c>
      <c r="P2449" s="109">
        <f>SUMIFS(Q2449:DK2449,Q$1:DK$1,Dashboard!$K$31)</f>
        <v>0</v>
      </c>
      <c r="U2449" s="95">
        <v>33</v>
      </c>
      <c r="AA2449" s="95">
        <v>25</v>
      </c>
      <c r="AH2449" s="95">
        <v>75</v>
      </c>
    </row>
    <row r="2450" spans="1:34" x14ac:dyDescent="0.3">
      <c r="A2450" s="89" t="str">
        <f>CONCATENATE(D2450,".",F2450,"-",G2450,".",H2450,"")</f>
        <v>2.4-1.1</v>
      </c>
      <c r="B2450" s="89" t="str">
        <f>IF(CONCATENATE(I2450,Key!F$2)=CONCATENATE(INDEX(Dashboard!J:J,MATCH(I2450,Dashboard!J:J,0),1),INDEX(Dashboard!J:K,MATCH(I2450,Dashboard!J:J,0),2)),"ON",IF(Dashboard!K$32="ALL","ON","-"))</f>
        <v>-</v>
      </c>
      <c r="C2450" s="88" t="s">
        <v>152</v>
      </c>
      <c r="D2450" s="89">
        <f>IF(C2450="ID",1,(IF(C2450="PR",2,(IF(C2450="DE",3,(IF(C2450="RS",4,(IF(C2450="RC",5,0)))))))))</f>
        <v>2</v>
      </c>
      <c r="E2450" s="89" t="s">
        <v>228</v>
      </c>
      <c r="F2450" s="89">
        <f>IF(E2450="AM",1,(IF(E2450="BE",2,(IF(E2450="GV",3,(IF(E2450="RA",4,(IF(E2450="RM",5,(IF(E2450="AC",1,(IF(E2450="AT",2,(IF(E2450="DS",3,(IF(E2450="IP",4,(IF(E2450="MA",5,(IF(E2450="PT",6,(IF(E2450="AE",1,(IF(E2450="CM",2,(IF(E2450="DP",3,(IF(E2450="AN",1,(IF(E2450="CO",2,(IF(E2450="IM",3,(IF(E2450="MI",4,(IF(E2450="RP",5,(IF(E2450="SC",6,0)))))))))))))))))))))))))))))))))))))))</f>
        <v>4</v>
      </c>
      <c r="G2450" s="52">
        <v>1</v>
      </c>
      <c r="H2450" s="90" t="s">
        <v>115</v>
      </c>
      <c r="I2450" s="94" t="s">
        <v>85</v>
      </c>
      <c r="J2450" s="87" t="s">
        <v>1484</v>
      </c>
      <c r="K2450" s="119" t="s">
        <v>4676</v>
      </c>
      <c r="L2450" s="117">
        <f>IF(O2450="","",N2450*O2450*M2450)</f>
        <v>0</v>
      </c>
      <c r="M2450" s="108">
        <v>1</v>
      </c>
      <c r="N2450" s="95">
        <v>1</v>
      </c>
      <c r="O2450" s="109">
        <f>IF(Key!D$1="ON",P2450,IF(SUM(Q2450:DL2450)&lt;1,"",SUM(Q2450:DL2450)/COUNTIF(Q2450:DL2450,"&gt;0")))</f>
        <v>0</v>
      </c>
      <c r="P2450" s="109">
        <f>SUMIFS(Q2450:DK2450,Q$1:DK$1,Dashboard!$K$31)</f>
        <v>0</v>
      </c>
      <c r="U2450" s="95">
        <v>33</v>
      </c>
      <c r="AA2450" s="95">
        <v>25</v>
      </c>
      <c r="AH2450" s="95">
        <v>75</v>
      </c>
    </row>
    <row r="2451" spans="1:34" x14ac:dyDescent="0.3">
      <c r="A2451" s="89" t="str">
        <f>CONCATENATE(D2451,".",F2451,"-",G2451,".",H2451,"")</f>
        <v>2.4-1.1</v>
      </c>
      <c r="B2451" s="89" t="str">
        <f>IF(CONCATENATE(I2451,Key!F$2)=CONCATENATE(INDEX(Dashboard!J:J,MATCH(I2451,Dashboard!J:J,0),1),INDEX(Dashboard!J:K,MATCH(I2451,Dashboard!J:J,0),2)),"ON",IF(Dashboard!K$32="ALL","ON","-"))</f>
        <v>-</v>
      </c>
      <c r="C2451" s="88" t="s">
        <v>152</v>
      </c>
      <c r="D2451" s="89">
        <f>IF(C2451="ID",1,(IF(C2451="PR",2,(IF(C2451="DE",3,(IF(C2451="RS",4,(IF(C2451="RC",5,0)))))))))</f>
        <v>2</v>
      </c>
      <c r="E2451" s="89" t="s">
        <v>228</v>
      </c>
      <c r="F2451" s="89">
        <f>IF(E2451="AM",1,(IF(E2451="BE",2,(IF(E2451="GV",3,(IF(E2451="RA",4,(IF(E2451="RM",5,(IF(E2451="AC",1,(IF(E2451="AT",2,(IF(E2451="DS",3,(IF(E2451="IP",4,(IF(E2451="MA",5,(IF(E2451="PT",6,(IF(E2451="AE",1,(IF(E2451="CM",2,(IF(E2451="DP",3,(IF(E2451="AN",1,(IF(E2451="CO",2,(IF(E2451="IM",3,(IF(E2451="MI",4,(IF(E2451="RP",5,(IF(E2451="SC",6,0)))))))))))))))))))))))))))))))))))))))</f>
        <v>4</v>
      </c>
      <c r="G2451" s="52">
        <v>1</v>
      </c>
      <c r="H2451" s="90" t="s">
        <v>115</v>
      </c>
      <c r="I2451" s="94" t="s">
        <v>85</v>
      </c>
      <c r="J2451" s="87" t="s">
        <v>1489</v>
      </c>
      <c r="K2451" s="119" t="s">
        <v>4681</v>
      </c>
      <c r="L2451" s="117">
        <f>IF(O2451="","",N2451*O2451*M2451)</f>
        <v>0</v>
      </c>
      <c r="M2451" s="108">
        <v>1</v>
      </c>
      <c r="N2451" s="95">
        <v>1</v>
      </c>
      <c r="O2451" s="109">
        <f>IF(Key!D$1="ON",P2451,IF(SUM(Q2451:DL2451)&lt;1,"",SUM(Q2451:DL2451)/COUNTIF(Q2451:DL2451,"&gt;0")))</f>
        <v>0</v>
      </c>
      <c r="P2451" s="109">
        <f>SUMIFS(Q2451:DK2451,Q$1:DK$1,Dashboard!$K$31)</f>
        <v>0</v>
      </c>
      <c r="U2451" s="95">
        <v>33</v>
      </c>
      <c r="AA2451" s="95">
        <v>25</v>
      </c>
      <c r="AH2451" s="95">
        <v>75</v>
      </c>
    </row>
    <row r="2452" spans="1:34" ht="15.6" x14ac:dyDescent="0.3">
      <c r="A2452" s="89" t="str">
        <f>CONCATENATE(D2452,".",F2452,"-",G2452,".",H2452,"")</f>
        <v>2.4-1.1</v>
      </c>
      <c r="B2452" s="89" t="str">
        <f>IF(CONCATENATE(I2452,Key!F$2)=CONCATENATE(INDEX(Dashboard!J:J,MATCH(I2452,Dashboard!J:J,0),1),INDEX(Dashboard!J:K,MATCH(I2452,Dashboard!J:J,0),2)),"ON",IF(Dashboard!K$32="ALL","ON","-"))</f>
        <v>-</v>
      </c>
      <c r="C2452" s="96" t="s">
        <v>152</v>
      </c>
      <c r="D2452" s="89">
        <f>IF(C2452="ID",1,(IF(C2452="PR",2,(IF(C2452="DE",3,(IF(C2452="RS",4,(IF(C2452="RC",5,0)))))))))</f>
        <v>2</v>
      </c>
      <c r="E2452" s="89" t="s">
        <v>228</v>
      </c>
      <c r="F2452" s="89">
        <f>IF(E2452="AM",1,(IF(E2452="BE",2,(IF(E2452="GV",3,(IF(E2452="RA",4,(IF(E2452="RM",5,(IF(E2452="AC",1,(IF(E2452="AT",2,(IF(E2452="DS",3,(IF(E2452="IP",4,(IF(E2452="MA",5,(IF(E2452="PT",6,(IF(E2452="AE",1,(IF(E2452="CM",2,(IF(E2452="DP",3,(IF(E2452="AN",1,(IF(E2452="CO",2,(IF(E2452="IM",3,(IF(E2452="MI",4,(IF(E2452="RP",5,(IF(E2452="SC",6,0)))))))))))))))))))))))))))))))))))))))</f>
        <v>4</v>
      </c>
      <c r="G2452" s="52">
        <v>1</v>
      </c>
      <c r="H2452" s="90" t="s">
        <v>115</v>
      </c>
      <c r="I2452" s="94" t="s">
        <v>85</v>
      </c>
      <c r="J2452" s="86" t="s">
        <v>3931</v>
      </c>
      <c r="K2452" s="119" t="s">
        <v>5170</v>
      </c>
      <c r="L2452" s="117">
        <f>IF(O2452="","",N2452*O2452*M2452)</f>
        <v>0</v>
      </c>
      <c r="M2452" s="108">
        <v>1</v>
      </c>
      <c r="N2452" s="95">
        <v>1</v>
      </c>
      <c r="O2452" s="109">
        <f>IF(Key!D$1="ON",P2452,IF(SUM(Q2452:DL2452)&lt;1,"",SUM(Q2452:DL2452)/COUNTIF(Q2452:DL2452,"&gt;0")))</f>
        <v>0</v>
      </c>
      <c r="P2452" s="109">
        <f>SUMIFS(Q2452:DK2452,Q$1:DK$1,Dashboard!$K$31)</f>
        <v>0</v>
      </c>
      <c r="U2452" s="95">
        <v>33</v>
      </c>
      <c r="AA2452" s="95">
        <v>25</v>
      </c>
      <c r="AH2452" s="95">
        <v>75</v>
      </c>
    </row>
    <row r="2453" spans="1:34" x14ac:dyDescent="0.3">
      <c r="A2453" s="89" t="str">
        <f>CONCATENATE(D2453,".",F2453,"-",G2453,".",H2453,"")</f>
        <v>2.4-1.1</v>
      </c>
      <c r="B2453" s="89" t="str">
        <f>IF(CONCATENATE(I2453,Key!F$2)=CONCATENATE(INDEX(Dashboard!J:J,MATCH(I2453,Dashboard!J:J,0),1),INDEX(Dashboard!J:K,MATCH(I2453,Dashboard!J:J,0),2)),"ON",IF(Dashboard!K$32="ALL","ON","-"))</f>
        <v>-</v>
      </c>
      <c r="C2453" s="88" t="s">
        <v>152</v>
      </c>
      <c r="D2453" s="89">
        <f>IF(C2453="ID",1,(IF(C2453="PR",2,(IF(C2453="DE",3,(IF(C2453="RS",4,(IF(C2453="RC",5,0)))))))))</f>
        <v>2</v>
      </c>
      <c r="E2453" s="89" t="s">
        <v>228</v>
      </c>
      <c r="F2453" s="89">
        <f>IF(E2453="AM",1,(IF(E2453="BE",2,(IF(E2453="GV",3,(IF(E2453="RA",4,(IF(E2453="RM",5,(IF(E2453="AC",1,(IF(E2453="AT",2,(IF(E2453="DS",3,(IF(E2453="IP",4,(IF(E2453="MA",5,(IF(E2453="PT",6,(IF(E2453="AE",1,(IF(E2453="CM",2,(IF(E2453="DP",3,(IF(E2453="AN",1,(IF(E2453="CO",2,(IF(E2453="IM",3,(IF(E2453="MI",4,(IF(E2453="RP",5,(IF(E2453="SC",6,0)))))))))))))))))))))))))))))))))))))))</f>
        <v>4</v>
      </c>
      <c r="G2453" s="52">
        <v>1</v>
      </c>
      <c r="H2453" s="90" t="s">
        <v>115</v>
      </c>
      <c r="I2453" s="94" t="s">
        <v>85</v>
      </c>
      <c r="J2453" s="87" t="s">
        <v>1482</v>
      </c>
      <c r="K2453" s="119" t="s">
        <v>4674</v>
      </c>
      <c r="L2453" s="117">
        <f>IF(O2453="","",N2453*O2453*M2453)</f>
        <v>0</v>
      </c>
      <c r="M2453" s="108">
        <v>1</v>
      </c>
      <c r="N2453" s="95">
        <v>1</v>
      </c>
      <c r="O2453" s="109">
        <f>IF(Key!D$1="ON",P2453,IF(SUM(Q2453:DL2453)&lt;1,"",SUM(Q2453:DL2453)/COUNTIF(Q2453:DL2453,"&gt;0")))</f>
        <v>0</v>
      </c>
      <c r="P2453" s="109">
        <f>SUMIFS(Q2453:DK2453,Q$1:DK$1,Dashboard!$K$31)</f>
        <v>0</v>
      </c>
      <c r="U2453" s="95">
        <v>33</v>
      </c>
      <c r="AA2453" s="95">
        <v>25</v>
      </c>
      <c r="AH2453" s="95">
        <v>75</v>
      </c>
    </row>
    <row r="2454" spans="1:34" x14ac:dyDescent="0.3">
      <c r="A2454" s="89" t="str">
        <f>CONCATENATE(D2454,".",F2454,"-",G2454,".",H2454,"")</f>
        <v>2.4-1.1</v>
      </c>
      <c r="B2454" s="89" t="str">
        <f>IF(CONCATENATE(I2454,Key!F$2)=CONCATENATE(INDEX(Dashboard!J:J,MATCH(I2454,Dashboard!J:J,0),1),INDEX(Dashboard!J:K,MATCH(I2454,Dashboard!J:J,0),2)),"ON",IF(Dashboard!K$32="ALL","ON","-"))</f>
        <v>-</v>
      </c>
      <c r="C2454" s="88" t="s">
        <v>152</v>
      </c>
      <c r="D2454" s="89">
        <f>IF(C2454="ID",1,(IF(C2454="PR",2,(IF(C2454="DE",3,(IF(C2454="RS",4,(IF(C2454="RC",5,0)))))))))</f>
        <v>2</v>
      </c>
      <c r="E2454" s="89" t="s">
        <v>228</v>
      </c>
      <c r="F2454" s="89">
        <f>IF(E2454="AM",1,(IF(E2454="BE",2,(IF(E2454="GV",3,(IF(E2454="RA",4,(IF(E2454="RM",5,(IF(E2454="AC",1,(IF(E2454="AT",2,(IF(E2454="DS",3,(IF(E2454="IP",4,(IF(E2454="MA",5,(IF(E2454="PT",6,(IF(E2454="AE",1,(IF(E2454="CM",2,(IF(E2454="DP",3,(IF(E2454="AN",1,(IF(E2454="CO",2,(IF(E2454="IM",3,(IF(E2454="MI",4,(IF(E2454="RP",5,(IF(E2454="SC",6,0)))))))))))))))))))))))))))))))))))))))</f>
        <v>4</v>
      </c>
      <c r="G2454" s="52">
        <v>1</v>
      </c>
      <c r="H2454" s="90" t="s">
        <v>115</v>
      </c>
      <c r="I2454" s="94" t="s">
        <v>85</v>
      </c>
      <c r="J2454" s="87" t="s">
        <v>1529</v>
      </c>
      <c r="K2454" s="119" t="s">
        <v>4969</v>
      </c>
      <c r="L2454" s="117">
        <f>IF(O2454="","",N2454*O2454*M2454)</f>
        <v>0</v>
      </c>
      <c r="M2454" s="108">
        <v>1</v>
      </c>
      <c r="N2454" s="95">
        <v>1</v>
      </c>
      <c r="O2454" s="109">
        <f>IF(Key!D$1="ON",P2454,IF(SUM(Q2454:DL2454)&lt;1,"",SUM(Q2454:DL2454)/COUNTIF(Q2454:DL2454,"&gt;0")))</f>
        <v>0</v>
      </c>
      <c r="P2454" s="109">
        <f>SUMIFS(Q2454:DK2454,Q$1:DK$1,Dashboard!$K$31)</f>
        <v>0</v>
      </c>
      <c r="U2454" s="95">
        <v>33</v>
      </c>
      <c r="AA2454" s="95">
        <v>25</v>
      </c>
      <c r="AH2454" s="95">
        <v>75</v>
      </c>
    </row>
    <row r="2455" spans="1:34" x14ac:dyDescent="0.3">
      <c r="A2455" s="89" t="str">
        <f>CONCATENATE(D2455,".",F2455,"-",G2455,".",H2455,"")</f>
        <v>2.4-1.1</v>
      </c>
      <c r="B2455" s="89" t="str">
        <f>IF(CONCATENATE(I2455,Key!F$2)=CONCATENATE(INDEX(Dashboard!J:J,MATCH(I2455,Dashboard!J:J,0),1),INDEX(Dashboard!J:K,MATCH(I2455,Dashboard!J:J,0),2)),"ON",IF(Dashboard!K$32="ALL","ON","-"))</f>
        <v>-</v>
      </c>
      <c r="C2455" s="88" t="s">
        <v>152</v>
      </c>
      <c r="D2455" s="89">
        <f>IF(C2455="ID",1,(IF(C2455="PR",2,(IF(C2455="DE",3,(IF(C2455="RS",4,(IF(C2455="RC",5,0)))))))))</f>
        <v>2</v>
      </c>
      <c r="E2455" s="89" t="s">
        <v>228</v>
      </c>
      <c r="F2455" s="89">
        <f>IF(E2455="AM",1,(IF(E2455="BE",2,(IF(E2455="GV",3,(IF(E2455="RA",4,(IF(E2455="RM",5,(IF(E2455="AC",1,(IF(E2455="AT",2,(IF(E2455="DS",3,(IF(E2455="IP",4,(IF(E2455="MA",5,(IF(E2455="PT",6,(IF(E2455="AE",1,(IF(E2455="CM",2,(IF(E2455="DP",3,(IF(E2455="AN",1,(IF(E2455="CO",2,(IF(E2455="IM",3,(IF(E2455="MI",4,(IF(E2455="RP",5,(IF(E2455="SC",6,0)))))))))))))))))))))))))))))))))))))))</f>
        <v>4</v>
      </c>
      <c r="G2455" s="52">
        <v>1</v>
      </c>
      <c r="H2455" s="90" t="s">
        <v>115</v>
      </c>
      <c r="I2455" s="94" t="s">
        <v>85</v>
      </c>
      <c r="J2455" s="87" t="s">
        <v>1527</v>
      </c>
      <c r="K2455" s="119" t="s">
        <v>4967</v>
      </c>
      <c r="L2455" s="117">
        <f>IF(O2455="","",N2455*O2455*M2455)</f>
        <v>0</v>
      </c>
      <c r="M2455" s="108">
        <v>1</v>
      </c>
      <c r="N2455" s="95">
        <v>1</v>
      </c>
      <c r="O2455" s="109">
        <f>IF(Key!D$1="ON",P2455,IF(SUM(Q2455:DL2455)&lt;1,"",SUM(Q2455:DL2455)/COUNTIF(Q2455:DL2455,"&gt;0")))</f>
        <v>0</v>
      </c>
      <c r="P2455" s="109">
        <f>SUMIFS(Q2455:DK2455,Q$1:DK$1,Dashboard!$K$31)</f>
        <v>0</v>
      </c>
      <c r="U2455" s="95">
        <v>33</v>
      </c>
      <c r="AA2455" s="95">
        <v>25</v>
      </c>
      <c r="AH2455" s="95">
        <v>75</v>
      </c>
    </row>
    <row r="2456" spans="1:34" x14ac:dyDescent="0.3">
      <c r="A2456" s="89" t="str">
        <f>CONCATENATE(D2456,".",F2456,"-",G2456,".",H2456,"")</f>
        <v>2.4-1.1</v>
      </c>
      <c r="B2456" s="89" t="str">
        <f>IF(CONCATENATE(I2456,Key!F$2)=CONCATENATE(INDEX(Dashboard!J:J,MATCH(I2456,Dashboard!J:J,0),1),INDEX(Dashboard!J:K,MATCH(I2456,Dashboard!J:J,0),2)),"ON",IF(Dashboard!K$32="ALL","ON","-"))</f>
        <v>-</v>
      </c>
      <c r="C2456" s="88" t="s">
        <v>152</v>
      </c>
      <c r="D2456" s="89">
        <f>IF(C2456="ID",1,(IF(C2456="PR",2,(IF(C2456="DE",3,(IF(C2456="RS",4,(IF(C2456="RC",5,0)))))))))</f>
        <v>2</v>
      </c>
      <c r="E2456" s="89" t="s">
        <v>228</v>
      </c>
      <c r="F2456" s="89">
        <f>IF(E2456="AM",1,(IF(E2456="BE",2,(IF(E2456="GV",3,(IF(E2456="RA",4,(IF(E2456="RM",5,(IF(E2456="AC",1,(IF(E2456="AT",2,(IF(E2456="DS",3,(IF(E2456="IP",4,(IF(E2456="MA",5,(IF(E2456="PT",6,(IF(E2456="AE",1,(IF(E2456="CM",2,(IF(E2456="DP",3,(IF(E2456="AN",1,(IF(E2456="CO",2,(IF(E2456="IM",3,(IF(E2456="MI",4,(IF(E2456="RP",5,(IF(E2456="SC",6,0)))))))))))))))))))))))))))))))))))))))</f>
        <v>4</v>
      </c>
      <c r="G2456" s="52">
        <v>1</v>
      </c>
      <c r="H2456" s="90" t="s">
        <v>115</v>
      </c>
      <c r="I2456" s="94" t="s">
        <v>85</v>
      </c>
      <c r="J2456" s="87" t="s">
        <v>1508</v>
      </c>
      <c r="K2456" s="119" t="s">
        <v>4669</v>
      </c>
      <c r="L2456" s="117">
        <f>IF(O2456="","",N2456*O2456*M2456)</f>
        <v>0</v>
      </c>
      <c r="M2456" s="108">
        <v>1</v>
      </c>
      <c r="N2456" s="95">
        <v>1</v>
      </c>
      <c r="O2456" s="109">
        <f>IF(Key!D$1="ON",P2456,IF(SUM(Q2456:DL2456)&lt;1,"",SUM(Q2456:DL2456)/COUNTIF(Q2456:DL2456,"&gt;0")))</f>
        <v>0</v>
      </c>
      <c r="P2456" s="109">
        <f>SUMIFS(Q2456:DK2456,Q$1:DK$1,Dashboard!$K$31)</f>
        <v>0</v>
      </c>
      <c r="U2456" s="95">
        <v>33</v>
      </c>
      <c r="AA2456" s="95">
        <v>25</v>
      </c>
      <c r="AH2456" s="95">
        <v>75</v>
      </c>
    </row>
    <row r="2457" spans="1:34" ht="15.6" x14ac:dyDescent="0.3">
      <c r="A2457" s="89" t="str">
        <f>CONCATENATE(D2457,".",F2457,"-",G2457,".",H2457,"")</f>
        <v>2.4-1.1</v>
      </c>
      <c r="B2457" s="89" t="str">
        <f>IF(CONCATENATE(I2457,Key!F$2)=CONCATENATE(INDEX(Dashboard!J:J,MATCH(I2457,Dashboard!J:J,0),1),INDEX(Dashboard!J:K,MATCH(I2457,Dashboard!J:J,0),2)),"ON",IF(Dashboard!K$32="ALL","ON","-"))</f>
        <v>-</v>
      </c>
      <c r="C2457" s="88" t="s">
        <v>152</v>
      </c>
      <c r="D2457" s="89">
        <f>IF(C2457="ID",1,(IF(C2457="PR",2,(IF(C2457="DE",3,(IF(C2457="RS",4,(IF(C2457="RC",5,0)))))))))</f>
        <v>2</v>
      </c>
      <c r="E2457" s="89" t="s">
        <v>228</v>
      </c>
      <c r="F2457" s="89">
        <f>IF(E2457="AM",1,(IF(E2457="BE",2,(IF(E2457="GV",3,(IF(E2457="RA",4,(IF(E2457="RM",5,(IF(E2457="AC",1,(IF(E2457="AT",2,(IF(E2457="DS",3,(IF(E2457="IP",4,(IF(E2457="MA",5,(IF(E2457="PT",6,(IF(E2457="AE",1,(IF(E2457="CM",2,(IF(E2457="DP",3,(IF(E2457="AN",1,(IF(E2457="CO",2,(IF(E2457="IM",3,(IF(E2457="MI",4,(IF(E2457="RP",5,(IF(E2457="SC",6,0)))))))))))))))))))))))))))))))))))))))</f>
        <v>4</v>
      </c>
      <c r="G2457" s="52">
        <v>1</v>
      </c>
      <c r="H2457" s="90" t="s">
        <v>115</v>
      </c>
      <c r="I2457" s="94" t="s">
        <v>85</v>
      </c>
      <c r="J2457" s="87" t="s">
        <v>1490</v>
      </c>
      <c r="K2457" s="119" t="s">
        <v>4682</v>
      </c>
      <c r="L2457" s="117">
        <f>IF(O2457="","",N2457*O2457*M2457)</f>
        <v>0</v>
      </c>
      <c r="M2457" s="108">
        <v>1</v>
      </c>
      <c r="N2457" s="95">
        <v>1</v>
      </c>
      <c r="O2457" s="109">
        <f>IF(Key!D$1="ON",P2457,IF(SUM(Q2457:DL2457)&lt;1,"",SUM(Q2457:DL2457)/COUNTIF(Q2457:DL2457,"&gt;0")))</f>
        <v>0</v>
      </c>
      <c r="P2457" s="109">
        <f>SUMIFS(Q2457:DK2457,Q$1:DK$1,Dashboard!$K$31)</f>
        <v>0</v>
      </c>
      <c r="U2457" s="95">
        <v>33</v>
      </c>
      <c r="AA2457" s="95">
        <v>25</v>
      </c>
      <c r="AH2457" s="95">
        <v>75</v>
      </c>
    </row>
    <row r="2458" spans="1:34" ht="15.6" x14ac:dyDescent="0.3">
      <c r="A2458" s="89" t="str">
        <f>CONCATENATE(D2458,".",F2458,"-",G2458,".",H2458,"")</f>
        <v>2.4-1.1</v>
      </c>
      <c r="B2458" s="89" t="str">
        <f>IF(CONCATENATE(I2458,Key!F$2)=CONCATENATE(INDEX(Dashboard!J:J,MATCH(I2458,Dashboard!J:J,0),1),INDEX(Dashboard!J:K,MATCH(I2458,Dashboard!J:J,0),2)),"ON",IF(Dashboard!K$32="ALL","ON","-"))</f>
        <v>-</v>
      </c>
      <c r="C2458" s="96" t="s">
        <v>152</v>
      </c>
      <c r="D2458" s="89">
        <f>IF(C2458="ID",1,(IF(C2458="PR",2,(IF(C2458="DE",3,(IF(C2458="RS",4,(IF(C2458="RC",5,0)))))))))</f>
        <v>2</v>
      </c>
      <c r="E2458" s="89" t="s">
        <v>228</v>
      </c>
      <c r="F2458" s="89">
        <f>IF(E2458="AM",1,(IF(E2458="BE",2,(IF(E2458="GV",3,(IF(E2458="RA",4,(IF(E2458="RM",5,(IF(E2458="AC",1,(IF(E2458="AT",2,(IF(E2458="DS",3,(IF(E2458="IP",4,(IF(E2458="MA",5,(IF(E2458="PT",6,(IF(E2458="AE",1,(IF(E2458="CM",2,(IF(E2458="DP",3,(IF(E2458="AN",1,(IF(E2458="CO",2,(IF(E2458="IM",3,(IF(E2458="MI",4,(IF(E2458="RP",5,(IF(E2458="SC",6,0)))))))))))))))))))))))))))))))))))))))</f>
        <v>4</v>
      </c>
      <c r="G2458" s="52">
        <v>1</v>
      </c>
      <c r="H2458" s="90" t="s">
        <v>115</v>
      </c>
      <c r="I2458" s="94" t="s">
        <v>85</v>
      </c>
      <c r="J2458" s="135" t="s">
        <v>791</v>
      </c>
      <c r="K2458" s="143" t="s">
        <v>4937</v>
      </c>
      <c r="L2458" s="117">
        <f>IF(O2458="","",N2458*O2458*M2458)</f>
        <v>0</v>
      </c>
      <c r="M2458" s="108">
        <v>1</v>
      </c>
      <c r="N2458" s="95">
        <v>1</v>
      </c>
      <c r="O2458" s="109">
        <f>IF(Key!D$1="ON",P2458,IF(SUM(Q2458:DL2458)&lt;1,"",SUM(Q2458:DL2458)/COUNTIF(Q2458:DL2458,"&gt;0")))</f>
        <v>0</v>
      </c>
      <c r="P2458" s="109">
        <f>SUMIFS(Q2458:DK2458,Q$1:DK$1,Dashboard!$K$31)</f>
        <v>0</v>
      </c>
      <c r="U2458" s="95">
        <v>33</v>
      </c>
      <c r="AA2458" s="95">
        <v>25</v>
      </c>
      <c r="AH2458" s="95">
        <v>75</v>
      </c>
    </row>
    <row r="2459" spans="1:34" x14ac:dyDescent="0.3">
      <c r="A2459" s="89" t="str">
        <f>CONCATENATE(D2459,".",F2459,"-",G2459,".",H2459,"")</f>
        <v>2.4-1.1</v>
      </c>
      <c r="B2459" s="89" t="str">
        <f>IF(CONCATENATE(I2459,Key!F$2)=CONCATENATE(INDEX(Dashboard!J:J,MATCH(I2459,Dashboard!J:J,0),1),INDEX(Dashboard!J:K,MATCH(I2459,Dashboard!J:J,0),2)),"ON",IF(Dashboard!K$32="ALL","ON","-"))</f>
        <v>-</v>
      </c>
      <c r="C2459" s="96" t="s">
        <v>152</v>
      </c>
      <c r="D2459" s="89">
        <f>IF(C2459="ID",1,(IF(C2459="PR",2,(IF(C2459="DE",3,(IF(C2459="RS",4,(IF(C2459="RC",5,0)))))))))</f>
        <v>2</v>
      </c>
      <c r="E2459" s="89" t="s">
        <v>228</v>
      </c>
      <c r="F2459" s="89">
        <f>IF(E2459="AM",1,(IF(E2459="BE",2,(IF(E2459="GV",3,(IF(E2459="RA",4,(IF(E2459="RM",5,(IF(E2459="AC",1,(IF(E2459="AT",2,(IF(E2459="DS",3,(IF(E2459="IP",4,(IF(E2459="MA",5,(IF(E2459="PT",6,(IF(E2459="AE",1,(IF(E2459="CM",2,(IF(E2459="DP",3,(IF(E2459="AN",1,(IF(E2459="CO",2,(IF(E2459="IM",3,(IF(E2459="MI",4,(IF(E2459="RP",5,(IF(E2459="SC",6,0)))))))))))))))))))))))))))))))))))))))</f>
        <v>4</v>
      </c>
      <c r="G2459" s="52">
        <v>1</v>
      </c>
      <c r="H2459" s="90" t="s">
        <v>115</v>
      </c>
      <c r="I2459" s="94" t="s">
        <v>85</v>
      </c>
      <c r="J2459" s="135" t="s">
        <v>792</v>
      </c>
      <c r="K2459" s="143" t="s">
        <v>4938</v>
      </c>
      <c r="L2459" s="117">
        <f>IF(O2459="","",N2459*O2459*M2459)</f>
        <v>0</v>
      </c>
      <c r="M2459" s="108">
        <v>1</v>
      </c>
      <c r="N2459" s="95">
        <v>1</v>
      </c>
      <c r="O2459" s="109">
        <f>IF(Key!D$1="ON",P2459,IF(SUM(Q2459:DL2459)&lt;1,"",SUM(Q2459:DL2459)/COUNTIF(Q2459:DL2459,"&gt;0")))</f>
        <v>0</v>
      </c>
      <c r="P2459" s="109">
        <f>SUMIFS(Q2459:DK2459,Q$1:DK$1,Dashboard!$K$31)</f>
        <v>0</v>
      </c>
      <c r="U2459" s="95">
        <v>33</v>
      </c>
      <c r="AA2459" s="95">
        <v>25</v>
      </c>
      <c r="AH2459" s="95">
        <v>75</v>
      </c>
    </row>
    <row r="2460" spans="1:34" x14ac:dyDescent="0.3">
      <c r="A2460" s="89" t="str">
        <f>CONCATENATE(D2460,".",F2460,"-",G2460,".",H2460,"")</f>
        <v>2.4-1.1</v>
      </c>
      <c r="B2460" s="89" t="str">
        <f>IF(CONCATENATE(I2460,Key!F$2)=CONCATENATE(INDEX(Dashboard!J:J,MATCH(I2460,Dashboard!J:J,0),1),INDEX(Dashboard!J:K,MATCH(I2460,Dashboard!J:J,0),2)),"ON",IF(Dashboard!K$32="ALL","ON","-"))</f>
        <v>-</v>
      </c>
      <c r="C2460" s="96" t="s">
        <v>152</v>
      </c>
      <c r="D2460" s="89">
        <f>IF(C2460="ID",1,(IF(C2460="PR",2,(IF(C2460="DE",3,(IF(C2460="RS",4,(IF(C2460="RC",5,0)))))))))</f>
        <v>2</v>
      </c>
      <c r="E2460" s="89" t="s">
        <v>228</v>
      </c>
      <c r="F2460" s="89">
        <f>IF(E2460="AM",1,(IF(E2460="BE",2,(IF(E2460="GV",3,(IF(E2460="RA",4,(IF(E2460="RM",5,(IF(E2460="AC",1,(IF(E2460="AT",2,(IF(E2460="DS",3,(IF(E2460="IP",4,(IF(E2460="MA",5,(IF(E2460="PT",6,(IF(E2460="AE",1,(IF(E2460="CM",2,(IF(E2460="DP",3,(IF(E2460="AN",1,(IF(E2460="CO",2,(IF(E2460="IM",3,(IF(E2460="MI",4,(IF(E2460="RP",5,(IF(E2460="SC",6,0)))))))))))))))))))))))))))))))))))))))</f>
        <v>4</v>
      </c>
      <c r="G2460" s="52">
        <v>1</v>
      </c>
      <c r="H2460" s="90" t="s">
        <v>115</v>
      </c>
      <c r="I2460" s="94" t="s">
        <v>85</v>
      </c>
      <c r="J2460" s="135" t="s">
        <v>793</v>
      </c>
      <c r="K2460" s="143" t="s">
        <v>4939</v>
      </c>
      <c r="L2460" s="117">
        <f>IF(O2460="","",N2460*O2460*M2460)</f>
        <v>0</v>
      </c>
      <c r="M2460" s="108">
        <v>1</v>
      </c>
      <c r="N2460" s="95">
        <v>1</v>
      </c>
      <c r="O2460" s="109">
        <f>IF(Key!D$1="ON",P2460,IF(SUM(Q2460:DL2460)&lt;1,"",SUM(Q2460:DL2460)/COUNTIF(Q2460:DL2460,"&gt;0")))</f>
        <v>0</v>
      </c>
      <c r="P2460" s="109">
        <f>SUMIFS(Q2460:DK2460,Q$1:DK$1,Dashboard!$K$31)</f>
        <v>0</v>
      </c>
      <c r="U2460" s="95">
        <v>33</v>
      </c>
      <c r="AA2460" s="95">
        <v>25</v>
      </c>
      <c r="AH2460" s="95">
        <v>75</v>
      </c>
    </row>
    <row r="2461" spans="1:34" x14ac:dyDescent="0.3">
      <c r="A2461" s="89" t="str">
        <f>CONCATENATE(D2461,".",F2461,"-",G2461,".",H2461,"")</f>
        <v>2.4-1.1</v>
      </c>
      <c r="B2461" s="89" t="str">
        <f>IF(CONCATENATE(I2461,Key!F$2)=CONCATENATE(INDEX(Dashboard!J:J,MATCH(I2461,Dashboard!J:J,0),1),INDEX(Dashboard!J:K,MATCH(I2461,Dashboard!J:J,0),2)),"ON",IF(Dashboard!K$32="ALL","ON","-"))</f>
        <v>-</v>
      </c>
      <c r="C2461" s="96" t="s">
        <v>152</v>
      </c>
      <c r="D2461" s="89">
        <f>IF(C2461="ID",1,(IF(C2461="PR",2,(IF(C2461="DE",3,(IF(C2461="RS",4,(IF(C2461="RC",5,0)))))))))</f>
        <v>2</v>
      </c>
      <c r="E2461" s="89" t="s">
        <v>228</v>
      </c>
      <c r="F2461" s="89">
        <f>IF(E2461="AM",1,(IF(E2461="BE",2,(IF(E2461="GV",3,(IF(E2461="RA",4,(IF(E2461="RM",5,(IF(E2461="AC",1,(IF(E2461="AT",2,(IF(E2461="DS",3,(IF(E2461="IP",4,(IF(E2461="MA",5,(IF(E2461="PT",6,(IF(E2461="AE",1,(IF(E2461="CM",2,(IF(E2461="DP",3,(IF(E2461="AN",1,(IF(E2461="CO",2,(IF(E2461="IM",3,(IF(E2461="MI",4,(IF(E2461="RP",5,(IF(E2461="SC",6,0)))))))))))))))))))))))))))))))))))))))</f>
        <v>4</v>
      </c>
      <c r="G2461" s="52">
        <v>1</v>
      </c>
      <c r="H2461" s="90" t="s">
        <v>115</v>
      </c>
      <c r="I2461" s="94" t="s">
        <v>85</v>
      </c>
      <c r="J2461" s="135" t="s">
        <v>794</v>
      </c>
      <c r="K2461" s="143" t="s">
        <v>4940</v>
      </c>
      <c r="L2461" s="117">
        <f>IF(O2461="","",N2461*O2461*M2461)</f>
        <v>0</v>
      </c>
      <c r="M2461" s="108">
        <v>1</v>
      </c>
      <c r="N2461" s="95">
        <v>1</v>
      </c>
      <c r="O2461" s="109">
        <f>IF(Key!D$1="ON",P2461,IF(SUM(Q2461:DL2461)&lt;1,"",SUM(Q2461:DL2461)/COUNTIF(Q2461:DL2461,"&gt;0")))</f>
        <v>0</v>
      </c>
      <c r="P2461" s="109">
        <f>SUMIFS(Q2461:DK2461,Q$1:DK$1,Dashboard!$K$31)</f>
        <v>0</v>
      </c>
      <c r="U2461" s="95">
        <v>33</v>
      </c>
      <c r="AA2461" s="95">
        <v>25</v>
      </c>
      <c r="AH2461" s="95">
        <v>75</v>
      </c>
    </row>
    <row r="2462" spans="1:34" x14ac:dyDescent="0.3">
      <c r="A2462" s="89" t="str">
        <f>CONCATENATE(D2462,".",F2462,"-",G2462,".",H2462,"")</f>
        <v>2.4-1.1</v>
      </c>
      <c r="B2462" s="89" t="str">
        <f>IF(CONCATENATE(I2462,Key!F$2)=CONCATENATE(INDEX(Dashboard!J:J,MATCH(I2462,Dashboard!J:J,0),1),INDEX(Dashboard!J:K,MATCH(I2462,Dashboard!J:J,0),2)),"ON",IF(Dashboard!K$32="ALL","ON","-"))</f>
        <v>-</v>
      </c>
      <c r="C2462" s="96" t="s">
        <v>152</v>
      </c>
      <c r="D2462" s="89">
        <f>IF(C2462="ID",1,(IF(C2462="PR",2,(IF(C2462="DE",3,(IF(C2462="RS",4,(IF(C2462="RC",5,0)))))))))</f>
        <v>2</v>
      </c>
      <c r="E2462" s="89" t="s">
        <v>228</v>
      </c>
      <c r="F2462" s="89">
        <f>IF(E2462="AM",1,(IF(E2462="BE",2,(IF(E2462="GV",3,(IF(E2462="RA",4,(IF(E2462="RM",5,(IF(E2462="AC",1,(IF(E2462="AT",2,(IF(E2462="DS",3,(IF(E2462="IP",4,(IF(E2462="MA",5,(IF(E2462="PT",6,(IF(E2462="AE",1,(IF(E2462="CM",2,(IF(E2462="DP",3,(IF(E2462="AN",1,(IF(E2462="CO",2,(IF(E2462="IM",3,(IF(E2462="MI",4,(IF(E2462="RP",5,(IF(E2462="SC",6,0)))))))))))))))))))))))))))))))))))))))</f>
        <v>4</v>
      </c>
      <c r="G2462" s="52">
        <v>1</v>
      </c>
      <c r="H2462" s="90" t="s">
        <v>115</v>
      </c>
      <c r="I2462" s="94" t="s">
        <v>85</v>
      </c>
      <c r="J2462" s="135" t="s">
        <v>795</v>
      </c>
      <c r="K2462" s="143" t="s">
        <v>4941</v>
      </c>
      <c r="L2462" s="117">
        <f>IF(O2462="","",N2462*O2462*M2462)</f>
        <v>0</v>
      </c>
      <c r="M2462" s="108">
        <v>1</v>
      </c>
      <c r="N2462" s="95">
        <v>1</v>
      </c>
      <c r="O2462" s="109">
        <f>IF(Key!D$1="ON",P2462,IF(SUM(Q2462:DL2462)&lt;1,"",SUM(Q2462:DL2462)/COUNTIF(Q2462:DL2462,"&gt;0")))</f>
        <v>0</v>
      </c>
      <c r="P2462" s="109">
        <f>SUMIFS(Q2462:DK2462,Q$1:DK$1,Dashboard!$K$31)</f>
        <v>0</v>
      </c>
      <c r="U2462" s="95">
        <v>33</v>
      </c>
      <c r="AA2462" s="95">
        <v>25</v>
      </c>
      <c r="AH2462" s="95">
        <v>75</v>
      </c>
    </row>
    <row r="2463" spans="1:34" x14ac:dyDescent="0.3">
      <c r="A2463" s="89" t="str">
        <f>CONCATENATE(D2463,".",F2463,"-",G2463,".",H2463,"")</f>
        <v>2.4-1.1</v>
      </c>
      <c r="B2463" s="89" t="str">
        <f>IF(CONCATENATE(I2463,Key!F$2)=CONCATENATE(INDEX(Dashboard!J:J,MATCH(I2463,Dashboard!J:J,0),1),INDEX(Dashboard!J:K,MATCH(I2463,Dashboard!J:J,0),2)),"ON",IF(Dashboard!K$32="ALL","ON","-"))</f>
        <v>-</v>
      </c>
      <c r="C2463" s="96" t="s">
        <v>152</v>
      </c>
      <c r="D2463" s="89">
        <f>IF(C2463="ID",1,(IF(C2463="PR",2,(IF(C2463="DE",3,(IF(C2463="RS",4,(IF(C2463="RC",5,0)))))))))</f>
        <v>2</v>
      </c>
      <c r="E2463" s="89" t="s">
        <v>228</v>
      </c>
      <c r="F2463" s="89">
        <f>IF(E2463="AM",1,(IF(E2463="BE",2,(IF(E2463="GV",3,(IF(E2463="RA",4,(IF(E2463="RM",5,(IF(E2463="AC",1,(IF(E2463="AT",2,(IF(E2463="DS",3,(IF(E2463="IP",4,(IF(E2463="MA",5,(IF(E2463="PT",6,(IF(E2463="AE",1,(IF(E2463="CM",2,(IF(E2463="DP",3,(IF(E2463="AN",1,(IF(E2463="CO",2,(IF(E2463="IM",3,(IF(E2463="MI",4,(IF(E2463="RP",5,(IF(E2463="SC",6,0)))))))))))))))))))))))))))))))))))))))</f>
        <v>4</v>
      </c>
      <c r="G2463" s="52">
        <v>1</v>
      </c>
      <c r="H2463" s="90" t="s">
        <v>115</v>
      </c>
      <c r="I2463" s="94" t="s">
        <v>85</v>
      </c>
      <c r="J2463" s="135" t="s">
        <v>797</v>
      </c>
      <c r="K2463" s="143" t="s">
        <v>4942</v>
      </c>
      <c r="L2463" s="117">
        <f>IF(O2463="","",N2463*O2463*M2463)</f>
        <v>0</v>
      </c>
      <c r="M2463" s="108">
        <v>1</v>
      </c>
      <c r="N2463" s="95">
        <v>1</v>
      </c>
      <c r="O2463" s="109">
        <f>IF(Key!D$1="ON",P2463,IF(SUM(Q2463:DL2463)&lt;1,"",SUM(Q2463:DL2463)/COUNTIF(Q2463:DL2463,"&gt;0")))</f>
        <v>0</v>
      </c>
      <c r="P2463" s="109">
        <f>SUMIFS(Q2463:DK2463,Q$1:DK$1,Dashboard!$K$31)</f>
        <v>0</v>
      </c>
      <c r="U2463" s="95">
        <v>33</v>
      </c>
      <c r="AA2463" s="95">
        <v>25</v>
      </c>
      <c r="AH2463" s="95">
        <v>75</v>
      </c>
    </row>
    <row r="2464" spans="1:34" x14ac:dyDescent="0.3">
      <c r="A2464" s="89" t="str">
        <f>CONCATENATE(D2464,".",F2464,"-",G2464,".",H2464,"")</f>
        <v>2.4-1.1</v>
      </c>
      <c r="B2464" s="89" t="str">
        <f>IF(CONCATENATE(I2464,Key!F$2)=CONCATENATE(INDEX(Dashboard!J:J,MATCH(I2464,Dashboard!J:J,0),1),INDEX(Dashboard!J:K,MATCH(I2464,Dashboard!J:J,0),2)),"ON",IF(Dashboard!K$32="ALL","ON","-"))</f>
        <v>-</v>
      </c>
      <c r="C2464" s="96" t="s">
        <v>152</v>
      </c>
      <c r="D2464" s="89">
        <f>IF(C2464="ID",1,(IF(C2464="PR",2,(IF(C2464="DE",3,(IF(C2464="RS",4,(IF(C2464="RC",5,0)))))))))</f>
        <v>2</v>
      </c>
      <c r="E2464" s="89" t="s">
        <v>228</v>
      </c>
      <c r="F2464" s="89">
        <f>IF(E2464="AM",1,(IF(E2464="BE",2,(IF(E2464="GV",3,(IF(E2464="RA",4,(IF(E2464="RM",5,(IF(E2464="AC",1,(IF(E2464="AT",2,(IF(E2464="DS",3,(IF(E2464="IP",4,(IF(E2464="MA",5,(IF(E2464="PT",6,(IF(E2464="AE",1,(IF(E2464="CM",2,(IF(E2464="DP",3,(IF(E2464="AN",1,(IF(E2464="CO",2,(IF(E2464="IM",3,(IF(E2464="MI",4,(IF(E2464="RP",5,(IF(E2464="SC",6,0)))))))))))))))))))))))))))))))))))))))</f>
        <v>4</v>
      </c>
      <c r="G2464" s="52">
        <v>1</v>
      </c>
      <c r="H2464" s="90" t="s">
        <v>115</v>
      </c>
      <c r="I2464" s="94" t="s">
        <v>85</v>
      </c>
      <c r="J2464" s="135" t="s">
        <v>800</v>
      </c>
      <c r="K2464" s="143" t="s">
        <v>4945</v>
      </c>
      <c r="L2464" s="117">
        <f>IF(O2464="","",N2464*O2464*M2464)</f>
        <v>0</v>
      </c>
      <c r="M2464" s="108">
        <v>1</v>
      </c>
      <c r="N2464" s="95">
        <v>1</v>
      </c>
      <c r="O2464" s="109">
        <f>IF(Key!D$1="ON",P2464,IF(SUM(Q2464:DL2464)&lt;1,"",SUM(Q2464:DL2464)/COUNTIF(Q2464:DL2464,"&gt;0")))</f>
        <v>0</v>
      </c>
      <c r="P2464" s="109">
        <f>SUMIFS(Q2464:DK2464,Q$1:DK$1,Dashboard!$K$31)</f>
        <v>0</v>
      </c>
      <c r="U2464" s="95">
        <v>33</v>
      </c>
      <c r="AA2464" s="95">
        <v>25</v>
      </c>
      <c r="AH2464" s="95">
        <v>75</v>
      </c>
    </row>
    <row r="2465" spans="1:34" x14ac:dyDescent="0.3">
      <c r="A2465" s="89" t="str">
        <f>CONCATENATE(D2465,".",F2465,"-",G2465,".",H2465,"")</f>
        <v>2.4-1.1</v>
      </c>
      <c r="B2465" s="89" t="str">
        <f>IF(CONCATENATE(I2465,Key!F$2)=CONCATENATE(INDEX(Dashboard!J:J,MATCH(I2465,Dashboard!J:J,0),1),INDEX(Dashboard!J:K,MATCH(I2465,Dashboard!J:J,0),2)),"ON",IF(Dashboard!K$32="ALL","ON","-"))</f>
        <v>-</v>
      </c>
      <c r="C2465" s="96" t="s">
        <v>152</v>
      </c>
      <c r="D2465" s="89">
        <f>IF(C2465="ID",1,(IF(C2465="PR",2,(IF(C2465="DE",3,(IF(C2465="RS",4,(IF(C2465="RC",5,0)))))))))</f>
        <v>2</v>
      </c>
      <c r="E2465" s="89" t="s">
        <v>228</v>
      </c>
      <c r="F2465" s="89">
        <f>IF(E2465="AM",1,(IF(E2465="BE",2,(IF(E2465="GV",3,(IF(E2465="RA",4,(IF(E2465="RM",5,(IF(E2465="AC",1,(IF(E2465="AT",2,(IF(E2465="DS",3,(IF(E2465="IP",4,(IF(E2465="MA",5,(IF(E2465="PT",6,(IF(E2465="AE",1,(IF(E2465="CM",2,(IF(E2465="DP",3,(IF(E2465="AN",1,(IF(E2465="CO",2,(IF(E2465="IM",3,(IF(E2465="MI",4,(IF(E2465="RP",5,(IF(E2465="SC",6,0)))))))))))))))))))))))))))))))))))))))</f>
        <v>4</v>
      </c>
      <c r="G2465" s="52">
        <v>1</v>
      </c>
      <c r="H2465" s="90" t="s">
        <v>115</v>
      </c>
      <c r="I2465" s="94" t="s">
        <v>85</v>
      </c>
      <c r="J2465" s="135" t="s">
        <v>804</v>
      </c>
      <c r="K2465" s="143" t="s">
        <v>4949</v>
      </c>
      <c r="L2465" s="117">
        <f>IF(O2465="","",N2465*O2465*M2465)</f>
        <v>0</v>
      </c>
      <c r="M2465" s="108">
        <v>1</v>
      </c>
      <c r="N2465" s="95">
        <v>1</v>
      </c>
      <c r="O2465" s="109">
        <f>IF(Key!D$1="ON",P2465,IF(SUM(Q2465:DL2465)&lt;1,"",SUM(Q2465:DL2465)/COUNTIF(Q2465:DL2465,"&gt;0")))</f>
        <v>0</v>
      </c>
      <c r="P2465" s="109">
        <f>SUMIFS(Q2465:DK2465,Q$1:DK$1,Dashboard!$K$31)</f>
        <v>0</v>
      </c>
      <c r="U2465" s="95">
        <v>33</v>
      </c>
      <c r="AA2465" s="95">
        <v>25</v>
      </c>
      <c r="AH2465" s="95">
        <v>75</v>
      </c>
    </row>
    <row r="2466" spans="1:34" x14ac:dyDescent="0.3">
      <c r="A2466" s="89" t="str">
        <f>CONCATENATE(D2466,".",F2466,"-",G2466,".",H2466,"")</f>
        <v>2.4-1.1</v>
      </c>
      <c r="B2466" s="89" t="str">
        <f>IF(CONCATENATE(I2466,Key!F$2)=CONCATENATE(INDEX(Dashboard!J:J,MATCH(I2466,Dashboard!J:J,0),1),INDEX(Dashboard!J:K,MATCH(I2466,Dashboard!J:J,0),2)),"ON",IF(Dashboard!K$32="ALL","ON","-"))</f>
        <v>-</v>
      </c>
      <c r="C2466" s="96" t="s">
        <v>152</v>
      </c>
      <c r="D2466" s="89">
        <f>IF(C2466="ID",1,(IF(C2466="PR",2,(IF(C2466="DE",3,(IF(C2466="RS",4,(IF(C2466="RC",5,0)))))))))</f>
        <v>2</v>
      </c>
      <c r="E2466" s="89" t="s">
        <v>228</v>
      </c>
      <c r="F2466" s="89">
        <f>IF(E2466="AM",1,(IF(E2466="BE",2,(IF(E2466="GV",3,(IF(E2466="RA",4,(IF(E2466="RM",5,(IF(E2466="AC",1,(IF(E2466="AT",2,(IF(E2466="DS",3,(IF(E2466="IP",4,(IF(E2466="MA",5,(IF(E2466="PT",6,(IF(E2466="AE",1,(IF(E2466="CM",2,(IF(E2466="DP",3,(IF(E2466="AN",1,(IF(E2466="CO",2,(IF(E2466="IM",3,(IF(E2466="MI",4,(IF(E2466="RP",5,(IF(E2466="SC",6,0)))))))))))))))))))))))))))))))))))))))</f>
        <v>4</v>
      </c>
      <c r="G2466" s="52">
        <v>1</v>
      </c>
      <c r="H2466" s="90" t="s">
        <v>115</v>
      </c>
      <c r="I2466" s="94" t="s">
        <v>85</v>
      </c>
      <c r="J2466" s="135" t="s">
        <v>805</v>
      </c>
      <c r="K2466" s="143" t="s">
        <v>4950</v>
      </c>
      <c r="L2466" s="117">
        <f>IF(O2466="","",N2466*O2466*M2466)</f>
        <v>0</v>
      </c>
      <c r="M2466" s="108">
        <v>1</v>
      </c>
      <c r="N2466" s="95">
        <v>1</v>
      </c>
      <c r="O2466" s="109">
        <f>IF(Key!D$1="ON",P2466,IF(SUM(Q2466:DL2466)&lt;1,"",SUM(Q2466:DL2466)/COUNTIF(Q2466:DL2466,"&gt;0")))</f>
        <v>0</v>
      </c>
      <c r="P2466" s="109">
        <f>SUMIFS(Q2466:DK2466,Q$1:DK$1,Dashboard!$K$31)</f>
        <v>0</v>
      </c>
      <c r="U2466" s="95">
        <v>33</v>
      </c>
      <c r="AA2466" s="95">
        <v>25</v>
      </c>
      <c r="AH2466" s="95">
        <v>75</v>
      </c>
    </row>
    <row r="2467" spans="1:34" x14ac:dyDescent="0.3">
      <c r="A2467" s="89" t="str">
        <f>CONCATENATE(D2467,".",F2467,"-",G2467,".",H2467,"")</f>
        <v>2.4-1.1</v>
      </c>
      <c r="B2467" s="89" t="str">
        <f>IF(CONCATENATE(I2467,Key!F$2)=CONCATENATE(INDEX(Dashboard!J:J,MATCH(I2467,Dashboard!J:J,0),1),INDEX(Dashboard!J:K,MATCH(I2467,Dashboard!J:J,0),2)),"ON",IF(Dashboard!K$32="ALL","ON","-"))</f>
        <v>-</v>
      </c>
      <c r="C2467" s="96" t="s">
        <v>152</v>
      </c>
      <c r="D2467" s="89">
        <f>IF(C2467="ID",1,(IF(C2467="PR",2,(IF(C2467="DE",3,(IF(C2467="RS",4,(IF(C2467="RC",5,0)))))))))</f>
        <v>2</v>
      </c>
      <c r="E2467" s="89" t="s">
        <v>228</v>
      </c>
      <c r="F2467" s="89">
        <f>IF(E2467="AM",1,(IF(E2467="BE",2,(IF(E2467="GV",3,(IF(E2467="RA",4,(IF(E2467="RM",5,(IF(E2467="AC",1,(IF(E2467="AT",2,(IF(E2467="DS",3,(IF(E2467="IP",4,(IF(E2467="MA",5,(IF(E2467="PT",6,(IF(E2467="AE",1,(IF(E2467="CM",2,(IF(E2467="DP",3,(IF(E2467="AN",1,(IF(E2467="CO",2,(IF(E2467="IM",3,(IF(E2467="MI",4,(IF(E2467="RP",5,(IF(E2467="SC",6,0)))))))))))))))))))))))))))))))))))))))</f>
        <v>4</v>
      </c>
      <c r="G2467" s="52">
        <v>1</v>
      </c>
      <c r="H2467" s="90" t="s">
        <v>115</v>
      </c>
      <c r="I2467" s="94" t="s">
        <v>85</v>
      </c>
      <c r="J2467" s="135" t="s">
        <v>806</v>
      </c>
      <c r="K2467" s="143" t="s">
        <v>4951</v>
      </c>
      <c r="L2467" s="117">
        <f>IF(O2467="","",N2467*O2467*M2467)</f>
        <v>0</v>
      </c>
      <c r="M2467" s="108">
        <v>1</v>
      </c>
      <c r="N2467" s="95">
        <v>1</v>
      </c>
      <c r="O2467" s="109">
        <f>IF(Key!D$1="ON",P2467,IF(SUM(Q2467:DL2467)&lt;1,"",SUM(Q2467:DL2467)/COUNTIF(Q2467:DL2467,"&gt;0")))</f>
        <v>0</v>
      </c>
      <c r="P2467" s="109">
        <f>SUMIFS(Q2467:DK2467,Q$1:DK$1,Dashboard!$K$31)</f>
        <v>0</v>
      </c>
      <c r="U2467" s="95">
        <v>33</v>
      </c>
      <c r="AA2467" s="95">
        <v>25</v>
      </c>
      <c r="AH2467" s="95">
        <v>75</v>
      </c>
    </row>
    <row r="2468" spans="1:34" x14ac:dyDescent="0.3">
      <c r="A2468" s="89" t="str">
        <f>CONCATENATE(D2468,".",F2468,"-",G2468,".",H2468,"")</f>
        <v>2.4-1.1</v>
      </c>
      <c r="B2468" s="89" t="str">
        <f>IF(CONCATENATE(I2468,Key!F$2)=CONCATENATE(INDEX(Dashboard!J:J,MATCH(I2468,Dashboard!J:J,0),1),INDEX(Dashboard!J:K,MATCH(I2468,Dashboard!J:J,0),2)),"ON",IF(Dashboard!K$32="ALL","ON","-"))</f>
        <v>-</v>
      </c>
      <c r="C2468" s="96" t="s">
        <v>152</v>
      </c>
      <c r="D2468" s="89">
        <f>IF(C2468="ID",1,(IF(C2468="PR",2,(IF(C2468="DE",3,(IF(C2468="RS",4,(IF(C2468="RC",5,0)))))))))</f>
        <v>2</v>
      </c>
      <c r="E2468" s="89" t="s">
        <v>228</v>
      </c>
      <c r="F2468" s="89">
        <f>IF(E2468="AM",1,(IF(E2468="BE",2,(IF(E2468="GV",3,(IF(E2468="RA",4,(IF(E2468="RM",5,(IF(E2468="AC",1,(IF(E2468="AT",2,(IF(E2468="DS",3,(IF(E2468="IP",4,(IF(E2468="MA",5,(IF(E2468="PT",6,(IF(E2468="AE",1,(IF(E2468="CM",2,(IF(E2468="DP",3,(IF(E2468="AN",1,(IF(E2468="CO",2,(IF(E2468="IM",3,(IF(E2468="MI",4,(IF(E2468="RP",5,(IF(E2468="SC",6,0)))))))))))))))))))))))))))))))))))))))</f>
        <v>4</v>
      </c>
      <c r="G2468" s="52">
        <v>1</v>
      </c>
      <c r="H2468" s="90" t="s">
        <v>115</v>
      </c>
      <c r="I2468" s="94" t="s">
        <v>85</v>
      </c>
      <c r="J2468" s="135" t="s">
        <v>788</v>
      </c>
      <c r="K2468" s="143" t="s">
        <v>4935</v>
      </c>
      <c r="L2468" s="117">
        <f>IF(O2468="","",N2468*O2468*M2468)</f>
        <v>0</v>
      </c>
      <c r="M2468" s="108">
        <v>1</v>
      </c>
      <c r="N2468" s="95">
        <v>1</v>
      </c>
      <c r="O2468" s="109">
        <f>IF(Key!D$1="ON",P2468,IF(SUM(Q2468:DL2468)&lt;1,"",SUM(Q2468:DL2468)/COUNTIF(Q2468:DL2468,"&gt;0")))</f>
        <v>0</v>
      </c>
      <c r="P2468" s="109">
        <f>SUMIFS(Q2468:DK2468,Q$1:DK$1,Dashboard!$K$31)</f>
        <v>0</v>
      </c>
      <c r="U2468" s="95">
        <v>33</v>
      </c>
      <c r="AA2468" s="95">
        <v>25</v>
      </c>
      <c r="AH2468" s="95">
        <v>75</v>
      </c>
    </row>
    <row r="2469" spans="1:34" x14ac:dyDescent="0.3">
      <c r="A2469" s="89" t="str">
        <f>CONCATENATE(D2469,".",F2469,"-",G2469,".",H2469,"")</f>
        <v>2.4-1.1</v>
      </c>
      <c r="B2469" s="89" t="str">
        <f>IF(CONCATENATE(I2469,Key!F$2)=CONCATENATE(INDEX(Dashboard!J:J,MATCH(I2469,Dashboard!J:J,0),1),INDEX(Dashboard!J:K,MATCH(I2469,Dashboard!J:J,0),2)),"ON",IF(Dashboard!K$32="ALL","ON","-"))</f>
        <v>-</v>
      </c>
      <c r="C2469" s="96" t="s">
        <v>152</v>
      </c>
      <c r="D2469" s="89">
        <f>IF(C2469="ID",1,(IF(C2469="PR",2,(IF(C2469="DE",3,(IF(C2469="RS",4,(IF(C2469="RC",5,0)))))))))</f>
        <v>2</v>
      </c>
      <c r="E2469" s="89" t="s">
        <v>228</v>
      </c>
      <c r="F2469" s="89">
        <f>IF(E2469="AM",1,(IF(E2469="BE",2,(IF(E2469="GV",3,(IF(E2469="RA",4,(IF(E2469="RM",5,(IF(E2469="AC",1,(IF(E2469="AT",2,(IF(E2469="DS",3,(IF(E2469="IP",4,(IF(E2469="MA",5,(IF(E2469="PT",6,(IF(E2469="AE",1,(IF(E2469="CM",2,(IF(E2469="DP",3,(IF(E2469="AN",1,(IF(E2469="CO",2,(IF(E2469="IM",3,(IF(E2469="MI",4,(IF(E2469="RP",5,(IF(E2469="SC",6,0)))))))))))))))))))))))))))))))))))))))</f>
        <v>4</v>
      </c>
      <c r="G2469" s="52">
        <v>1</v>
      </c>
      <c r="H2469" s="90" t="s">
        <v>115</v>
      </c>
      <c r="I2469" s="94" t="s">
        <v>85</v>
      </c>
      <c r="J2469" s="135" t="s">
        <v>809</v>
      </c>
      <c r="K2469" s="143" t="s">
        <v>4953</v>
      </c>
      <c r="L2469" s="117">
        <f>IF(O2469="","",N2469*O2469*M2469)</f>
        <v>0</v>
      </c>
      <c r="M2469" s="108">
        <v>1</v>
      </c>
      <c r="N2469" s="95">
        <v>1</v>
      </c>
      <c r="O2469" s="109">
        <f>IF(Key!D$1="ON",P2469,IF(SUM(Q2469:DL2469)&lt;1,"",SUM(Q2469:DL2469)/COUNTIF(Q2469:DL2469,"&gt;0")))</f>
        <v>0</v>
      </c>
      <c r="P2469" s="109">
        <f>SUMIFS(Q2469:DK2469,Q$1:DK$1,Dashboard!$K$31)</f>
        <v>0</v>
      </c>
      <c r="U2469" s="95">
        <v>33</v>
      </c>
      <c r="AA2469" s="95">
        <v>25</v>
      </c>
      <c r="AH2469" s="95">
        <v>75</v>
      </c>
    </row>
    <row r="2470" spans="1:34" x14ac:dyDescent="0.3">
      <c r="A2470" s="89" t="str">
        <f>CONCATENATE(D2470,".",F2470,"-",G2470,".",H2470,"")</f>
        <v>2.4-1.1</v>
      </c>
      <c r="B2470" s="89" t="str">
        <f>IF(CONCATENATE(I2470,Key!F$2)=CONCATENATE(INDEX(Dashboard!J:J,MATCH(I2470,Dashboard!J:J,0),1),INDEX(Dashboard!J:K,MATCH(I2470,Dashboard!J:J,0),2)),"ON",IF(Dashboard!K$32="ALL","ON","-"))</f>
        <v>-</v>
      </c>
      <c r="C2470" s="96" t="s">
        <v>152</v>
      </c>
      <c r="D2470" s="89">
        <f>IF(C2470="ID",1,(IF(C2470="PR",2,(IF(C2470="DE",3,(IF(C2470="RS",4,(IF(C2470="RC",5,0)))))))))</f>
        <v>2</v>
      </c>
      <c r="E2470" s="89" t="s">
        <v>228</v>
      </c>
      <c r="F2470" s="89">
        <f>IF(E2470="AM",1,(IF(E2470="BE",2,(IF(E2470="GV",3,(IF(E2470="RA",4,(IF(E2470="RM",5,(IF(E2470="AC",1,(IF(E2470="AT",2,(IF(E2470="DS",3,(IF(E2470="IP",4,(IF(E2470="MA",5,(IF(E2470="PT",6,(IF(E2470="AE",1,(IF(E2470="CM",2,(IF(E2470="DP",3,(IF(E2470="AN",1,(IF(E2470="CO",2,(IF(E2470="IM",3,(IF(E2470="MI",4,(IF(E2470="RP",5,(IF(E2470="SC",6,0)))))))))))))))))))))))))))))))))))))))</f>
        <v>4</v>
      </c>
      <c r="G2470" s="52">
        <v>1</v>
      </c>
      <c r="H2470" s="90" t="s">
        <v>115</v>
      </c>
      <c r="I2470" s="94" t="s">
        <v>85</v>
      </c>
      <c r="J2470" s="135" t="s">
        <v>810</v>
      </c>
      <c r="K2470" s="143" t="s">
        <v>4954</v>
      </c>
      <c r="L2470" s="117">
        <f>IF(O2470="","",N2470*O2470*M2470)</f>
        <v>0</v>
      </c>
      <c r="M2470" s="108">
        <v>0.9</v>
      </c>
      <c r="N2470" s="95">
        <v>1</v>
      </c>
      <c r="O2470" s="109">
        <f>IF(Key!D$1="ON",P2470,IF(SUM(Q2470:DL2470)&lt;1,"",SUM(Q2470:DL2470)/COUNTIF(Q2470:DL2470,"&gt;0")))</f>
        <v>0</v>
      </c>
      <c r="P2470" s="109">
        <f>SUMIFS(Q2470:DK2470,Q$1:DK$1,Dashboard!$K$31)</f>
        <v>0</v>
      </c>
      <c r="S2470" s="95">
        <v>75</v>
      </c>
      <c r="T2470" s="95">
        <v>80</v>
      </c>
      <c r="U2470" s="95">
        <v>33</v>
      </c>
      <c r="AA2470" s="95">
        <v>25</v>
      </c>
      <c r="AH2470" s="95">
        <v>75</v>
      </c>
    </row>
    <row r="2471" spans="1:34" x14ac:dyDescent="0.3">
      <c r="A2471" s="89" t="str">
        <f>CONCATENATE(D2471,".",F2471,"-",G2471,".",H2471,"")</f>
        <v>2.4-1.1</v>
      </c>
      <c r="B2471" s="89" t="str">
        <f>IF(CONCATENATE(I2471,Key!F$2)=CONCATENATE(INDEX(Dashboard!J:J,MATCH(I2471,Dashboard!J:J,0),1),INDEX(Dashboard!J:K,MATCH(I2471,Dashboard!J:J,0),2)),"ON",IF(Dashboard!K$32="ALL","ON","-"))</f>
        <v>-</v>
      </c>
      <c r="C2471" s="96" t="s">
        <v>152</v>
      </c>
      <c r="D2471" s="89">
        <f>IF(C2471="ID",1,(IF(C2471="PR",2,(IF(C2471="DE",3,(IF(C2471="RS",4,(IF(C2471="RC",5,0)))))))))</f>
        <v>2</v>
      </c>
      <c r="E2471" s="89" t="s">
        <v>228</v>
      </c>
      <c r="F2471" s="89">
        <f>IF(E2471="AM",1,(IF(E2471="BE",2,(IF(E2471="GV",3,(IF(E2471="RA",4,(IF(E2471="RM",5,(IF(E2471="AC",1,(IF(E2471="AT",2,(IF(E2471="DS",3,(IF(E2471="IP",4,(IF(E2471="MA",5,(IF(E2471="PT",6,(IF(E2471="AE",1,(IF(E2471="CM",2,(IF(E2471="DP",3,(IF(E2471="AN",1,(IF(E2471="CO",2,(IF(E2471="IM",3,(IF(E2471="MI",4,(IF(E2471="RP",5,(IF(E2471="SC",6,0)))))))))))))))))))))))))))))))))))))))</f>
        <v>4</v>
      </c>
      <c r="G2471" s="52">
        <v>1</v>
      </c>
      <c r="H2471" s="90" t="s">
        <v>115</v>
      </c>
      <c r="I2471" s="94" t="s">
        <v>85</v>
      </c>
      <c r="J2471" s="135" t="s">
        <v>811</v>
      </c>
      <c r="K2471" s="143" t="s">
        <v>4927</v>
      </c>
      <c r="L2471" s="117">
        <f>IF(O2471="","",N2471*O2471*M2471)</f>
        <v>0</v>
      </c>
      <c r="M2471" s="108">
        <v>1</v>
      </c>
      <c r="N2471" s="95">
        <v>1</v>
      </c>
      <c r="O2471" s="109">
        <f>IF(Key!D$1="ON",P2471,IF(SUM(Q2471:DL2471)&lt;1,"",SUM(Q2471:DL2471)/COUNTIF(Q2471:DL2471,"&gt;0")))</f>
        <v>0</v>
      </c>
      <c r="P2471" s="109">
        <f>SUMIFS(Q2471:DK2471,Q$1:DK$1,Dashboard!$K$31)</f>
        <v>0</v>
      </c>
      <c r="U2471" s="95">
        <v>33</v>
      </c>
      <c r="AA2471" s="95">
        <v>25</v>
      </c>
      <c r="AH2471" s="95">
        <v>75</v>
      </c>
    </row>
    <row r="2472" spans="1:34" x14ac:dyDescent="0.3">
      <c r="A2472" s="89" t="str">
        <f>CONCATENATE(D2472,".",F2472,"-",G2472,".",H2472,"")</f>
        <v>2.4-1.1</v>
      </c>
      <c r="B2472" s="89" t="str">
        <f>IF(CONCATENATE(I2472,Key!F$2)=CONCATENATE(INDEX(Dashboard!J:J,MATCH(I2472,Dashboard!J:J,0),1),INDEX(Dashboard!J:K,MATCH(I2472,Dashboard!J:J,0),2)),"ON",IF(Dashboard!K$32="ALL","ON","-"))</f>
        <v>-</v>
      </c>
      <c r="C2472" s="96" t="s">
        <v>152</v>
      </c>
      <c r="D2472" s="89">
        <f>IF(C2472="ID",1,(IF(C2472="PR",2,(IF(C2472="DE",3,(IF(C2472="RS",4,(IF(C2472="RC",5,0)))))))))</f>
        <v>2</v>
      </c>
      <c r="E2472" s="89" t="s">
        <v>228</v>
      </c>
      <c r="F2472" s="89">
        <f>IF(E2472="AM",1,(IF(E2472="BE",2,(IF(E2472="GV",3,(IF(E2472="RA",4,(IF(E2472="RM",5,(IF(E2472="AC",1,(IF(E2472="AT",2,(IF(E2472="DS",3,(IF(E2472="IP",4,(IF(E2472="MA",5,(IF(E2472="PT",6,(IF(E2472="AE",1,(IF(E2472="CM",2,(IF(E2472="DP",3,(IF(E2472="AN",1,(IF(E2472="CO",2,(IF(E2472="IM",3,(IF(E2472="MI",4,(IF(E2472="RP",5,(IF(E2472="SC",6,0)))))))))))))))))))))))))))))))))))))))</f>
        <v>4</v>
      </c>
      <c r="G2472" s="52">
        <v>1</v>
      </c>
      <c r="H2472" s="90" t="s">
        <v>115</v>
      </c>
      <c r="I2472" s="94" t="s">
        <v>85</v>
      </c>
      <c r="J2472" s="135" t="s">
        <v>814</v>
      </c>
      <c r="K2472" s="143" t="s">
        <v>4930</v>
      </c>
      <c r="L2472" s="117">
        <f>IF(O2472="","",N2472*O2472*M2472)</f>
        <v>0</v>
      </c>
      <c r="M2472" s="108">
        <v>1</v>
      </c>
      <c r="N2472" s="95">
        <v>1</v>
      </c>
      <c r="O2472" s="109">
        <f>IF(Key!D$1="ON",P2472,IF(SUM(Q2472:DL2472)&lt;1,"",SUM(Q2472:DL2472)/COUNTIF(Q2472:DL2472,"&gt;0")))</f>
        <v>0</v>
      </c>
      <c r="P2472" s="109">
        <f>SUMIFS(Q2472:DK2472,Q$1:DK$1,Dashboard!$K$31)</f>
        <v>0</v>
      </c>
      <c r="U2472" s="95">
        <v>33</v>
      </c>
      <c r="AA2472" s="95">
        <v>25</v>
      </c>
      <c r="AH2472" s="95">
        <v>75</v>
      </c>
    </row>
    <row r="2473" spans="1:34" x14ac:dyDescent="0.3">
      <c r="A2473" s="89" t="str">
        <f>CONCATENATE(D2473,".",F2473,"-",G2473,".",H2473,"")</f>
        <v>2.4-1.1</v>
      </c>
      <c r="B2473" s="89" t="str">
        <f>IF(CONCATENATE(I2473,Key!F$2)=CONCATENATE(INDEX(Dashboard!J:J,MATCH(I2473,Dashboard!J:J,0),1),INDEX(Dashboard!J:K,MATCH(I2473,Dashboard!J:J,0),2)),"ON",IF(Dashboard!K$32="ALL","ON","-"))</f>
        <v>-</v>
      </c>
      <c r="C2473" s="96" t="s">
        <v>152</v>
      </c>
      <c r="D2473" s="89">
        <f>IF(C2473="ID",1,(IF(C2473="PR",2,(IF(C2473="DE",3,(IF(C2473="RS",4,(IF(C2473="RC",5,0)))))))))</f>
        <v>2</v>
      </c>
      <c r="E2473" s="89" t="s">
        <v>228</v>
      </c>
      <c r="F2473" s="89">
        <f>IF(E2473="AM",1,(IF(E2473="BE",2,(IF(E2473="GV",3,(IF(E2473="RA",4,(IF(E2473="RM",5,(IF(E2473="AC",1,(IF(E2473="AT",2,(IF(E2473="DS",3,(IF(E2473="IP",4,(IF(E2473="MA",5,(IF(E2473="PT",6,(IF(E2473="AE",1,(IF(E2473="CM",2,(IF(E2473="DP",3,(IF(E2473="AN",1,(IF(E2473="CO",2,(IF(E2473="IM",3,(IF(E2473="MI",4,(IF(E2473="RP",5,(IF(E2473="SC",6,0)))))))))))))))))))))))))))))))))))))))</f>
        <v>4</v>
      </c>
      <c r="G2473" s="98">
        <v>1</v>
      </c>
      <c r="H2473" s="90" t="s">
        <v>115</v>
      </c>
      <c r="I2473" s="94" t="s">
        <v>92</v>
      </c>
      <c r="J2473" s="88">
        <v>2.2000000000000002</v>
      </c>
      <c r="K2473" s="102" t="s">
        <v>5226</v>
      </c>
      <c r="L2473" s="117">
        <f>IF(O2473="","",N2473*O2473*M2473)</f>
        <v>0</v>
      </c>
      <c r="M2473" s="108">
        <v>1</v>
      </c>
      <c r="N2473" s="95">
        <v>1</v>
      </c>
      <c r="O2473" s="109">
        <f>IF(Key!D$1="ON",P2473,IF(SUM(Q2473:DL2473)&lt;1,"",SUM(Q2473:DL2473)/COUNTIF(Q2473:DL2473,"&gt;0")))</f>
        <v>0</v>
      </c>
      <c r="P2473" s="109">
        <f>SUMIFS(Q2473:DK2473,Q$1:DK$1,Dashboard!$K$31)</f>
        <v>0</v>
      </c>
      <c r="U2473" s="95">
        <v>33</v>
      </c>
      <c r="AA2473" s="95">
        <v>25</v>
      </c>
      <c r="AH2473" s="95">
        <v>75</v>
      </c>
    </row>
    <row r="2474" spans="1:34" x14ac:dyDescent="0.3">
      <c r="A2474" s="89" t="str">
        <f>CONCATENATE(D2474,".",F2474,"-",G2474,".",H2474,"")</f>
        <v>2.4-1.1</v>
      </c>
      <c r="B2474" s="89" t="str">
        <f>IF(CONCATENATE(I2474,Key!F$2)=CONCATENATE(INDEX(Dashboard!J:J,MATCH(I2474,Dashboard!J:J,0),1),INDEX(Dashboard!J:K,MATCH(I2474,Dashboard!J:J,0),2)),"ON",IF(Dashboard!K$32="ALL","ON","-"))</f>
        <v>-</v>
      </c>
      <c r="C2474" s="96" t="s">
        <v>152</v>
      </c>
      <c r="D2474" s="89">
        <f>IF(C2474="ID",1,(IF(C2474="PR",2,(IF(C2474="DE",3,(IF(C2474="RS",4,(IF(C2474="RC",5,0)))))))))</f>
        <v>2</v>
      </c>
      <c r="E2474" s="89" t="s">
        <v>228</v>
      </c>
      <c r="F2474" s="89">
        <f>IF(E2474="AM",1,(IF(E2474="BE",2,(IF(E2474="GV",3,(IF(E2474="RA",4,(IF(E2474="RM",5,(IF(E2474="AC",1,(IF(E2474="AT",2,(IF(E2474="DS",3,(IF(E2474="IP",4,(IF(E2474="MA",5,(IF(E2474="PT",6,(IF(E2474="AE",1,(IF(E2474="CM",2,(IF(E2474="DP",3,(IF(E2474="AN",1,(IF(E2474="CO",2,(IF(E2474="IM",3,(IF(E2474="MI",4,(IF(E2474="RP",5,(IF(E2474="SC",6,0)))))))))))))))))))))))))))))))))))))))</f>
        <v>4</v>
      </c>
      <c r="G2474" s="98">
        <v>1</v>
      </c>
      <c r="H2474" s="90" t="s">
        <v>115</v>
      </c>
      <c r="I2474" s="94" t="s">
        <v>92</v>
      </c>
      <c r="J2474" s="88" t="s">
        <v>177</v>
      </c>
      <c r="K2474" s="102" t="s">
        <v>5226</v>
      </c>
      <c r="L2474" s="117">
        <f>IF(O2474="","",N2474*O2474*M2474)</f>
        <v>0</v>
      </c>
      <c r="M2474" s="108">
        <v>1</v>
      </c>
      <c r="N2474" s="95">
        <v>1</v>
      </c>
      <c r="O2474" s="109">
        <f>IF(Key!D$1="ON",P2474,IF(SUM(Q2474:DL2474)&lt;1,"",SUM(Q2474:DL2474)/COUNTIF(Q2474:DL2474,"&gt;0")))</f>
        <v>0</v>
      </c>
      <c r="P2474" s="109">
        <f>SUMIFS(Q2474:DK2474,Q$1:DK$1,Dashboard!$K$31)</f>
        <v>0</v>
      </c>
      <c r="U2474" s="95">
        <v>33</v>
      </c>
      <c r="AA2474" s="95">
        <v>25</v>
      </c>
      <c r="AH2474" s="95">
        <v>75</v>
      </c>
    </row>
    <row r="2475" spans="1:34" x14ac:dyDescent="0.3">
      <c r="A2475" s="89" t="str">
        <f>CONCATENATE(D2475,".",F2475,"-",G2475,".",H2475,"")</f>
        <v>2.4-1.1</v>
      </c>
      <c r="B2475" s="89" t="str">
        <f>IF(CONCATENATE(I2475,Key!F$2)=CONCATENATE(INDEX(Dashboard!J:J,MATCH(I2475,Dashboard!J:J,0),1),INDEX(Dashboard!J:K,MATCH(I2475,Dashboard!J:J,0),2)),"ON",IF(Dashboard!K$32="ALL","ON","-"))</f>
        <v>-</v>
      </c>
      <c r="C2475" s="96" t="s">
        <v>152</v>
      </c>
      <c r="D2475" s="89">
        <f>IF(C2475="ID",1,(IF(C2475="PR",2,(IF(C2475="DE",3,(IF(C2475="RS",4,(IF(C2475="RC",5,0)))))))))</f>
        <v>2</v>
      </c>
      <c r="E2475" s="89" t="s">
        <v>228</v>
      </c>
      <c r="F2475" s="89">
        <f>IF(E2475="AM",1,(IF(E2475="BE",2,(IF(E2475="GV",3,(IF(E2475="RA",4,(IF(E2475="RM",5,(IF(E2475="AC",1,(IF(E2475="AT",2,(IF(E2475="DS",3,(IF(E2475="IP",4,(IF(E2475="MA",5,(IF(E2475="PT",6,(IF(E2475="AE",1,(IF(E2475="CM",2,(IF(E2475="DP",3,(IF(E2475="AN",1,(IF(E2475="CO",2,(IF(E2475="IM",3,(IF(E2475="MI",4,(IF(E2475="RP",5,(IF(E2475="SC",6,0)))))))))))))))))))))))))))))))))))))))</f>
        <v>4</v>
      </c>
      <c r="G2475" s="98">
        <v>1</v>
      </c>
      <c r="H2475" s="90" t="s">
        <v>115</v>
      </c>
      <c r="I2475" s="94" t="s">
        <v>92</v>
      </c>
      <c r="J2475" s="87" t="s">
        <v>229</v>
      </c>
      <c r="K2475" s="102" t="s">
        <v>5226</v>
      </c>
      <c r="L2475" s="117">
        <f>IF(O2475="","",N2475*O2475*M2475)</f>
        <v>0</v>
      </c>
      <c r="M2475" s="108">
        <v>1</v>
      </c>
      <c r="N2475" s="95">
        <v>1</v>
      </c>
      <c r="O2475" s="109">
        <f>IF(Key!D$1="ON",P2475,IF(SUM(Q2475:DL2475)&lt;1,"",SUM(Q2475:DL2475)/COUNTIF(Q2475:DL2475,"&gt;0")))</f>
        <v>0</v>
      </c>
      <c r="P2475" s="109">
        <f>SUMIFS(Q2475:DK2475,Q$1:DK$1,Dashboard!$K$31)</f>
        <v>0</v>
      </c>
      <c r="U2475" s="95">
        <v>33</v>
      </c>
      <c r="AA2475" s="95">
        <v>25</v>
      </c>
      <c r="AH2475" s="95">
        <v>75</v>
      </c>
    </row>
    <row r="2476" spans="1:34" x14ac:dyDescent="0.3">
      <c r="A2476" s="89" t="str">
        <f>CONCATENATE(D2476,".",F2476,"-",G2476,".",H2476,"")</f>
        <v>2.4-1.1</v>
      </c>
      <c r="B2476" s="89" t="str">
        <f>IF(CONCATENATE(I2476,Key!F$2)=CONCATENATE(INDEX(Dashboard!J:J,MATCH(I2476,Dashboard!J:J,0),1),INDEX(Dashboard!J:K,MATCH(I2476,Dashboard!J:J,0),2)),"ON",IF(Dashboard!K$32="ALL","ON","-"))</f>
        <v>-</v>
      </c>
      <c r="C2476" s="96" t="s">
        <v>152</v>
      </c>
      <c r="D2476" s="89">
        <f>IF(C2476="ID",1,(IF(C2476="PR",2,(IF(C2476="DE",3,(IF(C2476="RS",4,(IF(C2476="RC",5,0)))))))))</f>
        <v>2</v>
      </c>
      <c r="E2476" s="89" t="s">
        <v>228</v>
      </c>
      <c r="F2476" s="89">
        <f>IF(E2476="AM",1,(IF(E2476="BE",2,(IF(E2476="GV",3,(IF(E2476="RA",4,(IF(E2476="RM",5,(IF(E2476="AC",1,(IF(E2476="AT",2,(IF(E2476="DS",3,(IF(E2476="IP",4,(IF(E2476="MA",5,(IF(E2476="PT",6,(IF(E2476="AE",1,(IF(E2476="CM",2,(IF(E2476="DP",3,(IF(E2476="AN",1,(IF(E2476="CO",2,(IF(E2476="IM",3,(IF(E2476="MI",4,(IF(E2476="RP",5,(IF(E2476="SC",6,0)))))))))))))))))))))))))))))))))))))))</f>
        <v>4</v>
      </c>
      <c r="G2476" s="98">
        <v>1</v>
      </c>
      <c r="H2476" s="90" t="s">
        <v>115</v>
      </c>
      <c r="I2476" s="94" t="s">
        <v>92</v>
      </c>
      <c r="J2476" s="87" t="s">
        <v>230</v>
      </c>
      <c r="K2476" s="102" t="s">
        <v>5226</v>
      </c>
      <c r="L2476" s="117">
        <f>IF(O2476="","",N2476*O2476*M2476)</f>
        <v>0</v>
      </c>
      <c r="M2476" s="108">
        <v>1</v>
      </c>
      <c r="N2476" s="95">
        <v>1</v>
      </c>
      <c r="O2476" s="109">
        <f>IF(Key!D$1="ON",P2476,IF(SUM(Q2476:DL2476)&lt;1,"",SUM(Q2476:DL2476)/COUNTIF(Q2476:DL2476,"&gt;0")))</f>
        <v>0</v>
      </c>
      <c r="P2476" s="109">
        <f>SUMIFS(Q2476:DK2476,Q$1:DK$1,Dashboard!$K$31)</f>
        <v>0</v>
      </c>
      <c r="U2476" s="95">
        <v>33</v>
      </c>
      <c r="AA2476" s="95">
        <v>25</v>
      </c>
      <c r="AH2476" s="95">
        <v>75</v>
      </c>
    </row>
    <row r="2477" spans="1:34" ht="15.6" x14ac:dyDescent="0.3">
      <c r="A2477" s="89" t="str">
        <f>CONCATENATE(D2477,".",F2477,"-",G2477,".",H2477,"")</f>
        <v>2.4-1.1</v>
      </c>
      <c r="B2477" s="89" t="str">
        <f>IF(CONCATENATE(I2477,Key!F$2)=CONCATENATE(INDEX(Dashboard!J:J,MATCH(I2477,Dashboard!J:J,0),1),INDEX(Dashboard!J:K,MATCH(I2477,Dashboard!J:J,0),2)),"ON",IF(Dashboard!K$32="ALL","ON","-"))</f>
        <v>-</v>
      </c>
      <c r="C2477" s="88" t="s">
        <v>152</v>
      </c>
      <c r="D2477" s="89">
        <f>IF(C2477="ID",1,(IF(C2477="PR",2,(IF(C2477="DE",3,(IF(C2477="RS",4,(IF(C2477="RC",5,0)))))))))</f>
        <v>2</v>
      </c>
      <c r="E2477" s="89" t="s">
        <v>228</v>
      </c>
      <c r="F2477" s="89">
        <f>IF(E2477="AM",1,(IF(E2477="BE",2,(IF(E2477="GV",3,(IF(E2477="RA",4,(IF(E2477="RM",5,(IF(E2477="AC",1,(IF(E2477="AT",2,(IF(E2477="DS",3,(IF(E2477="IP",4,(IF(E2477="MA",5,(IF(E2477="PT",6,(IF(E2477="AE",1,(IF(E2477="CM",2,(IF(E2477="DP",3,(IF(E2477="AN",1,(IF(E2477="CO",2,(IF(E2477="IM",3,(IF(E2477="MI",4,(IF(E2477="RP",5,(IF(E2477="SC",6,0)))))))))))))))))))))))))))))))))))))))</f>
        <v>4</v>
      </c>
      <c r="G2477" s="52">
        <v>1</v>
      </c>
      <c r="H2477" s="90" t="s">
        <v>115</v>
      </c>
      <c r="I2477" s="94" t="s">
        <v>92</v>
      </c>
      <c r="J2477" s="88" t="s">
        <v>230</v>
      </c>
      <c r="K2477" s="102" t="s">
        <v>5226</v>
      </c>
      <c r="L2477" s="117">
        <f>IF(O2477="","",N2477*O2477*M2477)</f>
        <v>0</v>
      </c>
      <c r="M2477" s="108">
        <v>1</v>
      </c>
      <c r="N2477" s="95">
        <v>1</v>
      </c>
      <c r="O2477" s="109">
        <f>IF(Key!D$1="ON",P2477,IF(SUM(Q2477:DL2477)&lt;1,"",SUM(Q2477:DL2477)/COUNTIF(Q2477:DL2477,"&gt;0")))</f>
        <v>0</v>
      </c>
      <c r="P2477" s="109">
        <f>SUMIFS(Q2477:DK2477,Q$1:DK$1,Dashboard!$K$31)</f>
        <v>0</v>
      </c>
      <c r="U2477" s="95">
        <v>33</v>
      </c>
      <c r="AA2477" s="95">
        <v>25</v>
      </c>
      <c r="AH2477" s="95">
        <v>75</v>
      </c>
    </row>
    <row r="2478" spans="1:34" ht="15.6" x14ac:dyDescent="0.3">
      <c r="A2478" s="89" t="str">
        <f>CONCATENATE(D2478,".",F2478,"-",G2478,".",H2478,"")</f>
        <v>2.4-1.1</v>
      </c>
      <c r="B2478" s="89" t="str">
        <f>IF(CONCATENATE(I2478,Key!F$2)=CONCATENATE(INDEX(Dashboard!J:J,MATCH(I2478,Dashboard!J:J,0),1),INDEX(Dashboard!J:K,MATCH(I2478,Dashboard!J:J,0),2)),"ON",IF(Dashboard!K$32="ALL","ON","-"))</f>
        <v>-</v>
      </c>
      <c r="C2478" s="88" t="s">
        <v>152</v>
      </c>
      <c r="D2478" s="89">
        <f>IF(C2478="ID",1,(IF(C2478="PR",2,(IF(C2478="DE",3,(IF(C2478="RS",4,(IF(C2478="RC",5,0)))))))))</f>
        <v>2</v>
      </c>
      <c r="E2478" s="89" t="s">
        <v>228</v>
      </c>
      <c r="F2478" s="89">
        <f>IF(E2478="AM",1,(IF(E2478="BE",2,(IF(E2478="GV",3,(IF(E2478="RA",4,(IF(E2478="RM",5,(IF(E2478="AC",1,(IF(E2478="AT",2,(IF(E2478="DS",3,(IF(E2478="IP",4,(IF(E2478="MA",5,(IF(E2478="PT",6,(IF(E2478="AE",1,(IF(E2478="CM",2,(IF(E2478="DP",3,(IF(E2478="AN",1,(IF(E2478="CO",2,(IF(E2478="IM",3,(IF(E2478="MI",4,(IF(E2478="RP",5,(IF(E2478="SC",6,0)))))))))))))))))))))))))))))))))))))))</f>
        <v>4</v>
      </c>
      <c r="G2478" s="52">
        <v>1</v>
      </c>
      <c r="H2478" s="90" t="s">
        <v>115</v>
      </c>
      <c r="I2478" s="94" t="s">
        <v>92</v>
      </c>
      <c r="J2478" s="88" t="s">
        <v>231</v>
      </c>
      <c r="K2478" s="102" t="s">
        <v>5226</v>
      </c>
      <c r="L2478" s="117">
        <f>IF(O2478="","",N2478*O2478*M2478)</f>
        <v>0</v>
      </c>
      <c r="M2478" s="108">
        <v>1</v>
      </c>
      <c r="N2478" s="95">
        <v>1</v>
      </c>
      <c r="O2478" s="109">
        <f>IF(Key!D$1="ON",P2478,IF(SUM(Q2478:DL2478)&lt;1,"",SUM(Q2478:DL2478)/COUNTIF(Q2478:DL2478,"&gt;0")))</f>
        <v>0</v>
      </c>
      <c r="P2478" s="109">
        <f>SUMIFS(Q2478:DK2478,Q$1:DK$1,Dashboard!$K$31)</f>
        <v>0</v>
      </c>
      <c r="U2478" s="95">
        <v>33</v>
      </c>
      <c r="AA2478" s="95">
        <v>25</v>
      </c>
      <c r="AH2478" s="95">
        <v>75</v>
      </c>
    </row>
    <row r="2479" spans="1:34" ht="15.6" x14ac:dyDescent="0.3">
      <c r="A2479" s="89" t="str">
        <f>CONCATENATE(D2479,".",F2479,"-",G2479,".",H2479,"")</f>
        <v>2.4-1.1</v>
      </c>
      <c r="B2479" s="89" t="str">
        <f>IF(CONCATENATE(I2479,Key!F$2)=CONCATENATE(INDEX(Dashboard!J:J,MATCH(I2479,Dashboard!J:J,0),1),INDEX(Dashboard!J:K,MATCH(I2479,Dashboard!J:J,0),2)),"ON",IF(Dashboard!K$32="ALL","ON","-"))</f>
        <v>-</v>
      </c>
      <c r="C2479" s="88" t="s">
        <v>152</v>
      </c>
      <c r="D2479" s="89">
        <f>IF(C2479="ID",1,(IF(C2479="PR",2,(IF(C2479="DE",3,(IF(C2479="RS",4,(IF(C2479="RC",5,0)))))))))</f>
        <v>2</v>
      </c>
      <c r="E2479" s="89" t="s">
        <v>228</v>
      </c>
      <c r="F2479" s="89">
        <f>IF(E2479="AM",1,(IF(E2479="BE",2,(IF(E2479="GV",3,(IF(E2479="RA",4,(IF(E2479="RM",5,(IF(E2479="AC",1,(IF(E2479="AT",2,(IF(E2479="DS",3,(IF(E2479="IP",4,(IF(E2479="MA",5,(IF(E2479="PT",6,(IF(E2479="AE",1,(IF(E2479="CM",2,(IF(E2479="DP",3,(IF(E2479="AN",1,(IF(E2479="CO",2,(IF(E2479="IM",3,(IF(E2479="MI",4,(IF(E2479="RP",5,(IF(E2479="SC",6,0)))))))))))))))))))))))))))))))))))))))</f>
        <v>4</v>
      </c>
      <c r="G2479" s="52">
        <v>1</v>
      </c>
      <c r="H2479" s="90" t="s">
        <v>115</v>
      </c>
      <c r="I2479" s="94" t="s">
        <v>92</v>
      </c>
      <c r="J2479" s="88" t="s">
        <v>157</v>
      </c>
      <c r="K2479" s="102" t="s">
        <v>5226</v>
      </c>
      <c r="L2479" s="117">
        <f>IF(O2479="","",N2479*O2479*M2479)</f>
        <v>0</v>
      </c>
      <c r="M2479" s="108">
        <v>1</v>
      </c>
      <c r="N2479" s="95">
        <v>1</v>
      </c>
      <c r="O2479" s="109">
        <f>IF(Key!D$1="ON",P2479,IF(SUM(Q2479:DL2479)&lt;1,"",SUM(Q2479:DL2479)/COUNTIF(Q2479:DL2479,"&gt;0")))</f>
        <v>0</v>
      </c>
      <c r="P2479" s="109">
        <f>SUMIFS(Q2479:DK2479,Q$1:DK$1,Dashboard!$K$31)</f>
        <v>0</v>
      </c>
      <c r="U2479" s="95">
        <v>33</v>
      </c>
      <c r="AA2479" s="95">
        <v>25</v>
      </c>
      <c r="AH2479" s="95">
        <v>75</v>
      </c>
    </row>
    <row r="2480" spans="1:34" ht="15.6" x14ac:dyDescent="0.3">
      <c r="A2480" s="89" t="str">
        <f>CONCATENATE(D2480,".",F2480,"-",G2480,".",H2480,"")</f>
        <v>2.4-1.5</v>
      </c>
      <c r="B2480" s="89" t="str">
        <f>IF(CONCATENATE(I2480,Key!F$2)=CONCATENATE(INDEX(Dashboard!J:J,MATCH(I2480,Dashboard!J:J,0),1),INDEX(Dashboard!J:K,MATCH(I2480,Dashboard!J:J,0),2)),"ON",IF(Dashboard!K$32="ALL","ON","-"))</f>
        <v>-</v>
      </c>
      <c r="C2480" s="88" t="s">
        <v>152</v>
      </c>
      <c r="D2480" s="89">
        <f>IF(C2480="ID",1,(IF(C2480="PR",2,(IF(C2480="DE",3,(IF(C2480="RS",4,(IF(C2480="RC",5,0)))))))))</f>
        <v>2</v>
      </c>
      <c r="E2480" s="89" t="s">
        <v>228</v>
      </c>
      <c r="F2480" s="89">
        <f>IF(E2480="AM",1,(IF(E2480="BE",2,(IF(E2480="GV",3,(IF(E2480="RA",4,(IF(E2480="RM",5,(IF(E2480="AC",1,(IF(E2480="AT",2,(IF(E2480="DS",3,(IF(E2480="IP",4,(IF(E2480="MA",5,(IF(E2480="PT",6,(IF(E2480="AE",1,(IF(E2480="CM",2,(IF(E2480="DP",3,(IF(E2480="AN",1,(IF(E2480="CO",2,(IF(E2480="IM",3,(IF(E2480="MI",4,(IF(E2480="RP",5,(IF(E2480="SC",6,0)))))))))))))))))))))))))))))))))))))))</f>
        <v>4</v>
      </c>
      <c r="G2480" s="52">
        <v>1</v>
      </c>
      <c r="H2480" s="90" t="s">
        <v>123</v>
      </c>
      <c r="I2480" s="94" t="s">
        <v>77</v>
      </c>
      <c r="J2480" s="87" t="s">
        <v>1530</v>
      </c>
      <c r="K2480" s="102" t="s">
        <v>2497</v>
      </c>
      <c r="L2480" s="117">
        <f>IF(O2480="","",N2480*O2480*M2480)</f>
        <v>0</v>
      </c>
      <c r="M2480" s="108">
        <v>1</v>
      </c>
      <c r="N2480" s="95">
        <v>1</v>
      </c>
      <c r="O2480" s="109">
        <f>IF(Key!D$1="ON",P2480,IF(SUM(Q2480:DL2480)&lt;1,"",SUM(Q2480:DL2480)/COUNTIF(Q2480:DL2480,"&gt;0")))</f>
        <v>0</v>
      </c>
      <c r="P2480" s="109">
        <f>SUMIFS(Q2480:DK2480,Q$1:DK$1,Dashboard!$K$31)</f>
        <v>0</v>
      </c>
      <c r="U2480" s="95">
        <v>33</v>
      </c>
      <c r="AA2480" s="95">
        <v>25</v>
      </c>
      <c r="AH2480" s="95">
        <v>75</v>
      </c>
    </row>
    <row r="2481" spans="1:34" ht="15.6" x14ac:dyDescent="0.3">
      <c r="A2481" s="89" t="str">
        <f>CONCATENATE(D2481,".",F2481,"-",G2481,".",H2481,"")</f>
        <v>2.4-1.5</v>
      </c>
      <c r="B2481" s="89" t="str">
        <f>IF(CONCATENATE(I2481,Key!F$2)=CONCATENATE(INDEX(Dashboard!J:J,MATCH(I2481,Dashboard!J:J,0),1),INDEX(Dashboard!J:K,MATCH(I2481,Dashboard!J:J,0),2)),"ON",IF(Dashboard!K$32="ALL","ON","-"))</f>
        <v>-</v>
      </c>
      <c r="C2481" s="88" t="s">
        <v>152</v>
      </c>
      <c r="D2481" s="89">
        <f>IF(C2481="ID",1,(IF(C2481="PR",2,(IF(C2481="DE",3,(IF(C2481="RS",4,(IF(C2481="RC",5,0)))))))))</f>
        <v>2</v>
      </c>
      <c r="E2481" s="89" t="s">
        <v>228</v>
      </c>
      <c r="F2481" s="89">
        <f>IF(E2481="AM",1,(IF(E2481="BE",2,(IF(E2481="GV",3,(IF(E2481="RA",4,(IF(E2481="RM",5,(IF(E2481="AC",1,(IF(E2481="AT",2,(IF(E2481="DS",3,(IF(E2481="IP",4,(IF(E2481="MA",5,(IF(E2481="PT",6,(IF(E2481="AE",1,(IF(E2481="CM",2,(IF(E2481="DP",3,(IF(E2481="AN",1,(IF(E2481="CO",2,(IF(E2481="IM",3,(IF(E2481="MI",4,(IF(E2481="RP",5,(IF(E2481="SC",6,0)))))))))))))))))))))))))))))))))))))))</f>
        <v>4</v>
      </c>
      <c r="G2481" s="52">
        <v>1</v>
      </c>
      <c r="H2481" s="90" t="s">
        <v>123</v>
      </c>
      <c r="I2481" s="94" t="s">
        <v>77</v>
      </c>
      <c r="J2481" s="87" t="s">
        <v>1531</v>
      </c>
      <c r="K2481" s="102" t="s">
        <v>2498</v>
      </c>
      <c r="L2481" s="117">
        <f>IF(O2481="","",N2481*O2481*M2481)</f>
        <v>0</v>
      </c>
      <c r="M2481" s="108">
        <v>1</v>
      </c>
      <c r="N2481" s="95">
        <v>1</v>
      </c>
      <c r="O2481" s="109">
        <f>IF(Key!D$1="ON",P2481,IF(SUM(Q2481:DL2481)&lt;1,"",SUM(Q2481:DL2481)/COUNTIF(Q2481:DL2481,"&gt;0")))</f>
        <v>0</v>
      </c>
      <c r="P2481" s="109">
        <f>SUMIFS(Q2481:DK2481,Q$1:DK$1,Dashboard!$K$31)</f>
        <v>0</v>
      </c>
      <c r="U2481" s="95">
        <v>33</v>
      </c>
      <c r="AA2481" s="95">
        <v>25</v>
      </c>
      <c r="AH2481" s="95">
        <v>75</v>
      </c>
    </row>
    <row r="2482" spans="1:34" ht="15.6" x14ac:dyDescent="0.3">
      <c r="A2482" s="89" t="str">
        <f>CONCATENATE(D2482,".",F2482,"-",G2482,".",H2482,"")</f>
        <v>2.4-10.0</v>
      </c>
      <c r="B2482" s="89" t="str">
        <f>IF(CONCATENATE(I2482,Key!F$2)=CONCATENATE(INDEX(Dashboard!J:J,MATCH(I2482,Dashboard!J:J,0),1),INDEX(Dashboard!J:K,MATCH(I2482,Dashboard!J:J,0),2)),"ON",IF(Dashboard!K$32="ALL","ON","-"))</f>
        <v>-</v>
      </c>
      <c r="C2482" s="88" t="s">
        <v>152</v>
      </c>
      <c r="D2482" s="89">
        <f>IF(C2482="ID",1,(IF(C2482="PR",2,(IF(C2482="DE",3,(IF(C2482="RS",4,(IF(C2482="RC",5,0)))))))))</f>
        <v>2</v>
      </c>
      <c r="E2482" s="89" t="s">
        <v>228</v>
      </c>
      <c r="F2482" s="89">
        <f>IF(E2482="AM",1,(IF(E2482="BE",2,(IF(E2482="GV",3,(IF(E2482="RA",4,(IF(E2482="RM",5,(IF(E2482="AC",1,(IF(E2482="AT",2,(IF(E2482="DS",3,(IF(E2482="IP",4,(IF(E2482="MA",5,(IF(E2482="PT",6,(IF(E2482="AE",1,(IF(E2482="CM",2,(IF(E2482="DP",3,(IF(E2482="AN",1,(IF(E2482="CO",2,(IF(E2482="IM",3,(IF(E2482="MI",4,(IF(E2482="RP",5,(IF(E2482="SC",6,0)))))))))))))))))))))))))))))))))))))))</f>
        <v>4</v>
      </c>
      <c r="G2482" s="52">
        <v>10</v>
      </c>
      <c r="H2482" s="90" t="s">
        <v>347</v>
      </c>
      <c r="I2482" s="94" t="s">
        <v>2835</v>
      </c>
      <c r="J2482" s="53" t="s">
        <v>2964</v>
      </c>
      <c r="K2482" s="150" t="s">
        <v>2965</v>
      </c>
      <c r="L2482" s="117">
        <f>IF(O2482="","",N2482*O2482*M2482)</f>
        <v>0</v>
      </c>
      <c r="M2482" s="108">
        <v>1</v>
      </c>
      <c r="N2482" s="95">
        <v>1</v>
      </c>
      <c r="O2482" s="109">
        <f>IF(Key!D$1="ON",P2482,IF(SUM(Q2482:DL2482)&lt;1,"",SUM(Q2482:DL2482)/COUNTIF(Q2482:DL2482,"&gt;0")))</f>
        <v>0</v>
      </c>
      <c r="P2482" s="109">
        <f>SUMIFS(Q2482:DK2482,Q$1:DK$1,Dashboard!$K$31)</f>
        <v>0</v>
      </c>
      <c r="U2482" s="95">
        <v>33</v>
      </c>
    </row>
    <row r="2483" spans="1:34" ht="15.6" x14ac:dyDescent="0.3">
      <c r="A2483" s="89" t="str">
        <f>CONCATENATE(D2483,".",F2483,"-",G2483,".",H2483,"")</f>
        <v>2.4-10.1</v>
      </c>
      <c r="B2483" s="89" t="str">
        <f>IF(CONCATENATE(I2483,Key!F$2)=CONCATENATE(INDEX(Dashboard!J:J,MATCH(I2483,Dashboard!J:J,0),1),INDEX(Dashboard!J:K,MATCH(I2483,Dashboard!J:J,0),2)),"ON",IF(Dashboard!K$32="ALL","ON","-"))</f>
        <v>-</v>
      </c>
      <c r="C2483" s="96" t="s">
        <v>152</v>
      </c>
      <c r="D2483" s="89">
        <f>IF(C2483="ID",1,(IF(C2483="PR",2,(IF(C2483="DE",3,(IF(C2483="RS",4,(IF(C2483="RC",5,0)))))))))</f>
        <v>2</v>
      </c>
      <c r="E2483" s="89" t="s">
        <v>228</v>
      </c>
      <c r="F2483" s="89">
        <f>IF(E2483="AM",1,(IF(E2483="BE",2,(IF(E2483="GV",3,(IF(E2483="RA",4,(IF(E2483="RM",5,(IF(E2483="AC",1,(IF(E2483="AT",2,(IF(E2483="DS",3,(IF(E2483="IP",4,(IF(E2483="MA",5,(IF(E2483="PT",6,(IF(E2483="AE",1,(IF(E2483="CM",2,(IF(E2483="DP",3,(IF(E2483="AN",1,(IF(E2483="CO",2,(IF(E2483="IM",3,(IF(E2483="MI",4,(IF(E2483="RP",5,(IF(E2483="SC",6,0)))))))))))))))))))))))))))))))))))))))</f>
        <v>4</v>
      </c>
      <c r="G2483" s="98">
        <v>10</v>
      </c>
      <c r="H2483" s="90" t="s">
        <v>115</v>
      </c>
      <c r="I2483" s="94" t="s">
        <v>52</v>
      </c>
      <c r="J2483" s="88" t="s">
        <v>3329</v>
      </c>
      <c r="K2483" s="103" t="s">
        <v>3330</v>
      </c>
      <c r="L2483" s="117">
        <f>IF(O2483="","",N2483*O2483*M2483)</f>
        <v>0</v>
      </c>
      <c r="M2483" s="108">
        <v>1</v>
      </c>
      <c r="N2483" s="95">
        <v>1</v>
      </c>
      <c r="O2483" s="109">
        <f>IF(Key!D$1="ON",P2483,IF(SUM(Q2483:DL2483)&lt;1,"",SUM(Q2483:DL2483)/COUNTIF(Q2483:DL2483,"&gt;0")))</f>
        <v>0</v>
      </c>
      <c r="P2483" s="109">
        <f>SUMIFS(Q2483:DK2483,Q$1:DK$1,Dashboard!$K$31)</f>
        <v>0</v>
      </c>
      <c r="U2483" s="95">
        <v>33</v>
      </c>
      <c r="AA2483" s="95">
        <v>25</v>
      </c>
      <c r="AH2483" s="95">
        <v>75</v>
      </c>
    </row>
    <row r="2484" spans="1:34" x14ac:dyDescent="0.3">
      <c r="A2484" s="89" t="str">
        <f>CONCATENATE(D2484,".",F2484,"-",G2484,".",H2484,"")</f>
        <v>2.4-10.1</v>
      </c>
      <c r="B2484" s="89" t="str">
        <f>IF(CONCATENATE(I2484,Key!F$2)=CONCATENATE(INDEX(Dashboard!J:J,MATCH(I2484,Dashboard!J:J,0),1),INDEX(Dashboard!J:K,MATCH(I2484,Dashboard!J:J,0),2)),"ON",IF(Dashboard!K$32="ALL","ON","-"))</f>
        <v>-</v>
      </c>
      <c r="C2484" s="88" t="s">
        <v>152</v>
      </c>
      <c r="D2484" s="89">
        <f>IF(C2484="ID",1,(IF(C2484="PR",2,(IF(C2484="DE",3,(IF(C2484="RS",4,(IF(C2484="RC",5,0)))))))))</f>
        <v>2</v>
      </c>
      <c r="E2484" s="89" t="s">
        <v>228</v>
      </c>
      <c r="F2484" s="89">
        <f>IF(E2484="AM",1,(IF(E2484="BE",2,(IF(E2484="GV",3,(IF(E2484="RA",4,(IF(E2484="RM",5,(IF(E2484="AC",1,(IF(E2484="AT",2,(IF(E2484="DS",3,(IF(E2484="IP",4,(IF(E2484="MA",5,(IF(E2484="PT",6,(IF(E2484="AE",1,(IF(E2484="CM",2,(IF(E2484="DP",3,(IF(E2484="AN",1,(IF(E2484="CO",2,(IF(E2484="IM",3,(IF(E2484="MI",4,(IF(E2484="RP",5,(IF(E2484="SC",6,0)))))))))))))))))))))))))))))))))))))))</f>
        <v>4</v>
      </c>
      <c r="G2484" s="52">
        <v>10</v>
      </c>
      <c r="H2484" s="90" t="s">
        <v>115</v>
      </c>
      <c r="I2484" s="94" t="s">
        <v>60</v>
      </c>
      <c r="J2484" s="87" t="s">
        <v>3234</v>
      </c>
      <c r="K2484" s="51" t="s">
        <v>5347</v>
      </c>
      <c r="L2484" s="117">
        <f>IF(O2484="","",N2484*O2484*M2484)</f>
        <v>0</v>
      </c>
      <c r="M2484" s="108">
        <v>1</v>
      </c>
      <c r="N2484" s="95">
        <v>1</v>
      </c>
      <c r="O2484" s="109">
        <f>IF(Key!D$1="ON",P2484,IF(SUM(Q2484:DL2484)&lt;1,"",SUM(Q2484:DL2484)/COUNTIF(Q2484:DL2484,"&gt;0")))</f>
        <v>0</v>
      </c>
      <c r="P2484" s="109">
        <f>SUMIFS(Q2484:DK2484,Q$1:DK$1,Dashboard!$K$31)</f>
        <v>0</v>
      </c>
      <c r="U2484" s="95">
        <v>33</v>
      </c>
      <c r="AA2484" s="95">
        <v>25</v>
      </c>
      <c r="AH2484" s="95">
        <v>75</v>
      </c>
    </row>
    <row r="2485" spans="1:34" x14ac:dyDescent="0.3">
      <c r="A2485" s="89" t="str">
        <f>CONCATENATE(D2485,".",F2485,"-",G2485,".",H2485,"")</f>
        <v>2.4-10.1</v>
      </c>
      <c r="B2485" s="89" t="str">
        <f>IF(CONCATENATE(I2485,Key!F$2)=CONCATENATE(INDEX(Dashboard!J:J,MATCH(I2485,Dashboard!J:J,0),1),INDEX(Dashboard!J:K,MATCH(I2485,Dashboard!J:J,0),2)),"ON",IF(Dashboard!K$32="ALL","ON","-"))</f>
        <v>-</v>
      </c>
      <c r="C2485" s="88" t="s">
        <v>152</v>
      </c>
      <c r="D2485" s="89">
        <f>IF(C2485="ID",1,(IF(C2485="PR",2,(IF(C2485="DE",3,(IF(C2485="RS",4,(IF(C2485="RC",5,0)))))))))</f>
        <v>2</v>
      </c>
      <c r="E2485" s="89" t="s">
        <v>228</v>
      </c>
      <c r="F2485" s="89">
        <f>IF(E2485="AM",1,(IF(E2485="BE",2,(IF(E2485="GV",3,(IF(E2485="RA",4,(IF(E2485="RM",5,(IF(E2485="AC",1,(IF(E2485="AT",2,(IF(E2485="DS",3,(IF(E2485="IP",4,(IF(E2485="MA",5,(IF(E2485="PT",6,(IF(E2485="AE",1,(IF(E2485="CM",2,(IF(E2485="DP",3,(IF(E2485="AN",1,(IF(E2485="CO",2,(IF(E2485="IM",3,(IF(E2485="MI",4,(IF(E2485="RP",5,(IF(E2485="SC",6,0)))))))))))))))))))))))))))))))))))))))</f>
        <v>4</v>
      </c>
      <c r="G2485" s="98">
        <v>10</v>
      </c>
      <c r="H2485" s="99">
        <v>1</v>
      </c>
      <c r="I2485" s="94" t="s">
        <v>73</v>
      </c>
      <c r="J2485" s="86" t="s">
        <v>297</v>
      </c>
      <c r="K2485" s="107" t="s">
        <v>4304</v>
      </c>
      <c r="L2485" s="117">
        <f>IF(O2485="","",N2485*O2485*M2485)</f>
        <v>0</v>
      </c>
      <c r="M2485" s="108">
        <v>1</v>
      </c>
      <c r="N2485" s="95">
        <v>1</v>
      </c>
      <c r="O2485" s="109">
        <f>IF(Key!D$1="ON",P2485,IF(SUM(Q2485:DL2485)&lt;1,"",SUM(Q2485:DL2485)/COUNTIF(Q2485:DL2485,"&gt;0")))</f>
        <v>0</v>
      </c>
      <c r="P2485" s="109">
        <f>SUMIFS(Q2485:DK2485,Q$1:DK$1,Dashboard!$K$31)</f>
        <v>0</v>
      </c>
      <c r="U2485" s="95">
        <v>33</v>
      </c>
      <c r="AA2485" s="95">
        <v>25</v>
      </c>
      <c r="AH2485" s="95">
        <v>75</v>
      </c>
    </row>
    <row r="2486" spans="1:34" x14ac:dyDescent="0.3">
      <c r="A2486" s="89" t="str">
        <f>CONCATENATE(D2486,".",F2486,"-",G2486,".",H2486,"")</f>
        <v>2.4-10.1</v>
      </c>
      <c r="B2486" s="89" t="str">
        <f>IF(CONCATENATE(I2486,Key!F$2)=CONCATENATE(INDEX(Dashboard!J:J,MATCH(I2486,Dashboard!J:J,0),1),INDEX(Dashboard!J:K,MATCH(I2486,Dashboard!J:J,0),2)),"ON",IF(Dashboard!K$32="ALL","ON","-"))</f>
        <v>-</v>
      </c>
      <c r="C2486" s="96" t="s">
        <v>152</v>
      </c>
      <c r="D2486" s="89">
        <f>IF(C2486="ID",1,(IF(C2486="PR",2,(IF(C2486="DE",3,(IF(C2486="RS",4,(IF(C2486="RC",5,0)))))))))</f>
        <v>2</v>
      </c>
      <c r="E2486" s="89" t="s">
        <v>228</v>
      </c>
      <c r="F2486" s="89">
        <f>IF(E2486="AM",1,(IF(E2486="BE",2,(IF(E2486="GV",3,(IF(E2486="RA",4,(IF(E2486="RM",5,(IF(E2486="AC",1,(IF(E2486="AT",2,(IF(E2486="DS",3,(IF(E2486="IP",4,(IF(E2486="MA",5,(IF(E2486="PT",6,(IF(E2486="AE",1,(IF(E2486="CM",2,(IF(E2486="DP",3,(IF(E2486="AN",1,(IF(E2486="CO",2,(IF(E2486="IM",3,(IF(E2486="MI",4,(IF(E2486="RP",5,(IF(E2486="SC",6,0)))))))))))))))))))))))))))))))))))))))</f>
        <v>4</v>
      </c>
      <c r="G2486" s="98">
        <v>10</v>
      </c>
      <c r="H2486" s="90" t="s">
        <v>115</v>
      </c>
      <c r="I2486" s="94" t="s">
        <v>77</v>
      </c>
      <c r="J2486" s="87" t="s">
        <v>1532</v>
      </c>
      <c r="K2486" s="102" t="s">
        <v>2499</v>
      </c>
      <c r="L2486" s="117">
        <f>IF(O2486="","",N2486*O2486*M2486)</f>
        <v>0</v>
      </c>
      <c r="M2486" s="108">
        <v>1</v>
      </c>
      <c r="N2486" s="95">
        <v>1</v>
      </c>
      <c r="O2486" s="109">
        <f>IF(Key!D$1="ON",P2486,IF(SUM(Q2486:DL2486)&lt;1,"",SUM(Q2486:DL2486)/COUNTIF(Q2486:DL2486,"&gt;0")))</f>
        <v>0</v>
      </c>
      <c r="P2486" s="109">
        <f>SUMIFS(Q2486:DK2486,Q$1:DK$1,Dashboard!$K$31)</f>
        <v>0</v>
      </c>
      <c r="U2486" s="95">
        <v>33</v>
      </c>
      <c r="AA2486" s="95">
        <v>25</v>
      </c>
      <c r="AH2486" s="95">
        <v>75</v>
      </c>
    </row>
    <row r="2487" spans="1:34" x14ac:dyDescent="0.3">
      <c r="A2487" s="89" t="str">
        <f>CONCATENATE(D2487,".",F2487,"-",G2487,".",H2487,"")</f>
        <v>2.4-10.1</v>
      </c>
      <c r="B2487" s="89" t="str">
        <f>IF(CONCATENATE(I2487,Key!F$2)=CONCATENATE(INDEX(Dashboard!J:J,MATCH(I2487,Dashboard!J:J,0),1),INDEX(Dashboard!J:K,MATCH(I2487,Dashboard!J:J,0),2)),"ON",IF(Dashboard!K$32="ALL","ON","-"))</f>
        <v>-</v>
      </c>
      <c r="C2487" s="88" t="s">
        <v>152</v>
      </c>
      <c r="D2487" s="89">
        <f>IF(C2487="ID",1,(IF(C2487="PR",2,(IF(C2487="DE",3,(IF(C2487="RS",4,(IF(C2487="RC",5,0)))))))))</f>
        <v>2</v>
      </c>
      <c r="E2487" s="89" t="s">
        <v>228</v>
      </c>
      <c r="F2487" s="89">
        <f>IF(E2487="AM",1,(IF(E2487="BE",2,(IF(E2487="GV",3,(IF(E2487="RA",4,(IF(E2487="RM",5,(IF(E2487="AC",1,(IF(E2487="AT",2,(IF(E2487="DS",3,(IF(E2487="IP",4,(IF(E2487="MA",5,(IF(E2487="PT",6,(IF(E2487="AE",1,(IF(E2487="CM",2,(IF(E2487="DP",3,(IF(E2487="AN",1,(IF(E2487="CO",2,(IF(E2487="IM",3,(IF(E2487="MI",4,(IF(E2487="RP",5,(IF(E2487="SC",6,0)))))))))))))))))))))))))))))))))))))))</f>
        <v>4</v>
      </c>
      <c r="G2487" s="52">
        <v>10</v>
      </c>
      <c r="H2487" s="90" t="s">
        <v>115</v>
      </c>
      <c r="I2487" s="94" t="s">
        <v>77</v>
      </c>
      <c r="J2487" s="87" t="s">
        <v>1534</v>
      </c>
      <c r="K2487" s="102" t="s">
        <v>2500</v>
      </c>
      <c r="L2487" s="117">
        <f>IF(O2487="","",N2487*O2487*M2487)</f>
        <v>0</v>
      </c>
      <c r="M2487" s="108">
        <v>1</v>
      </c>
      <c r="N2487" s="95">
        <v>1</v>
      </c>
      <c r="O2487" s="109">
        <f>IF(Key!D$1="ON",P2487,IF(SUM(Q2487:DL2487)&lt;1,"",SUM(Q2487:DL2487)/COUNTIF(Q2487:DL2487,"&gt;0")))</f>
        <v>0</v>
      </c>
      <c r="P2487" s="109">
        <f>SUMIFS(Q2487:DK2487,Q$1:DK$1,Dashboard!$K$31)</f>
        <v>0</v>
      </c>
      <c r="U2487" s="95">
        <v>33</v>
      </c>
      <c r="AA2487" s="95">
        <v>25</v>
      </c>
      <c r="AH2487" s="95">
        <v>75</v>
      </c>
    </row>
    <row r="2488" spans="1:34" x14ac:dyDescent="0.3">
      <c r="A2488" s="89" t="str">
        <f>CONCATENATE(D2488,".",F2488,"-",G2488,".",H2488,"")</f>
        <v>2.4-10.1</v>
      </c>
      <c r="B2488" s="89" t="str">
        <f>IF(CONCATENATE(I2488,Key!F$2)=CONCATENATE(INDEX(Dashboard!J:J,MATCH(I2488,Dashboard!J:J,0),1),INDEX(Dashboard!J:K,MATCH(I2488,Dashboard!J:J,0),2)),"ON",IF(Dashboard!K$32="ALL","ON","-"))</f>
        <v>-</v>
      </c>
      <c r="C2488" s="88" t="s">
        <v>152</v>
      </c>
      <c r="D2488" s="89">
        <f>IF(C2488="ID",1,(IF(C2488="PR",2,(IF(C2488="DE",3,(IF(C2488="RS",4,(IF(C2488="RC",5,0)))))))))</f>
        <v>2</v>
      </c>
      <c r="E2488" s="89" t="s">
        <v>228</v>
      </c>
      <c r="F2488" s="89">
        <f>IF(E2488="AM",1,(IF(E2488="BE",2,(IF(E2488="GV",3,(IF(E2488="RA",4,(IF(E2488="RM",5,(IF(E2488="AC",1,(IF(E2488="AT",2,(IF(E2488="DS",3,(IF(E2488="IP",4,(IF(E2488="MA",5,(IF(E2488="PT",6,(IF(E2488="AE",1,(IF(E2488="CM",2,(IF(E2488="DP",3,(IF(E2488="AN",1,(IF(E2488="CO",2,(IF(E2488="IM",3,(IF(E2488="MI",4,(IF(E2488="RP",5,(IF(E2488="SC",6,0)))))))))))))))))))))))))))))))))))))))</f>
        <v>4</v>
      </c>
      <c r="G2488" s="52">
        <v>10</v>
      </c>
      <c r="H2488" s="90" t="s">
        <v>115</v>
      </c>
      <c r="I2488" s="94" t="s">
        <v>77</v>
      </c>
      <c r="J2488" s="87" t="s">
        <v>1535</v>
      </c>
      <c r="K2488" s="102" t="s">
        <v>2501</v>
      </c>
      <c r="L2488" s="117">
        <f>IF(O2488="","",N2488*O2488*M2488)</f>
        <v>0</v>
      </c>
      <c r="M2488" s="108">
        <v>1</v>
      </c>
      <c r="N2488" s="95">
        <v>1</v>
      </c>
      <c r="O2488" s="109">
        <f>IF(Key!D$1="ON",P2488,IF(SUM(Q2488:DL2488)&lt;1,"",SUM(Q2488:DL2488)/COUNTIF(Q2488:DL2488,"&gt;0")))</f>
        <v>0</v>
      </c>
      <c r="P2488" s="109">
        <f>SUMIFS(Q2488:DK2488,Q$1:DK$1,Dashboard!$K$31)</f>
        <v>0</v>
      </c>
      <c r="U2488" s="95">
        <v>33</v>
      </c>
      <c r="AA2488" s="95">
        <v>25</v>
      </c>
      <c r="AH2488" s="95">
        <v>75</v>
      </c>
    </row>
    <row r="2489" spans="1:34" ht="15.6" x14ac:dyDescent="0.3">
      <c r="A2489" s="89" t="str">
        <f>CONCATENATE(D2489,".",F2489,"-",G2489,".",H2489,"")</f>
        <v>2.4-10.1</v>
      </c>
      <c r="B2489" s="89" t="str">
        <f>IF(CONCATENATE(I2489,Key!F$2)=CONCATENATE(INDEX(Dashboard!J:J,MATCH(I2489,Dashboard!J:J,0),1),INDEX(Dashboard!J:K,MATCH(I2489,Dashboard!J:J,0),2)),"ON",IF(Dashboard!K$32="ALL","ON","-"))</f>
        <v>-</v>
      </c>
      <c r="C2489" s="88" t="s">
        <v>152</v>
      </c>
      <c r="D2489" s="89">
        <f>IF(C2489="ID",1,(IF(C2489="PR",2,(IF(C2489="DE",3,(IF(C2489="RS",4,(IF(C2489="RC",5,0)))))))))</f>
        <v>2</v>
      </c>
      <c r="E2489" s="89" t="s">
        <v>228</v>
      </c>
      <c r="F2489" s="89">
        <f>IF(E2489="AM",1,(IF(E2489="BE",2,(IF(E2489="GV",3,(IF(E2489="RA",4,(IF(E2489="RM",5,(IF(E2489="AC",1,(IF(E2489="AT",2,(IF(E2489="DS",3,(IF(E2489="IP",4,(IF(E2489="MA",5,(IF(E2489="PT",6,(IF(E2489="AE",1,(IF(E2489="CM",2,(IF(E2489="DP",3,(IF(E2489="AN",1,(IF(E2489="CO",2,(IF(E2489="IM",3,(IF(E2489="MI",4,(IF(E2489="RP",5,(IF(E2489="SC",6,0)))))))))))))))))))))))))))))))))))))))</f>
        <v>4</v>
      </c>
      <c r="G2489" s="52">
        <v>10</v>
      </c>
      <c r="H2489" s="90" t="s">
        <v>115</v>
      </c>
      <c r="I2489" s="94" t="s">
        <v>77</v>
      </c>
      <c r="J2489" s="87" t="s">
        <v>1536</v>
      </c>
      <c r="K2489" s="102" t="s">
        <v>2502</v>
      </c>
      <c r="L2489" s="117">
        <f>IF(O2489="","",N2489*O2489*M2489)</f>
        <v>0</v>
      </c>
      <c r="M2489" s="108">
        <v>1</v>
      </c>
      <c r="N2489" s="95">
        <v>1</v>
      </c>
      <c r="O2489" s="109">
        <f>IF(Key!D$1="ON",P2489,IF(SUM(Q2489:DL2489)&lt;1,"",SUM(Q2489:DL2489)/COUNTIF(Q2489:DL2489,"&gt;0")))</f>
        <v>0</v>
      </c>
      <c r="P2489" s="109">
        <f>SUMIFS(Q2489:DK2489,Q$1:DK$1,Dashboard!$K$31)</f>
        <v>0</v>
      </c>
      <c r="U2489" s="95">
        <v>33</v>
      </c>
      <c r="AA2489" s="95">
        <v>25</v>
      </c>
      <c r="AH2489" s="95">
        <v>75</v>
      </c>
    </row>
    <row r="2490" spans="1:34" ht="15.6" x14ac:dyDescent="0.3">
      <c r="A2490" s="89" t="str">
        <f>CONCATENATE(D2490,".",F2490,"-",G2490,".",H2490,"")</f>
        <v>2.4-10.1</v>
      </c>
      <c r="B2490" s="89" t="str">
        <f>IF(CONCATENATE(I2490,Key!F$2)=CONCATENATE(INDEX(Dashboard!J:J,MATCH(I2490,Dashboard!J:J,0),1),INDEX(Dashboard!J:K,MATCH(I2490,Dashboard!J:J,0),2)),"ON",IF(Dashboard!K$32="ALL","ON","-"))</f>
        <v>-</v>
      </c>
      <c r="C2490" s="88" t="s">
        <v>152</v>
      </c>
      <c r="D2490" s="89">
        <f>IF(C2490="ID",1,(IF(C2490="PR",2,(IF(C2490="DE",3,(IF(C2490="RS",4,(IF(C2490="RC",5,0)))))))))</f>
        <v>2</v>
      </c>
      <c r="E2490" s="89" t="s">
        <v>228</v>
      </c>
      <c r="F2490" s="89">
        <f>IF(E2490="AM",1,(IF(E2490="BE",2,(IF(E2490="GV",3,(IF(E2490="RA",4,(IF(E2490="RM",5,(IF(E2490="AC",1,(IF(E2490="AT",2,(IF(E2490="DS",3,(IF(E2490="IP",4,(IF(E2490="MA",5,(IF(E2490="PT",6,(IF(E2490="AE",1,(IF(E2490="CM",2,(IF(E2490="DP",3,(IF(E2490="AN",1,(IF(E2490="CO",2,(IF(E2490="IM",3,(IF(E2490="MI",4,(IF(E2490="RP",5,(IF(E2490="SC",6,0)))))))))))))))))))))))))))))))))))))))</f>
        <v>4</v>
      </c>
      <c r="G2490" s="52">
        <v>10</v>
      </c>
      <c r="H2490" s="90" t="s">
        <v>115</v>
      </c>
      <c r="I2490" s="94" t="s">
        <v>77</v>
      </c>
      <c r="J2490" s="87" t="s">
        <v>1537</v>
      </c>
      <c r="K2490" s="102" t="s">
        <v>2503</v>
      </c>
      <c r="L2490" s="117">
        <f>IF(O2490="","",N2490*O2490*M2490)</f>
        <v>0</v>
      </c>
      <c r="M2490" s="108">
        <v>1</v>
      </c>
      <c r="N2490" s="95">
        <v>1</v>
      </c>
      <c r="O2490" s="109">
        <f>IF(Key!D$1="ON",P2490,IF(SUM(Q2490:DL2490)&lt;1,"",SUM(Q2490:DL2490)/COUNTIF(Q2490:DL2490,"&gt;0")))</f>
        <v>0</v>
      </c>
      <c r="P2490" s="109">
        <f>SUMIFS(Q2490:DK2490,Q$1:DK$1,Dashboard!$K$31)</f>
        <v>0</v>
      </c>
      <c r="U2490" s="95">
        <v>33</v>
      </c>
      <c r="AA2490" s="95">
        <v>25</v>
      </c>
      <c r="AH2490" s="95">
        <v>75</v>
      </c>
    </row>
    <row r="2491" spans="1:34" x14ac:dyDescent="0.3">
      <c r="A2491" s="89" t="str">
        <f>CONCATENATE(D2491,".",F2491,"-",G2491,".",H2491,"")</f>
        <v>2.4-10.1</v>
      </c>
      <c r="B2491" s="89" t="str">
        <f>IF(CONCATENATE(I2491,Key!F$2)=CONCATENATE(INDEX(Dashboard!J:J,MATCH(I2491,Dashboard!J:J,0),1),INDEX(Dashboard!J:K,MATCH(I2491,Dashboard!J:J,0),2)),"ON",IF(Dashboard!K$32="ALL","ON","-"))</f>
        <v>-</v>
      </c>
      <c r="C2491" s="96" t="s">
        <v>152</v>
      </c>
      <c r="D2491" s="89">
        <f>IF(C2491="ID",1,(IF(C2491="PR",2,(IF(C2491="DE",3,(IF(C2491="RS",4,(IF(C2491="RC",5,0)))))))))</f>
        <v>2</v>
      </c>
      <c r="E2491" s="89" t="s">
        <v>228</v>
      </c>
      <c r="F2491" s="89">
        <f>IF(E2491="AM",1,(IF(E2491="BE",2,(IF(E2491="GV",3,(IF(E2491="RA",4,(IF(E2491="RM",5,(IF(E2491="AC",1,(IF(E2491="AT",2,(IF(E2491="DS",3,(IF(E2491="IP",4,(IF(E2491="MA",5,(IF(E2491="PT",6,(IF(E2491="AE",1,(IF(E2491="CM",2,(IF(E2491="DP",3,(IF(E2491="AN",1,(IF(E2491="CO",2,(IF(E2491="IM",3,(IF(E2491="MI",4,(IF(E2491="RP",5,(IF(E2491="SC",6,0)))))))))))))))))))))))))))))))))))))))</f>
        <v>4</v>
      </c>
      <c r="G2491" s="98">
        <v>10</v>
      </c>
      <c r="H2491" s="90" t="s">
        <v>115</v>
      </c>
      <c r="I2491" s="94" t="s">
        <v>77</v>
      </c>
      <c r="J2491" s="87" t="s">
        <v>1538</v>
      </c>
      <c r="K2491" s="102" t="s">
        <v>2504</v>
      </c>
      <c r="L2491" s="117">
        <f>IF(O2491="","",N2491*O2491*M2491)</f>
        <v>0</v>
      </c>
      <c r="M2491" s="108">
        <v>1</v>
      </c>
      <c r="N2491" s="95">
        <v>1</v>
      </c>
      <c r="O2491" s="109">
        <f>IF(Key!D$1="ON",P2491,IF(SUM(Q2491:DL2491)&lt;1,"",SUM(Q2491:DL2491)/COUNTIF(Q2491:DL2491,"&gt;0")))</f>
        <v>0</v>
      </c>
      <c r="P2491" s="109">
        <f>SUMIFS(Q2491:DK2491,Q$1:DK$1,Dashboard!$K$31)</f>
        <v>0</v>
      </c>
      <c r="U2491" s="95">
        <v>33</v>
      </c>
      <c r="AA2491" s="95">
        <v>25</v>
      </c>
      <c r="AH2491" s="95">
        <v>75</v>
      </c>
    </row>
    <row r="2492" spans="1:34" x14ac:dyDescent="0.3">
      <c r="A2492" s="89" t="str">
        <f>CONCATENATE(D2492,".",F2492,"-",G2492,".",H2492,"")</f>
        <v>2.4-10.1</v>
      </c>
      <c r="B2492" s="89" t="str">
        <f>IF(CONCATENATE(I2492,Key!F$2)=CONCATENATE(INDEX(Dashboard!J:J,MATCH(I2492,Dashboard!J:J,0),1),INDEX(Dashboard!J:K,MATCH(I2492,Dashboard!J:J,0),2)),"ON",IF(Dashboard!K$32="ALL","ON","-"))</f>
        <v>-</v>
      </c>
      <c r="C2492" s="88" t="s">
        <v>152</v>
      </c>
      <c r="D2492" s="89">
        <f>IF(C2492="ID",1,(IF(C2492="PR",2,(IF(C2492="DE",3,(IF(C2492="RS",4,(IF(C2492="RC",5,0)))))))))</f>
        <v>2</v>
      </c>
      <c r="E2492" s="89" t="s">
        <v>228</v>
      </c>
      <c r="F2492" s="89">
        <f>IF(E2492="AM",1,(IF(E2492="BE",2,(IF(E2492="GV",3,(IF(E2492="RA",4,(IF(E2492="RM",5,(IF(E2492="AC",1,(IF(E2492="AT",2,(IF(E2492="DS",3,(IF(E2492="IP",4,(IF(E2492="MA",5,(IF(E2492="PT",6,(IF(E2492="AE",1,(IF(E2492="CM",2,(IF(E2492="DP",3,(IF(E2492="AN",1,(IF(E2492="CO",2,(IF(E2492="IM",3,(IF(E2492="MI",4,(IF(E2492="RP",5,(IF(E2492="SC",6,0)))))))))))))))))))))))))))))))))))))))</f>
        <v>4</v>
      </c>
      <c r="G2492" s="52">
        <v>10</v>
      </c>
      <c r="H2492" s="90" t="s">
        <v>115</v>
      </c>
      <c r="I2492" s="94" t="s">
        <v>77</v>
      </c>
      <c r="J2492" s="87" t="s">
        <v>1540</v>
      </c>
      <c r="K2492" s="102" t="s">
        <v>2505</v>
      </c>
      <c r="L2492" s="117">
        <f>IF(O2492="","",N2492*O2492*M2492)</f>
        <v>0</v>
      </c>
      <c r="M2492" s="108">
        <v>1</v>
      </c>
      <c r="N2492" s="95">
        <v>1</v>
      </c>
      <c r="O2492" s="109">
        <f>IF(Key!D$1="ON",P2492,IF(SUM(Q2492:DL2492)&lt;1,"",SUM(Q2492:DL2492)/COUNTIF(Q2492:DL2492,"&gt;0")))</f>
        <v>0</v>
      </c>
      <c r="P2492" s="109">
        <f>SUMIFS(Q2492:DK2492,Q$1:DK$1,Dashboard!$K$31)</f>
        <v>0</v>
      </c>
      <c r="U2492" s="95">
        <v>33</v>
      </c>
      <c r="AA2492" s="95">
        <v>25</v>
      </c>
      <c r="AH2492" s="95">
        <v>75</v>
      </c>
    </row>
    <row r="2493" spans="1:34" x14ac:dyDescent="0.3">
      <c r="A2493" s="89" t="str">
        <f>CONCATENATE(D2493,".",F2493,"-",G2493,".",H2493,"")</f>
        <v>2.4-10.1</v>
      </c>
      <c r="B2493" s="89" t="str">
        <f>IF(CONCATENATE(I2493,Key!F$2)=CONCATENATE(INDEX(Dashboard!J:J,MATCH(I2493,Dashboard!J:J,0),1),INDEX(Dashboard!J:K,MATCH(I2493,Dashboard!J:J,0),2)),"ON",IF(Dashboard!K$32="ALL","ON","-"))</f>
        <v>-</v>
      </c>
      <c r="C2493" s="88" t="s">
        <v>152</v>
      </c>
      <c r="D2493" s="89">
        <f>IF(C2493="ID",1,(IF(C2493="PR",2,(IF(C2493="DE",3,(IF(C2493="RS",4,(IF(C2493="RC",5,0)))))))))</f>
        <v>2</v>
      </c>
      <c r="E2493" s="89" t="s">
        <v>228</v>
      </c>
      <c r="F2493" s="89">
        <f>IF(E2493="AM",1,(IF(E2493="BE",2,(IF(E2493="GV",3,(IF(E2493="RA",4,(IF(E2493="RM",5,(IF(E2493="AC",1,(IF(E2493="AT",2,(IF(E2493="DS",3,(IF(E2493="IP",4,(IF(E2493="MA",5,(IF(E2493="PT",6,(IF(E2493="AE",1,(IF(E2493="CM",2,(IF(E2493="DP",3,(IF(E2493="AN",1,(IF(E2493="CO",2,(IF(E2493="IM",3,(IF(E2493="MI",4,(IF(E2493="RP",5,(IF(E2493="SC",6,0)))))))))))))))))))))))))))))))))))))))</f>
        <v>4</v>
      </c>
      <c r="G2493" s="52">
        <v>10</v>
      </c>
      <c r="H2493" s="90" t="s">
        <v>115</v>
      </c>
      <c r="I2493" s="94" t="s">
        <v>77</v>
      </c>
      <c r="J2493" s="87" t="s">
        <v>1541</v>
      </c>
      <c r="K2493" s="102" t="s">
        <v>2506</v>
      </c>
      <c r="L2493" s="117">
        <f>IF(O2493="","",N2493*O2493*M2493)</f>
        <v>0</v>
      </c>
      <c r="M2493" s="108">
        <v>1</v>
      </c>
      <c r="N2493" s="95">
        <v>1</v>
      </c>
      <c r="O2493" s="109">
        <f>IF(Key!D$1="ON",P2493,IF(SUM(Q2493:DL2493)&lt;1,"",SUM(Q2493:DL2493)/COUNTIF(Q2493:DL2493,"&gt;0")))</f>
        <v>0</v>
      </c>
      <c r="P2493" s="109">
        <f>SUMIFS(Q2493:DK2493,Q$1:DK$1,Dashboard!$K$31)</f>
        <v>0</v>
      </c>
      <c r="U2493" s="95">
        <v>33</v>
      </c>
      <c r="AA2493" s="95">
        <v>25</v>
      </c>
      <c r="AH2493" s="95">
        <v>75</v>
      </c>
    </row>
    <row r="2494" spans="1:34" x14ac:dyDescent="0.3">
      <c r="A2494" s="89" t="str">
        <f>CONCATENATE(D2494,".",F2494,"-",G2494,".",H2494,"")</f>
        <v>2.4-10.1</v>
      </c>
      <c r="B2494" s="89" t="str">
        <f>IF(CONCATENATE(I2494,Key!F$2)=CONCATENATE(INDEX(Dashboard!J:J,MATCH(I2494,Dashboard!J:J,0),1),INDEX(Dashboard!J:K,MATCH(I2494,Dashboard!J:J,0),2)),"ON",IF(Dashboard!K$32="ALL","ON","-"))</f>
        <v>-</v>
      </c>
      <c r="C2494" s="96" t="s">
        <v>152</v>
      </c>
      <c r="D2494" s="89">
        <f>IF(C2494="ID",1,(IF(C2494="PR",2,(IF(C2494="DE",3,(IF(C2494="RS",4,(IF(C2494="RC",5,0)))))))))</f>
        <v>2</v>
      </c>
      <c r="E2494" s="89" t="s">
        <v>228</v>
      </c>
      <c r="F2494" s="89">
        <f>IF(E2494="AM",1,(IF(E2494="BE",2,(IF(E2494="GV",3,(IF(E2494="RA",4,(IF(E2494="RM",5,(IF(E2494="AC",1,(IF(E2494="AT",2,(IF(E2494="DS",3,(IF(E2494="IP",4,(IF(E2494="MA",5,(IF(E2494="PT",6,(IF(E2494="AE",1,(IF(E2494="CM",2,(IF(E2494="DP",3,(IF(E2494="AN",1,(IF(E2494="CO",2,(IF(E2494="IM",3,(IF(E2494="MI",4,(IF(E2494="RP",5,(IF(E2494="SC",6,0)))))))))))))))))))))))))))))))))))))))</f>
        <v>4</v>
      </c>
      <c r="G2494" s="98">
        <v>10</v>
      </c>
      <c r="H2494" s="90" t="s">
        <v>115</v>
      </c>
      <c r="I2494" s="95" t="s">
        <v>77</v>
      </c>
      <c r="J2494" s="87" t="s">
        <v>1542</v>
      </c>
      <c r="K2494" s="102" t="s">
        <v>2507</v>
      </c>
      <c r="L2494" s="117">
        <f>IF(O2494="","",N2494*O2494*M2494)</f>
        <v>0</v>
      </c>
      <c r="M2494" s="108">
        <v>0.9</v>
      </c>
      <c r="N2494" s="95">
        <v>1</v>
      </c>
      <c r="O2494" s="109">
        <f>IF(Key!D$1="ON",P2494,IF(SUM(Q2494:DL2494)&lt;1,"",SUM(Q2494:DL2494)/COUNTIF(Q2494:DL2494,"&gt;0")))</f>
        <v>0</v>
      </c>
      <c r="P2494" s="109">
        <f>SUMIFS(Q2494:DK2494,Q$1:DK$1,Dashboard!$K$31)</f>
        <v>0</v>
      </c>
      <c r="S2494" s="95">
        <v>99</v>
      </c>
      <c r="T2494" s="95">
        <v>80</v>
      </c>
      <c r="U2494" s="95">
        <v>33</v>
      </c>
      <c r="AA2494" s="95">
        <v>25</v>
      </c>
      <c r="AH2494" s="95">
        <v>75</v>
      </c>
    </row>
    <row r="2495" spans="1:34" x14ac:dyDescent="0.3">
      <c r="A2495" s="89" t="str">
        <f>CONCATENATE(D2495,".",F2495,"-",G2495,".",H2495,"")</f>
        <v>2.4-10.1</v>
      </c>
      <c r="B2495" s="89" t="str">
        <f>IF(CONCATENATE(I2495,Key!F$2)=CONCATENATE(INDEX(Dashboard!J:J,MATCH(I2495,Dashboard!J:J,0),1),INDEX(Dashboard!J:K,MATCH(I2495,Dashboard!J:J,0),2)),"ON",IF(Dashboard!K$32="ALL","ON","-"))</f>
        <v>-</v>
      </c>
      <c r="C2495" s="88" t="s">
        <v>152</v>
      </c>
      <c r="D2495" s="89">
        <f>IF(C2495="ID",1,(IF(C2495="PR",2,(IF(C2495="DE",3,(IF(C2495="RS",4,(IF(C2495="RC",5,0)))))))))</f>
        <v>2</v>
      </c>
      <c r="E2495" s="89" t="s">
        <v>228</v>
      </c>
      <c r="F2495" s="89">
        <f>IF(E2495="AM",1,(IF(E2495="BE",2,(IF(E2495="GV",3,(IF(E2495="RA",4,(IF(E2495="RM",5,(IF(E2495="AC",1,(IF(E2495="AT",2,(IF(E2495="DS",3,(IF(E2495="IP",4,(IF(E2495="MA",5,(IF(E2495="PT",6,(IF(E2495="AE",1,(IF(E2495="CM",2,(IF(E2495="DP",3,(IF(E2495="AN",1,(IF(E2495="CO",2,(IF(E2495="IM",3,(IF(E2495="MI",4,(IF(E2495="RP",5,(IF(E2495="SC",6,0)))))))))))))))))))))))))))))))))))))))</f>
        <v>4</v>
      </c>
      <c r="G2495" s="52">
        <v>10</v>
      </c>
      <c r="H2495" s="90" t="s">
        <v>115</v>
      </c>
      <c r="I2495" s="94" t="s">
        <v>85</v>
      </c>
      <c r="J2495" s="86" t="s">
        <v>659</v>
      </c>
      <c r="K2495" s="119" t="s">
        <v>4613</v>
      </c>
      <c r="L2495" s="117">
        <f>IF(O2495="","",N2495*O2495*M2495)</f>
        <v>0</v>
      </c>
      <c r="M2495" s="108">
        <v>1</v>
      </c>
      <c r="N2495" s="95">
        <v>1</v>
      </c>
      <c r="O2495" s="109">
        <f>IF(Key!D$1="ON",P2495,IF(SUM(Q2495:DL2495)&lt;1,"",SUM(Q2495:DL2495)/COUNTIF(Q2495:DL2495,"&gt;0")))</f>
        <v>0</v>
      </c>
      <c r="P2495" s="109">
        <f>SUMIFS(Q2495:DK2495,Q$1:DK$1,Dashboard!$K$31)</f>
        <v>0</v>
      </c>
      <c r="U2495" s="95">
        <v>33</v>
      </c>
      <c r="AA2495" s="95">
        <v>25</v>
      </c>
      <c r="AH2495" s="95">
        <v>75</v>
      </c>
    </row>
    <row r="2496" spans="1:34" x14ac:dyDescent="0.3">
      <c r="A2496" s="89" t="str">
        <f>CONCATENATE(D2496,".",F2496,"-",G2496,".",H2496,"")</f>
        <v>2.4-10.1</v>
      </c>
      <c r="B2496" s="89" t="str">
        <f>IF(CONCATENATE(I2496,Key!F$2)=CONCATENATE(INDEX(Dashboard!J:J,MATCH(I2496,Dashboard!J:J,0),1),INDEX(Dashboard!J:K,MATCH(I2496,Dashboard!J:J,0),2)),"ON",IF(Dashboard!K$32="ALL","ON","-"))</f>
        <v>-</v>
      </c>
      <c r="C2496" s="88" t="s">
        <v>152</v>
      </c>
      <c r="D2496" s="89">
        <f>IF(C2496="ID",1,(IF(C2496="PR",2,(IF(C2496="DE",3,(IF(C2496="RS",4,(IF(C2496="RC",5,0)))))))))</f>
        <v>2</v>
      </c>
      <c r="E2496" s="89" t="s">
        <v>228</v>
      </c>
      <c r="F2496" s="89">
        <f>IF(E2496="AM",1,(IF(E2496="BE",2,(IF(E2496="GV",3,(IF(E2496="RA",4,(IF(E2496="RM",5,(IF(E2496="AC",1,(IF(E2496="AT",2,(IF(E2496="DS",3,(IF(E2496="IP",4,(IF(E2496="MA",5,(IF(E2496="PT",6,(IF(E2496="AE",1,(IF(E2496="CM",2,(IF(E2496="DP",3,(IF(E2496="AN",1,(IF(E2496="CO",2,(IF(E2496="IM",3,(IF(E2496="MI",4,(IF(E2496="RP",5,(IF(E2496="SC",6,0)))))))))))))))))))))))))))))))))))))))</f>
        <v>4</v>
      </c>
      <c r="G2496" s="52">
        <v>10</v>
      </c>
      <c r="H2496" s="90" t="s">
        <v>115</v>
      </c>
      <c r="I2496" s="94" t="s">
        <v>85</v>
      </c>
      <c r="J2496" s="87" t="s">
        <v>1535</v>
      </c>
      <c r="K2496" s="119" t="s">
        <v>2829</v>
      </c>
      <c r="L2496" s="117">
        <f>IF(O2496="","",N2496*O2496*M2496)</f>
        <v>0</v>
      </c>
      <c r="M2496" s="108">
        <v>1</v>
      </c>
      <c r="N2496" s="95">
        <v>1</v>
      </c>
      <c r="O2496" s="109">
        <f>IF(Key!D$1="ON",P2496,IF(SUM(Q2496:DL2496)&lt;1,"",SUM(Q2496:DL2496)/COUNTIF(Q2496:DL2496,"&gt;0")))</f>
        <v>0</v>
      </c>
      <c r="P2496" s="109">
        <f>SUMIFS(Q2496:DK2496,Q$1:DK$1,Dashboard!$K$31)</f>
        <v>0</v>
      </c>
      <c r="U2496" s="95">
        <v>33</v>
      </c>
      <c r="AA2496" s="95">
        <v>25</v>
      </c>
      <c r="AH2496" s="95">
        <v>75</v>
      </c>
    </row>
    <row r="2497" spans="1:34" x14ac:dyDescent="0.3">
      <c r="A2497" s="89" t="str">
        <f>CONCATENATE(D2497,".",F2497,"-",G2497,".",H2497,"")</f>
        <v>2.4-10.1</v>
      </c>
      <c r="B2497" s="89" t="str">
        <f>IF(CONCATENATE(I2497,Key!F$2)=CONCATENATE(INDEX(Dashboard!J:J,MATCH(I2497,Dashboard!J:J,0),1),INDEX(Dashboard!J:K,MATCH(I2497,Dashboard!J:J,0),2)),"ON",IF(Dashboard!K$32="ALL","ON","-"))</f>
        <v>-</v>
      </c>
      <c r="C2497" s="88" t="s">
        <v>152</v>
      </c>
      <c r="D2497" s="89">
        <f>IF(C2497="ID",1,(IF(C2497="PR",2,(IF(C2497="DE",3,(IF(C2497="RS",4,(IF(C2497="RC",5,0)))))))))</f>
        <v>2</v>
      </c>
      <c r="E2497" s="89" t="s">
        <v>228</v>
      </c>
      <c r="F2497" s="89">
        <f>IF(E2497="AM",1,(IF(E2497="BE",2,(IF(E2497="GV",3,(IF(E2497="RA",4,(IF(E2497="RM",5,(IF(E2497="AC",1,(IF(E2497="AT",2,(IF(E2497="DS",3,(IF(E2497="IP",4,(IF(E2497="MA",5,(IF(E2497="PT",6,(IF(E2497="AE",1,(IF(E2497="CM",2,(IF(E2497="DP",3,(IF(E2497="AN",1,(IF(E2497="CO",2,(IF(E2497="IM",3,(IF(E2497="MI",4,(IF(E2497="RP",5,(IF(E2497="SC",6,0)))))))))))))))))))))))))))))))))))))))</f>
        <v>4</v>
      </c>
      <c r="G2497" s="52">
        <v>10</v>
      </c>
      <c r="H2497" s="90" t="s">
        <v>115</v>
      </c>
      <c r="I2497" s="94" t="s">
        <v>85</v>
      </c>
      <c r="J2497" s="87" t="s">
        <v>1536</v>
      </c>
      <c r="K2497" s="119" t="s">
        <v>4718</v>
      </c>
      <c r="L2497" s="117">
        <f>IF(O2497="","",N2497*O2497*M2497)</f>
        <v>0</v>
      </c>
      <c r="M2497" s="108">
        <v>1</v>
      </c>
      <c r="N2497" s="95">
        <v>1</v>
      </c>
      <c r="O2497" s="109">
        <f>IF(Key!D$1="ON",P2497,IF(SUM(Q2497:DL2497)&lt;1,"",SUM(Q2497:DL2497)/COUNTIF(Q2497:DL2497,"&gt;0")))</f>
        <v>0</v>
      </c>
      <c r="P2497" s="109">
        <f>SUMIFS(Q2497:DK2497,Q$1:DK$1,Dashboard!$K$31)</f>
        <v>0</v>
      </c>
      <c r="U2497" s="95">
        <v>33</v>
      </c>
      <c r="AA2497" s="95">
        <v>25</v>
      </c>
      <c r="AH2497" s="95">
        <v>75</v>
      </c>
    </row>
    <row r="2498" spans="1:34" x14ac:dyDescent="0.3">
      <c r="A2498" s="89" t="str">
        <f>CONCATENATE(D2498,".",F2498,"-",G2498,".",H2498,"")</f>
        <v>2.4-10.1</v>
      </c>
      <c r="B2498" s="89" t="str">
        <f>IF(CONCATENATE(I2498,Key!F$2)=CONCATENATE(INDEX(Dashboard!J:J,MATCH(I2498,Dashboard!J:J,0),1),INDEX(Dashboard!J:K,MATCH(I2498,Dashboard!J:J,0),2)),"ON",IF(Dashboard!K$32="ALL","ON","-"))</f>
        <v>-</v>
      </c>
      <c r="C2498" s="88" t="s">
        <v>152</v>
      </c>
      <c r="D2498" s="89">
        <f>IF(C2498="ID",1,(IF(C2498="PR",2,(IF(C2498="DE",3,(IF(C2498="RS",4,(IF(C2498="RC",5,0)))))))))</f>
        <v>2</v>
      </c>
      <c r="E2498" s="89" t="s">
        <v>228</v>
      </c>
      <c r="F2498" s="89">
        <f>IF(E2498="AM",1,(IF(E2498="BE",2,(IF(E2498="GV",3,(IF(E2498="RA",4,(IF(E2498="RM",5,(IF(E2498="AC",1,(IF(E2498="AT",2,(IF(E2498="DS",3,(IF(E2498="IP",4,(IF(E2498="MA",5,(IF(E2498="PT",6,(IF(E2498="AE",1,(IF(E2498="CM",2,(IF(E2498="DP",3,(IF(E2498="AN",1,(IF(E2498="CO",2,(IF(E2498="IM",3,(IF(E2498="MI",4,(IF(E2498="RP",5,(IF(E2498="SC",6,0)))))))))))))))))))))))))))))))))))))))</f>
        <v>4</v>
      </c>
      <c r="G2498" s="52">
        <v>10</v>
      </c>
      <c r="H2498" s="90" t="s">
        <v>115</v>
      </c>
      <c r="I2498" s="94" t="s">
        <v>85</v>
      </c>
      <c r="J2498" s="87" t="s">
        <v>1540</v>
      </c>
      <c r="K2498" s="119" t="s">
        <v>4718</v>
      </c>
      <c r="L2498" s="117">
        <f>IF(O2498="","",N2498*O2498*M2498)</f>
        <v>0</v>
      </c>
      <c r="M2498" s="108">
        <v>1</v>
      </c>
      <c r="N2498" s="95">
        <v>1</v>
      </c>
      <c r="O2498" s="109">
        <f>IF(Key!D$1="ON",P2498,IF(SUM(Q2498:DL2498)&lt;1,"",SUM(Q2498:DL2498)/COUNTIF(Q2498:DL2498,"&gt;0")))</f>
        <v>0</v>
      </c>
      <c r="P2498" s="109">
        <f>SUMIFS(Q2498:DK2498,Q$1:DK$1,Dashboard!$K$31)</f>
        <v>0</v>
      </c>
      <c r="U2498" s="95">
        <v>33</v>
      </c>
      <c r="AA2498" s="95">
        <v>25</v>
      </c>
      <c r="AH2498" s="95">
        <v>75</v>
      </c>
    </row>
    <row r="2499" spans="1:34" x14ac:dyDescent="0.3">
      <c r="A2499" s="89" t="str">
        <f>CONCATENATE(D2499,".",F2499,"-",G2499,".",H2499,"")</f>
        <v>2.4-10.1</v>
      </c>
      <c r="B2499" s="89" t="str">
        <f>IF(CONCATENATE(I2499,Key!F$2)=CONCATENATE(INDEX(Dashboard!J:J,MATCH(I2499,Dashboard!J:J,0),1),INDEX(Dashboard!J:K,MATCH(I2499,Dashboard!J:J,0),2)),"ON",IF(Dashboard!K$32="ALL","ON","-"))</f>
        <v>-</v>
      </c>
      <c r="C2499" s="96" t="s">
        <v>152</v>
      </c>
      <c r="D2499" s="89">
        <f>IF(C2499="ID",1,(IF(C2499="PR",2,(IF(C2499="DE",3,(IF(C2499="RS",4,(IF(C2499="RC",5,0)))))))))</f>
        <v>2</v>
      </c>
      <c r="E2499" s="89" t="s">
        <v>228</v>
      </c>
      <c r="F2499" s="89">
        <f>IF(E2499="AM",1,(IF(E2499="BE",2,(IF(E2499="GV",3,(IF(E2499="RA",4,(IF(E2499="RM",5,(IF(E2499="AC",1,(IF(E2499="AT",2,(IF(E2499="DS",3,(IF(E2499="IP",4,(IF(E2499="MA",5,(IF(E2499="PT",6,(IF(E2499="AE",1,(IF(E2499="CM",2,(IF(E2499="DP",3,(IF(E2499="AN",1,(IF(E2499="CO",2,(IF(E2499="IM",3,(IF(E2499="MI",4,(IF(E2499="RP",5,(IF(E2499="SC",6,0)))))))))))))))))))))))))))))))))))))))</f>
        <v>4</v>
      </c>
      <c r="G2499" s="98">
        <v>10</v>
      </c>
      <c r="H2499" s="90" t="s">
        <v>115</v>
      </c>
      <c r="I2499" s="94" t="s">
        <v>85</v>
      </c>
      <c r="J2499" s="87" t="s">
        <v>1532</v>
      </c>
      <c r="K2499" s="119" t="s">
        <v>1533</v>
      </c>
      <c r="L2499" s="117">
        <f>IF(O2499="","",N2499*O2499*M2499)</f>
        <v>0</v>
      </c>
      <c r="M2499" s="108">
        <v>1</v>
      </c>
      <c r="N2499" s="95">
        <v>1</v>
      </c>
      <c r="O2499" s="109">
        <f>IF(Key!D$1="ON",P2499,IF(SUM(Q2499:DL2499)&lt;1,"",SUM(Q2499:DL2499)/COUNTIF(Q2499:DL2499,"&gt;0")))</f>
        <v>0</v>
      </c>
      <c r="P2499" s="109">
        <f>SUMIFS(Q2499:DK2499,Q$1:DK$1,Dashboard!$K$31)</f>
        <v>0</v>
      </c>
      <c r="U2499" s="95">
        <v>33</v>
      </c>
      <c r="AA2499" s="95">
        <v>25</v>
      </c>
      <c r="AH2499" s="95">
        <v>75</v>
      </c>
    </row>
    <row r="2500" spans="1:34" x14ac:dyDescent="0.3">
      <c r="A2500" s="89" t="str">
        <f>CONCATENATE(D2500,".",F2500,"-",G2500,".",H2500,"")</f>
        <v>2.4-10.1</v>
      </c>
      <c r="B2500" s="89" t="str">
        <f>IF(CONCATENATE(I2500,Key!F$2)=CONCATENATE(INDEX(Dashboard!J:J,MATCH(I2500,Dashboard!J:J,0),1),INDEX(Dashboard!J:K,MATCH(I2500,Dashboard!J:J,0),2)),"ON",IF(Dashboard!K$32="ALL","ON","-"))</f>
        <v>-</v>
      </c>
      <c r="C2500" s="88" t="s">
        <v>152</v>
      </c>
      <c r="D2500" s="89">
        <f>IF(C2500="ID",1,(IF(C2500="PR",2,(IF(C2500="DE",3,(IF(C2500="RS",4,(IF(C2500="RC",5,0)))))))))</f>
        <v>2</v>
      </c>
      <c r="E2500" s="89" t="s">
        <v>228</v>
      </c>
      <c r="F2500" s="89">
        <f>IF(E2500="AM",1,(IF(E2500="BE",2,(IF(E2500="GV",3,(IF(E2500="RA",4,(IF(E2500="RM",5,(IF(E2500="AC",1,(IF(E2500="AT",2,(IF(E2500="DS",3,(IF(E2500="IP",4,(IF(E2500="MA",5,(IF(E2500="PT",6,(IF(E2500="AE",1,(IF(E2500="CM",2,(IF(E2500="DP",3,(IF(E2500="AN",1,(IF(E2500="CO",2,(IF(E2500="IM",3,(IF(E2500="MI",4,(IF(E2500="RP",5,(IF(E2500="SC",6,0)))))))))))))))))))))))))))))))))))))))</f>
        <v>4</v>
      </c>
      <c r="G2500" s="52">
        <v>10</v>
      </c>
      <c r="H2500" s="90" t="s">
        <v>115</v>
      </c>
      <c r="I2500" s="94" t="s">
        <v>85</v>
      </c>
      <c r="J2500" s="87" t="s">
        <v>1534</v>
      </c>
      <c r="K2500" s="119" t="s">
        <v>4709</v>
      </c>
      <c r="L2500" s="117">
        <f>IF(O2500="","",N2500*O2500*M2500)</f>
        <v>0</v>
      </c>
      <c r="M2500" s="108">
        <v>1</v>
      </c>
      <c r="N2500" s="95">
        <v>1</v>
      </c>
      <c r="O2500" s="109">
        <f>IF(Key!D$1="ON",P2500,IF(SUM(Q2500:DL2500)&lt;1,"",SUM(Q2500:DL2500)/COUNTIF(Q2500:DL2500,"&gt;0")))</f>
        <v>0</v>
      </c>
      <c r="P2500" s="109">
        <f>SUMIFS(Q2500:DK2500,Q$1:DK$1,Dashboard!$K$31)</f>
        <v>0</v>
      </c>
      <c r="U2500" s="95">
        <v>33</v>
      </c>
      <c r="AA2500" s="95">
        <v>25</v>
      </c>
      <c r="AH2500" s="95">
        <v>75</v>
      </c>
    </row>
    <row r="2501" spans="1:34" x14ac:dyDescent="0.3">
      <c r="A2501" s="89" t="str">
        <f>CONCATENATE(D2501,".",F2501,"-",G2501,".",H2501,"")</f>
        <v>2.4-10.1</v>
      </c>
      <c r="B2501" s="89" t="str">
        <f>IF(CONCATENATE(I2501,Key!F$2)=CONCATENATE(INDEX(Dashboard!J:J,MATCH(I2501,Dashboard!J:J,0),1),INDEX(Dashboard!J:K,MATCH(I2501,Dashboard!J:J,0),2)),"ON",IF(Dashboard!K$32="ALL","ON","-"))</f>
        <v>-</v>
      </c>
      <c r="C2501" s="88" t="s">
        <v>152</v>
      </c>
      <c r="D2501" s="89">
        <f>IF(C2501="ID",1,(IF(C2501="PR",2,(IF(C2501="DE",3,(IF(C2501="RS",4,(IF(C2501="RC",5,0)))))))))</f>
        <v>2</v>
      </c>
      <c r="E2501" s="89" t="s">
        <v>228</v>
      </c>
      <c r="F2501" s="89">
        <f>IF(E2501="AM",1,(IF(E2501="BE",2,(IF(E2501="GV",3,(IF(E2501="RA",4,(IF(E2501="RM",5,(IF(E2501="AC",1,(IF(E2501="AT",2,(IF(E2501="DS",3,(IF(E2501="IP",4,(IF(E2501="MA",5,(IF(E2501="PT",6,(IF(E2501="AE",1,(IF(E2501="CM",2,(IF(E2501="DP",3,(IF(E2501="AN",1,(IF(E2501="CO",2,(IF(E2501="IM",3,(IF(E2501="MI",4,(IF(E2501="RP",5,(IF(E2501="SC",6,0)))))))))))))))))))))))))))))))))))))))</f>
        <v>4</v>
      </c>
      <c r="G2501" s="52">
        <v>10</v>
      </c>
      <c r="H2501" s="90" t="s">
        <v>115</v>
      </c>
      <c r="I2501" s="94" t="s">
        <v>85</v>
      </c>
      <c r="J2501" s="87" t="s">
        <v>1541</v>
      </c>
      <c r="K2501" s="119" t="s">
        <v>4788</v>
      </c>
      <c r="L2501" s="117">
        <f>IF(O2501="","",N2501*O2501*M2501)</f>
        <v>0</v>
      </c>
      <c r="M2501" s="108">
        <v>1</v>
      </c>
      <c r="N2501" s="95">
        <v>1</v>
      </c>
      <c r="O2501" s="109">
        <f>IF(Key!D$1="ON",P2501,IF(SUM(Q2501:DL2501)&lt;1,"",SUM(Q2501:DL2501)/COUNTIF(Q2501:DL2501,"&gt;0")))</f>
        <v>0</v>
      </c>
      <c r="P2501" s="109">
        <f>SUMIFS(Q2501:DK2501,Q$1:DK$1,Dashboard!$K$31)</f>
        <v>0</v>
      </c>
      <c r="U2501" s="95">
        <v>33</v>
      </c>
      <c r="AA2501" s="95">
        <v>25</v>
      </c>
      <c r="AH2501" s="95">
        <v>75</v>
      </c>
    </row>
    <row r="2502" spans="1:34" x14ac:dyDescent="0.3">
      <c r="A2502" s="89" t="str">
        <f>CONCATENATE(D2502,".",F2502,"-",G2502,".",H2502,"")</f>
        <v>2.4-10.1</v>
      </c>
      <c r="B2502" s="89" t="str">
        <f>IF(CONCATENATE(I2502,Key!F$2)=CONCATENATE(INDEX(Dashboard!J:J,MATCH(I2502,Dashboard!J:J,0),1),INDEX(Dashboard!J:K,MATCH(I2502,Dashboard!J:J,0),2)),"ON",IF(Dashboard!K$32="ALL","ON","-"))</f>
        <v>-</v>
      </c>
      <c r="C2502" s="88" t="s">
        <v>152</v>
      </c>
      <c r="D2502" s="89">
        <f>IF(C2502="ID",1,(IF(C2502="PR",2,(IF(C2502="DE",3,(IF(C2502="RS",4,(IF(C2502="RC",5,0)))))))))</f>
        <v>2</v>
      </c>
      <c r="E2502" s="89" t="s">
        <v>228</v>
      </c>
      <c r="F2502" s="89">
        <f>IF(E2502="AM",1,(IF(E2502="BE",2,(IF(E2502="GV",3,(IF(E2502="RA",4,(IF(E2502="RM",5,(IF(E2502="AC",1,(IF(E2502="AT",2,(IF(E2502="DS",3,(IF(E2502="IP",4,(IF(E2502="MA",5,(IF(E2502="PT",6,(IF(E2502="AE",1,(IF(E2502="CM",2,(IF(E2502="DP",3,(IF(E2502="AN",1,(IF(E2502="CO",2,(IF(E2502="IM",3,(IF(E2502="MI",4,(IF(E2502="RP",5,(IF(E2502="SC",6,0)))))))))))))))))))))))))))))))))))))))</f>
        <v>4</v>
      </c>
      <c r="G2502" s="52">
        <v>10</v>
      </c>
      <c r="H2502" s="90" t="s">
        <v>115</v>
      </c>
      <c r="I2502" s="94" t="s">
        <v>85</v>
      </c>
      <c r="J2502" s="87" t="s">
        <v>1537</v>
      </c>
      <c r="K2502" s="119" t="s">
        <v>4719</v>
      </c>
      <c r="L2502" s="117">
        <f>IF(O2502="","",N2502*O2502*M2502)</f>
        <v>0</v>
      </c>
      <c r="M2502" s="108">
        <v>1</v>
      </c>
      <c r="N2502" s="95">
        <v>1</v>
      </c>
      <c r="O2502" s="109">
        <f>IF(Key!D$1="ON",P2502,IF(SUM(Q2502:DL2502)&lt;1,"",SUM(Q2502:DL2502)/COUNTIF(Q2502:DL2502,"&gt;0")))</f>
        <v>0</v>
      </c>
      <c r="P2502" s="109">
        <f>SUMIFS(Q2502:DK2502,Q$1:DK$1,Dashboard!$K$31)</f>
        <v>0</v>
      </c>
      <c r="U2502" s="95">
        <v>33</v>
      </c>
      <c r="AA2502" s="95">
        <v>25</v>
      </c>
      <c r="AH2502" s="95">
        <v>75</v>
      </c>
    </row>
    <row r="2503" spans="1:34" x14ac:dyDescent="0.3">
      <c r="A2503" s="89" t="str">
        <f>CONCATENATE(D2503,".",F2503,"-",G2503,".",H2503,"")</f>
        <v>2.4-10.1</v>
      </c>
      <c r="B2503" s="89" t="str">
        <f>IF(CONCATENATE(I2503,Key!F$2)=CONCATENATE(INDEX(Dashboard!J:J,MATCH(I2503,Dashboard!J:J,0),1),INDEX(Dashboard!J:K,MATCH(I2503,Dashboard!J:J,0),2)),"ON",IF(Dashboard!K$32="ALL","ON","-"))</f>
        <v>-</v>
      </c>
      <c r="C2503" s="96" t="s">
        <v>152</v>
      </c>
      <c r="D2503" s="89">
        <f>IF(C2503="ID",1,(IF(C2503="PR",2,(IF(C2503="DE",3,(IF(C2503="RS",4,(IF(C2503="RC",5,0)))))))))</f>
        <v>2</v>
      </c>
      <c r="E2503" s="89" t="s">
        <v>228</v>
      </c>
      <c r="F2503" s="89">
        <f>IF(E2503="AM",1,(IF(E2503="BE",2,(IF(E2503="GV",3,(IF(E2503="RA",4,(IF(E2503="RM",5,(IF(E2503="AC",1,(IF(E2503="AT",2,(IF(E2503="DS",3,(IF(E2503="IP",4,(IF(E2503="MA",5,(IF(E2503="PT",6,(IF(E2503="AE",1,(IF(E2503="CM",2,(IF(E2503="DP",3,(IF(E2503="AN",1,(IF(E2503="CO",2,(IF(E2503="IM",3,(IF(E2503="MI",4,(IF(E2503="RP",5,(IF(E2503="SC",6,0)))))))))))))))))))))))))))))))))))))))</f>
        <v>4</v>
      </c>
      <c r="G2503" s="98">
        <v>10</v>
      </c>
      <c r="H2503" s="90" t="s">
        <v>115</v>
      </c>
      <c r="I2503" s="94" t="s">
        <v>85</v>
      </c>
      <c r="J2503" s="87" t="s">
        <v>1538</v>
      </c>
      <c r="K2503" s="119" t="s">
        <v>1539</v>
      </c>
      <c r="L2503" s="117">
        <f>IF(O2503="","",N2503*O2503*M2503)</f>
        <v>0</v>
      </c>
      <c r="M2503" s="108">
        <v>1</v>
      </c>
      <c r="N2503" s="95">
        <v>1</v>
      </c>
      <c r="O2503" s="109">
        <f>IF(Key!D$1="ON",P2503,IF(SUM(Q2503:DL2503)&lt;1,"",SUM(Q2503:DL2503)/COUNTIF(Q2503:DL2503,"&gt;0")))</f>
        <v>0</v>
      </c>
      <c r="P2503" s="109">
        <f>SUMIFS(Q2503:DK2503,Q$1:DK$1,Dashboard!$K$31)</f>
        <v>0</v>
      </c>
      <c r="U2503" s="95">
        <v>33</v>
      </c>
      <c r="AA2503" s="95">
        <v>25</v>
      </c>
      <c r="AH2503" s="95">
        <v>75</v>
      </c>
    </row>
    <row r="2504" spans="1:34" x14ac:dyDescent="0.3">
      <c r="A2504" s="89" t="str">
        <f>CONCATENATE(D2504,".",F2504,"-",G2504,".",H2504,"")</f>
        <v>2.4-10.1</v>
      </c>
      <c r="B2504" s="89" t="str">
        <f>IF(CONCATENATE(I2504,Key!F$2)=CONCATENATE(INDEX(Dashboard!J:J,MATCH(I2504,Dashboard!J:J,0),1),INDEX(Dashboard!J:K,MATCH(I2504,Dashboard!J:J,0),2)),"ON",IF(Dashboard!K$32="ALL","ON","-"))</f>
        <v>-</v>
      </c>
      <c r="C2504" s="96" t="s">
        <v>152</v>
      </c>
      <c r="D2504" s="89">
        <f>IF(C2504="ID",1,(IF(C2504="PR",2,(IF(C2504="DE",3,(IF(C2504="RS",4,(IF(C2504="RC",5,0)))))))))</f>
        <v>2</v>
      </c>
      <c r="E2504" s="89" t="s">
        <v>228</v>
      </c>
      <c r="F2504" s="89">
        <f>IF(E2504="AM",1,(IF(E2504="BE",2,(IF(E2504="GV",3,(IF(E2504="RA",4,(IF(E2504="RM",5,(IF(E2504="AC",1,(IF(E2504="AT",2,(IF(E2504="DS",3,(IF(E2504="IP",4,(IF(E2504="MA",5,(IF(E2504="PT",6,(IF(E2504="AE",1,(IF(E2504="CM",2,(IF(E2504="DP",3,(IF(E2504="AN",1,(IF(E2504="CO",2,(IF(E2504="IM",3,(IF(E2504="MI",4,(IF(E2504="RP",5,(IF(E2504="SC",6,0)))))))))))))))))))))))))))))))))))))))</f>
        <v>4</v>
      </c>
      <c r="G2504" s="98">
        <v>10</v>
      </c>
      <c r="H2504" s="90" t="s">
        <v>115</v>
      </c>
      <c r="I2504" s="94" t="s">
        <v>85</v>
      </c>
      <c r="J2504" s="87" t="s">
        <v>1542</v>
      </c>
      <c r="K2504" s="119" t="s">
        <v>1543</v>
      </c>
      <c r="L2504" s="117">
        <f>IF(O2504="","",N2504*O2504*M2504)</f>
        <v>0</v>
      </c>
      <c r="M2504" s="108">
        <v>0.9</v>
      </c>
      <c r="N2504" s="95">
        <v>1</v>
      </c>
      <c r="O2504" s="109">
        <f>IF(Key!D$1="ON",P2504,IF(SUM(Q2504:DL2504)&lt;1,"",SUM(Q2504:DL2504)/COUNTIF(Q2504:DL2504,"&gt;0")))</f>
        <v>0</v>
      </c>
      <c r="P2504" s="109">
        <f>SUMIFS(Q2504:DK2504,Q$1:DK$1,Dashboard!$K$31)</f>
        <v>0</v>
      </c>
      <c r="S2504" s="95">
        <v>25</v>
      </c>
      <c r="T2504" s="95">
        <v>80</v>
      </c>
      <c r="U2504" s="95">
        <v>33</v>
      </c>
      <c r="AA2504" s="95">
        <v>25</v>
      </c>
      <c r="AH2504" s="95">
        <v>75</v>
      </c>
    </row>
    <row r="2505" spans="1:34" x14ac:dyDescent="0.3">
      <c r="A2505" s="89" t="str">
        <f>CONCATENATE(D2505,".",F2505,"-",G2505,".",H2505,"")</f>
        <v>2.4-10.1</v>
      </c>
      <c r="B2505" s="89" t="str">
        <f>IF(CONCATENATE(I2505,Key!F$2)=CONCATENATE(INDEX(Dashboard!J:J,MATCH(I2505,Dashboard!J:J,0),1),INDEX(Dashboard!J:K,MATCH(I2505,Dashboard!J:J,0),2)),"ON",IF(Dashboard!K$32="ALL","ON","-"))</f>
        <v>-</v>
      </c>
      <c r="C2505" s="96" t="s">
        <v>152</v>
      </c>
      <c r="D2505" s="89">
        <f>IF(C2505="ID",1,(IF(C2505="PR",2,(IF(C2505="DE",3,(IF(C2505="RS",4,(IF(C2505="RC",5,0)))))))))</f>
        <v>2</v>
      </c>
      <c r="E2505" s="89" t="s">
        <v>228</v>
      </c>
      <c r="F2505" s="89">
        <f>IF(E2505="AM",1,(IF(E2505="BE",2,(IF(E2505="GV",3,(IF(E2505="RA",4,(IF(E2505="RM",5,(IF(E2505="AC",1,(IF(E2505="AT",2,(IF(E2505="DS",3,(IF(E2505="IP",4,(IF(E2505="MA",5,(IF(E2505="PT",6,(IF(E2505="AE",1,(IF(E2505="CM",2,(IF(E2505="DP",3,(IF(E2505="AN",1,(IF(E2505="CO",2,(IF(E2505="IM",3,(IF(E2505="MI",4,(IF(E2505="RP",5,(IF(E2505="SC",6,0)))))))))))))))))))))))))))))))))))))))</f>
        <v>4</v>
      </c>
      <c r="G2505" s="98">
        <v>10</v>
      </c>
      <c r="H2505" s="90" t="s">
        <v>115</v>
      </c>
      <c r="I2505" s="94" t="s">
        <v>92</v>
      </c>
      <c r="J2505" s="87" t="s">
        <v>232</v>
      </c>
      <c r="K2505" s="102" t="s">
        <v>5226</v>
      </c>
      <c r="L2505" s="117">
        <f>IF(O2505="","",N2505*O2505*M2505)</f>
        <v>0</v>
      </c>
      <c r="M2505" s="108">
        <v>1</v>
      </c>
      <c r="N2505" s="95">
        <v>1</v>
      </c>
      <c r="O2505" s="109">
        <f>IF(Key!D$1="ON",P2505,IF(SUM(Q2505:DL2505)&lt;1,"",SUM(Q2505:DL2505)/COUNTIF(Q2505:DL2505,"&gt;0")))</f>
        <v>0</v>
      </c>
      <c r="P2505" s="109">
        <f>SUMIFS(Q2505:DK2505,Q$1:DK$1,Dashboard!$K$31)</f>
        <v>0</v>
      </c>
      <c r="U2505" s="95">
        <v>33</v>
      </c>
      <c r="AA2505" s="95">
        <v>25</v>
      </c>
      <c r="AH2505" s="95">
        <v>75</v>
      </c>
    </row>
    <row r="2506" spans="1:34" x14ac:dyDescent="0.3">
      <c r="A2506" s="89" t="str">
        <f>CONCATENATE(D2506,".",F2506,"-",G2506,".",H2506,"")</f>
        <v>2.4-11.0</v>
      </c>
      <c r="B2506" s="89" t="str">
        <f>IF(CONCATENATE(I2506,Key!F$2)=CONCATENATE(INDEX(Dashboard!J:J,MATCH(I2506,Dashboard!J:J,0),1),INDEX(Dashboard!J:K,MATCH(I2506,Dashboard!J:J,0),2)),"ON",IF(Dashboard!K$32="ALL","ON","-"))</f>
        <v>-</v>
      </c>
      <c r="C2506" s="88" t="s">
        <v>152</v>
      </c>
      <c r="D2506" s="89">
        <f>IF(C2506="ID",1,(IF(C2506="PR",2,(IF(C2506="DE",3,(IF(C2506="RS",4,(IF(C2506="RC",5,0)))))))))</f>
        <v>2</v>
      </c>
      <c r="E2506" s="89" t="s">
        <v>228</v>
      </c>
      <c r="F2506" s="89">
        <f>IF(E2506="AM",1,(IF(E2506="BE",2,(IF(E2506="GV",3,(IF(E2506="RA",4,(IF(E2506="RM",5,(IF(E2506="AC",1,(IF(E2506="AT",2,(IF(E2506="DS",3,(IF(E2506="IP",4,(IF(E2506="MA",5,(IF(E2506="PT",6,(IF(E2506="AE",1,(IF(E2506="CM",2,(IF(E2506="DP",3,(IF(E2506="AN",1,(IF(E2506="CO",2,(IF(E2506="IM",3,(IF(E2506="MI",4,(IF(E2506="RP",5,(IF(E2506="SC",6,0)))))))))))))))))))))))))))))))))))))))</f>
        <v>4</v>
      </c>
      <c r="G2506" s="52">
        <v>11</v>
      </c>
      <c r="H2506" s="90" t="s">
        <v>347</v>
      </c>
      <c r="I2506" s="94" t="s">
        <v>2835</v>
      </c>
      <c r="J2506" s="53" t="s">
        <v>2966</v>
      </c>
      <c r="K2506" s="150" t="s">
        <v>2967</v>
      </c>
      <c r="L2506" s="117">
        <f>IF(O2506="","",N2506*O2506*M2506)</f>
        <v>0</v>
      </c>
      <c r="M2506" s="108">
        <v>1</v>
      </c>
      <c r="N2506" s="95">
        <v>1</v>
      </c>
      <c r="O2506" s="109">
        <f>IF(Key!D$1="ON",P2506,IF(SUM(Q2506:DL2506)&lt;1,"",SUM(Q2506:DL2506)/COUNTIF(Q2506:DL2506,"&gt;0")))</f>
        <v>0</v>
      </c>
      <c r="P2506" s="109">
        <f>SUMIFS(Q2506:DK2506,Q$1:DK$1,Dashboard!$K$31)</f>
        <v>0</v>
      </c>
      <c r="U2506" s="95">
        <v>33</v>
      </c>
    </row>
    <row r="2507" spans="1:34" x14ac:dyDescent="0.3">
      <c r="A2507" s="89" t="str">
        <f>CONCATENATE(D2507,".",F2507,"-",G2507,".",H2507,"")</f>
        <v>2.4-11.1</v>
      </c>
      <c r="B2507" s="89" t="str">
        <f>IF(CONCATENATE(I2507,Key!F$2)=CONCATENATE(INDEX(Dashboard!J:J,MATCH(I2507,Dashboard!J:J,0),1),INDEX(Dashboard!J:K,MATCH(I2507,Dashboard!J:J,0),2)),"ON",IF(Dashboard!K$32="ALL","ON","-"))</f>
        <v>ON</v>
      </c>
      <c r="C2507" s="96" t="s">
        <v>152</v>
      </c>
      <c r="D2507" s="89">
        <f>IF(C2507="ID",1,(IF(C2507="PR",2,(IF(C2507="DE",3,(IF(C2507="RS",4,(IF(C2507="RC",5,0)))))))))</f>
        <v>2</v>
      </c>
      <c r="E2507" s="89" t="s">
        <v>228</v>
      </c>
      <c r="F2507" s="89">
        <f>IF(E2507="AM",1,(IF(E2507="BE",2,(IF(E2507="GV",3,(IF(E2507="RA",4,(IF(E2507="RM",5,(IF(E2507="AC",1,(IF(E2507="AT",2,(IF(E2507="DS",3,(IF(E2507="IP",4,(IF(E2507="MA",5,(IF(E2507="PT",6,(IF(E2507="AE",1,(IF(E2507="CM",2,(IF(E2507="DP",3,(IF(E2507="AN",1,(IF(E2507="CO",2,(IF(E2507="IM",3,(IF(E2507="MI",4,(IF(E2507="RP",5,(IF(E2507="SC",6,0)))))))))))))))))))))))))))))))))))))))</f>
        <v>4</v>
      </c>
      <c r="G2507" s="98">
        <v>11</v>
      </c>
      <c r="H2507" s="90" t="s">
        <v>115</v>
      </c>
      <c r="I2507" s="94" t="s">
        <v>4107</v>
      </c>
      <c r="J2507" s="86" t="s">
        <v>4032</v>
      </c>
      <c r="K2507" s="101" t="s">
        <v>4390</v>
      </c>
      <c r="L2507" s="117">
        <f>IF(O2507="","",N2507*O2507*M2507)</f>
        <v>0</v>
      </c>
      <c r="M2507" s="108">
        <v>1</v>
      </c>
      <c r="N2507" s="95">
        <v>1</v>
      </c>
      <c r="O2507" s="109">
        <f>IF(Key!D$1="ON",P2507,IF(SUM(Q2507:DL2507)&lt;1,"",SUM(Q2507:DL2507)/COUNTIF(Q2507:DL2507,"&gt;0")))</f>
        <v>0</v>
      </c>
      <c r="P2507" s="109">
        <f>SUMIFS(Q2507:DK2507,Q$1:DK$1,Dashboard!$K$31)</f>
        <v>0</v>
      </c>
      <c r="U2507" s="95">
        <v>33</v>
      </c>
      <c r="AA2507" s="95">
        <v>25</v>
      </c>
      <c r="AH2507" s="95">
        <v>75</v>
      </c>
    </row>
    <row r="2508" spans="1:34" ht="15.6" x14ac:dyDescent="0.3">
      <c r="A2508" s="89" t="str">
        <f>CONCATENATE(D2508,".",F2508,"-",G2508,".",H2508,"")</f>
        <v>2.4-11.1</v>
      </c>
      <c r="B2508" s="89" t="str">
        <f>IF(CONCATENATE(I2508,Key!F$2)=CONCATENATE(INDEX(Dashboard!J:J,MATCH(I2508,Dashboard!J:J,0),1),INDEX(Dashboard!J:K,MATCH(I2508,Dashboard!J:J,0),2)),"ON",IF(Dashboard!K$32="ALL","ON","-"))</f>
        <v>-</v>
      </c>
      <c r="C2508" s="96" t="s">
        <v>152</v>
      </c>
      <c r="D2508" s="89">
        <f>IF(C2508="ID",1,(IF(C2508="PR",2,(IF(C2508="DE",3,(IF(C2508="RS",4,(IF(C2508="RC",5,0)))))))))</f>
        <v>2</v>
      </c>
      <c r="E2508" s="89" t="s">
        <v>228</v>
      </c>
      <c r="F2508" s="89">
        <f>IF(E2508="AM",1,(IF(E2508="BE",2,(IF(E2508="GV",3,(IF(E2508="RA",4,(IF(E2508="RM",5,(IF(E2508="AC",1,(IF(E2508="AT",2,(IF(E2508="DS",3,(IF(E2508="IP",4,(IF(E2508="MA",5,(IF(E2508="PT",6,(IF(E2508="AE",1,(IF(E2508="CM",2,(IF(E2508="DP",3,(IF(E2508="AN",1,(IF(E2508="CO",2,(IF(E2508="IM",3,(IF(E2508="MI",4,(IF(E2508="RP",5,(IF(E2508="SC",6,0)))))))))))))))))))))))))))))))))))))))</f>
        <v>4</v>
      </c>
      <c r="G2508" s="98">
        <v>11</v>
      </c>
      <c r="H2508" s="90" t="s">
        <v>115</v>
      </c>
      <c r="I2508" s="94" t="s">
        <v>52</v>
      </c>
      <c r="J2508" s="88" t="s">
        <v>3422</v>
      </c>
      <c r="K2508" s="103" t="s">
        <v>3423</v>
      </c>
      <c r="L2508" s="117">
        <f>IF(O2508="","",N2508*O2508*M2508)</f>
        <v>0</v>
      </c>
      <c r="M2508" s="108">
        <v>1</v>
      </c>
      <c r="N2508" s="95">
        <v>1</v>
      </c>
      <c r="O2508" s="109">
        <f>IF(Key!D$1="ON",P2508,IF(SUM(Q2508:DL2508)&lt;1,"",SUM(Q2508:DL2508)/COUNTIF(Q2508:DL2508,"&gt;0")))</f>
        <v>0</v>
      </c>
      <c r="P2508" s="109">
        <f>SUMIFS(Q2508:DK2508,Q$1:DK$1,Dashboard!$K$31)</f>
        <v>0</v>
      </c>
      <c r="U2508" s="95">
        <v>33</v>
      </c>
      <c r="AA2508" s="95">
        <v>25</v>
      </c>
      <c r="AH2508" s="95">
        <v>75</v>
      </c>
    </row>
    <row r="2509" spans="1:34" ht="15.6" x14ac:dyDescent="0.3">
      <c r="A2509" s="89" t="str">
        <f>CONCATENATE(D2509,".",F2509,"-",G2509,".",H2509,"")</f>
        <v>2.4-11.1</v>
      </c>
      <c r="B2509" s="89" t="str">
        <f>IF(CONCATENATE(I2509,Key!F$2)=CONCATENATE(INDEX(Dashboard!J:J,MATCH(I2509,Dashboard!J:J,0),1),INDEX(Dashboard!J:K,MATCH(I2509,Dashboard!J:J,0),2)),"ON",IF(Dashboard!K$32="ALL","ON","-"))</f>
        <v>-</v>
      </c>
      <c r="C2509" s="96" t="s">
        <v>152</v>
      </c>
      <c r="D2509" s="89">
        <f>IF(C2509="ID",1,(IF(C2509="PR",2,(IF(C2509="DE",3,(IF(C2509="RS",4,(IF(C2509="RC",5,0)))))))))</f>
        <v>2</v>
      </c>
      <c r="E2509" s="89" t="s">
        <v>228</v>
      </c>
      <c r="F2509" s="89">
        <f>IF(E2509="AM",1,(IF(E2509="BE",2,(IF(E2509="GV",3,(IF(E2509="RA",4,(IF(E2509="RM",5,(IF(E2509="AC",1,(IF(E2509="AT",2,(IF(E2509="DS",3,(IF(E2509="IP",4,(IF(E2509="MA",5,(IF(E2509="PT",6,(IF(E2509="AE",1,(IF(E2509="CM",2,(IF(E2509="DP",3,(IF(E2509="AN",1,(IF(E2509="CO",2,(IF(E2509="IM",3,(IF(E2509="MI",4,(IF(E2509="RP",5,(IF(E2509="SC",6,0)))))))))))))))))))))))))))))))))))))))</f>
        <v>4</v>
      </c>
      <c r="G2509" s="98">
        <v>11</v>
      </c>
      <c r="H2509" s="90" t="s">
        <v>115</v>
      </c>
      <c r="I2509" s="94" t="s">
        <v>52</v>
      </c>
      <c r="J2509" s="88" t="s">
        <v>3387</v>
      </c>
      <c r="K2509" s="103" t="s">
        <v>3388</v>
      </c>
      <c r="L2509" s="117">
        <f>IF(O2509="","",N2509*O2509*M2509)</f>
        <v>0</v>
      </c>
      <c r="M2509" s="108">
        <v>1</v>
      </c>
      <c r="N2509" s="95">
        <v>1</v>
      </c>
      <c r="O2509" s="109">
        <f>IF(Key!D$1="ON",P2509,IF(SUM(Q2509:DL2509)&lt;1,"",SUM(Q2509:DL2509)/COUNTIF(Q2509:DL2509,"&gt;0")))</f>
        <v>0</v>
      </c>
      <c r="P2509" s="109">
        <f>SUMIFS(Q2509:DK2509,Q$1:DK$1,Dashboard!$K$31)</f>
        <v>0</v>
      </c>
      <c r="U2509" s="95">
        <v>33</v>
      </c>
      <c r="AA2509" s="95">
        <v>25</v>
      </c>
      <c r="AH2509" s="95">
        <v>75</v>
      </c>
    </row>
    <row r="2510" spans="1:34" x14ac:dyDescent="0.3">
      <c r="A2510" s="89" t="str">
        <f>CONCATENATE(D2510,".",F2510,"-",G2510,".",H2510,"")</f>
        <v>2.4-11.1</v>
      </c>
      <c r="B2510" s="89" t="str">
        <f>IF(CONCATENATE(I2510,Key!F$2)=CONCATENATE(INDEX(Dashboard!J:J,MATCH(I2510,Dashboard!J:J,0),1),INDEX(Dashboard!J:K,MATCH(I2510,Dashboard!J:J,0),2)),"ON",IF(Dashboard!K$32="ALL","ON","-"))</f>
        <v>-</v>
      </c>
      <c r="C2510" s="96" t="s">
        <v>152</v>
      </c>
      <c r="D2510" s="89">
        <f>IF(C2510="ID",1,(IF(C2510="PR",2,(IF(C2510="DE",3,(IF(C2510="RS",4,(IF(C2510="RC",5,0)))))))))</f>
        <v>2</v>
      </c>
      <c r="E2510" s="89" t="s">
        <v>228</v>
      </c>
      <c r="F2510" s="89">
        <f>IF(E2510="AM",1,(IF(E2510="BE",2,(IF(E2510="GV",3,(IF(E2510="RA",4,(IF(E2510="RM",5,(IF(E2510="AC",1,(IF(E2510="AT",2,(IF(E2510="DS",3,(IF(E2510="IP",4,(IF(E2510="MA",5,(IF(E2510="PT",6,(IF(E2510="AE",1,(IF(E2510="CM",2,(IF(E2510="DP",3,(IF(E2510="AN",1,(IF(E2510="CO",2,(IF(E2510="IM",3,(IF(E2510="MI",4,(IF(E2510="RP",5,(IF(E2510="SC",6,0)))))))))))))))))))))))))))))))))))))))</f>
        <v>4</v>
      </c>
      <c r="G2510" s="98">
        <v>11</v>
      </c>
      <c r="H2510" s="90" t="s">
        <v>115</v>
      </c>
      <c r="I2510" s="94" t="s">
        <v>52</v>
      </c>
      <c r="J2510" s="88" t="s">
        <v>3389</v>
      </c>
      <c r="K2510" s="102" t="s">
        <v>3390</v>
      </c>
      <c r="L2510" s="117">
        <f>IF(O2510="","",N2510*O2510*M2510)</f>
        <v>0</v>
      </c>
      <c r="M2510" s="108">
        <v>1</v>
      </c>
      <c r="N2510" s="95">
        <v>1</v>
      </c>
      <c r="O2510" s="109">
        <f>IF(Key!D$1="ON",P2510,IF(SUM(Q2510:DL2510)&lt;1,"",SUM(Q2510:DL2510)/COUNTIF(Q2510:DL2510,"&gt;0")))</f>
        <v>0</v>
      </c>
      <c r="P2510" s="109">
        <f>SUMIFS(Q2510:DK2510,Q$1:DK$1,Dashboard!$K$31)</f>
        <v>0</v>
      </c>
      <c r="U2510" s="95">
        <v>33</v>
      </c>
      <c r="AA2510" s="95">
        <v>25</v>
      </c>
      <c r="AH2510" s="95">
        <v>75</v>
      </c>
    </row>
    <row r="2511" spans="1:34" x14ac:dyDescent="0.3">
      <c r="A2511" s="89" t="str">
        <f>CONCATENATE(D2511,".",F2511,"-",G2511,".",H2511,"")</f>
        <v>2.4-11.1</v>
      </c>
      <c r="B2511" s="89" t="str">
        <f>IF(CONCATENATE(I2511,Key!F$2)=CONCATENATE(INDEX(Dashboard!J:J,MATCH(I2511,Dashboard!J:J,0),1),INDEX(Dashboard!J:K,MATCH(I2511,Dashboard!J:J,0),2)),"ON",IF(Dashboard!K$32="ALL","ON","-"))</f>
        <v>-</v>
      </c>
      <c r="C2511" s="96" t="s">
        <v>152</v>
      </c>
      <c r="D2511" s="89">
        <f>IF(C2511="ID",1,(IF(C2511="PR",2,(IF(C2511="DE",3,(IF(C2511="RS",4,(IF(C2511="RC",5,0)))))))))</f>
        <v>2</v>
      </c>
      <c r="E2511" s="89" t="s">
        <v>228</v>
      </c>
      <c r="F2511" s="89">
        <f>IF(E2511="AM",1,(IF(E2511="BE",2,(IF(E2511="GV",3,(IF(E2511="RA",4,(IF(E2511="RM",5,(IF(E2511="AC",1,(IF(E2511="AT",2,(IF(E2511="DS",3,(IF(E2511="IP",4,(IF(E2511="MA",5,(IF(E2511="PT",6,(IF(E2511="AE",1,(IF(E2511="CM",2,(IF(E2511="DP",3,(IF(E2511="AN",1,(IF(E2511="CO",2,(IF(E2511="IM",3,(IF(E2511="MI",4,(IF(E2511="RP",5,(IF(E2511="SC",6,0)))))))))))))))))))))))))))))))))))))))</f>
        <v>4</v>
      </c>
      <c r="G2511" s="98">
        <v>11</v>
      </c>
      <c r="H2511" s="90" t="s">
        <v>115</v>
      </c>
      <c r="I2511" s="94" t="s">
        <v>52</v>
      </c>
      <c r="J2511" s="88" t="s">
        <v>3373</v>
      </c>
      <c r="K2511" s="103" t="s">
        <v>3374</v>
      </c>
      <c r="L2511" s="117">
        <f>IF(O2511="","",N2511*O2511*M2511)</f>
        <v>0</v>
      </c>
      <c r="M2511" s="108">
        <v>1</v>
      </c>
      <c r="N2511" s="95">
        <v>1</v>
      </c>
      <c r="O2511" s="109">
        <f>IF(Key!D$1="ON",P2511,IF(SUM(Q2511:DL2511)&lt;1,"",SUM(Q2511:DL2511)/COUNTIF(Q2511:DL2511,"&gt;0")))</f>
        <v>0</v>
      </c>
      <c r="P2511" s="109">
        <f>SUMIFS(Q2511:DK2511,Q$1:DK$1,Dashboard!$K$31)</f>
        <v>0</v>
      </c>
      <c r="U2511" s="95">
        <v>33</v>
      </c>
      <c r="AA2511" s="95">
        <v>25</v>
      </c>
      <c r="AH2511" s="95">
        <v>75</v>
      </c>
    </row>
    <row r="2512" spans="1:34" x14ac:dyDescent="0.3">
      <c r="A2512" s="89" t="str">
        <f>CONCATENATE(D2512,".",F2512,"-",G2512,".",H2512,"")</f>
        <v>2.4-11.1</v>
      </c>
      <c r="B2512" s="89" t="str">
        <f>IF(CONCATENATE(I2512,Key!F$2)=CONCATENATE(INDEX(Dashboard!J:J,MATCH(I2512,Dashboard!J:J,0),1),INDEX(Dashboard!J:K,MATCH(I2512,Dashboard!J:J,0),2)),"ON",IF(Dashboard!K$32="ALL","ON","-"))</f>
        <v>-</v>
      </c>
      <c r="C2512" s="88" t="s">
        <v>152</v>
      </c>
      <c r="D2512" s="89">
        <f>IF(C2512="ID",1,(IF(C2512="PR",2,(IF(C2512="DE",3,(IF(C2512="RS",4,(IF(C2512="RC",5,0)))))))))</f>
        <v>2</v>
      </c>
      <c r="E2512" s="89" t="s">
        <v>228</v>
      </c>
      <c r="F2512" s="89">
        <f>IF(E2512="AM",1,(IF(E2512="BE",2,(IF(E2512="GV",3,(IF(E2512="RA",4,(IF(E2512="RM",5,(IF(E2512="AC",1,(IF(E2512="AT",2,(IF(E2512="DS",3,(IF(E2512="IP",4,(IF(E2512="MA",5,(IF(E2512="PT",6,(IF(E2512="AE",1,(IF(E2512="CM",2,(IF(E2512="DP",3,(IF(E2512="AN",1,(IF(E2512="CO",2,(IF(E2512="IM",3,(IF(E2512="MI",4,(IF(E2512="RP",5,(IF(E2512="SC",6,0)))))))))))))))))))))))))))))))))))))))</f>
        <v>4</v>
      </c>
      <c r="G2512" s="52">
        <v>11</v>
      </c>
      <c r="H2512" s="90" t="s">
        <v>115</v>
      </c>
      <c r="I2512" s="94" t="s">
        <v>60</v>
      </c>
      <c r="J2512" s="87" t="s">
        <v>3235</v>
      </c>
      <c r="K2512" s="51" t="s">
        <v>5348</v>
      </c>
      <c r="L2512" s="117">
        <f>IF(O2512="","",N2512*O2512*M2512)</f>
        <v>0</v>
      </c>
      <c r="M2512" s="108">
        <v>1</v>
      </c>
      <c r="N2512" s="95">
        <v>1</v>
      </c>
      <c r="O2512" s="109">
        <f>IF(Key!D$1="ON",P2512,IF(SUM(Q2512:DL2512)&lt;1,"",SUM(Q2512:DL2512)/COUNTIF(Q2512:DL2512,"&gt;0")))</f>
        <v>0</v>
      </c>
      <c r="P2512" s="109">
        <f>SUMIFS(Q2512:DK2512,Q$1:DK$1,Dashboard!$K$31)</f>
        <v>0</v>
      </c>
      <c r="U2512" s="95">
        <v>33</v>
      </c>
      <c r="AA2512" s="95">
        <v>25</v>
      </c>
      <c r="AH2512" s="95">
        <v>75</v>
      </c>
    </row>
    <row r="2513" spans="1:34" x14ac:dyDescent="0.3">
      <c r="A2513" s="89" t="str">
        <f>CONCATENATE(D2513,".",F2513,"-",G2513,".",H2513,"")</f>
        <v>2.4-11.1</v>
      </c>
      <c r="B2513" s="89" t="str">
        <f>IF(CONCATENATE(I2513,Key!F$2)=CONCATENATE(INDEX(Dashboard!J:J,MATCH(I2513,Dashboard!J:J,0),1),INDEX(Dashboard!J:K,MATCH(I2513,Dashboard!J:J,0),2)),"ON",IF(Dashboard!K$32="ALL","ON","-"))</f>
        <v>-</v>
      </c>
      <c r="C2513" s="88" t="s">
        <v>152</v>
      </c>
      <c r="D2513" s="89">
        <f>IF(C2513="ID",1,(IF(C2513="PR",2,(IF(C2513="DE",3,(IF(C2513="RS",4,(IF(C2513="RC",5,0)))))))))</f>
        <v>2</v>
      </c>
      <c r="E2513" s="89" t="s">
        <v>228</v>
      </c>
      <c r="F2513" s="89">
        <f>IF(E2513="AM",1,(IF(E2513="BE",2,(IF(E2513="GV",3,(IF(E2513="RA",4,(IF(E2513="RM",5,(IF(E2513="AC",1,(IF(E2513="AT",2,(IF(E2513="DS",3,(IF(E2513="IP",4,(IF(E2513="MA",5,(IF(E2513="PT",6,(IF(E2513="AE",1,(IF(E2513="CM",2,(IF(E2513="DP",3,(IF(E2513="AN",1,(IF(E2513="CO",2,(IF(E2513="IM",3,(IF(E2513="MI",4,(IF(E2513="RP",5,(IF(E2513="SC",6,0)))))))))))))))))))))))))))))))))))))))</f>
        <v>4</v>
      </c>
      <c r="G2513" s="52">
        <v>11</v>
      </c>
      <c r="H2513" s="90" t="s">
        <v>115</v>
      </c>
      <c r="I2513" s="94" t="s">
        <v>60</v>
      </c>
      <c r="J2513" s="87" t="s">
        <v>3236</v>
      </c>
      <c r="K2513" s="51" t="s">
        <v>5349</v>
      </c>
      <c r="L2513" s="117">
        <f>IF(O2513="","",N2513*O2513*M2513)</f>
        <v>0</v>
      </c>
      <c r="M2513" s="108">
        <v>1</v>
      </c>
      <c r="N2513" s="95">
        <v>1</v>
      </c>
      <c r="O2513" s="109">
        <f>IF(Key!D$1="ON",P2513,IF(SUM(Q2513:DL2513)&lt;1,"",SUM(Q2513:DL2513)/COUNTIF(Q2513:DL2513,"&gt;0")))</f>
        <v>0</v>
      </c>
      <c r="P2513" s="109">
        <f>SUMIFS(Q2513:DK2513,Q$1:DK$1,Dashboard!$K$31)</f>
        <v>0</v>
      </c>
      <c r="U2513" s="95">
        <v>33</v>
      </c>
      <c r="AA2513" s="95">
        <v>25</v>
      </c>
      <c r="AH2513" s="95">
        <v>75</v>
      </c>
    </row>
    <row r="2514" spans="1:34" x14ac:dyDescent="0.3">
      <c r="A2514" s="89" t="str">
        <f>CONCATENATE(D2514,".",F2514,"-",G2514,".",H2514,"")</f>
        <v>2.4-11.1</v>
      </c>
      <c r="B2514" s="89" t="str">
        <f>IF(CONCATENATE(I2514,Key!F$2)=CONCATENATE(INDEX(Dashboard!J:J,MATCH(I2514,Dashboard!J:J,0),1),INDEX(Dashboard!J:K,MATCH(I2514,Dashboard!J:J,0),2)),"ON",IF(Dashboard!K$32="ALL","ON","-"))</f>
        <v>-</v>
      </c>
      <c r="C2514" s="88" t="s">
        <v>152</v>
      </c>
      <c r="D2514" s="89">
        <f>IF(C2514="ID",1,(IF(C2514="PR",2,(IF(C2514="DE",3,(IF(C2514="RS",4,(IF(C2514="RC",5,0)))))))))</f>
        <v>2</v>
      </c>
      <c r="E2514" s="89" t="s">
        <v>228</v>
      </c>
      <c r="F2514" s="89">
        <f>IF(E2514="AM",1,(IF(E2514="BE",2,(IF(E2514="GV",3,(IF(E2514="RA",4,(IF(E2514="RM",5,(IF(E2514="AC",1,(IF(E2514="AT",2,(IF(E2514="DS",3,(IF(E2514="IP",4,(IF(E2514="MA",5,(IF(E2514="PT",6,(IF(E2514="AE",1,(IF(E2514="CM",2,(IF(E2514="DP",3,(IF(E2514="AN",1,(IF(E2514="CO",2,(IF(E2514="IM",3,(IF(E2514="MI",4,(IF(E2514="RP",5,(IF(E2514="SC",6,0)))))))))))))))))))))))))))))))))))))))</f>
        <v>4</v>
      </c>
      <c r="G2514" s="98">
        <v>11</v>
      </c>
      <c r="H2514" s="89">
        <v>1</v>
      </c>
      <c r="I2514" s="94" t="s">
        <v>60</v>
      </c>
      <c r="J2514" s="88" t="s">
        <v>3223</v>
      </c>
      <c r="K2514" s="51" t="s">
        <v>5336</v>
      </c>
      <c r="L2514" s="117">
        <f>IF(O2514="","",N2514*O2514*M2514)</f>
        <v>0</v>
      </c>
      <c r="M2514" s="108">
        <v>1</v>
      </c>
      <c r="N2514" s="95">
        <v>1</v>
      </c>
      <c r="O2514" s="109">
        <f>IF(Key!D$1="ON",P2514,IF(SUM(Q2514:DL2514)&lt;1,"",SUM(Q2514:DL2514)/COUNTIF(Q2514:DL2514,"&gt;0")))</f>
        <v>0</v>
      </c>
      <c r="P2514" s="109">
        <f>SUMIFS(Q2514:DK2514,Q$1:DK$1,Dashboard!$K$31)</f>
        <v>0</v>
      </c>
      <c r="U2514" s="95">
        <v>33</v>
      </c>
      <c r="AA2514" s="95">
        <v>25</v>
      </c>
      <c r="AH2514" s="95">
        <v>75</v>
      </c>
    </row>
    <row r="2515" spans="1:34" x14ac:dyDescent="0.3">
      <c r="A2515" s="89" t="str">
        <f>CONCATENATE(D2515,".",F2515,"-",G2515,".",H2515,"")</f>
        <v>2.4-11.1</v>
      </c>
      <c r="B2515" s="89" t="str">
        <f>IF(CONCATENATE(I2515,Key!F$2)=CONCATENATE(INDEX(Dashboard!J:J,MATCH(I2515,Dashboard!J:J,0),1),INDEX(Dashboard!J:K,MATCH(I2515,Dashboard!J:J,0),2)),"ON",IF(Dashboard!K$32="ALL","ON","-"))</f>
        <v>-</v>
      </c>
      <c r="C2515" s="88" t="s">
        <v>152</v>
      </c>
      <c r="D2515" s="89">
        <f>IF(C2515="ID",1,(IF(C2515="PR",2,(IF(C2515="DE",3,(IF(C2515="RS",4,(IF(C2515="RC",5,0)))))))))</f>
        <v>2</v>
      </c>
      <c r="E2515" s="89" t="s">
        <v>228</v>
      </c>
      <c r="F2515" s="89">
        <f>IF(E2515="AM",1,(IF(E2515="BE",2,(IF(E2515="GV",3,(IF(E2515="RA",4,(IF(E2515="RM",5,(IF(E2515="AC",1,(IF(E2515="AT",2,(IF(E2515="DS",3,(IF(E2515="IP",4,(IF(E2515="MA",5,(IF(E2515="PT",6,(IF(E2515="AE",1,(IF(E2515="CM",2,(IF(E2515="DP",3,(IF(E2515="AN",1,(IF(E2515="CO",2,(IF(E2515="IM",3,(IF(E2515="MI",4,(IF(E2515="RP",5,(IF(E2515="SC",6,0)))))))))))))))))))))))))))))))))))))))</f>
        <v>4</v>
      </c>
      <c r="G2515" s="52">
        <v>11</v>
      </c>
      <c r="H2515" s="90" t="s">
        <v>115</v>
      </c>
      <c r="I2515" s="94" t="s">
        <v>60</v>
      </c>
      <c r="J2515" s="87" t="s">
        <v>3237</v>
      </c>
      <c r="K2515" s="51" t="s">
        <v>5350</v>
      </c>
      <c r="L2515" s="117">
        <f>IF(O2515="","",N2515*O2515*M2515)</f>
        <v>0</v>
      </c>
      <c r="M2515" s="108">
        <v>1</v>
      </c>
      <c r="N2515" s="95">
        <v>1</v>
      </c>
      <c r="O2515" s="109">
        <f>IF(Key!D$1="ON",P2515,IF(SUM(Q2515:DL2515)&lt;1,"",SUM(Q2515:DL2515)/COUNTIF(Q2515:DL2515,"&gt;0")))</f>
        <v>0</v>
      </c>
      <c r="P2515" s="109">
        <f>SUMIFS(Q2515:DK2515,Q$1:DK$1,Dashboard!$K$31)</f>
        <v>0</v>
      </c>
      <c r="U2515" s="95">
        <v>33</v>
      </c>
      <c r="AA2515" s="95">
        <v>25</v>
      </c>
      <c r="AH2515" s="95">
        <v>75</v>
      </c>
    </row>
    <row r="2516" spans="1:34" x14ac:dyDescent="0.3">
      <c r="A2516" s="89" t="str">
        <f>CONCATENATE(D2516,".",F2516,"-",G2516,".",H2516,"")</f>
        <v>2.4-11.1</v>
      </c>
      <c r="B2516" s="89" t="str">
        <f>IF(CONCATENATE(I2516,Key!F$2)=CONCATENATE(INDEX(Dashboard!J:J,MATCH(I2516,Dashboard!J:J,0),1),INDEX(Dashboard!J:K,MATCH(I2516,Dashboard!J:J,0),2)),"ON",IF(Dashboard!K$32="ALL","ON","-"))</f>
        <v>-</v>
      </c>
      <c r="C2516" s="88" t="s">
        <v>152</v>
      </c>
      <c r="D2516" s="89">
        <f>IF(C2516="ID",1,(IF(C2516="PR",2,(IF(C2516="DE",3,(IF(C2516="RS",4,(IF(C2516="RC",5,0)))))))))</f>
        <v>2</v>
      </c>
      <c r="E2516" s="89" t="s">
        <v>228</v>
      </c>
      <c r="F2516" s="89">
        <f>IF(E2516="AM",1,(IF(E2516="BE",2,(IF(E2516="GV",3,(IF(E2516="RA",4,(IF(E2516="RM",5,(IF(E2516="AC",1,(IF(E2516="AT",2,(IF(E2516="DS",3,(IF(E2516="IP",4,(IF(E2516="MA",5,(IF(E2516="PT",6,(IF(E2516="AE",1,(IF(E2516="CM",2,(IF(E2516="DP",3,(IF(E2516="AN",1,(IF(E2516="CO",2,(IF(E2516="IM",3,(IF(E2516="MI",4,(IF(E2516="RP",5,(IF(E2516="SC",6,0)))))))))))))))))))))))))))))))))))))))</f>
        <v>4</v>
      </c>
      <c r="G2516" s="52">
        <v>11</v>
      </c>
      <c r="H2516" s="90" t="s">
        <v>115</v>
      </c>
      <c r="I2516" s="94" t="s">
        <v>60</v>
      </c>
      <c r="J2516" s="87" t="s">
        <v>3224</v>
      </c>
      <c r="K2516" s="51" t="s">
        <v>5337</v>
      </c>
      <c r="L2516" s="117">
        <f>IF(O2516="","",N2516*O2516*M2516)</f>
        <v>0</v>
      </c>
      <c r="M2516" s="108">
        <v>1</v>
      </c>
      <c r="N2516" s="95">
        <v>1</v>
      </c>
      <c r="O2516" s="109">
        <f>IF(Key!D$1="ON",P2516,IF(SUM(Q2516:DL2516)&lt;1,"",SUM(Q2516:DL2516)/COUNTIF(Q2516:DL2516,"&gt;0")))</f>
        <v>0</v>
      </c>
      <c r="P2516" s="109">
        <f>SUMIFS(Q2516:DK2516,Q$1:DK$1,Dashboard!$K$31)</f>
        <v>0</v>
      </c>
      <c r="U2516" s="95">
        <v>33</v>
      </c>
      <c r="AA2516" s="95">
        <v>25</v>
      </c>
      <c r="AH2516" s="95">
        <v>75</v>
      </c>
    </row>
    <row r="2517" spans="1:34" ht="15.6" x14ac:dyDescent="0.3">
      <c r="A2517" s="89" t="str">
        <f>CONCATENATE(D2517,".",F2517,"-",G2517,".",H2517,"")</f>
        <v>2.4-11.1</v>
      </c>
      <c r="B2517" s="89" t="str">
        <f>IF(CONCATENATE(I2517,Key!F$2)=CONCATENATE(INDEX(Dashboard!J:J,MATCH(I2517,Dashboard!J:J,0),1),INDEX(Dashboard!J:K,MATCH(I2517,Dashboard!J:J,0),2)),"ON",IF(Dashboard!K$32="ALL","ON","-"))</f>
        <v>-</v>
      </c>
      <c r="C2517" s="88" t="s">
        <v>152</v>
      </c>
      <c r="D2517" s="89">
        <f>IF(C2517="ID",1,(IF(C2517="PR",2,(IF(C2517="DE",3,(IF(C2517="RS",4,(IF(C2517="RC",5,0)))))))))</f>
        <v>2</v>
      </c>
      <c r="E2517" s="89" t="s">
        <v>228</v>
      </c>
      <c r="F2517" s="89">
        <f>IF(E2517="AM",1,(IF(E2517="BE",2,(IF(E2517="GV",3,(IF(E2517="RA",4,(IF(E2517="RM",5,(IF(E2517="AC",1,(IF(E2517="AT",2,(IF(E2517="DS",3,(IF(E2517="IP",4,(IF(E2517="MA",5,(IF(E2517="PT",6,(IF(E2517="AE",1,(IF(E2517="CM",2,(IF(E2517="DP",3,(IF(E2517="AN",1,(IF(E2517="CO",2,(IF(E2517="IM",3,(IF(E2517="MI",4,(IF(E2517="RP",5,(IF(E2517="SC",6,0)))))))))))))))))))))))))))))))))))))))</f>
        <v>4</v>
      </c>
      <c r="G2517" s="52">
        <v>11</v>
      </c>
      <c r="H2517" s="90" t="s">
        <v>115</v>
      </c>
      <c r="I2517" s="94" t="s">
        <v>60</v>
      </c>
      <c r="J2517" s="87" t="s">
        <v>3238</v>
      </c>
      <c r="K2517" s="51" t="s">
        <v>5351</v>
      </c>
      <c r="L2517" s="117">
        <f>IF(O2517="","",N2517*O2517*M2517)</f>
        <v>0</v>
      </c>
      <c r="M2517" s="108">
        <v>1</v>
      </c>
      <c r="N2517" s="95">
        <v>1</v>
      </c>
      <c r="O2517" s="109">
        <f>IF(Key!D$1="ON",P2517,IF(SUM(Q2517:DL2517)&lt;1,"",SUM(Q2517:DL2517)/COUNTIF(Q2517:DL2517,"&gt;0")))</f>
        <v>0</v>
      </c>
      <c r="P2517" s="109">
        <f>SUMIFS(Q2517:DK2517,Q$1:DK$1,Dashboard!$K$31)</f>
        <v>0</v>
      </c>
      <c r="U2517" s="95">
        <v>33</v>
      </c>
      <c r="AA2517" s="95">
        <v>25</v>
      </c>
      <c r="AH2517" s="95">
        <v>75</v>
      </c>
    </row>
    <row r="2518" spans="1:34" x14ac:dyDescent="0.3">
      <c r="A2518" s="89" t="str">
        <f>CONCATENATE(D2518,".",F2518,"-",G2518,".",H2518,"")</f>
        <v>2.4-11.1</v>
      </c>
      <c r="B2518" s="89" t="str">
        <f>IF(CONCATENATE(I2518,Key!F$2)=CONCATENATE(INDEX(Dashboard!J:J,MATCH(I2518,Dashboard!J:J,0),1),INDEX(Dashboard!J:K,MATCH(I2518,Dashboard!J:J,0),2)),"ON",IF(Dashboard!K$32="ALL","ON","-"))</f>
        <v>-</v>
      </c>
      <c r="C2518" s="88" t="s">
        <v>152</v>
      </c>
      <c r="D2518" s="89">
        <f>IF(C2518="ID",1,(IF(C2518="PR",2,(IF(C2518="DE",3,(IF(C2518="RS",4,(IF(C2518="RC",5,0)))))))))</f>
        <v>2</v>
      </c>
      <c r="E2518" s="89" t="s">
        <v>228</v>
      </c>
      <c r="F2518" s="89">
        <f>IF(E2518="AM",1,(IF(E2518="BE",2,(IF(E2518="GV",3,(IF(E2518="RA",4,(IF(E2518="RM",5,(IF(E2518="AC",1,(IF(E2518="AT",2,(IF(E2518="DS",3,(IF(E2518="IP",4,(IF(E2518="MA",5,(IF(E2518="PT",6,(IF(E2518="AE",1,(IF(E2518="CM",2,(IF(E2518="DP",3,(IF(E2518="AN",1,(IF(E2518="CO",2,(IF(E2518="IM",3,(IF(E2518="MI",4,(IF(E2518="RP",5,(IF(E2518="SC",6,0)))))))))))))))))))))))))))))))))))))))</f>
        <v>4</v>
      </c>
      <c r="G2518" s="98">
        <v>11</v>
      </c>
      <c r="H2518" s="99">
        <v>1</v>
      </c>
      <c r="I2518" s="94" t="s">
        <v>73</v>
      </c>
      <c r="J2518" s="86" t="s">
        <v>4199</v>
      </c>
      <c r="K2518" s="107" t="s">
        <v>4320</v>
      </c>
      <c r="L2518" s="117">
        <f>IF(O2518="","",N2518*O2518*M2518)</f>
        <v>0</v>
      </c>
      <c r="M2518" s="108">
        <v>1</v>
      </c>
      <c r="N2518" s="95">
        <v>1</v>
      </c>
      <c r="O2518" s="109">
        <f>IF(Key!D$1="ON",P2518,IF(SUM(Q2518:DL2518)&lt;1,"",SUM(Q2518:DL2518)/COUNTIF(Q2518:DL2518,"&gt;0")))</f>
        <v>0</v>
      </c>
      <c r="P2518" s="109">
        <f>SUMIFS(Q2518:DK2518,Q$1:DK$1,Dashboard!$K$31)</f>
        <v>0</v>
      </c>
      <c r="U2518" s="95">
        <v>33</v>
      </c>
      <c r="AA2518" s="95">
        <v>25</v>
      </c>
      <c r="AH2518" s="95">
        <v>75</v>
      </c>
    </row>
    <row r="2519" spans="1:34" ht="15.6" x14ac:dyDescent="0.3">
      <c r="A2519" s="89" t="str">
        <f>CONCATENATE(D2519,".",F2519,"-",G2519,".",H2519,"")</f>
        <v>2.4-11.1</v>
      </c>
      <c r="B2519" s="89" t="str">
        <f>IF(CONCATENATE(I2519,Key!F$2)=CONCATENATE(INDEX(Dashboard!J:J,MATCH(I2519,Dashboard!J:J,0),1),INDEX(Dashboard!J:K,MATCH(I2519,Dashboard!J:J,0),2)),"ON",IF(Dashboard!K$32="ALL","ON","-"))</f>
        <v>-</v>
      </c>
      <c r="C2519" s="88" t="s">
        <v>152</v>
      </c>
      <c r="D2519" s="89">
        <f>IF(C2519="ID",1,(IF(C2519="PR",2,(IF(C2519="DE",3,(IF(C2519="RS",4,(IF(C2519="RC",5,0)))))))))</f>
        <v>2</v>
      </c>
      <c r="E2519" s="89" t="s">
        <v>228</v>
      </c>
      <c r="F2519" s="89">
        <f>IF(E2519="AM",1,(IF(E2519="BE",2,(IF(E2519="GV",3,(IF(E2519="RA",4,(IF(E2519="RM",5,(IF(E2519="AC",1,(IF(E2519="AT",2,(IF(E2519="DS",3,(IF(E2519="IP",4,(IF(E2519="MA",5,(IF(E2519="PT",6,(IF(E2519="AE",1,(IF(E2519="CM",2,(IF(E2519="DP",3,(IF(E2519="AN",1,(IF(E2519="CO",2,(IF(E2519="IM",3,(IF(E2519="MI",4,(IF(E2519="RP",5,(IF(E2519="SC",6,0)))))))))))))))))))))))))))))))))))))))</f>
        <v>4</v>
      </c>
      <c r="G2519" s="52">
        <v>11</v>
      </c>
      <c r="H2519" s="90" t="s">
        <v>115</v>
      </c>
      <c r="I2519" s="94" t="s">
        <v>73</v>
      </c>
      <c r="J2519" s="86" t="s">
        <v>4200</v>
      </c>
      <c r="K2519" s="101" t="s">
        <v>5197</v>
      </c>
      <c r="L2519" s="117">
        <f>IF(O2519="","",N2519*O2519*M2519)</f>
        <v>0</v>
      </c>
      <c r="M2519" s="108">
        <v>1</v>
      </c>
      <c r="N2519" s="95">
        <v>1</v>
      </c>
      <c r="O2519" s="109">
        <f>IF(Key!D$1="ON",P2519,IF(SUM(Q2519:DL2519)&lt;1,"",SUM(Q2519:DL2519)/COUNTIF(Q2519:DL2519,"&gt;0")))</f>
        <v>0</v>
      </c>
      <c r="P2519" s="109">
        <f>SUMIFS(Q2519:DK2519,Q$1:DK$1,Dashboard!$K$31)</f>
        <v>0</v>
      </c>
      <c r="U2519" s="95">
        <v>33</v>
      </c>
      <c r="AA2519" s="95">
        <v>25</v>
      </c>
      <c r="AH2519" s="95">
        <v>75</v>
      </c>
    </row>
    <row r="2520" spans="1:34" x14ac:dyDescent="0.3">
      <c r="A2520" s="89" t="str">
        <f>CONCATENATE(D2520,".",F2520,"-",G2520,".",H2520,"")</f>
        <v>2.4-11.1</v>
      </c>
      <c r="B2520" s="89" t="str">
        <f>IF(CONCATENATE(I2520,Key!F$2)=CONCATENATE(INDEX(Dashboard!J:J,MATCH(I2520,Dashboard!J:J,0),1),INDEX(Dashboard!J:K,MATCH(I2520,Dashboard!J:J,0),2)),"ON",IF(Dashboard!K$32="ALL","ON","-"))</f>
        <v>-</v>
      </c>
      <c r="C2520" s="88" t="s">
        <v>152</v>
      </c>
      <c r="D2520" s="89">
        <f>IF(C2520="ID",1,(IF(C2520="PR",2,(IF(C2520="DE",3,(IF(C2520="RS",4,(IF(C2520="RC",5,0)))))))))</f>
        <v>2</v>
      </c>
      <c r="E2520" s="89" t="s">
        <v>228</v>
      </c>
      <c r="F2520" s="89">
        <f>IF(E2520="AM",1,(IF(E2520="BE",2,(IF(E2520="GV",3,(IF(E2520="RA",4,(IF(E2520="RM",5,(IF(E2520="AC",1,(IF(E2520="AT",2,(IF(E2520="DS",3,(IF(E2520="IP",4,(IF(E2520="MA",5,(IF(E2520="PT",6,(IF(E2520="AE",1,(IF(E2520="CM",2,(IF(E2520="DP",3,(IF(E2520="AN",1,(IF(E2520="CO",2,(IF(E2520="IM",3,(IF(E2520="MI",4,(IF(E2520="RP",5,(IF(E2520="SC",6,0)))))))))))))))))))))))))))))))))))))))</f>
        <v>4</v>
      </c>
      <c r="G2520" s="52">
        <v>11</v>
      </c>
      <c r="H2520" s="90" t="s">
        <v>115</v>
      </c>
      <c r="I2520" s="95" t="s">
        <v>77</v>
      </c>
      <c r="J2520" s="87" t="s">
        <v>1544</v>
      </c>
      <c r="K2520" s="102" t="s">
        <v>2508</v>
      </c>
      <c r="L2520" s="117">
        <f>IF(O2520="","",N2520*O2520*M2520)</f>
        <v>0</v>
      </c>
      <c r="M2520" s="108">
        <v>1</v>
      </c>
      <c r="N2520" s="95">
        <v>1</v>
      </c>
      <c r="O2520" s="109">
        <f>IF(Key!D$1="ON",P2520,IF(SUM(Q2520:DL2520)&lt;1,"",SUM(Q2520:DL2520)/COUNTIF(Q2520:DL2520,"&gt;0")))</f>
        <v>0</v>
      </c>
      <c r="P2520" s="109">
        <f>SUMIFS(Q2520:DK2520,Q$1:DK$1,Dashboard!$K$31)</f>
        <v>0</v>
      </c>
      <c r="U2520" s="95">
        <v>33</v>
      </c>
      <c r="AA2520" s="95">
        <v>25</v>
      </c>
      <c r="AH2520" s="95">
        <v>75</v>
      </c>
    </row>
    <row r="2521" spans="1:34" x14ac:dyDescent="0.3">
      <c r="A2521" s="89" t="str">
        <f>CONCATENATE(D2521,".",F2521,"-",G2521,".",H2521,"")</f>
        <v>2.4-11.1</v>
      </c>
      <c r="B2521" s="89" t="str">
        <f>IF(CONCATENATE(I2521,Key!F$2)=CONCATENATE(INDEX(Dashboard!J:J,MATCH(I2521,Dashboard!J:J,0),1),INDEX(Dashboard!J:K,MATCH(I2521,Dashboard!J:J,0),2)),"ON",IF(Dashboard!K$32="ALL","ON","-"))</f>
        <v>-</v>
      </c>
      <c r="C2521" s="88" t="s">
        <v>152</v>
      </c>
      <c r="D2521" s="89">
        <f>IF(C2521="ID",1,(IF(C2521="PR",2,(IF(C2521="DE",3,(IF(C2521="RS",4,(IF(C2521="RC",5,0)))))))))</f>
        <v>2</v>
      </c>
      <c r="E2521" s="89" t="s">
        <v>228</v>
      </c>
      <c r="F2521" s="89">
        <f>IF(E2521="AM",1,(IF(E2521="BE",2,(IF(E2521="GV",3,(IF(E2521="RA",4,(IF(E2521="RM",5,(IF(E2521="AC",1,(IF(E2521="AT",2,(IF(E2521="DS",3,(IF(E2521="IP",4,(IF(E2521="MA",5,(IF(E2521="PT",6,(IF(E2521="AE",1,(IF(E2521="CM",2,(IF(E2521="DP",3,(IF(E2521="AN",1,(IF(E2521="CO",2,(IF(E2521="IM",3,(IF(E2521="MI",4,(IF(E2521="RP",5,(IF(E2521="SC",6,0)))))))))))))))))))))))))))))))))))))))</f>
        <v>4</v>
      </c>
      <c r="G2521" s="52">
        <v>11</v>
      </c>
      <c r="H2521" s="90" t="s">
        <v>115</v>
      </c>
      <c r="I2521" s="95" t="s">
        <v>77</v>
      </c>
      <c r="J2521" s="87" t="s">
        <v>1546</v>
      </c>
      <c r="K2521" s="102" t="s">
        <v>2509</v>
      </c>
      <c r="L2521" s="117">
        <f>IF(O2521="","",N2521*O2521*M2521)</f>
        <v>0</v>
      </c>
      <c r="M2521" s="108">
        <v>1</v>
      </c>
      <c r="N2521" s="95">
        <v>1</v>
      </c>
      <c r="O2521" s="109">
        <f>IF(Key!D$1="ON",P2521,IF(SUM(Q2521:DL2521)&lt;1,"",SUM(Q2521:DL2521)/COUNTIF(Q2521:DL2521,"&gt;0")))</f>
        <v>0</v>
      </c>
      <c r="P2521" s="109">
        <f>SUMIFS(Q2521:DK2521,Q$1:DK$1,Dashboard!$K$31)</f>
        <v>0</v>
      </c>
      <c r="U2521" s="95">
        <v>33</v>
      </c>
      <c r="AA2521" s="95">
        <v>25</v>
      </c>
      <c r="AH2521" s="95">
        <v>75</v>
      </c>
    </row>
    <row r="2522" spans="1:34" x14ac:dyDescent="0.3">
      <c r="A2522" s="89" t="str">
        <f>CONCATENATE(D2522,".",F2522,"-",G2522,".",H2522,"")</f>
        <v>2.4-11.1</v>
      </c>
      <c r="B2522" s="89" t="str">
        <f>IF(CONCATENATE(I2522,Key!F$2)=CONCATENATE(INDEX(Dashboard!J:J,MATCH(I2522,Dashboard!J:J,0),1),INDEX(Dashboard!J:K,MATCH(I2522,Dashboard!J:J,0),2)),"ON",IF(Dashboard!K$32="ALL","ON","-"))</f>
        <v>-</v>
      </c>
      <c r="C2522" s="88" t="s">
        <v>152</v>
      </c>
      <c r="D2522" s="89">
        <f>IF(C2522="ID",1,(IF(C2522="PR",2,(IF(C2522="DE",3,(IF(C2522="RS",4,(IF(C2522="RC",5,0)))))))))</f>
        <v>2</v>
      </c>
      <c r="E2522" s="89" t="s">
        <v>228</v>
      </c>
      <c r="F2522" s="89">
        <f>IF(E2522="AM",1,(IF(E2522="BE",2,(IF(E2522="GV",3,(IF(E2522="RA",4,(IF(E2522="RM",5,(IF(E2522="AC",1,(IF(E2522="AT",2,(IF(E2522="DS",3,(IF(E2522="IP",4,(IF(E2522="MA",5,(IF(E2522="PT",6,(IF(E2522="AE",1,(IF(E2522="CM",2,(IF(E2522="DP",3,(IF(E2522="AN",1,(IF(E2522="CO",2,(IF(E2522="IM",3,(IF(E2522="MI",4,(IF(E2522="RP",5,(IF(E2522="SC",6,0)))))))))))))))))))))))))))))))))))))))</f>
        <v>4</v>
      </c>
      <c r="G2522" s="52">
        <v>11</v>
      </c>
      <c r="H2522" s="90" t="s">
        <v>115</v>
      </c>
      <c r="I2522" s="95" t="s">
        <v>77</v>
      </c>
      <c r="J2522" s="87" t="s">
        <v>1548</v>
      </c>
      <c r="K2522" s="102" t="s">
        <v>2510</v>
      </c>
      <c r="L2522" s="117">
        <f>IF(O2522="","",N2522*O2522*M2522)</f>
        <v>0</v>
      </c>
      <c r="M2522" s="108">
        <v>1</v>
      </c>
      <c r="N2522" s="95">
        <v>1</v>
      </c>
      <c r="O2522" s="109">
        <f>IF(Key!D$1="ON",P2522,IF(SUM(Q2522:DL2522)&lt;1,"",SUM(Q2522:DL2522)/COUNTIF(Q2522:DL2522,"&gt;0")))</f>
        <v>0</v>
      </c>
      <c r="P2522" s="109">
        <f>SUMIFS(Q2522:DK2522,Q$1:DK$1,Dashboard!$K$31)</f>
        <v>0</v>
      </c>
      <c r="U2522" s="95">
        <v>33</v>
      </c>
      <c r="AA2522" s="95">
        <v>25</v>
      </c>
      <c r="AH2522" s="95">
        <v>75</v>
      </c>
    </row>
    <row r="2523" spans="1:34" x14ac:dyDescent="0.3">
      <c r="A2523" s="89" t="str">
        <f>CONCATENATE(D2523,".",F2523,"-",G2523,".",H2523,"")</f>
        <v>2.4-11.1</v>
      </c>
      <c r="B2523" s="89" t="str">
        <f>IF(CONCATENATE(I2523,Key!F$2)=CONCATENATE(INDEX(Dashboard!J:J,MATCH(I2523,Dashboard!J:J,0),1),INDEX(Dashboard!J:K,MATCH(I2523,Dashboard!J:J,0),2)),"ON",IF(Dashboard!K$32="ALL","ON","-"))</f>
        <v>-</v>
      </c>
      <c r="C2523" s="88" t="s">
        <v>152</v>
      </c>
      <c r="D2523" s="89">
        <f>IF(C2523="ID",1,(IF(C2523="PR",2,(IF(C2523="DE",3,(IF(C2523="RS",4,(IF(C2523="RC",5,0)))))))))</f>
        <v>2</v>
      </c>
      <c r="E2523" s="89" t="s">
        <v>228</v>
      </c>
      <c r="F2523" s="89">
        <f>IF(E2523="AM",1,(IF(E2523="BE",2,(IF(E2523="GV",3,(IF(E2523="RA",4,(IF(E2523="RM",5,(IF(E2523="AC",1,(IF(E2523="AT",2,(IF(E2523="DS",3,(IF(E2523="IP",4,(IF(E2523="MA",5,(IF(E2523="PT",6,(IF(E2523="AE",1,(IF(E2523="CM",2,(IF(E2523="DP",3,(IF(E2523="AN",1,(IF(E2523="CO",2,(IF(E2523="IM",3,(IF(E2523="MI",4,(IF(E2523="RP",5,(IF(E2523="SC",6,0)))))))))))))))))))))))))))))))))))))))</f>
        <v>4</v>
      </c>
      <c r="G2523" s="52">
        <v>11</v>
      </c>
      <c r="H2523" s="90" t="s">
        <v>115</v>
      </c>
      <c r="I2523" s="95" t="s">
        <v>77</v>
      </c>
      <c r="J2523" s="87" t="s">
        <v>1549</v>
      </c>
      <c r="K2523" s="102" t="s">
        <v>2511</v>
      </c>
      <c r="L2523" s="117">
        <f>IF(O2523="","",N2523*O2523*M2523)</f>
        <v>0</v>
      </c>
      <c r="M2523" s="108">
        <v>1</v>
      </c>
      <c r="N2523" s="95">
        <v>1</v>
      </c>
      <c r="O2523" s="109">
        <f>IF(Key!D$1="ON",P2523,IF(SUM(Q2523:DL2523)&lt;1,"",SUM(Q2523:DL2523)/COUNTIF(Q2523:DL2523,"&gt;0")))</f>
        <v>0</v>
      </c>
      <c r="P2523" s="109">
        <f>SUMIFS(Q2523:DK2523,Q$1:DK$1,Dashboard!$K$31)</f>
        <v>0</v>
      </c>
      <c r="U2523" s="95">
        <v>33</v>
      </c>
      <c r="AA2523" s="95">
        <v>25</v>
      </c>
      <c r="AH2523" s="95">
        <v>75</v>
      </c>
    </row>
    <row r="2524" spans="1:34" ht="15.6" x14ac:dyDescent="0.3">
      <c r="A2524" s="89" t="str">
        <f>CONCATENATE(D2524,".",F2524,"-",G2524,".",H2524,"")</f>
        <v>2.4-11.1</v>
      </c>
      <c r="B2524" s="89" t="str">
        <f>IF(CONCATENATE(I2524,Key!F$2)=CONCATENATE(INDEX(Dashboard!J:J,MATCH(I2524,Dashboard!J:J,0),1),INDEX(Dashboard!J:K,MATCH(I2524,Dashboard!J:J,0),2)),"ON",IF(Dashboard!K$32="ALL","ON","-"))</f>
        <v>-</v>
      </c>
      <c r="C2524" s="88" t="s">
        <v>152</v>
      </c>
      <c r="D2524" s="89">
        <f>IF(C2524="ID",1,(IF(C2524="PR",2,(IF(C2524="DE",3,(IF(C2524="RS",4,(IF(C2524="RC",5,0)))))))))</f>
        <v>2</v>
      </c>
      <c r="E2524" s="89" t="s">
        <v>228</v>
      </c>
      <c r="F2524" s="89">
        <f>IF(E2524="AM",1,(IF(E2524="BE",2,(IF(E2524="GV",3,(IF(E2524="RA",4,(IF(E2524="RM",5,(IF(E2524="AC",1,(IF(E2524="AT",2,(IF(E2524="DS",3,(IF(E2524="IP",4,(IF(E2524="MA",5,(IF(E2524="PT",6,(IF(E2524="AE",1,(IF(E2524="CM",2,(IF(E2524="DP",3,(IF(E2524="AN",1,(IF(E2524="CO",2,(IF(E2524="IM",3,(IF(E2524="MI",4,(IF(E2524="RP",5,(IF(E2524="SC",6,0)))))))))))))))))))))))))))))))))))))))</f>
        <v>4</v>
      </c>
      <c r="G2524" s="52">
        <v>11</v>
      </c>
      <c r="H2524" s="90" t="s">
        <v>115</v>
      </c>
      <c r="I2524" s="95" t="s">
        <v>77</v>
      </c>
      <c r="J2524" s="87" t="s">
        <v>1550</v>
      </c>
      <c r="K2524" s="102" t="s">
        <v>2512</v>
      </c>
      <c r="L2524" s="117">
        <f>IF(O2524="","",N2524*O2524*M2524)</f>
        <v>0</v>
      </c>
      <c r="M2524" s="108">
        <v>1</v>
      </c>
      <c r="N2524" s="95">
        <v>1</v>
      </c>
      <c r="O2524" s="109">
        <f>IF(Key!D$1="ON",P2524,IF(SUM(Q2524:DL2524)&lt;1,"",SUM(Q2524:DL2524)/COUNTIF(Q2524:DL2524,"&gt;0")))</f>
        <v>0</v>
      </c>
      <c r="P2524" s="109">
        <f>SUMIFS(Q2524:DK2524,Q$1:DK$1,Dashboard!$K$31)</f>
        <v>0</v>
      </c>
      <c r="U2524" s="95">
        <v>33</v>
      </c>
      <c r="AA2524" s="95">
        <v>25</v>
      </c>
      <c r="AH2524" s="95">
        <v>75</v>
      </c>
    </row>
    <row r="2525" spans="1:34" x14ac:dyDescent="0.3">
      <c r="A2525" s="89" t="str">
        <f>CONCATENATE(D2525,".",F2525,"-",G2525,".",H2525,"")</f>
        <v>2.4-11.1</v>
      </c>
      <c r="B2525" s="89" t="str">
        <f>IF(CONCATENATE(I2525,Key!F$2)=CONCATENATE(INDEX(Dashboard!J:J,MATCH(I2525,Dashboard!J:J,0),1),INDEX(Dashboard!J:K,MATCH(I2525,Dashboard!J:J,0),2)),"ON",IF(Dashboard!K$32="ALL","ON","-"))</f>
        <v>-</v>
      </c>
      <c r="C2525" s="88" t="s">
        <v>152</v>
      </c>
      <c r="D2525" s="89">
        <f>IF(C2525="ID",1,(IF(C2525="PR",2,(IF(C2525="DE",3,(IF(C2525="RS",4,(IF(C2525="RC",5,0)))))))))</f>
        <v>2</v>
      </c>
      <c r="E2525" s="89" t="s">
        <v>228</v>
      </c>
      <c r="F2525" s="89">
        <f>IF(E2525="AM",1,(IF(E2525="BE",2,(IF(E2525="GV",3,(IF(E2525="RA",4,(IF(E2525="RM",5,(IF(E2525="AC",1,(IF(E2525="AT",2,(IF(E2525="DS",3,(IF(E2525="IP",4,(IF(E2525="MA",5,(IF(E2525="PT",6,(IF(E2525="AE",1,(IF(E2525="CM",2,(IF(E2525="DP",3,(IF(E2525="AN",1,(IF(E2525="CO",2,(IF(E2525="IM",3,(IF(E2525="MI",4,(IF(E2525="RP",5,(IF(E2525="SC",6,0)))))))))))))))))))))))))))))))))))))))</f>
        <v>4</v>
      </c>
      <c r="G2525" s="98">
        <v>11</v>
      </c>
      <c r="H2525" s="90" t="s">
        <v>115</v>
      </c>
      <c r="I2525" s="94" t="s">
        <v>77</v>
      </c>
      <c r="J2525" s="87" t="s">
        <v>1552</v>
      </c>
      <c r="K2525" s="102" t="s">
        <v>2513</v>
      </c>
      <c r="L2525" s="117">
        <f>IF(O2525="","",N2525*O2525*M2525)</f>
        <v>0</v>
      </c>
      <c r="M2525" s="108">
        <v>1</v>
      </c>
      <c r="N2525" s="95">
        <v>1</v>
      </c>
      <c r="O2525" s="109">
        <f>IF(Key!D$1="ON",P2525,IF(SUM(Q2525:DL2525)&lt;1,"",SUM(Q2525:DL2525)/COUNTIF(Q2525:DL2525,"&gt;0")))</f>
        <v>0</v>
      </c>
      <c r="P2525" s="109">
        <f>SUMIFS(Q2525:DK2525,Q$1:DK$1,Dashboard!$K$31)</f>
        <v>0</v>
      </c>
      <c r="U2525" s="95">
        <v>33</v>
      </c>
      <c r="AA2525" s="95">
        <v>25</v>
      </c>
      <c r="AH2525" s="95">
        <v>75</v>
      </c>
    </row>
    <row r="2526" spans="1:34" x14ac:dyDescent="0.3">
      <c r="A2526" s="89" t="str">
        <f>CONCATENATE(D2526,".",F2526,"-",G2526,".",H2526,"")</f>
        <v>2.4-11.1</v>
      </c>
      <c r="B2526" s="89" t="str">
        <f>IF(CONCATENATE(I2526,Key!F$2)=CONCATENATE(INDEX(Dashboard!J:J,MATCH(I2526,Dashboard!J:J,0),1),INDEX(Dashboard!J:K,MATCH(I2526,Dashboard!J:J,0),2)),"ON",IF(Dashboard!K$32="ALL","ON","-"))</f>
        <v>-</v>
      </c>
      <c r="C2526" s="88" t="s">
        <v>152</v>
      </c>
      <c r="D2526" s="89">
        <f>IF(C2526="ID",1,(IF(C2526="PR",2,(IF(C2526="DE",3,(IF(C2526="RS",4,(IF(C2526="RC",5,0)))))))))</f>
        <v>2</v>
      </c>
      <c r="E2526" s="89" t="s">
        <v>228</v>
      </c>
      <c r="F2526" s="89">
        <f>IF(E2526="AM",1,(IF(E2526="BE",2,(IF(E2526="GV",3,(IF(E2526="RA",4,(IF(E2526="RM",5,(IF(E2526="AC",1,(IF(E2526="AT",2,(IF(E2526="DS",3,(IF(E2526="IP",4,(IF(E2526="MA",5,(IF(E2526="PT",6,(IF(E2526="AE",1,(IF(E2526="CM",2,(IF(E2526="DP",3,(IF(E2526="AN",1,(IF(E2526="CO",2,(IF(E2526="IM",3,(IF(E2526="MI",4,(IF(E2526="RP",5,(IF(E2526="SC",6,0)))))))))))))))))))))))))))))))))))))))</f>
        <v>4</v>
      </c>
      <c r="G2526" s="98">
        <v>11</v>
      </c>
      <c r="H2526" s="90" t="s">
        <v>115</v>
      </c>
      <c r="I2526" s="94" t="s">
        <v>77</v>
      </c>
      <c r="J2526" s="87" t="s">
        <v>1554</v>
      </c>
      <c r="K2526" s="102" t="s">
        <v>2514</v>
      </c>
      <c r="L2526" s="117">
        <f>IF(O2526="","",N2526*O2526*M2526)</f>
        <v>0</v>
      </c>
      <c r="M2526" s="108">
        <v>1</v>
      </c>
      <c r="N2526" s="95">
        <v>1</v>
      </c>
      <c r="O2526" s="109">
        <f>IF(Key!D$1="ON",P2526,IF(SUM(Q2526:DL2526)&lt;1,"",SUM(Q2526:DL2526)/COUNTIF(Q2526:DL2526,"&gt;0")))</f>
        <v>0</v>
      </c>
      <c r="P2526" s="109">
        <f>SUMIFS(Q2526:DK2526,Q$1:DK$1,Dashboard!$K$31)</f>
        <v>0</v>
      </c>
      <c r="U2526" s="95">
        <v>33</v>
      </c>
      <c r="AA2526" s="95">
        <v>25</v>
      </c>
      <c r="AH2526" s="95">
        <v>75</v>
      </c>
    </row>
    <row r="2527" spans="1:34" x14ac:dyDescent="0.3">
      <c r="A2527" s="89" t="str">
        <f>CONCATENATE(D2527,".",F2527,"-",G2527,".",H2527,"")</f>
        <v>2.4-11.1</v>
      </c>
      <c r="B2527" s="89" t="str">
        <f>IF(CONCATENATE(I2527,Key!F$2)=CONCATENATE(INDEX(Dashboard!J:J,MATCH(I2527,Dashboard!J:J,0),1),INDEX(Dashboard!J:K,MATCH(I2527,Dashboard!J:J,0),2)),"ON",IF(Dashboard!K$32="ALL","ON","-"))</f>
        <v>-</v>
      </c>
      <c r="C2527" s="88" t="s">
        <v>152</v>
      </c>
      <c r="D2527" s="89">
        <f>IF(C2527="ID",1,(IF(C2527="PR",2,(IF(C2527="DE",3,(IF(C2527="RS",4,(IF(C2527="RC",5,0)))))))))</f>
        <v>2</v>
      </c>
      <c r="E2527" s="89" t="s">
        <v>228</v>
      </c>
      <c r="F2527" s="89">
        <f>IF(E2527="AM",1,(IF(E2527="BE",2,(IF(E2527="GV",3,(IF(E2527="RA",4,(IF(E2527="RM",5,(IF(E2527="AC",1,(IF(E2527="AT",2,(IF(E2527="DS",3,(IF(E2527="IP",4,(IF(E2527="MA",5,(IF(E2527="PT",6,(IF(E2527="AE",1,(IF(E2527="CM",2,(IF(E2527="DP",3,(IF(E2527="AN",1,(IF(E2527="CO",2,(IF(E2527="IM",3,(IF(E2527="MI",4,(IF(E2527="RP",5,(IF(E2527="SC",6,0)))))))))))))))))))))))))))))))))))))))</f>
        <v>4</v>
      </c>
      <c r="G2527" s="52">
        <v>11</v>
      </c>
      <c r="H2527" s="90" t="s">
        <v>115</v>
      </c>
      <c r="I2527" s="94" t="s">
        <v>85</v>
      </c>
      <c r="J2527" s="135" t="s">
        <v>740</v>
      </c>
      <c r="K2527" s="143" t="s">
        <v>4882</v>
      </c>
      <c r="L2527" s="117">
        <f>IF(O2527="","",N2527*O2527*M2527)</f>
        <v>0</v>
      </c>
      <c r="M2527" s="108">
        <v>1</v>
      </c>
      <c r="N2527" s="95">
        <v>1</v>
      </c>
      <c r="O2527" s="109">
        <f>IF(Key!D$1="ON",P2527,IF(SUM(Q2527:DL2527)&lt;1,"",SUM(Q2527:DL2527)/COUNTIF(Q2527:DL2527,"&gt;0")))</f>
        <v>0</v>
      </c>
      <c r="P2527" s="109">
        <f>SUMIFS(Q2527:DK2527,Q$1:DK$1,Dashboard!$K$31)</f>
        <v>0</v>
      </c>
      <c r="U2527" s="95">
        <v>33</v>
      </c>
      <c r="AA2527" s="95">
        <v>25</v>
      </c>
      <c r="AH2527" s="95">
        <v>75</v>
      </c>
    </row>
    <row r="2528" spans="1:34" x14ac:dyDescent="0.3">
      <c r="A2528" s="89" t="str">
        <f>CONCATENATE(D2528,".",F2528,"-",G2528,".",H2528,"")</f>
        <v>2.4-11.1</v>
      </c>
      <c r="B2528" s="89" t="str">
        <f>IF(CONCATENATE(I2528,Key!F$2)=CONCATENATE(INDEX(Dashboard!J:J,MATCH(I2528,Dashboard!J:J,0),1),INDEX(Dashboard!J:K,MATCH(I2528,Dashboard!J:J,0),2)),"ON",IF(Dashboard!K$32="ALL","ON","-"))</f>
        <v>-</v>
      </c>
      <c r="C2528" s="88" t="s">
        <v>152</v>
      </c>
      <c r="D2528" s="89">
        <f>IF(C2528="ID",1,(IF(C2528="PR",2,(IF(C2528="DE",3,(IF(C2528="RS",4,(IF(C2528="RC",5,0)))))))))</f>
        <v>2</v>
      </c>
      <c r="E2528" s="89" t="s">
        <v>228</v>
      </c>
      <c r="F2528" s="89">
        <f>IF(E2528="AM",1,(IF(E2528="BE",2,(IF(E2528="GV",3,(IF(E2528="RA",4,(IF(E2528="RM",5,(IF(E2528="AC",1,(IF(E2528="AT",2,(IF(E2528="DS",3,(IF(E2528="IP",4,(IF(E2528="MA",5,(IF(E2528="PT",6,(IF(E2528="AE",1,(IF(E2528="CM",2,(IF(E2528="DP",3,(IF(E2528="AN",1,(IF(E2528="CO",2,(IF(E2528="IM",3,(IF(E2528="MI",4,(IF(E2528="RP",5,(IF(E2528="SC",6,0)))))))))))))))))))))))))))))))))))))))</f>
        <v>4</v>
      </c>
      <c r="G2528" s="52">
        <v>11</v>
      </c>
      <c r="H2528" s="90" t="s">
        <v>115</v>
      </c>
      <c r="I2528" s="94" t="s">
        <v>85</v>
      </c>
      <c r="J2528" s="87" t="s">
        <v>1549</v>
      </c>
      <c r="K2528" s="119" t="s">
        <v>4884</v>
      </c>
      <c r="L2528" s="117">
        <f>IF(O2528="","",N2528*O2528*M2528)</f>
        <v>0</v>
      </c>
      <c r="M2528" s="108">
        <v>1</v>
      </c>
      <c r="N2528" s="95">
        <v>1</v>
      </c>
      <c r="O2528" s="109">
        <f>IF(Key!D$1="ON",P2528,IF(SUM(Q2528:DL2528)&lt;1,"",SUM(Q2528:DL2528)/COUNTIF(Q2528:DL2528,"&gt;0")))</f>
        <v>0</v>
      </c>
      <c r="P2528" s="109">
        <f>SUMIFS(Q2528:DK2528,Q$1:DK$1,Dashboard!$K$31)</f>
        <v>0</v>
      </c>
      <c r="U2528" s="95">
        <v>33</v>
      </c>
      <c r="AA2528" s="95">
        <v>25</v>
      </c>
      <c r="AH2528" s="95">
        <v>75</v>
      </c>
    </row>
    <row r="2529" spans="1:34" x14ac:dyDescent="0.3">
      <c r="A2529" s="89" t="str">
        <f>CONCATENATE(D2529,".",F2529,"-",G2529,".",H2529,"")</f>
        <v>2.4-11.1</v>
      </c>
      <c r="B2529" s="89" t="str">
        <f>IF(CONCATENATE(I2529,Key!F$2)=CONCATENATE(INDEX(Dashboard!J:J,MATCH(I2529,Dashboard!J:J,0),1),INDEX(Dashboard!J:K,MATCH(I2529,Dashboard!J:J,0),2)),"ON",IF(Dashboard!K$32="ALL","ON","-"))</f>
        <v>-</v>
      </c>
      <c r="C2529" s="88" t="s">
        <v>152</v>
      </c>
      <c r="D2529" s="89">
        <f>IF(C2529="ID",1,(IF(C2529="PR",2,(IF(C2529="DE",3,(IF(C2529="RS",4,(IF(C2529="RC",5,0)))))))))</f>
        <v>2</v>
      </c>
      <c r="E2529" s="89" t="s">
        <v>228</v>
      </c>
      <c r="F2529" s="89">
        <f>IF(E2529="AM",1,(IF(E2529="BE",2,(IF(E2529="GV",3,(IF(E2529="RA",4,(IF(E2529="RM",5,(IF(E2529="AC",1,(IF(E2529="AT",2,(IF(E2529="DS",3,(IF(E2529="IP",4,(IF(E2529="MA",5,(IF(E2529="PT",6,(IF(E2529="AE",1,(IF(E2529="CM",2,(IF(E2529="DP",3,(IF(E2529="AN",1,(IF(E2529="CO",2,(IF(E2529="IM",3,(IF(E2529="MI",4,(IF(E2529="RP",5,(IF(E2529="SC",6,0)))))))))))))))))))))))))))))))))))))))</f>
        <v>4</v>
      </c>
      <c r="G2529" s="98">
        <v>11</v>
      </c>
      <c r="H2529" s="90" t="s">
        <v>115</v>
      </c>
      <c r="I2529" s="94" t="s">
        <v>85</v>
      </c>
      <c r="J2529" s="87" t="s">
        <v>1552</v>
      </c>
      <c r="K2529" s="119" t="s">
        <v>1553</v>
      </c>
      <c r="L2529" s="117">
        <f>IF(O2529="","",N2529*O2529*M2529)</f>
        <v>0</v>
      </c>
      <c r="M2529" s="108">
        <v>1</v>
      </c>
      <c r="N2529" s="95">
        <v>1</v>
      </c>
      <c r="O2529" s="109">
        <f>IF(Key!D$1="ON",P2529,IF(SUM(Q2529:DL2529)&lt;1,"",SUM(Q2529:DL2529)/COUNTIF(Q2529:DL2529,"&gt;0")))</f>
        <v>0</v>
      </c>
      <c r="P2529" s="109">
        <f>SUMIFS(Q2529:DK2529,Q$1:DK$1,Dashboard!$K$31)</f>
        <v>0</v>
      </c>
      <c r="U2529" s="95">
        <v>33</v>
      </c>
      <c r="AA2529" s="95">
        <v>25</v>
      </c>
      <c r="AH2529" s="95">
        <v>75</v>
      </c>
    </row>
    <row r="2530" spans="1:34" x14ac:dyDescent="0.3">
      <c r="A2530" s="89" t="str">
        <f>CONCATENATE(D2530,".",F2530,"-",G2530,".",H2530,"")</f>
        <v>2.4-11.1</v>
      </c>
      <c r="B2530" s="89" t="str">
        <f>IF(CONCATENATE(I2530,Key!F$2)=CONCATENATE(INDEX(Dashboard!J:J,MATCH(I2530,Dashboard!J:J,0),1),INDEX(Dashboard!J:K,MATCH(I2530,Dashboard!J:J,0),2)),"ON",IF(Dashboard!K$32="ALL","ON","-"))</f>
        <v>-</v>
      </c>
      <c r="C2530" s="88" t="s">
        <v>152</v>
      </c>
      <c r="D2530" s="89">
        <f>IF(C2530="ID",1,(IF(C2530="PR",2,(IF(C2530="DE",3,(IF(C2530="RS",4,(IF(C2530="RC",5,0)))))))))</f>
        <v>2</v>
      </c>
      <c r="E2530" s="89" t="s">
        <v>228</v>
      </c>
      <c r="F2530" s="89">
        <f>IF(E2530="AM",1,(IF(E2530="BE",2,(IF(E2530="GV",3,(IF(E2530="RA",4,(IF(E2530="RM",5,(IF(E2530="AC",1,(IF(E2530="AT",2,(IF(E2530="DS",3,(IF(E2530="IP",4,(IF(E2530="MA",5,(IF(E2530="PT",6,(IF(E2530="AE",1,(IF(E2530="CM",2,(IF(E2530="DP",3,(IF(E2530="AN",1,(IF(E2530="CO",2,(IF(E2530="IM",3,(IF(E2530="MI",4,(IF(E2530="RP",5,(IF(E2530="SC",6,0)))))))))))))))))))))))))))))))))))))))</f>
        <v>4</v>
      </c>
      <c r="G2530" s="52">
        <v>11</v>
      </c>
      <c r="H2530" s="90" t="s">
        <v>115</v>
      </c>
      <c r="I2530" s="94" t="s">
        <v>85</v>
      </c>
      <c r="J2530" s="87" t="s">
        <v>1555</v>
      </c>
      <c r="K2530" s="119" t="s">
        <v>1556</v>
      </c>
      <c r="L2530" s="117">
        <f>IF(O2530="","",N2530*O2530*M2530)</f>
        <v>0</v>
      </c>
      <c r="M2530" s="108">
        <v>1</v>
      </c>
      <c r="N2530" s="95">
        <v>1</v>
      </c>
      <c r="O2530" s="109">
        <f>IF(Key!D$1="ON",P2530,IF(SUM(Q2530:DL2530)&lt;1,"",SUM(Q2530:DL2530)/COUNTIF(Q2530:DL2530,"&gt;0")))</f>
        <v>0</v>
      </c>
      <c r="P2530" s="109">
        <f>SUMIFS(Q2530:DK2530,Q$1:DK$1,Dashboard!$K$31)</f>
        <v>0</v>
      </c>
      <c r="U2530" s="95">
        <v>33</v>
      </c>
      <c r="AA2530" s="95">
        <v>25</v>
      </c>
      <c r="AH2530" s="95">
        <v>75</v>
      </c>
    </row>
    <row r="2531" spans="1:34" x14ac:dyDescent="0.3">
      <c r="A2531" s="89" t="str">
        <f>CONCATENATE(D2531,".",F2531,"-",G2531,".",H2531,"")</f>
        <v>2.4-11.1</v>
      </c>
      <c r="B2531" s="89" t="str">
        <f>IF(CONCATENATE(I2531,Key!F$2)=CONCATENATE(INDEX(Dashboard!J:J,MATCH(I2531,Dashboard!J:J,0),1),INDEX(Dashboard!J:K,MATCH(I2531,Dashboard!J:J,0),2)),"ON",IF(Dashboard!K$32="ALL","ON","-"))</f>
        <v>-</v>
      </c>
      <c r="C2531" s="88" t="s">
        <v>152</v>
      </c>
      <c r="D2531" s="89">
        <f>IF(C2531="ID",1,(IF(C2531="PR",2,(IF(C2531="DE",3,(IF(C2531="RS",4,(IF(C2531="RC",5,0)))))))))</f>
        <v>2</v>
      </c>
      <c r="E2531" s="89" t="s">
        <v>228</v>
      </c>
      <c r="F2531" s="89">
        <f>IF(E2531="AM",1,(IF(E2531="BE",2,(IF(E2531="GV",3,(IF(E2531="RA",4,(IF(E2531="RM",5,(IF(E2531="AC",1,(IF(E2531="AT",2,(IF(E2531="DS",3,(IF(E2531="IP",4,(IF(E2531="MA",5,(IF(E2531="PT",6,(IF(E2531="AE",1,(IF(E2531="CM",2,(IF(E2531="DP",3,(IF(E2531="AN",1,(IF(E2531="CO",2,(IF(E2531="IM",3,(IF(E2531="MI",4,(IF(E2531="RP",5,(IF(E2531="SC",6,0)))))))))))))))))))))))))))))))))))))))</f>
        <v>4</v>
      </c>
      <c r="G2531" s="52">
        <v>11</v>
      </c>
      <c r="H2531" s="90" t="s">
        <v>115</v>
      </c>
      <c r="I2531" s="94" t="s">
        <v>85</v>
      </c>
      <c r="J2531" s="87" t="s">
        <v>1546</v>
      </c>
      <c r="K2531" s="119" t="s">
        <v>1547</v>
      </c>
      <c r="L2531" s="117">
        <f>IF(O2531="","",N2531*O2531*M2531)</f>
        <v>0</v>
      </c>
      <c r="M2531" s="108">
        <v>1</v>
      </c>
      <c r="N2531" s="95">
        <v>1</v>
      </c>
      <c r="O2531" s="109">
        <f>IF(Key!D$1="ON",P2531,IF(SUM(Q2531:DL2531)&lt;1,"",SUM(Q2531:DL2531)/COUNTIF(Q2531:DL2531,"&gt;0")))</f>
        <v>0</v>
      </c>
      <c r="P2531" s="109">
        <f>SUMIFS(Q2531:DK2531,Q$1:DK$1,Dashboard!$K$31)</f>
        <v>0</v>
      </c>
      <c r="U2531" s="95">
        <v>33</v>
      </c>
      <c r="AA2531" s="95">
        <v>25</v>
      </c>
      <c r="AH2531" s="95">
        <v>75</v>
      </c>
    </row>
    <row r="2532" spans="1:34" ht="15.6" x14ac:dyDescent="0.3">
      <c r="A2532" s="89" t="str">
        <f>CONCATENATE(D2532,".",F2532,"-",G2532,".",H2532,"")</f>
        <v>2.4-11.1</v>
      </c>
      <c r="B2532" s="89" t="str">
        <f>IF(CONCATENATE(I2532,Key!F$2)=CONCATENATE(INDEX(Dashboard!J:J,MATCH(I2532,Dashboard!J:J,0),1),INDEX(Dashboard!J:K,MATCH(I2532,Dashboard!J:J,0),2)),"ON",IF(Dashboard!K$32="ALL","ON","-"))</f>
        <v>-</v>
      </c>
      <c r="C2532" s="88" t="s">
        <v>152</v>
      </c>
      <c r="D2532" s="89">
        <f>IF(C2532="ID",1,(IF(C2532="PR",2,(IF(C2532="DE",3,(IF(C2532="RS",4,(IF(C2532="RC",5,0)))))))))</f>
        <v>2</v>
      </c>
      <c r="E2532" s="89" t="s">
        <v>228</v>
      </c>
      <c r="F2532" s="89">
        <f>IF(E2532="AM",1,(IF(E2532="BE",2,(IF(E2532="GV",3,(IF(E2532="RA",4,(IF(E2532="RM",5,(IF(E2532="AC",1,(IF(E2532="AT",2,(IF(E2532="DS",3,(IF(E2532="IP",4,(IF(E2532="MA",5,(IF(E2532="PT",6,(IF(E2532="AE",1,(IF(E2532="CM",2,(IF(E2532="DP",3,(IF(E2532="AN",1,(IF(E2532="CO",2,(IF(E2532="IM",3,(IF(E2532="MI",4,(IF(E2532="RP",5,(IF(E2532="SC",6,0)))))))))))))))))))))))))))))))))))))))</f>
        <v>4</v>
      </c>
      <c r="G2532" s="52">
        <v>11</v>
      </c>
      <c r="H2532" s="90" t="s">
        <v>115</v>
      </c>
      <c r="I2532" s="94" t="s">
        <v>85</v>
      </c>
      <c r="J2532" s="87" t="s">
        <v>1550</v>
      </c>
      <c r="K2532" s="119" t="s">
        <v>1551</v>
      </c>
      <c r="L2532" s="117">
        <f>IF(O2532="","",N2532*O2532*M2532)</f>
        <v>0</v>
      </c>
      <c r="M2532" s="108">
        <v>1</v>
      </c>
      <c r="N2532" s="95">
        <v>1</v>
      </c>
      <c r="O2532" s="109">
        <f>IF(Key!D$1="ON",P2532,IF(SUM(Q2532:DL2532)&lt;1,"",SUM(Q2532:DL2532)/COUNTIF(Q2532:DL2532,"&gt;0")))</f>
        <v>0</v>
      </c>
      <c r="P2532" s="109">
        <f>SUMIFS(Q2532:DK2532,Q$1:DK$1,Dashboard!$K$31)</f>
        <v>0</v>
      </c>
      <c r="U2532" s="95">
        <v>33</v>
      </c>
      <c r="AA2532" s="95">
        <v>25</v>
      </c>
      <c r="AH2532" s="95">
        <v>75</v>
      </c>
    </row>
    <row r="2533" spans="1:34" x14ac:dyDescent="0.3">
      <c r="A2533" s="89" t="str">
        <f>CONCATENATE(D2533,".",F2533,"-",G2533,".",H2533,"")</f>
        <v>2.4-11.1</v>
      </c>
      <c r="B2533" s="89" t="str">
        <f>IF(CONCATENATE(I2533,Key!F$2)=CONCATENATE(INDEX(Dashboard!J:J,MATCH(I2533,Dashboard!J:J,0),1),INDEX(Dashboard!J:K,MATCH(I2533,Dashboard!J:J,0),2)),"ON",IF(Dashboard!K$32="ALL","ON","-"))</f>
        <v>-</v>
      </c>
      <c r="C2533" s="88" t="s">
        <v>152</v>
      </c>
      <c r="D2533" s="89">
        <f>IF(C2533="ID",1,(IF(C2533="PR",2,(IF(C2533="DE",3,(IF(C2533="RS",4,(IF(C2533="RC",5,0)))))))))</f>
        <v>2</v>
      </c>
      <c r="E2533" s="89" t="s">
        <v>228</v>
      </c>
      <c r="F2533" s="89">
        <f>IF(E2533="AM",1,(IF(E2533="BE",2,(IF(E2533="GV",3,(IF(E2533="RA",4,(IF(E2533="RM",5,(IF(E2533="AC",1,(IF(E2533="AT",2,(IF(E2533="DS",3,(IF(E2533="IP",4,(IF(E2533="MA",5,(IF(E2533="PT",6,(IF(E2533="AE",1,(IF(E2533="CM",2,(IF(E2533="DP",3,(IF(E2533="AN",1,(IF(E2533="CO",2,(IF(E2533="IM",3,(IF(E2533="MI",4,(IF(E2533="RP",5,(IF(E2533="SC",6,0)))))))))))))))))))))))))))))))))))))))</f>
        <v>4</v>
      </c>
      <c r="G2533" s="52">
        <v>11</v>
      </c>
      <c r="H2533" s="90" t="s">
        <v>115</v>
      </c>
      <c r="I2533" s="94" t="s">
        <v>85</v>
      </c>
      <c r="J2533" s="87" t="s">
        <v>1544</v>
      </c>
      <c r="K2533" s="119" t="s">
        <v>1545</v>
      </c>
      <c r="L2533" s="117">
        <f>IF(O2533="","",N2533*O2533*M2533)</f>
        <v>0</v>
      </c>
      <c r="M2533" s="108">
        <v>1</v>
      </c>
      <c r="N2533" s="95">
        <v>1</v>
      </c>
      <c r="O2533" s="109">
        <f>IF(Key!D$1="ON",P2533,IF(SUM(Q2533:DL2533)&lt;1,"",SUM(Q2533:DL2533)/COUNTIF(Q2533:DL2533,"&gt;0")))</f>
        <v>0</v>
      </c>
      <c r="P2533" s="109">
        <f>SUMIFS(Q2533:DK2533,Q$1:DK$1,Dashboard!$K$31)</f>
        <v>0</v>
      </c>
      <c r="U2533" s="95">
        <v>33</v>
      </c>
      <c r="AA2533" s="95">
        <v>25</v>
      </c>
      <c r="AH2533" s="95">
        <v>75</v>
      </c>
    </row>
    <row r="2534" spans="1:34" x14ac:dyDescent="0.3">
      <c r="A2534" s="89" t="str">
        <f>CONCATENATE(D2534,".",F2534,"-",G2534,".",H2534,"")</f>
        <v>2.4-11.1</v>
      </c>
      <c r="B2534" s="89" t="str">
        <f>IF(CONCATENATE(I2534,Key!F$2)=CONCATENATE(INDEX(Dashboard!J:J,MATCH(I2534,Dashboard!J:J,0),1),INDEX(Dashboard!J:K,MATCH(I2534,Dashboard!J:J,0),2)),"ON",IF(Dashboard!K$32="ALL","ON","-"))</f>
        <v>-</v>
      </c>
      <c r="C2534" s="88" t="s">
        <v>152</v>
      </c>
      <c r="D2534" s="89">
        <f>IF(C2534="ID",1,(IF(C2534="PR",2,(IF(C2534="DE",3,(IF(C2534="RS",4,(IF(C2534="RC",5,0)))))))))</f>
        <v>2</v>
      </c>
      <c r="E2534" s="89" t="s">
        <v>228</v>
      </c>
      <c r="F2534" s="89">
        <f>IF(E2534="AM",1,(IF(E2534="BE",2,(IF(E2534="GV",3,(IF(E2534="RA",4,(IF(E2534="RM",5,(IF(E2534="AC",1,(IF(E2534="AT",2,(IF(E2534="DS",3,(IF(E2534="IP",4,(IF(E2534="MA",5,(IF(E2534="PT",6,(IF(E2534="AE",1,(IF(E2534="CM",2,(IF(E2534="DP",3,(IF(E2534="AN",1,(IF(E2534="CO",2,(IF(E2534="IM",3,(IF(E2534="MI",4,(IF(E2534="RP",5,(IF(E2534="SC",6,0)))))))))))))))))))))))))))))))))))))))</f>
        <v>4</v>
      </c>
      <c r="G2534" s="52">
        <v>11</v>
      </c>
      <c r="H2534" s="90" t="s">
        <v>115</v>
      </c>
      <c r="I2534" s="94" t="s">
        <v>85</v>
      </c>
      <c r="J2534" s="87" t="s">
        <v>1548</v>
      </c>
      <c r="K2534" s="119" t="s">
        <v>4883</v>
      </c>
      <c r="L2534" s="117">
        <f>IF(O2534="","",N2534*O2534*M2534)</f>
        <v>0</v>
      </c>
      <c r="M2534" s="108">
        <v>1</v>
      </c>
      <c r="N2534" s="95">
        <v>1</v>
      </c>
      <c r="O2534" s="109">
        <f>IF(Key!D$1="ON",P2534,IF(SUM(Q2534:DL2534)&lt;1,"",SUM(Q2534:DL2534)/COUNTIF(Q2534:DL2534,"&gt;0")))</f>
        <v>0</v>
      </c>
      <c r="P2534" s="109">
        <f>SUMIFS(Q2534:DK2534,Q$1:DK$1,Dashboard!$K$31)</f>
        <v>0</v>
      </c>
      <c r="U2534" s="95">
        <v>33</v>
      </c>
      <c r="AA2534" s="95">
        <v>25</v>
      </c>
      <c r="AH2534" s="95">
        <v>75</v>
      </c>
    </row>
    <row r="2535" spans="1:34" x14ac:dyDescent="0.3">
      <c r="A2535" s="89" t="str">
        <f>CONCATENATE(D2535,".",F2535,"-",G2535,".",H2535,"")</f>
        <v>2.4-11.1</v>
      </c>
      <c r="B2535" s="89" t="str">
        <f>IF(CONCATENATE(I2535,Key!F$2)=CONCATENATE(INDEX(Dashboard!J:J,MATCH(I2535,Dashboard!J:J,0),1),INDEX(Dashboard!J:K,MATCH(I2535,Dashboard!J:J,0),2)),"ON",IF(Dashboard!K$32="ALL","ON","-"))</f>
        <v>-</v>
      </c>
      <c r="C2535" s="88" t="s">
        <v>152</v>
      </c>
      <c r="D2535" s="89">
        <f>IF(C2535="ID",1,(IF(C2535="PR",2,(IF(C2535="DE",3,(IF(C2535="RS",4,(IF(C2535="RC",5,0)))))))))</f>
        <v>2</v>
      </c>
      <c r="E2535" s="89" t="s">
        <v>228</v>
      </c>
      <c r="F2535" s="89">
        <f>IF(E2535="AM",1,(IF(E2535="BE",2,(IF(E2535="GV",3,(IF(E2535="RA",4,(IF(E2535="RM",5,(IF(E2535="AC",1,(IF(E2535="AT",2,(IF(E2535="DS",3,(IF(E2535="IP",4,(IF(E2535="MA",5,(IF(E2535="PT",6,(IF(E2535="AE",1,(IF(E2535="CM",2,(IF(E2535="DP",3,(IF(E2535="AN",1,(IF(E2535="CO",2,(IF(E2535="IM",3,(IF(E2535="MI",4,(IF(E2535="RP",5,(IF(E2535="SC",6,0)))))))))))))))))))))))))))))))))))))))</f>
        <v>4</v>
      </c>
      <c r="G2535" s="52">
        <v>11</v>
      </c>
      <c r="H2535" s="90" t="s">
        <v>115</v>
      </c>
      <c r="I2535" s="94" t="s">
        <v>89</v>
      </c>
      <c r="J2535" s="88" t="s">
        <v>558</v>
      </c>
      <c r="K2535" s="102" t="s">
        <v>559</v>
      </c>
      <c r="L2535" s="117">
        <f>IF(O2535="","",N2535*O2535*M2535)</f>
        <v>0</v>
      </c>
      <c r="M2535" s="108">
        <v>1</v>
      </c>
      <c r="N2535" s="95">
        <v>1</v>
      </c>
      <c r="O2535" s="109">
        <f>IF(Key!D$1="ON",P2535,IF(SUM(Q2535:DL2535)&lt;1,"",SUM(Q2535:DL2535)/COUNTIF(Q2535:DL2535,"&gt;0")))</f>
        <v>0</v>
      </c>
      <c r="P2535" s="109">
        <f>SUMIFS(Q2535:DK2535,Q$1:DK$1,Dashboard!$K$31)</f>
        <v>0</v>
      </c>
      <c r="U2535" s="95">
        <v>33</v>
      </c>
      <c r="AA2535" s="95">
        <v>25</v>
      </c>
      <c r="AH2535" s="95">
        <v>75</v>
      </c>
    </row>
    <row r="2536" spans="1:34" x14ac:dyDescent="0.3">
      <c r="A2536" s="89" t="str">
        <f>CONCATENATE(D2536,".",F2536,"-",G2536,".",H2536,"")</f>
        <v>2.4-11.1</v>
      </c>
      <c r="B2536" s="89" t="str">
        <f>IF(CONCATENATE(I2536,Key!F$2)=CONCATENATE(INDEX(Dashboard!J:J,MATCH(I2536,Dashboard!J:J,0),1),INDEX(Dashboard!J:K,MATCH(I2536,Dashboard!J:J,0),2)),"ON",IF(Dashboard!K$32="ALL","ON","-"))</f>
        <v>-</v>
      </c>
      <c r="C2536" s="88" t="s">
        <v>152</v>
      </c>
      <c r="D2536" s="89">
        <f>IF(C2536="ID",1,(IF(C2536="PR",2,(IF(C2536="DE",3,(IF(C2536="RS",4,(IF(C2536="RC",5,0)))))))))</f>
        <v>2</v>
      </c>
      <c r="E2536" s="89" t="s">
        <v>228</v>
      </c>
      <c r="F2536" s="89">
        <f>IF(E2536="AM",1,(IF(E2536="BE",2,(IF(E2536="GV",3,(IF(E2536="RA",4,(IF(E2536="RM",5,(IF(E2536="AC",1,(IF(E2536="AT",2,(IF(E2536="DS",3,(IF(E2536="IP",4,(IF(E2536="MA",5,(IF(E2536="PT",6,(IF(E2536="AE",1,(IF(E2536="CM",2,(IF(E2536="DP",3,(IF(E2536="AN",1,(IF(E2536="CO",2,(IF(E2536="IM",3,(IF(E2536="MI",4,(IF(E2536="RP",5,(IF(E2536="SC",6,0)))))))))))))))))))))))))))))))))))))))</f>
        <v>4</v>
      </c>
      <c r="G2536" s="52">
        <v>11</v>
      </c>
      <c r="H2536" s="90" t="s">
        <v>115</v>
      </c>
      <c r="I2536" s="94" t="s">
        <v>89</v>
      </c>
      <c r="J2536" s="88" t="s">
        <v>560</v>
      </c>
      <c r="K2536" s="102" t="s">
        <v>561</v>
      </c>
      <c r="L2536" s="117">
        <f>IF(O2536="","",N2536*O2536*M2536)</f>
        <v>0</v>
      </c>
      <c r="M2536" s="108">
        <v>1</v>
      </c>
      <c r="N2536" s="95">
        <v>1</v>
      </c>
      <c r="O2536" s="109">
        <f>IF(Key!D$1="ON",P2536,IF(SUM(Q2536:DL2536)&lt;1,"",SUM(Q2536:DL2536)/COUNTIF(Q2536:DL2536,"&gt;0")))</f>
        <v>0</v>
      </c>
      <c r="P2536" s="109">
        <f>SUMIFS(Q2536:DK2536,Q$1:DK$1,Dashboard!$K$31)</f>
        <v>0</v>
      </c>
      <c r="U2536" s="95">
        <v>33</v>
      </c>
      <c r="AA2536" s="95">
        <v>25</v>
      </c>
      <c r="AH2536" s="95">
        <v>75</v>
      </c>
    </row>
    <row r="2537" spans="1:34" x14ac:dyDescent="0.3">
      <c r="A2537" s="89" t="str">
        <f>CONCATENATE(D2537,".",F2537,"-",G2537,".",H2537,"")</f>
        <v>2.4-11.1</v>
      </c>
      <c r="B2537" s="89" t="str">
        <f>IF(CONCATENATE(I2537,Key!F$2)=CONCATENATE(INDEX(Dashboard!J:J,MATCH(I2537,Dashboard!J:J,0),1),INDEX(Dashboard!J:K,MATCH(I2537,Dashboard!J:J,0),2)),"ON",IF(Dashboard!K$32="ALL","ON","-"))</f>
        <v>-</v>
      </c>
      <c r="C2537" s="88" t="s">
        <v>152</v>
      </c>
      <c r="D2537" s="89">
        <f>IF(C2537="ID",1,(IF(C2537="PR",2,(IF(C2537="DE",3,(IF(C2537="RS",4,(IF(C2537="RC",5,0)))))))))</f>
        <v>2</v>
      </c>
      <c r="E2537" s="89" t="s">
        <v>228</v>
      </c>
      <c r="F2537" s="89">
        <f>IF(E2537="AM",1,(IF(E2537="BE",2,(IF(E2537="GV",3,(IF(E2537="RA",4,(IF(E2537="RM",5,(IF(E2537="AC",1,(IF(E2537="AT",2,(IF(E2537="DS",3,(IF(E2537="IP",4,(IF(E2537="MA",5,(IF(E2537="PT",6,(IF(E2537="AE",1,(IF(E2537="CM",2,(IF(E2537="DP",3,(IF(E2537="AN",1,(IF(E2537="CO",2,(IF(E2537="IM",3,(IF(E2537="MI",4,(IF(E2537="RP",5,(IF(E2537="SC",6,0)))))))))))))))))))))))))))))))))))))))</f>
        <v>4</v>
      </c>
      <c r="G2537" s="52">
        <v>11</v>
      </c>
      <c r="H2537" s="90" t="s">
        <v>115</v>
      </c>
      <c r="I2537" s="94" t="s">
        <v>92</v>
      </c>
      <c r="J2537" s="88">
        <v>9.4</v>
      </c>
      <c r="K2537" s="102" t="s">
        <v>5226</v>
      </c>
      <c r="L2537" s="117">
        <f>IF(O2537="","",N2537*O2537*M2537)</f>
        <v>0</v>
      </c>
      <c r="M2537" s="108">
        <v>1</v>
      </c>
      <c r="N2537" s="95">
        <v>1</v>
      </c>
      <c r="O2537" s="109">
        <f>IF(Key!D$1="ON",P2537,IF(SUM(Q2537:DL2537)&lt;1,"",SUM(Q2537:DL2537)/COUNTIF(Q2537:DL2537,"&gt;0")))</f>
        <v>0</v>
      </c>
      <c r="P2537" s="109">
        <f>SUMIFS(Q2537:DK2537,Q$1:DK$1,Dashboard!$K$31)</f>
        <v>0</v>
      </c>
      <c r="U2537" s="95">
        <v>33</v>
      </c>
      <c r="AA2537" s="95">
        <v>25</v>
      </c>
      <c r="AH2537" s="95">
        <v>75</v>
      </c>
    </row>
    <row r="2538" spans="1:34" x14ac:dyDescent="0.3">
      <c r="A2538" s="89" t="str">
        <f>CONCATENATE(D2538,".",F2538,"-",G2538,".",H2538,"")</f>
        <v>2.4-11.1</v>
      </c>
      <c r="B2538" s="89" t="str">
        <f>IF(CONCATENATE(I2538,Key!F$2)=CONCATENATE(INDEX(Dashboard!J:J,MATCH(I2538,Dashboard!J:J,0),1),INDEX(Dashboard!J:K,MATCH(I2538,Dashboard!J:J,0),2)),"ON",IF(Dashboard!K$32="ALL","ON","-"))</f>
        <v>-</v>
      </c>
      <c r="C2538" s="96" t="s">
        <v>152</v>
      </c>
      <c r="D2538" s="89">
        <f>IF(C2538="ID",1,(IF(C2538="PR",2,(IF(C2538="DE",3,(IF(C2538="RS",4,(IF(C2538="RC",5,0)))))))))</f>
        <v>2</v>
      </c>
      <c r="E2538" s="89" t="s">
        <v>228</v>
      </c>
      <c r="F2538" s="89">
        <f>IF(E2538="AM",1,(IF(E2538="BE",2,(IF(E2538="GV",3,(IF(E2538="RA",4,(IF(E2538="RM",5,(IF(E2538="AC",1,(IF(E2538="AT",2,(IF(E2538="DS",3,(IF(E2538="IP",4,(IF(E2538="MA",5,(IF(E2538="PT",6,(IF(E2538="AE",1,(IF(E2538="CM",2,(IF(E2538="DP",3,(IF(E2538="AN",1,(IF(E2538="CO",2,(IF(E2538="IM",3,(IF(E2538="MI",4,(IF(E2538="RP",5,(IF(E2538="SC",6,0)))))))))))))))))))))))))))))))))))))))</f>
        <v>4</v>
      </c>
      <c r="G2538" s="98">
        <v>11</v>
      </c>
      <c r="H2538" s="90" t="s">
        <v>115</v>
      </c>
      <c r="I2538" s="94" t="s">
        <v>92</v>
      </c>
      <c r="J2538" s="88">
        <v>12.7</v>
      </c>
      <c r="K2538" s="102" t="s">
        <v>5226</v>
      </c>
      <c r="L2538" s="117">
        <f>IF(O2538="","",N2538*O2538*M2538)</f>
        <v>0</v>
      </c>
      <c r="M2538" s="108">
        <v>1</v>
      </c>
      <c r="N2538" s="95">
        <v>1</v>
      </c>
      <c r="O2538" s="109">
        <f>IF(Key!D$1="ON",P2538,IF(SUM(Q2538:DL2538)&lt;1,"",SUM(Q2538:DL2538)/COUNTIF(Q2538:DL2538,"&gt;0")))</f>
        <v>0</v>
      </c>
      <c r="P2538" s="109">
        <f>SUMIFS(Q2538:DK2538,Q$1:DK$1,Dashboard!$K$31)</f>
        <v>0</v>
      </c>
      <c r="U2538" s="95">
        <v>33</v>
      </c>
      <c r="AA2538" s="95">
        <v>25</v>
      </c>
      <c r="AH2538" s="95">
        <v>75</v>
      </c>
    </row>
    <row r="2539" spans="1:34" x14ac:dyDescent="0.3">
      <c r="A2539" s="89" t="str">
        <f>CONCATENATE(D2539,".",F2539,"-",G2539,".",H2539,"")</f>
        <v>2.4-11.1</v>
      </c>
      <c r="B2539" s="89" t="str">
        <f>IF(CONCATENATE(I2539,Key!F$2)=CONCATENATE(INDEX(Dashboard!J:J,MATCH(I2539,Dashboard!J:J,0),1),INDEX(Dashboard!J:K,MATCH(I2539,Dashboard!J:J,0),2)),"ON",IF(Dashboard!K$32="ALL","ON","-"))</f>
        <v>-</v>
      </c>
      <c r="C2539" s="88" t="s">
        <v>152</v>
      </c>
      <c r="D2539" s="89">
        <f>IF(C2539="ID",1,(IF(C2539="PR",2,(IF(C2539="DE",3,(IF(C2539="RS",4,(IF(C2539="RC",5,0)))))))))</f>
        <v>2</v>
      </c>
      <c r="E2539" s="89" t="s">
        <v>228</v>
      </c>
      <c r="F2539" s="89">
        <f>IF(E2539="AM",1,(IF(E2539="BE",2,(IF(E2539="GV",3,(IF(E2539="RA",4,(IF(E2539="RM",5,(IF(E2539="AC",1,(IF(E2539="AT",2,(IF(E2539="DS",3,(IF(E2539="IP",4,(IF(E2539="MA",5,(IF(E2539="PT",6,(IF(E2539="AE",1,(IF(E2539="CM",2,(IF(E2539="DP",3,(IF(E2539="AN",1,(IF(E2539="CO",2,(IF(E2539="IM",3,(IF(E2539="MI",4,(IF(E2539="RP",5,(IF(E2539="SC",6,0)))))))))))))))))))))))))))))))))))))))</f>
        <v>4</v>
      </c>
      <c r="G2539" s="52">
        <v>11</v>
      </c>
      <c r="H2539" s="90" t="s">
        <v>115</v>
      </c>
      <c r="I2539" s="94" t="s">
        <v>92</v>
      </c>
      <c r="J2539" s="88" t="s">
        <v>185</v>
      </c>
      <c r="K2539" s="102" t="s">
        <v>5226</v>
      </c>
      <c r="L2539" s="117">
        <f>IF(O2539="","",N2539*O2539*M2539)</f>
        <v>0</v>
      </c>
      <c r="M2539" s="108">
        <v>1</v>
      </c>
      <c r="N2539" s="95">
        <v>1</v>
      </c>
      <c r="O2539" s="109">
        <f>IF(Key!D$1="ON",P2539,IF(SUM(Q2539:DL2539)&lt;1,"",SUM(Q2539:DL2539)/COUNTIF(Q2539:DL2539,"&gt;0")))</f>
        <v>0</v>
      </c>
      <c r="P2539" s="109">
        <f>SUMIFS(Q2539:DK2539,Q$1:DK$1,Dashboard!$K$31)</f>
        <v>0</v>
      </c>
      <c r="U2539" s="95">
        <v>33</v>
      </c>
      <c r="AA2539" s="95">
        <v>25</v>
      </c>
      <c r="AH2539" s="95">
        <v>75</v>
      </c>
    </row>
    <row r="2540" spans="1:34" x14ac:dyDescent="0.3">
      <c r="A2540" s="89" t="str">
        <f>CONCATENATE(D2540,".",F2540,"-",G2540,".",H2540,"")</f>
        <v>2.4-11.1</v>
      </c>
      <c r="B2540" s="89" t="str">
        <f>IF(CONCATENATE(I2540,Key!F$2)=CONCATENATE(INDEX(Dashboard!J:J,MATCH(I2540,Dashboard!J:J,0),1),INDEX(Dashboard!J:K,MATCH(I2540,Dashboard!J:J,0),2)),"ON",IF(Dashboard!K$32="ALL","ON","-"))</f>
        <v>-</v>
      </c>
      <c r="C2540" s="88" t="s">
        <v>152</v>
      </c>
      <c r="D2540" s="89">
        <f>IF(C2540="ID",1,(IF(C2540="PR",2,(IF(C2540="DE",3,(IF(C2540="RS",4,(IF(C2540="RC",5,0)))))))))</f>
        <v>2</v>
      </c>
      <c r="E2540" s="89" t="s">
        <v>228</v>
      </c>
      <c r="F2540" s="89">
        <f>IF(E2540="AM",1,(IF(E2540="BE",2,(IF(E2540="GV",3,(IF(E2540="RA",4,(IF(E2540="RM",5,(IF(E2540="AC",1,(IF(E2540="AT",2,(IF(E2540="DS",3,(IF(E2540="IP",4,(IF(E2540="MA",5,(IF(E2540="PT",6,(IF(E2540="AE",1,(IF(E2540="CM",2,(IF(E2540="DP",3,(IF(E2540="AN",1,(IF(E2540="CO",2,(IF(E2540="IM",3,(IF(E2540="MI",4,(IF(E2540="RP",5,(IF(E2540="SC",6,0)))))))))))))))))))))))))))))))))))))))</f>
        <v>4</v>
      </c>
      <c r="G2540" s="52">
        <v>11</v>
      </c>
      <c r="H2540" s="90" t="s">
        <v>115</v>
      </c>
      <c r="I2540" s="94" t="s">
        <v>92</v>
      </c>
      <c r="J2540" s="88" t="s">
        <v>233</v>
      </c>
      <c r="K2540" s="102" t="s">
        <v>5226</v>
      </c>
      <c r="L2540" s="117">
        <f>IF(O2540="","",N2540*O2540*M2540)</f>
        <v>0</v>
      </c>
      <c r="M2540" s="108">
        <v>1</v>
      </c>
      <c r="N2540" s="95">
        <v>1</v>
      </c>
      <c r="O2540" s="109">
        <f>IF(Key!D$1="ON",P2540,IF(SUM(Q2540:DL2540)&lt;1,"",SUM(Q2540:DL2540)/COUNTIF(Q2540:DL2540,"&gt;0")))</f>
        <v>0</v>
      </c>
      <c r="P2540" s="109">
        <f>SUMIFS(Q2540:DK2540,Q$1:DK$1,Dashboard!$K$31)</f>
        <v>0</v>
      </c>
      <c r="U2540" s="95">
        <v>33</v>
      </c>
      <c r="AA2540" s="95">
        <v>25</v>
      </c>
      <c r="AH2540" s="95">
        <v>75</v>
      </c>
    </row>
    <row r="2541" spans="1:34" x14ac:dyDescent="0.3">
      <c r="A2541" s="89" t="str">
        <f>CONCATENATE(D2541,".",F2541,"-",G2541,".",H2541,"")</f>
        <v>2.4-11.1</v>
      </c>
      <c r="B2541" s="89" t="str">
        <f>IF(CONCATENATE(I2541,Key!F$2)=CONCATENATE(INDEX(Dashboard!J:J,MATCH(I2541,Dashboard!J:J,0),1),INDEX(Dashboard!J:K,MATCH(I2541,Dashboard!J:J,0),2)),"ON",IF(Dashboard!K$32="ALL","ON","-"))</f>
        <v>-</v>
      </c>
      <c r="C2541" s="88" t="s">
        <v>152</v>
      </c>
      <c r="D2541" s="89">
        <f>IF(C2541="ID",1,(IF(C2541="PR",2,(IF(C2541="DE",3,(IF(C2541="RS",4,(IF(C2541="RC",5,0)))))))))</f>
        <v>2</v>
      </c>
      <c r="E2541" s="89" t="s">
        <v>228</v>
      </c>
      <c r="F2541" s="89">
        <f>IF(E2541="AM",1,(IF(E2541="BE",2,(IF(E2541="GV",3,(IF(E2541="RA",4,(IF(E2541="RM",5,(IF(E2541="AC",1,(IF(E2541="AT",2,(IF(E2541="DS",3,(IF(E2541="IP",4,(IF(E2541="MA",5,(IF(E2541="PT",6,(IF(E2541="AE",1,(IF(E2541="CM",2,(IF(E2541="DP",3,(IF(E2541="AN",1,(IF(E2541="CO",2,(IF(E2541="IM",3,(IF(E2541="MI",4,(IF(E2541="RP",5,(IF(E2541="SC",6,0)))))))))))))))))))))))))))))))))))))))</f>
        <v>4</v>
      </c>
      <c r="G2541" s="52">
        <v>11</v>
      </c>
      <c r="H2541" s="90" t="s">
        <v>115</v>
      </c>
      <c r="I2541" s="94" t="s">
        <v>92</v>
      </c>
      <c r="J2541" s="88" t="s">
        <v>234</v>
      </c>
      <c r="K2541" s="102" t="s">
        <v>5226</v>
      </c>
      <c r="L2541" s="117">
        <f>IF(O2541="","",N2541*O2541*M2541)</f>
        <v>0</v>
      </c>
      <c r="M2541" s="108">
        <v>1</v>
      </c>
      <c r="N2541" s="95">
        <v>1</v>
      </c>
      <c r="O2541" s="109">
        <f>IF(Key!D$1="ON",P2541,IF(SUM(Q2541:DL2541)&lt;1,"",SUM(Q2541:DL2541)/COUNTIF(Q2541:DL2541,"&gt;0")))</f>
        <v>0</v>
      </c>
      <c r="P2541" s="109">
        <f>SUMIFS(Q2541:DK2541,Q$1:DK$1,Dashboard!$K$31)</f>
        <v>0</v>
      </c>
      <c r="U2541" s="95">
        <v>33</v>
      </c>
      <c r="AA2541" s="95">
        <v>25</v>
      </c>
      <c r="AH2541" s="95">
        <v>75</v>
      </c>
    </row>
    <row r="2542" spans="1:34" x14ac:dyDescent="0.3">
      <c r="A2542" s="89" t="str">
        <f>CONCATENATE(D2542,".",F2542,"-",G2542,".",H2542,"")</f>
        <v>2.4-11.1</v>
      </c>
      <c r="B2542" s="89" t="str">
        <f>IF(CONCATENATE(I2542,Key!F$2)=CONCATENATE(INDEX(Dashboard!J:J,MATCH(I2542,Dashboard!J:J,0),1),INDEX(Dashboard!J:K,MATCH(I2542,Dashboard!J:J,0),2)),"ON",IF(Dashboard!K$32="ALL","ON","-"))</f>
        <v>-</v>
      </c>
      <c r="C2542" s="88" t="s">
        <v>152</v>
      </c>
      <c r="D2542" s="89">
        <f>IF(C2542="ID",1,(IF(C2542="PR",2,(IF(C2542="DE",3,(IF(C2542="RS",4,(IF(C2542="RC",5,0)))))))))</f>
        <v>2</v>
      </c>
      <c r="E2542" s="89" t="s">
        <v>228</v>
      </c>
      <c r="F2542" s="89">
        <f>IF(E2542="AM",1,(IF(E2542="BE",2,(IF(E2542="GV",3,(IF(E2542="RA",4,(IF(E2542="RM",5,(IF(E2542="AC",1,(IF(E2542="AT",2,(IF(E2542="DS",3,(IF(E2542="IP",4,(IF(E2542="MA",5,(IF(E2542="PT",6,(IF(E2542="AE",1,(IF(E2542="CM",2,(IF(E2542="DP",3,(IF(E2542="AN",1,(IF(E2542="CO",2,(IF(E2542="IM",3,(IF(E2542="MI",4,(IF(E2542="RP",5,(IF(E2542="SC",6,0)))))))))))))))))))))))))))))))))))))))</f>
        <v>4</v>
      </c>
      <c r="G2542" s="52">
        <v>11</v>
      </c>
      <c r="H2542" s="90" t="s">
        <v>115</v>
      </c>
      <c r="I2542" s="94" t="s">
        <v>92</v>
      </c>
      <c r="J2542" s="88" t="s">
        <v>235</v>
      </c>
      <c r="K2542" s="102" t="s">
        <v>5226</v>
      </c>
      <c r="L2542" s="117">
        <f>IF(O2542="","",N2542*O2542*M2542)</f>
        <v>0</v>
      </c>
      <c r="M2542" s="108">
        <v>1</v>
      </c>
      <c r="N2542" s="95">
        <v>1</v>
      </c>
      <c r="O2542" s="109">
        <f>IF(Key!D$1="ON",P2542,IF(SUM(Q2542:DL2542)&lt;1,"",SUM(Q2542:DL2542)/COUNTIF(Q2542:DL2542,"&gt;0")))</f>
        <v>0</v>
      </c>
      <c r="P2542" s="109">
        <f>SUMIFS(Q2542:DK2542,Q$1:DK$1,Dashboard!$K$31)</f>
        <v>0</v>
      </c>
      <c r="U2542" s="95">
        <v>33</v>
      </c>
      <c r="AA2542" s="95">
        <v>25</v>
      </c>
      <c r="AH2542" s="95">
        <v>75</v>
      </c>
    </row>
    <row r="2543" spans="1:34" x14ac:dyDescent="0.3">
      <c r="A2543" s="89" t="str">
        <f>CONCATENATE(D2543,".",F2543,"-",G2543,".",H2543,"")</f>
        <v>2.4-11.2</v>
      </c>
      <c r="B2543" s="89" t="str">
        <f>IF(CONCATENATE(I2543,Key!F$2)=CONCATENATE(INDEX(Dashboard!J:J,MATCH(I2543,Dashboard!J:J,0),1),INDEX(Dashboard!J:K,MATCH(I2543,Dashboard!J:J,0),2)),"ON",IF(Dashboard!K$32="ALL","ON","-"))</f>
        <v>-</v>
      </c>
      <c r="C2543" s="88" t="s">
        <v>152</v>
      </c>
      <c r="D2543" s="89">
        <f>IF(C2543="ID",1,(IF(C2543="PR",2,(IF(C2543="DE",3,(IF(C2543="RS",4,(IF(C2543="RC",5,0)))))))))</f>
        <v>2</v>
      </c>
      <c r="E2543" s="89" t="s">
        <v>228</v>
      </c>
      <c r="F2543" s="89">
        <f>IF(E2543="AM",1,(IF(E2543="BE",2,(IF(E2543="GV",3,(IF(E2543="RA",4,(IF(E2543="RM",5,(IF(E2543="AC",1,(IF(E2543="AT",2,(IF(E2543="DS",3,(IF(E2543="IP",4,(IF(E2543="MA",5,(IF(E2543="PT",6,(IF(E2543="AE",1,(IF(E2543="CM",2,(IF(E2543="DP",3,(IF(E2543="AN",1,(IF(E2543="CO",2,(IF(E2543="IM",3,(IF(E2543="MI",4,(IF(E2543="RP",5,(IF(E2543="SC",6,0)))))))))))))))))))))))))))))))))))))))</f>
        <v>4</v>
      </c>
      <c r="G2543" s="52">
        <v>11</v>
      </c>
      <c r="H2543" s="89">
        <v>2</v>
      </c>
      <c r="I2543" s="94" t="s">
        <v>60</v>
      </c>
      <c r="J2543" s="88" t="s">
        <v>3187</v>
      </c>
      <c r="K2543" s="51" t="s">
        <v>5300</v>
      </c>
      <c r="L2543" s="117">
        <f>IF(O2543="","",N2543*O2543*M2543)</f>
        <v>0</v>
      </c>
      <c r="M2543" s="108">
        <v>1</v>
      </c>
      <c r="N2543" s="95">
        <v>1</v>
      </c>
      <c r="O2543" s="109">
        <f>IF(Key!D$1="ON",P2543,IF(SUM(Q2543:DL2543)&lt;1,"",SUM(Q2543:DL2543)/COUNTIF(Q2543:DL2543,"&gt;0")))</f>
        <v>0</v>
      </c>
      <c r="P2543" s="109">
        <f>SUMIFS(Q2543:DK2543,Q$1:DK$1,Dashboard!$K$31)</f>
        <v>0</v>
      </c>
      <c r="U2543" s="95">
        <v>33</v>
      </c>
      <c r="AA2543" s="95">
        <v>25</v>
      </c>
      <c r="AH2543" s="95">
        <v>75</v>
      </c>
    </row>
    <row r="2544" spans="1:34" x14ac:dyDescent="0.3">
      <c r="A2544" s="89" t="str">
        <f>CONCATENATE(D2544,".",F2544,"-",G2544,".",H2544,"")</f>
        <v>2.4-11.5</v>
      </c>
      <c r="B2544" s="89" t="str">
        <f>IF(CONCATENATE(I2544,Key!F$2)=CONCATENATE(INDEX(Dashboard!J:J,MATCH(I2544,Dashboard!J:J,0),1),INDEX(Dashboard!J:K,MATCH(I2544,Dashboard!J:J,0),2)),"ON",IF(Dashboard!K$32="ALL","ON","-"))</f>
        <v>-</v>
      </c>
      <c r="C2544" s="88" t="s">
        <v>152</v>
      </c>
      <c r="D2544" s="89">
        <f>IF(C2544="ID",1,(IF(C2544="PR",2,(IF(C2544="DE",3,(IF(C2544="RS",4,(IF(C2544="RC",5,0)))))))))</f>
        <v>2</v>
      </c>
      <c r="E2544" s="89" t="s">
        <v>228</v>
      </c>
      <c r="F2544" s="89">
        <f>IF(E2544="AM",1,(IF(E2544="BE",2,(IF(E2544="GV",3,(IF(E2544="RA",4,(IF(E2544="RM",5,(IF(E2544="AC",1,(IF(E2544="AT",2,(IF(E2544="DS",3,(IF(E2544="IP",4,(IF(E2544="MA",5,(IF(E2544="PT",6,(IF(E2544="AE",1,(IF(E2544="CM",2,(IF(E2544="DP",3,(IF(E2544="AN",1,(IF(E2544="CO",2,(IF(E2544="IM",3,(IF(E2544="MI",4,(IF(E2544="RP",5,(IF(E2544="SC",6,0)))))))))))))))))))))))))))))))))))))))</f>
        <v>4</v>
      </c>
      <c r="G2544" s="52">
        <v>11</v>
      </c>
      <c r="H2544" s="90" t="s">
        <v>123</v>
      </c>
      <c r="I2544" s="94" t="s">
        <v>77</v>
      </c>
      <c r="J2544" s="87" t="s">
        <v>1555</v>
      </c>
      <c r="K2544" s="102" t="s">
        <v>2515</v>
      </c>
      <c r="L2544" s="117">
        <f>IF(O2544="","",N2544*O2544*M2544)</f>
        <v>0</v>
      </c>
      <c r="M2544" s="108">
        <v>1</v>
      </c>
      <c r="N2544" s="95">
        <v>1</v>
      </c>
      <c r="O2544" s="109">
        <f>IF(Key!D$1="ON",P2544,IF(SUM(Q2544:DL2544)&lt;1,"",SUM(Q2544:DL2544)/COUNTIF(Q2544:DL2544,"&gt;0")))</f>
        <v>0</v>
      </c>
      <c r="P2544" s="109">
        <f>SUMIFS(Q2544:DK2544,Q$1:DK$1,Dashboard!$K$31)</f>
        <v>0</v>
      </c>
      <c r="U2544" s="95">
        <v>33</v>
      </c>
      <c r="AA2544" s="95">
        <v>25</v>
      </c>
      <c r="AH2544" s="95">
        <v>75</v>
      </c>
    </row>
    <row r="2545" spans="1:34" x14ac:dyDescent="0.3">
      <c r="A2545" s="89" t="str">
        <f>CONCATENATE(D2545,".",F2545,"-",G2545,".",H2545,"")</f>
        <v>2.4-12.0</v>
      </c>
      <c r="B2545" s="89" t="str">
        <f>IF(CONCATENATE(I2545,Key!F$2)=CONCATENATE(INDEX(Dashboard!J:J,MATCH(I2545,Dashboard!J:J,0),1),INDEX(Dashboard!J:K,MATCH(I2545,Dashboard!J:J,0),2)),"ON",IF(Dashboard!K$32="ALL","ON","-"))</f>
        <v>-</v>
      </c>
      <c r="C2545" s="88" t="s">
        <v>152</v>
      </c>
      <c r="D2545" s="89">
        <f>IF(C2545="ID",1,(IF(C2545="PR",2,(IF(C2545="DE",3,(IF(C2545="RS",4,(IF(C2545="RC",5,0)))))))))</f>
        <v>2</v>
      </c>
      <c r="E2545" s="89" t="s">
        <v>228</v>
      </c>
      <c r="F2545" s="89">
        <f>IF(E2545="AM",1,(IF(E2545="BE",2,(IF(E2545="GV",3,(IF(E2545="RA",4,(IF(E2545="RM",5,(IF(E2545="AC",1,(IF(E2545="AT",2,(IF(E2545="DS",3,(IF(E2545="IP",4,(IF(E2545="MA",5,(IF(E2545="PT",6,(IF(E2545="AE",1,(IF(E2545="CM",2,(IF(E2545="DP",3,(IF(E2545="AN",1,(IF(E2545="CO",2,(IF(E2545="IM",3,(IF(E2545="MI",4,(IF(E2545="RP",5,(IF(E2545="SC",6,0)))))))))))))))))))))))))))))))))))))))</f>
        <v>4</v>
      </c>
      <c r="G2545" s="52">
        <v>12</v>
      </c>
      <c r="H2545" s="90" t="s">
        <v>347</v>
      </c>
      <c r="I2545" s="94" t="s">
        <v>2835</v>
      </c>
      <c r="J2545" s="53" t="s">
        <v>2968</v>
      </c>
      <c r="K2545" s="150" t="s">
        <v>2969</v>
      </c>
      <c r="L2545" s="117">
        <f>IF(O2545="","",N2545*O2545*M2545)</f>
        <v>0</v>
      </c>
      <c r="M2545" s="108">
        <v>1</v>
      </c>
      <c r="N2545" s="95">
        <v>1</v>
      </c>
      <c r="O2545" s="109">
        <f>IF(Key!D$1="ON",P2545,IF(SUM(Q2545:DL2545)&lt;1,"",SUM(Q2545:DL2545)/COUNTIF(Q2545:DL2545,"&gt;0")))</f>
        <v>0</v>
      </c>
      <c r="P2545" s="109">
        <f>SUMIFS(Q2545:DK2545,Q$1:DK$1,Dashboard!$K$31)</f>
        <v>0</v>
      </c>
      <c r="U2545" s="95">
        <v>33</v>
      </c>
    </row>
    <row r="2546" spans="1:34" x14ac:dyDescent="0.3">
      <c r="A2546" s="89" t="str">
        <f>CONCATENATE(D2546,".",F2546,"-",G2546,".",H2546,"")</f>
        <v>2.4-12.1</v>
      </c>
      <c r="B2546" s="89" t="str">
        <f>IF(CONCATENATE(I2546,Key!F$2)=CONCATENATE(INDEX(Dashboard!J:J,MATCH(I2546,Dashboard!J:J,0),1),INDEX(Dashboard!J:K,MATCH(I2546,Dashboard!J:J,0),2)),"ON",IF(Dashboard!K$32="ALL","ON","-"))</f>
        <v>-</v>
      </c>
      <c r="C2546" s="88" t="s">
        <v>152</v>
      </c>
      <c r="D2546" s="89">
        <f>IF(C2546="ID",1,(IF(C2546="PR",2,(IF(C2546="DE",3,(IF(C2546="RS",4,(IF(C2546="RC",5,0)))))))))</f>
        <v>2</v>
      </c>
      <c r="E2546" s="89" t="s">
        <v>228</v>
      </c>
      <c r="F2546" s="89">
        <f>IF(E2546="AM",1,(IF(E2546="BE",2,(IF(E2546="GV",3,(IF(E2546="RA",4,(IF(E2546="RM",5,(IF(E2546="AC",1,(IF(E2546="AT",2,(IF(E2546="DS",3,(IF(E2546="IP",4,(IF(E2546="MA",5,(IF(E2546="PT",6,(IF(E2546="AE",1,(IF(E2546="CM",2,(IF(E2546="DP",3,(IF(E2546="AN",1,(IF(E2546="CO",2,(IF(E2546="IM",3,(IF(E2546="MI",4,(IF(E2546="RP",5,(IF(E2546="SC",6,0)))))))))))))))))))))))))))))))))))))))</f>
        <v>4</v>
      </c>
      <c r="G2546" s="52">
        <v>12</v>
      </c>
      <c r="H2546" s="99">
        <v>1</v>
      </c>
      <c r="I2546" s="94" t="s">
        <v>37</v>
      </c>
      <c r="J2546" s="86">
        <v>4.0999999999999996</v>
      </c>
      <c r="K2546" s="102" t="s">
        <v>3764</v>
      </c>
      <c r="L2546" s="117">
        <f>IF(O2546="","",N2546*O2546*M2546)</f>
        <v>0</v>
      </c>
      <c r="M2546" s="108">
        <v>1</v>
      </c>
      <c r="N2546" s="95">
        <v>1</v>
      </c>
      <c r="O2546" s="109">
        <f>IF(Key!D$1="ON",P2546,IF(SUM(Q2546:DL2546)&lt;1,"",SUM(Q2546:DL2546)/COUNTIF(Q2546:DL2546,"&gt;0")))</f>
        <v>0</v>
      </c>
      <c r="P2546" s="109">
        <f>SUMIFS(Q2546:DK2546,Q$1:DK$1,Dashboard!$K$31)</f>
        <v>0</v>
      </c>
      <c r="U2546" s="95">
        <v>33</v>
      </c>
      <c r="AA2546" s="95">
        <v>25</v>
      </c>
      <c r="AH2546" s="95">
        <v>75</v>
      </c>
    </row>
    <row r="2547" spans="1:34" ht="15.6" x14ac:dyDescent="0.3">
      <c r="A2547" s="89" t="str">
        <f>CONCATENATE(D2547,".",F2547,"-",G2547,".",H2547,"")</f>
        <v>2.4-12.1</v>
      </c>
      <c r="B2547" s="89" t="str">
        <f>IF(CONCATENATE(I2547,Key!F$2)=CONCATENATE(INDEX(Dashboard!J:J,MATCH(I2547,Dashboard!J:J,0),1),INDEX(Dashboard!J:K,MATCH(I2547,Dashboard!J:J,0),2)),"ON",IF(Dashboard!K$32="ALL","ON","-"))</f>
        <v>-</v>
      </c>
      <c r="C2547" s="96" t="s">
        <v>152</v>
      </c>
      <c r="D2547" s="89">
        <f>IF(C2547="ID",1,(IF(C2547="PR",2,(IF(C2547="DE",3,(IF(C2547="RS",4,(IF(C2547="RC",5,0)))))))))</f>
        <v>2</v>
      </c>
      <c r="E2547" s="131" t="s">
        <v>228</v>
      </c>
      <c r="F2547" s="89">
        <f>IF(E2547="AM",1,(IF(E2547="BE",2,(IF(E2547="GV",3,(IF(E2547="RA",4,(IF(E2547="RM",5,(IF(E2547="AC",1,(IF(E2547="AT",2,(IF(E2547="DS",3,(IF(E2547="IP",4,(IF(E2547="MA",5,(IF(E2547="PT",6,(IF(E2547="AE",1,(IF(E2547="CM",2,(IF(E2547="DP",3,(IF(E2547="AN",1,(IF(E2547="CO",2,(IF(E2547="IM",3,(IF(E2547="MI",4,(IF(E2547="RP",5,(IF(E2547="SC",6,0)))))))))))))))))))))))))))))))))))))))</f>
        <v>4</v>
      </c>
      <c r="G2547" s="52">
        <v>12</v>
      </c>
      <c r="H2547" s="99">
        <v>1</v>
      </c>
      <c r="I2547" s="94" t="s">
        <v>37</v>
      </c>
      <c r="J2547" s="86">
        <v>9.3000000000000007</v>
      </c>
      <c r="K2547" s="102" t="s">
        <v>3765</v>
      </c>
      <c r="L2547" s="117">
        <f>IF(O2547="","",N2547*O2547*M2547)</f>
        <v>0</v>
      </c>
      <c r="M2547" s="108">
        <v>1</v>
      </c>
      <c r="N2547" s="95">
        <v>1</v>
      </c>
      <c r="O2547" s="109">
        <f>IF(Key!D$1="ON",P2547,IF(SUM(Q2547:DL2547)&lt;1,"",SUM(Q2547:DL2547)/COUNTIF(Q2547:DL2547,"&gt;0")))</f>
        <v>0</v>
      </c>
      <c r="P2547" s="109">
        <f>SUMIFS(Q2547:DK2547,Q$1:DK$1,Dashboard!$K$31)</f>
        <v>0</v>
      </c>
      <c r="U2547" s="95">
        <v>33</v>
      </c>
      <c r="AA2547" s="95">
        <v>25</v>
      </c>
      <c r="AH2547" s="95">
        <v>75</v>
      </c>
    </row>
    <row r="2548" spans="1:34" x14ac:dyDescent="0.3">
      <c r="A2548" s="89" t="str">
        <f>CONCATENATE(D2548,".",F2548,"-",G2548,".",H2548,"")</f>
        <v>2.4-12.1</v>
      </c>
      <c r="B2548" s="89" t="str">
        <f>IF(CONCATENATE(I2548,Key!F$2)=CONCATENATE(INDEX(Dashboard!J:J,MATCH(I2548,Dashboard!J:J,0),1),INDEX(Dashboard!J:K,MATCH(I2548,Dashboard!J:J,0),2)),"ON",IF(Dashboard!K$32="ALL","ON","-"))</f>
        <v>-</v>
      </c>
      <c r="C2548" s="88" t="s">
        <v>152</v>
      </c>
      <c r="D2548" s="89">
        <f>IF(C2548="ID",1,(IF(C2548="PR",2,(IF(C2548="DE",3,(IF(C2548="RS",4,(IF(C2548="RC",5,0)))))))))</f>
        <v>2</v>
      </c>
      <c r="E2548" s="89" t="s">
        <v>228</v>
      </c>
      <c r="F2548" s="89">
        <f>IF(E2548="AM",1,(IF(E2548="BE",2,(IF(E2548="GV",3,(IF(E2548="RA",4,(IF(E2548="RM",5,(IF(E2548="AC",1,(IF(E2548="AT",2,(IF(E2548="DS",3,(IF(E2548="IP",4,(IF(E2548="MA",5,(IF(E2548="PT",6,(IF(E2548="AE",1,(IF(E2548="CM",2,(IF(E2548="DP",3,(IF(E2548="AN",1,(IF(E2548="CO",2,(IF(E2548="IM",3,(IF(E2548="MI",4,(IF(E2548="RP",5,(IF(E2548="SC",6,0)))))))))))))))))))))))))))))))))))))))</f>
        <v>4</v>
      </c>
      <c r="G2548" s="52">
        <v>12</v>
      </c>
      <c r="H2548" s="99">
        <v>1</v>
      </c>
      <c r="I2548" s="94" t="s">
        <v>41</v>
      </c>
      <c r="J2548" s="86">
        <v>3.1</v>
      </c>
      <c r="K2548" s="103" t="s">
        <v>3470</v>
      </c>
      <c r="L2548" s="117">
        <f>IF(O2548="","",N2548*O2548*M2548)</f>
        <v>0</v>
      </c>
      <c r="M2548" s="108">
        <v>1</v>
      </c>
      <c r="N2548" s="95">
        <v>1</v>
      </c>
      <c r="O2548" s="109">
        <f>IF(Key!D$1="ON",P2548,IF(SUM(Q2548:DL2548)&lt;1,"",SUM(Q2548:DL2548)/COUNTIF(Q2548:DL2548,"&gt;0")))</f>
        <v>0</v>
      </c>
      <c r="P2548" s="109">
        <f>SUMIFS(Q2548:DK2548,Q$1:DK$1,Dashboard!$K$31)</f>
        <v>0</v>
      </c>
      <c r="U2548" s="95">
        <v>33</v>
      </c>
    </row>
    <row r="2549" spans="1:34" x14ac:dyDescent="0.3">
      <c r="A2549" s="89" t="str">
        <f>CONCATENATE(D2549,".",F2549,"-",G2549,".",H2549,"")</f>
        <v>2.4-12.1</v>
      </c>
      <c r="B2549" s="89" t="str">
        <f>IF(CONCATENATE(I2549,Key!F$2)=CONCATENATE(INDEX(Dashboard!J:J,MATCH(I2549,Dashboard!J:J,0),1),INDEX(Dashboard!J:K,MATCH(I2549,Dashboard!J:J,0),2)),"ON",IF(Dashboard!K$32="ALL","ON","-"))</f>
        <v>-</v>
      </c>
      <c r="C2549" s="96" t="s">
        <v>152</v>
      </c>
      <c r="D2549" s="89">
        <f>IF(C2549="ID",1,(IF(C2549="PR",2,(IF(C2549="DE",3,(IF(C2549="RS",4,(IF(C2549="RC",5,0)))))))))</f>
        <v>2</v>
      </c>
      <c r="E2549" s="131" t="s">
        <v>228</v>
      </c>
      <c r="F2549" s="89">
        <f>IF(E2549="AM",1,(IF(E2549="BE",2,(IF(E2549="GV",3,(IF(E2549="RA",4,(IF(E2549="RM",5,(IF(E2549="AC",1,(IF(E2549="AT",2,(IF(E2549="DS",3,(IF(E2549="IP",4,(IF(E2549="MA",5,(IF(E2549="PT",6,(IF(E2549="AE",1,(IF(E2549="CM",2,(IF(E2549="DP",3,(IF(E2549="AN",1,(IF(E2549="CO",2,(IF(E2549="IM",3,(IF(E2549="MI",4,(IF(E2549="RP",5,(IF(E2549="SC",6,0)))))))))))))))))))))))))))))))))))))))</f>
        <v>4</v>
      </c>
      <c r="G2549" s="52">
        <v>12</v>
      </c>
      <c r="H2549" s="99">
        <v>1</v>
      </c>
      <c r="I2549" s="94" t="s">
        <v>41</v>
      </c>
      <c r="J2549" s="86">
        <v>9.3000000000000007</v>
      </c>
      <c r="K2549" s="103" t="s">
        <v>3523</v>
      </c>
      <c r="L2549" s="117">
        <f>IF(O2549="","",N2549*O2549*M2549)</f>
        <v>0</v>
      </c>
      <c r="M2549" s="108">
        <v>1</v>
      </c>
      <c r="N2549" s="95">
        <v>1</v>
      </c>
      <c r="O2549" s="109">
        <f>IF(Key!D$1="ON",P2549,IF(SUM(Q2549:DL2549)&lt;1,"",SUM(Q2549:DL2549)/COUNTIF(Q2549:DL2549,"&gt;0")))</f>
        <v>0</v>
      </c>
      <c r="P2549" s="109">
        <f>SUMIFS(Q2549:DK2549,Q$1:DK$1,Dashboard!$K$31)</f>
        <v>0</v>
      </c>
      <c r="U2549" s="95">
        <v>33</v>
      </c>
    </row>
    <row r="2550" spans="1:34" x14ac:dyDescent="0.3">
      <c r="A2550" s="89" t="str">
        <f>CONCATENATE(D2550,".",F2550,"-",G2550,".",H2550,"")</f>
        <v>2.4-12.1</v>
      </c>
      <c r="B2550" s="89" t="str">
        <f>IF(CONCATENATE(I2550,Key!F$2)=CONCATENATE(INDEX(Dashboard!J:J,MATCH(I2550,Dashboard!J:J,0),1),INDEX(Dashboard!J:K,MATCH(I2550,Dashboard!J:J,0),2)),"ON",IF(Dashboard!K$32="ALL","ON","-"))</f>
        <v>-</v>
      </c>
      <c r="C2550" s="88" t="s">
        <v>152</v>
      </c>
      <c r="D2550" s="89">
        <f>IF(C2550="ID",1,(IF(C2550="PR",2,(IF(C2550="DE",3,(IF(C2550="RS",4,(IF(C2550="RC",5,0)))))))))</f>
        <v>2</v>
      </c>
      <c r="E2550" s="89" t="s">
        <v>228</v>
      </c>
      <c r="F2550" s="89">
        <f>IF(E2550="AM",1,(IF(E2550="BE",2,(IF(E2550="GV",3,(IF(E2550="RA",4,(IF(E2550="RM",5,(IF(E2550="AC",1,(IF(E2550="AT",2,(IF(E2550="DS",3,(IF(E2550="IP",4,(IF(E2550="MA",5,(IF(E2550="PT",6,(IF(E2550="AE",1,(IF(E2550="CM",2,(IF(E2550="DP",3,(IF(E2550="AN",1,(IF(E2550="CO",2,(IF(E2550="IM",3,(IF(E2550="MI",4,(IF(E2550="RP",5,(IF(E2550="SC",6,0)))))))))))))))))))))))))))))))))))))))</f>
        <v>4</v>
      </c>
      <c r="G2550" s="52">
        <v>12</v>
      </c>
      <c r="H2550" s="90" t="s">
        <v>115</v>
      </c>
      <c r="I2550" s="94" t="s">
        <v>60</v>
      </c>
      <c r="J2550" s="87" t="s">
        <v>3196</v>
      </c>
      <c r="K2550" s="51" t="s">
        <v>5309</v>
      </c>
      <c r="L2550" s="117">
        <f>IF(O2550="","",N2550*O2550*M2550)</f>
        <v>0</v>
      </c>
      <c r="M2550" s="108">
        <v>1</v>
      </c>
      <c r="N2550" s="95">
        <v>1</v>
      </c>
      <c r="O2550" s="109">
        <f>IF(Key!D$1="ON",P2550,IF(SUM(Q2550:DL2550)&lt;1,"",SUM(Q2550:DL2550)/COUNTIF(Q2550:DL2550,"&gt;0")))</f>
        <v>0</v>
      </c>
      <c r="P2550" s="109">
        <f>SUMIFS(Q2550:DK2550,Q$1:DK$1,Dashboard!$K$31)</f>
        <v>0</v>
      </c>
      <c r="U2550" s="95">
        <v>33</v>
      </c>
      <c r="AA2550" s="95">
        <v>25</v>
      </c>
      <c r="AH2550" s="95">
        <v>75</v>
      </c>
    </row>
    <row r="2551" spans="1:34" x14ac:dyDescent="0.3">
      <c r="A2551" s="89" t="str">
        <f>CONCATENATE(D2551,".",F2551,"-",G2551,".",H2551,"")</f>
        <v>2.4-12.1</v>
      </c>
      <c r="B2551" s="89" t="str">
        <f>IF(CONCATENATE(I2551,Key!F$2)=CONCATENATE(INDEX(Dashboard!J:J,MATCH(I2551,Dashboard!J:J,0),1),INDEX(Dashboard!J:K,MATCH(I2551,Dashboard!J:J,0),2)),"ON",IF(Dashboard!K$32="ALL","ON","-"))</f>
        <v>-</v>
      </c>
      <c r="C2551" s="88" t="s">
        <v>152</v>
      </c>
      <c r="D2551" s="89">
        <f>IF(C2551="ID",1,(IF(C2551="PR",2,(IF(C2551="DE",3,(IF(C2551="RS",4,(IF(C2551="RC",5,0)))))))))</f>
        <v>2</v>
      </c>
      <c r="E2551" s="89" t="s">
        <v>228</v>
      </c>
      <c r="F2551" s="89">
        <f>IF(E2551="AM",1,(IF(E2551="BE",2,(IF(E2551="GV",3,(IF(E2551="RA",4,(IF(E2551="RM",5,(IF(E2551="AC",1,(IF(E2551="AT",2,(IF(E2551="DS",3,(IF(E2551="IP",4,(IF(E2551="MA",5,(IF(E2551="PT",6,(IF(E2551="AE",1,(IF(E2551="CM",2,(IF(E2551="DP",3,(IF(E2551="AN",1,(IF(E2551="CO",2,(IF(E2551="IM",3,(IF(E2551="MI",4,(IF(E2551="RP",5,(IF(E2551="SC",6,0)))))))))))))))))))))))))))))))))))))))</f>
        <v>4</v>
      </c>
      <c r="G2551" s="52">
        <v>12</v>
      </c>
      <c r="H2551" s="90" t="s">
        <v>115</v>
      </c>
      <c r="I2551" s="94" t="s">
        <v>60</v>
      </c>
      <c r="J2551" s="87" t="s">
        <v>3155</v>
      </c>
      <c r="K2551" s="51" t="s">
        <v>5268</v>
      </c>
      <c r="L2551" s="117">
        <f>IF(O2551="","",N2551*O2551*M2551)</f>
        <v>0</v>
      </c>
      <c r="M2551" s="108">
        <v>1</v>
      </c>
      <c r="N2551" s="95">
        <v>1</v>
      </c>
      <c r="O2551" s="109">
        <f>IF(Key!D$1="ON",P2551,IF(SUM(Q2551:DL2551)&lt;1,"",SUM(Q2551:DL2551)/COUNTIF(Q2551:DL2551,"&gt;0")))</f>
        <v>0</v>
      </c>
      <c r="P2551" s="109">
        <f>SUMIFS(Q2551:DK2551,Q$1:DK$1,Dashboard!$K$31)</f>
        <v>0</v>
      </c>
      <c r="U2551" s="95">
        <v>33</v>
      </c>
      <c r="AA2551" s="95">
        <v>25</v>
      </c>
      <c r="AH2551" s="95">
        <v>75</v>
      </c>
    </row>
    <row r="2552" spans="1:34" ht="15.6" x14ac:dyDescent="0.3">
      <c r="A2552" s="89" t="str">
        <f>CONCATENATE(D2552,".",F2552,"-",G2552,".",H2552,"")</f>
        <v>2.4-12.1</v>
      </c>
      <c r="B2552" s="89" t="str">
        <f>IF(CONCATENATE(I2552,Key!F$2)=CONCATENATE(INDEX(Dashboard!J:J,MATCH(I2552,Dashboard!J:J,0),1),INDEX(Dashboard!J:K,MATCH(I2552,Dashboard!J:J,0),2)),"ON",IF(Dashboard!K$32="ALL","ON","-"))</f>
        <v>-</v>
      </c>
      <c r="C2552" s="88" t="s">
        <v>152</v>
      </c>
      <c r="D2552" s="89">
        <f>IF(C2552="ID",1,(IF(C2552="PR",2,(IF(C2552="DE",3,(IF(C2552="RS",4,(IF(C2552="RC",5,0)))))))))</f>
        <v>2</v>
      </c>
      <c r="E2552" s="89" t="s">
        <v>228</v>
      </c>
      <c r="F2552" s="89">
        <f>IF(E2552="AM",1,(IF(E2552="BE",2,(IF(E2552="GV",3,(IF(E2552="RA",4,(IF(E2552="RM",5,(IF(E2552="AC",1,(IF(E2552="AT",2,(IF(E2552="DS",3,(IF(E2552="IP",4,(IF(E2552="MA",5,(IF(E2552="PT",6,(IF(E2552="AE",1,(IF(E2552="CM",2,(IF(E2552="DP",3,(IF(E2552="AN",1,(IF(E2552="CO",2,(IF(E2552="IM",3,(IF(E2552="MI",4,(IF(E2552="RP",5,(IF(E2552="SC",6,0)))))))))))))))))))))))))))))))))))))))</f>
        <v>4</v>
      </c>
      <c r="G2552" s="52">
        <v>12</v>
      </c>
      <c r="H2552" s="90" t="s">
        <v>115</v>
      </c>
      <c r="I2552" s="94" t="s">
        <v>60</v>
      </c>
      <c r="J2552" s="87" t="s">
        <v>3158</v>
      </c>
      <c r="K2552" s="51" t="s">
        <v>5271</v>
      </c>
      <c r="L2552" s="117">
        <f>IF(O2552="","",N2552*O2552*M2552)</f>
        <v>0</v>
      </c>
      <c r="M2552" s="108">
        <v>1</v>
      </c>
      <c r="N2552" s="95">
        <v>1</v>
      </c>
      <c r="O2552" s="109">
        <f>IF(Key!D$1="ON",P2552,IF(SUM(Q2552:DL2552)&lt;1,"",SUM(Q2552:DL2552)/COUNTIF(Q2552:DL2552,"&gt;0")))</f>
        <v>0</v>
      </c>
      <c r="P2552" s="109">
        <f>SUMIFS(Q2552:DK2552,Q$1:DK$1,Dashboard!$K$31)</f>
        <v>0</v>
      </c>
      <c r="U2552" s="95">
        <v>33</v>
      </c>
      <c r="AA2552" s="95">
        <v>25</v>
      </c>
      <c r="AH2552" s="95">
        <v>75</v>
      </c>
    </row>
    <row r="2553" spans="1:34" x14ac:dyDescent="0.3">
      <c r="A2553" s="89" t="str">
        <f>CONCATENATE(D2553,".",F2553,"-",G2553,".",H2553,"")</f>
        <v>2.4-12.1</v>
      </c>
      <c r="B2553" s="89" t="str">
        <f>IF(CONCATENATE(I2553,Key!F$2)=CONCATENATE(INDEX(Dashboard!J:J,MATCH(I2553,Dashboard!J:J,0),1),INDEX(Dashboard!J:K,MATCH(I2553,Dashboard!J:J,0),2)),"ON",IF(Dashboard!K$32="ALL","ON","-"))</f>
        <v>-</v>
      </c>
      <c r="C2553" s="88" t="s">
        <v>152</v>
      </c>
      <c r="D2553" s="89">
        <f>IF(C2553="ID",1,(IF(C2553="PR",2,(IF(C2553="DE",3,(IF(C2553="RS",4,(IF(C2553="RC",5,0)))))))))</f>
        <v>2</v>
      </c>
      <c r="E2553" s="89" t="s">
        <v>228</v>
      </c>
      <c r="F2553" s="89">
        <f>IF(E2553="AM",1,(IF(E2553="BE",2,(IF(E2553="GV",3,(IF(E2553="RA",4,(IF(E2553="RM",5,(IF(E2553="AC",1,(IF(E2553="AT",2,(IF(E2553="DS",3,(IF(E2553="IP",4,(IF(E2553="MA",5,(IF(E2553="PT",6,(IF(E2553="AE",1,(IF(E2553="CM",2,(IF(E2553="DP",3,(IF(E2553="AN",1,(IF(E2553="CO",2,(IF(E2553="IM",3,(IF(E2553="MI",4,(IF(E2553="RP",5,(IF(E2553="SC",6,0)))))))))))))))))))))))))))))))))))))))</f>
        <v>4</v>
      </c>
      <c r="G2553" s="52">
        <v>12</v>
      </c>
      <c r="H2553" s="90" t="s">
        <v>115</v>
      </c>
      <c r="I2553" s="94" t="s">
        <v>64</v>
      </c>
      <c r="J2553" s="87" t="s">
        <v>1557</v>
      </c>
      <c r="K2553" s="102" t="s">
        <v>2516</v>
      </c>
      <c r="L2553" s="117">
        <f>IF(O2553="","",N2553*O2553*M2553)</f>
        <v>0</v>
      </c>
      <c r="M2553" s="108">
        <v>1</v>
      </c>
      <c r="N2553" s="95">
        <v>1</v>
      </c>
      <c r="O2553" s="109">
        <f>IF(Key!D$1="ON",P2553,IF(SUM(Q2553:DL2553)&lt;1,"",SUM(Q2553:DL2553)/COUNTIF(Q2553:DL2553,"&gt;0")))</f>
        <v>0</v>
      </c>
      <c r="P2553" s="109">
        <f>SUMIFS(Q2553:DK2553,Q$1:DK$1,Dashboard!$K$31)</f>
        <v>0</v>
      </c>
      <c r="U2553" s="95">
        <v>33</v>
      </c>
      <c r="AA2553" s="95">
        <v>25</v>
      </c>
      <c r="AH2553" s="95">
        <v>75</v>
      </c>
    </row>
    <row r="2554" spans="1:34" x14ac:dyDescent="0.3">
      <c r="A2554" s="89" t="str">
        <f>CONCATENATE(D2554,".",F2554,"-",G2554,".",H2554,"")</f>
        <v>2.4-12.1</v>
      </c>
      <c r="B2554" s="89" t="str">
        <f>IF(CONCATENATE(I2554,Key!F$2)=CONCATENATE(INDEX(Dashboard!J:J,MATCH(I2554,Dashboard!J:J,0),1),INDEX(Dashboard!J:K,MATCH(I2554,Dashboard!J:J,0),2)),"ON",IF(Dashboard!K$32="ALL","ON","-"))</f>
        <v>-</v>
      </c>
      <c r="C2554" s="88" t="s">
        <v>152</v>
      </c>
      <c r="D2554" s="89">
        <f>IF(C2554="ID",1,(IF(C2554="PR",2,(IF(C2554="DE",3,(IF(C2554="RS",4,(IF(C2554="RC",5,0)))))))))</f>
        <v>2</v>
      </c>
      <c r="E2554" s="89" t="s">
        <v>228</v>
      </c>
      <c r="F2554" s="89">
        <f>IF(E2554="AM",1,(IF(E2554="BE",2,(IF(E2554="GV",3,(IF(E2554="RA",4,(IF(E2554="RM",5,(IF(E2554="AC",1,(IF(E2554="AT",2,(IF(E2554="DS",3,(IF(E2554="IP",4,(IF(E2554="MA",5,(IF(E2554="PT",6,(IF(E2554="AE",1,(IF(E2554="CM",2,(IF(E2554="DP",3,(IF(E2554="AN",1,(IF(E2554="CO",2,(IF(E2554="IM",3,(IF(E2554="MI",4,(IF(E2554="RP",5,(IF(E2554="SC",6,0)))))))))))))))))))))))))))))))))))))))</f>
        <v>4</v>
      </c>
      <c r="G2554" s="52">
        <v>12</v>
      </c>
      <c r="H2554" s="90" t="s">
        <v>115</v>
      </c>
      <c r="I2554" s="94" t="s">
        <v>73</v>
      </c>
      <c r="J2554" s="86" t="s">
        <v>4211</v>
      </c>
      <c r="K2554" s="101" t="s">
        <v>5183</v>
      </c>
      <c r="L2554" s="117">
        <f>IF(O2554="","",N2554*O2554*M2554)</f>
        <v>0</v>
      </c>
      <c r="M2554" s="108">
        <v>1</v>
      </c>
      <c r="N2554" s="95">
        <v>1</v>
      </c>
      <c r="O2554" s="109">
        <f>IF(Key!D$1="ON",P2554,IF(SUM(Q2554:DL2554)&lt;1,"",SUM(Q2554:DL2554)/COUNTIF(Q2554:DL2554,"&gt;0")))</f>
        <v>0</v>
      </c>
      <c r="P2554" s="109">
        <f>SUMIFS(Q2554:DK2554,Q$1:DK$1,Dashboard!$K$31)</f>
        <v>0</v>
      </c>
      <c r="U2554" s="95">
        <v>33</v>
      </c>
      <c r="AA2554" s="95">
        <v>25</v>
      </c>
      <c r="AH2554" s="95">
        <v>75</v>
      </c>
    </row>
    <row r="2555" spans="1:34" x14ac:dyDescent="0.3">
      <c r="A2555" s="89" t="str">
        <f>CONCATENATE(D2555,".",F2555,"-",G2555,".",H2555,"")</f>
        <v>2.4-12.1</v>
      </c>
      <c r="B2555" s="89" t="str">
        <f>IF(CONCATENATE(I2555,Key!F$2)=CONCATENATE(INDEX(Dashboard!J:J,MATCH(I2555,Dashboard!J:J,0),1),INDEX(Dashboard!J:K,MATCH(I2555,Dashboard!J:J,0),2)),"ON",IF(Dashboard!K$32="ALL","ON","-"))</f>
        <v>-</v>
      </c>
      <c r="C2555" s="88" t="s">
        <v>152</v>
      </c>
      <c r="D2555" s="89">
        <f>IF(C2555="ID",1,(IF(C2555="PR",2,(IF(C2555="DE",3,(IF(C2555="RS",4,(IF(C2555="RC",5,0)))))))))</f>
        <v>2</v>
      </c>
      <c r="E2555" s="89" t="s">
        <v>228</v>
      </c>
      <c r="F2555" s="89">
        <f>IF(E2555="AM",1,(IF(E2555="BE",2,(IF(E2555="GV",3,(IF(E2555="RA",4,(IF(E2555="RM",5,(IF(E2555="AC",1,(IF(E2555="AT",2,(IF(E2555="DS",3,(IF(E2555="IP",4,(IF(E2555="MA",5,(IF(E2555="PT",6,(IF(E2555="AE",1,(IF(E2555="CM",2,(IF(E2555="DP",3,(IF(E2555="AN",1,(IF(E2555="CO",2,(IF(E2555="IM",3,(IF(E2555="MI",4,(IF(E2555="RP",5,(IF(E2555="SC",6,0)))))))))))))))))))))))))))))))))))))))</f>
        <v>4</v>
      </c>
      <c r="G2555" s="98">
        <v>12</v>
      </c>
      <c r="H2555" s="99">
        <v>1</v>
      </c>
      <c r="I2555" s="94" t="s">
        <v>73</v>
      </c>
      <c r="J2555" s="86" t="s">
        <v>4212</v>
      </c>
      <c r="K2555" s="107" t="s">
        <v>4329</v>
      </c>
      <c r="L2555" s="117">
        <f>IF(O2555="","",N2555*O2555*M2555)</f>
        <v>0</v>
      </c>
      <c r="M2555" s="108">
        <v>1</v>
      </c>
      <c r="N2555" s="95">
        <v>1</v>
      </c>
      <c r="O2555" s="109">
        <f>IF(Key!D$1="ON",P2555,IF(SUM(Q2555:DL2555)&lt;1,"",SUM(Q2555:DL2555)/COUNTIF(Q2555:DL2555,"&gt;0")))</f>
        <v>0</v>
      </c>
      <c r="P2555" s="109">
        <f>SUMIFS(Q2555:DK2555,Q$1:DK$1,Dashboard!$K$31)</f>
        <v>0</v>
      </c>
      <c r="U2555" s="95">
        <v>33</v>
      </c>
      <c r="AA2555" s="95">
        <v>25</v>
      </c>
      <c r="AH2555" s="95">
        <v>75</v>
      </c>
    </row>
    <row r="2556" spans="1:34" x14ac:dyDescent="0.3">
      <c r="A2556" s="89" t="str">
        <f>CONCATENATE(D2556,".",F2556,"-",G2556,".",H2556,"")</f>
        <v>2.4-12.1</v>
      </c>
      <c r="B2556" s="89" t="str">
        <f>IF(CONCATENATE(I2556,Key!F$2)=CONCATENATE(INDEX(Dashboard!J:J,MATCH(I2556,Dashboard!J:J,0),1),INDEX(Dashboard!J:K,MATCH(I2556,Dashboard!J:J,0),2)),"ON",IF(Dashboard!K$32="ALL","ON","-"))</f>
        <v>-</v>
      </c>
      <c r="C2556" s="88" t="s">
        <v>152</v>
      </c>
      <c r="D2556" s="89">
        <f>IF(C2556="ID",1,(IF(C2556="PR",2,(IF(C2556="DE",3,(IF(C2556="RS",4,(IF(C2556="RC",5,0)))))))))</f>
        <v>2</v>
      </c>
      <c r="E2556" s="89" t="s">
        <v>228</v>
      </c>
      <c r="F2556" s="89">
        <f>IF(E2556="AM",1,(IF(E2556="BE",2,(IF(E2556="GV",3,(IF(E2556="RA",4,(IF(E2556="RM",5,(IF(E2556="AC",1,(IF(E2556="AT",2,(IF(E2556="DS",3,(IF(E2556="IP",4,(IF(E2556="MA",5,(IF(E2556="PT",6,(IF(E2556="AE",1,(IF(E2556="CM",2,(IF(E2556="DP",3,(IF(E2556="AN",1,(IF(E2556="CO",2,(IF(E2556="IM",3,(IF(E2556="MI",4,(IF(E2556="RP",5,(IF(E2556="SC",6,0)))))))))))))))))))))))))))))))))))))))</f>
        <v>4</v>
      </c>
      <c r="G2556" s="98">
        <v>12</v>
      </c>
      <c r="H2556" s="99">
        <v>1</v>
      </c>
      <c r="I2556" s="94" t="s">
        <v>73</v>
      </c>
      <c r="J2556" s="86" t="s">
        <v>4214</v>
      </c>
      <c r="K2556" s="107" t="s">
        <v>4331</v>
      </c>
      <c r="L2556" s="117">
        <f>IF(O2556="","",N2556*O2556*M2556)</f>
        <v>0</v>
      </c>
      <c r="M2556" s="108">
        <v>1</v>
      </c>
      <c r="N2556" s="95">
        <v>1</v>
      </c>
      <c r="O2556" s="109">
        <f>IF(Key!D$1="ON",P2556,IF(SUM(Q2556:DL2556)&lt;1,"",SUM(Q2556:DL2556)/COUNTIF(Q2556:DL2556,"&gt;0")))</f>
        <v>0</v>
      </c>
      <c r="P2556" s="109">
        <f>SUMIFS(Q2556:DK2556,Q$1:DK$1,Dashboard!$K$31)</f>
        <v>0</v>
      </c>
      <c r="U2556" s="95">
        <v>33</v>
      </c>
      <c r="AA2556" s="95">
        <v>25</v>
      </c>
      <c r="AH2556" s="95">
        <v>75</v>
      </c>
    </row>
    <row r="2557" spans="1:34" x14ac:dyDescent="0.3">
      <c r="A2557" s="89" t="str">
        <f>CONCATENATE(D2557,".",F2557,"-",G2557,".",H2557,"")</f>
        <v>2.4-12.1</v>
      </c>
      <c r="B2557" s="89" t="str">
        <f>IF(CONCATENATE(I2557,Key!F$2)=CONCATENATE(INDEX(Dashboard!J:J,MATCH(I2557,Dashboard!J:J,0),1),INDEX(Dashboard!J:K,MATCH(I2557,Dashboard!J:J,0),2)),"ON",IF(Dashboard!K$32="ALL","ON","-"))</f>
        <v>-</v>
      </c>
      <c r="C2557" s="88" t="s">
        <v>152</v>
      </c>
      <c r="D2557" s="89">
        <f>IF(C2557="ID",1,(IF(C2557="PR",2,(IF(C2557="DE",3,(IF(C2557="RS",4,(IF(C2557="RC",5,0)))))))))</f>
        <v>2</v>
      </c>
      <c r="E2557" s="89" t="s">
        <v>228</v>
      </c>
      <c r="F2557" s="89">
        <f>IF(E2557="AM",1,(IF(E2557="BE",2,(IF(E2557="GV",3,(IF(E2557="RA",4,(IF(E2557="RM",5,(IF(E2557="AC",1,(IF(E2557="AT",2,(IF(E2557="DS",3,(IF(E2557="IP",4,(IF(E2557="MA",5,(IF(E2557="PT",6,(IF(E2557="AE",1,(IF(E2557="CM",2,(IF(E2557="DP",3,(IF(E2557="AN",1,(IF(E2557="CO",2,(IF(E2557="IM",3,(IF(E2557="MI",4,(IF(E2557="RP",5,(IF(E2557="SC",6,0)))))))))))))))))))))))))))))))))))))))</f>
        <v>4</v>
      </c>
      <c r="G2557" s="52">
        <v>12</v>
      </c>
      <c r="H2557" s="90" t="s">
        <v>115</v>
      </c>
      <c r="I2557" s="94" t="s">
        <v>73</v>
      </c>
      <c r="J2557" s="86" t="s">
        <v>4215</v>
      </c>
      <c r="K2557" s="101" t="s">
        <v>4402</v>
      </c>
      <c r="L2557" s="117">
        <f>IF(O2557="","",N2557*O2557*M2557)</f>
        <v>0</v>
      </c>
      <c r="M2557" s="108">
        <v>1</v>
      </c>
      <c r="N2557" s="95">
        <v>1</v>
      </c>
      <c r="O2557" s="109">
        <f>IF(Key!D$1="ON",P2557,IF(SUM(Q2557:DL2557)&lt;1,"",SUM(Q2557:DL2557)/COUNTIF(Q2557:DL2557,"&gt;0")))</f>
        <v>0</v>
      </c>
      <c r="P2557" s="109">
        <f>SUMIFS(Q2557:DK2557,Q$1:DK$1,Dashboard!$K$31)</f>
        <v>0</v>
      </c>
      <c r="U2557" s="95">
        <v>33</v>
      </c>
      <c r="AA2557" s="95">
        <v>25</v>
      </c>
      <c r="AH2557" s="95">
        <v>75</v>
      </c>
    </row>
    <row r="2558" spans="1:34" x14ac:dyDescent="0.3">
      <c r="A2558" s="89" t="str">
        <f>CONCATENATE(D2558,".",F2558,"-",G2558,".",H2558,"")</f>
        <v>2.4-12.1</v>
      </c>
      <c r="B2558" s="89" t="str">
        <f>IF(CONCATENATE(I2558,Key!F$2)=CONCATENATE(INDEX(Dashboard!J:J,MATCH(I2558,Dashboard!J:J,0),1),INDEX(Dashboard!J:K,MATCH(I2558,Dashboard!J:J,0),2)),"ON",IF(Dashboard!K$32="ALL","ON","-"))</f>
        <v>-</v>
      </c>
      <c r="C2558" s="88" t="s">
        <v>152</v>
      </c>
      <c r="D2558" s="89">
        <f>IF(C2558="ID",1,(IF(C2558="PR",2,(IF(C2558="DE",3,(IF(C2558="RS",4,(IF(C2558="RC",5,0)))))))))</f>
        <v>2</v>
      </c>
      <c r="E2558" s="89" t="s">
        <v>228</v>
      </c>
      <c r="F2558" s="89">
        <f>IF(E2558="AM",1,(IF(E2558="BE",2,(IF(E2558="GV",3,(IF(E2558="RA",4,(IF(E2558="RM",5,(IF(E2558="AC",1,(IF(E2558="AT",2,(IF(E2558="DS",3,(IF(E2558="IP",4,(IF(E2558="MA",5,(IF(E2558="PT",6,(IF(E2558="AE",1,(IF(E2558="CM",2,(IF(E2558="DP",3,(IF(E2558="AN",1,(IF(E2558="CO",2,(IF(E2558="IM",3,(IF(E2558="MI",4,(IF(E2558="RP",5,(IF(E2558="SC",6,0)))))))))))))))))))))))))))))))))))))))</f>
        <v>4</v>
      </c>
      <c r="G2558" s="52">
        <v>12</v>
      </c>
      <c r="H2558" s="90" t="s">
        <v>115</v>
      </c>
      <c r="I2558" s="94" t="s">
        <v>73</v>
      </c>
      <c r="J2558" s="86" t="s">
        <v>4241</v>
      </c>
      <c r="K2558" s="101" t="s">
        <v>5203</v>
      </c>
      <c r="L2558" s="117">
        <f>IF(O2558="","",N2558*O2558*M2558)</f>
        <v>0</v>
      </c>
      <c r="M2558" s="108">
        <v>1</v>
      </c>
      <c r="N2558" s="95">
        <v>1</v>
      </c>
      <c r="O2558" s="109">
        <f>IF(Key!D$1="ON",P2558,IF(SUM(Q2558:DL2558)&lt;1,"",SUM(Q2558:DL2558)/COUNTIF(Q2558:DL2558,"&gt;0")))</f>
        <v>0</v>
      </c>
      <c r="P2558" s="109">
        <f>SUMIFS(Q2558:DK2558,Q$1:DK$1,Dashboard!$K$31)</f>
        <v>0</v>
      </c>
      <c r="U2558" s="95">
        <v>33</v>
      </c>
      <c r="AA2558" s="95">
        <v>25</v>
      </c>
      <c r="AH2558" s="95">
        <v>75</v>
      </c>
    </row>
    <row r="2559" spans="1:34" x14ac:dyDescent="0.3">
      <c r="A2559" s="89" t="str">
        <f>CONCATENATE(D2559,".",F2559,"-",G2559,".",H2559,"")</f>
        <v>2.4-12.1</v>
      </c>
      <c r="B2559" s="89" t="str">
        <f>IF(CONCATENATE(I2559,Key!F$2)=CONCATENATE(INDEX(Dashboard!J:J,MATCH(I2559,Dashboard!J:J,0),1),INDEX(Dashboard!J:K,MATCH(I2559,Dashboard!J:J,0),2)),"ON",IF(Dashboard!K$32="ALL","ON","-"))</f>
        <v>-</v>
      </c>
      <c r="C2559" s="88" t="s">
        <v>152</v>
      </c>
      <c r="D2559" s="89">
        <f>IF(C2559="ID",1,(IF(C2559="PR",2,(IF(C2559="DE",3,(IF(C2559="RS",4,(IF(C2559="RC",5,0)))))))))</f>
        <v>2</v>
      </c>
      <c r="E2559" s="89" t="s">
        <v>228</v>
      </c>
      <c r="F2559" s="89">
        <f>IF(E2559="AM",1,(IF(E2559="BE",2,(IF(E2559="GV",3,(IF(E2559="RA",4,(IF(E2559="RM",5,(IF(E2559="AC",1,(IF(E2559="AT",2,(IF(E2559="DS",3,(IF(E2559="IP",4,(IF(E2559="MA",5,(IF(E2559="PT",6,(IF(E2559="AE",1,(IF(E2559="CM",2,(IF(E2559="DP",3,(IF(E2559="AN",1,(IF(E2559="CO",2,(IF(E2559="IM",3,(IF(E2559="MI",4,(IF(E2559="RP",5,(IF(E2559="SC",6,0)))))))))))))))))))))))))))))))))))))))</f>
        <v>4</v>
      </c>
      <c r="G2559" s="98">
        <v>12</v>
      </c>
      <c r="H2559" s="99">
        <v>1</v>
      </c>
      <c r="I2559" s="94" t="s">
        <v>73</v>
      </c>
      <c r="J2559" s="86" t="s">
        <v>4242</v>
      </c>
      <c r="K2559" s="107" t="s">
        <v>4349</v>
      </c>
      <c r="L2559" s="117">
        <f>IF(O2559="","",N2559*O2559*M2559)</f>
        <v>0</v>
      </c>
      <c r="M2559" s="108">
        <v>1</v>
      </c>
      <c r="N2559" s="95">
        <v>1</v>
      </c>
      <c r="O2559" s="109">
        <f>IF(Key!D$1="ON",P2559,IF(SUM(Q2559:DL2559)&lt;1,"",SUM(Q2559:DL2559)/COUNTIF(Q2559:DL2559,"&gt;0")))</f>
        <v>0</v>
      </c>
      <c r="P2559" s="109">
        <f>SUMIFS(Q2559:DK2559,Q$1:DK$1,Dashboard!$K$31)</f>
        <v>0</v>
      </c>
      <c r="U2559" s="95">
        <v>33</v>
      </c>
      <c r="AA2559" s="95">
        <v>25</v>
      </c>
      <c r="AH2559" s="95">
        <v>75</v>
      </c>
    </row>
    <row r="2560" spans="1:34" x14ac:dyDescent="0.3">
      <c r="A2560" s="89" t="str">
        <f>CONCATENATE(D2560,".",F2560,"-",G2560,".",H2560,"")</f>
        <v>2.4-12.1</v>
      </c>
      <c r="B2560" s="89" t="str">
        <f>IF(CONCATENATE(I2560,Key!F$2)=CONCATENATE(INDEX(Dashboard!J:J,MATCH(I2560,Dashboard!J:J,0),1),INDEX(Dashboard!J:K,MATCH(I2560,Dashboard!J:J,0),2)),"ON",IF(Dashboard!K$32="ALL","ON","-"))</f>
        <v>-</v>
      </c>
      <c r="C2560" s="88" t="s">
        <v>152</v>
      </c>
      <c r="D2560" s="89">
        <f>IF(C2560="ID",1,(IF(C2560="PR",2,(IF(C2560="DE",3,(IF(C2560="RS",4,(IF(C2560="RC",5,0)))))))))</f>
        <v>2</v>
      </c>
      <c r="E2560" s="89" t="s">
        <v>228</v>
      </c>
      <c r="F2560" s="89">
        <f>IF(E2560="AM",1,(IF(E2560="BE",2,(IF(E2560="GV",3,(IF(E2560="RA",4,(IF(E2560="RM",5,(IF(E2560="AC",1,(IF(E2560="AT",2,(IF(E2560="DS",3,(IF(E2560="IP",4,(IF(E2560="MA",5,(IF(E2560="PT",6,(IF(E2560="AE",1,(IF(E2560="CM",2,(IF(E2560="DP",3,(IF(E2560="AN",1,(IF(E2560="CO",2,(IF(E2560="IM",3,(IF(E2560="MI",4,(IF(E2560="RP",5,(IF(E2560="SC",6,0)))))))))))))))))))))))))))))))))))))))</f>
        <v>4</v>
      </c>
      <c r="G2560" s="52">
        <v>12</v>
      </c>
      <c r="H2560" s="90" t="s">
        <v>115</v>
      </c>
      <c r="I2560" s="94" t="s">
        <v>73</v>
      </c>
      <c r="J2560" s="86" t="s">
        <v>4244</v>
      </c>
      <c r="K2560" s="101" t="s">
        <v>5185</v>
      </c>
      <c r="L2560" s="117">
        <f>IF(O2560="","",N2560*O2560*M2560)</f>
        <v>0</v>
      </c>
      <c r="M2560" s="108">
        <v>1</v>
      </c>
      <c r="N2560" s="95">
        <v>1</v>
      </c>
      <c r="O2560" s="109">
        <f>IF(Key!D$1="ON",P2560,IF(SUM(Q2560:DL2560)&lt;1,"",SUM(Q2560:DL2560)/COUNTIF(Q2560:DL2560,"&gt;0")))</f>
        <v>0</v>
      </c>
      <c r="P2560" s="109">
        <f>SUMIFS(Q2560:DK2560,Q$1:DK$1,Dashboard!$K$31)</f>
        <v>0</v>
      </c>
      <c r="U2560" s="95">
        <v>33</v>
      </c>
      <c r="AA2560" s="95">
        <v>25</v>
      </c>
      <c r="AH2560" s="95">
        <v>75</v>
      </c>
    </row>
    <row r="2561" spans="1:34" ht="15.6" x14ac:dyDescent="0.3">
      <c r="A2561" s="89" t="str">
        <f>CONCATENATE(D2561,".",F2561,"-",G2561,".",H2561,"")</f>
        <v>2.4-12.1</v>
      </c>
      <c r="B2561" s="89" t="str">
        <f>IF(CONCATENATE(I2561,Key!F$2)=CONCATENATE(INDEX(Dashboard!J:J,MATCH(I2561,Dashboard!J:J,0),1),INDEX(Dashboard!J:K,MATCH(I2561,Dashboard!J:J,0),2)),"ON",IF(Dashboard!K$32="ALL","ON","-"))</f>
        <v>-</v>
      </c>
      <c r="C2561" s="88" t="s">
        <v>152</v>
      </c>
      <c r="D2561" s="89">
        <f>IF(C2561="ID",1,(IF(C2561="PR",2,(IF(C2561="DE",3,(IF(C2561="RS",4,(IF(C2561="RC",5,0)))))))))</f>
        <v>2</v>
      </c>
      <c r="E2561" s="89" t="s">
        <v>228</v>
      </c>
      <c r="F2561" s="89">
        <f>IF(E2561="AM",1,(IF(E2561="BE",2,(IF(E2561="GV",3,(IF(E2561="RA",4,(IF(E2561="RM",5,(IF(E2561="AC",1,(IF(E2561="AT",2,(IF(E2561="DS",3,(IF(E2561="IP",4,(IF(E2561="MA",5,(IF(E2561="PT",6,(IF(E2561="AE",1,(IF(E2561="CM",2,(IF(E2561="DP",3,(IF(E2561="AN",1,(IF(E2561="CO",2,(IF(E2561="IM",3,(IF(E2561="MI",4,(IF(E2561="RP",5,(IF(E2561="SC",6,0)))))))))))))))))))))))))))))))))))))))</f>
        <v>4</v>
      </c>
      <c r="G2561" s="52">
        <v>12</v>
      </c>
      <c r="H2561" s="90" t="s">
        <v>115</v>
      </c>
      <c r="I2561" s="94" t="s">
        <v>77</v>
      </c>
      <c r="J2561" s="87" t="s">
        <v>1557</v>
      </c>
      <c r="K2561" s="102" t="s">
        <v>2516</v>
      </c>
      <c r="L2561" s="117">
        <f>IF(O2561="","",N2561*O2561*M2561)</f>
        <v>0</v>
      </c>
      <c r="M2561" s="108">
        <v>1</v>
      </c>
      <c r="N2561" s="95">
        <v>1</v>
      </c>
      <c r="O2561" s="109">
        <f>IF(Key!D$1="ON",P2561,IF(SUM(Q2561:DL2561)&lt;1,"",SUM(Q2561:DL2561)/COUNTIF(Q2561:DL2561,"&gt;0")))</f>
        <v>0</v>
      </c>
      <c r="P2561" s="109">
        <f>SUMIFS(Q2561:DK2561,Q$1:DK$1,Dashboard!$K$31)</f>
        <v>0</v>
      </c>
      <c r="U2561" s="95">
        <v>33</v>
      </c>
      <c r="AA2561" s="95">
        <v>25</v>
      </c>
      <c r="AH2561" s="95">
        <v>75</v>
      </c>
    </row>
    <row r="2562" spans="1:34" x14ac:dyDescent="0.3">
      <c r="A2562" s="89" t="str">
        <f>CONCATENATE(D2562,".",F2562,"-",G2562,".",H2562,"")</f>
        <v>2.4-12.1</v>
      </c>
      <c r="B2562" s="89" t="str">
        <f>IF(CONCATENATE(I2562,Key!F$2)=CONCATENATE(INDEX(Dashboard!J:J,MATCH(I2562,Dashboard!J:J,0),1),INDEX(Dashboard!J:K,MATCH(I2562,Dashboard!J:J,0),2)),"ON",IF(Dashboard!K$32="ALL","ON","-"))</f>
        <v>-</v>
      </c>
      <c r="C2562" s="88" t="s">
        <v>152</v>
      </c>
      <c r="D2562" s="89">
        <f>IF(C2562="ID",1,(IF(C2562="PR",2,(IF(C2562="DE",3,(IF(C2562="RS",4,(IF(C2562="RC",5,0)))))))))</f>
        <v>2</v>
      </c>
      <c r="E2562" s="89" t="s">
        <v>228</v>
      </c>
      <c r="F2562" s="89">
        <f>IF(E2562="AM",1,(IF(E2562="BE",2,(IF(E2562="GV",3,(IF(E2562="RA",4,(IF(E2562="RM",5,(IF(E2562="AC",1,(IF(E2562="AT",2,(IF(E2562="DS",3,(IF(E2562="IP",4,(IF(E2562="MA",5,(IF(E2562="PT",6,(IF(E2562="AE",1,(IF(E2562="CM",2,(IF(E2562="DP",3,(IF(E2562="AN",1,(IF(E2562="CO",2,(IF(E2562="IM",3,(IF(E2562="MI",4,(IF(E2562="RP",5,(IF(E2562="SC",6,0)))))))))))))))))))))))))))))))))))))))</f>
        <v>4</v>
      </c>
      <c r="G2562" s="52">
        <v>12</v>
      </c>
      <c r="H2562" s="90" t="s">
        <v>115</v>
      </c>
      <c r="I2562" s="94" t="s">
        <v>77</v>
      </c>
      <c r="J2562" s="87" t="s">
        <v>1078</v>
      </c>
      <c r="K2562" s="102" t="s">
        <v>2121</v>
      </c>
      <c r="L2562" s="117">
        <f>IF(O2562="","",N2562*O2562*M2562)</f>
        <v>0</v>
      </c>
      <c r="M2562" s="108">
        <v>1</v>
      </c>
      <c r="N2562" s="95">
        <v>1</v>
      </c>
      <c r="O2562" s="109">
        <f>IF(Key!D$1="ON",P2562,IF(SUM(Q2562:DL2562)&lt;1,"",SUM(Q2562:DL2562)/COUNTIF(Q2562:DL2562,"&gt;0")))</f>
        <v>0</v>
      </c>
      <c r="P2562" s="109">
        <f>SUMIFS(Q2562:DK2562,Q$1:DK$1,Dashboard!$K$31)</f>
        <v>0</v>
      </c>
      <c r="U2562" s="95">
        <v>33</v>
      </c>
      <c r="AA2562" s="95">
        <v>25</v>
      </c>
      <c r="AH2562" s="95">
        <v>75</v>
      </c>
    </row>
    <row r="2563" spans="1:34" x14ac:dyDescent="0.3">
      <c r="A2563" s="89" t="str">
        <f>CONCATENATE(D2563,".",F2563,"-",G2563,".",H2563,"")</f>
        <v>2.4-12.1</v>
      </c>
      <c r="B2563" s="89" t="str">
        <f>IF(CONCATENATE(I2563,Key!F$2)=CONCATENATE(INDEX(Dashboard!J:J,MATCH(I2563,Dashboard!J:J,0),1),INDEX(Dashboard!J:K,MATCH(I2563,Dashboard!J:J,0),2)),"ON",IF(Dashboard!K$32="ALL","ON","-"))</f>
        <v>-</v>
      </c>
      <c r="C2563" s="96" t="s">
        <v>152</v>
      </c>
      <c r="D2563" s="89">
        <f>IF(C2563="ID",1,(IF(C2563="PR",2,(IF(C2563="DE",3,(IF(C2563="RS",4,(IF(C2563="RC",5,0)))))))))</f>
        <v>2</v>
      </c>
      <c r="E2563" s="89" t="s">
        <v>228</v>
      </c>
      <c r="F2563" s="89">
        <f>IF(E2563="AM",1,(IF(E2563="BE",2,(IF(E2563="GV",3,(IF(E2563="RA",4,(IF(E2563="RM",5,(IF(E2563="AC",1,(IF(E2563="AT",2,(IF(E2563="DS",3,(IF(E2563="IP",4,(IF(E2563="MA",5,(IF(E2563="PT",6,(IF(E2563="AE",1,(IF(E2563="CM",2,(IF(E2563="DP",3,(IF(E2563="AN",1,(IF(E2563="CO",2,(IF(E2563="IM",3,(IF(E2563="MI",4,(IF(E2563="RP",5,(IF(E2563="SC",6,0)))))))))))))))))))))))))))))))))))))))</f>
        <v>4</v>
      </c>
      <c r="G2563" s="98">
        <v>12</v>
      </c>
      <c r="H2563" s="90" t="s">
        <v>115</v>
      </c>
      <c r="I2563" s="94" t="s">
        <v>92</v>
      </c>
      <c r="J2563" s="88">
        <v>6.1</v>
      </c>
      <c r="K2563" s="102" t="s">
        <v>5226</v>
      </c>
      <c r="L2563" s="117">
        <f>IF(O2563="","",N2563*O2563*M2563)</f>
        <v>0</v>
      </c>
      <c r="M2563" s="108">
        <v>1</v>
      </c>
      <c r="N2563" s="95">
        <v>1</v>
      </c>
      <c r="O2563" s="109">
        <f>IF(Key!D$1="ON",P2563,IF(SUM(Q2563:DL2563)&lt;1,"",SUM(Q2563:DL2563)/COUNTIF(Q2563:DL2563,"&gt;0")))</f>
        <v>0</v>
      </c>
      <c r="P2563" s="109">
        <f>SUMIFS(Q2563:DK2563,Q$1:DK$1,Dashboard!$K$31)</f>
        <v>0</v>
      </c>
      <c r="U2563" s="95">
        <v>33</v>
      </c>
      <c r="AA2563" s="95">
        <v>25</v>
      </c>
      <c r="AH2563" s="95">
        <v>75</v>
      </c>
    </row>
    <row r="2564" spans="1:34" x14ac:dyDescent="0.3">
      <c r="A2564" s="89" t="str">
        <f>CONCATENATE(D2564,".",F2564,"-",G2564,".",H2564,"")</f>
        <v>2.4-12.1</v>
      </c>
      <c r="B2564" s="89" t="str">
        <f>IF(CONCATENATE(I2564,Key!F$2)=CONCATENATE(INDEX(Dashboard!J:J,MATCH(I2564,Dashboard!J:J,0),1),INDEX(Dashboard!J:K,MATCH(I2564,Dashboard!J:J,0),2)),"ON",IF(Dashboard!K$32="ALL","ON","-"))</f>
        <v>-</v>
      </c>
      <c r="C2564" s="96" t="s">
        <v>152</v>
      </c>
      <c r="D2564" s="89">
        <f>IF(C2564="ID",1,(IF(C2564="PR",2,(IF(C2564="DE",3,(IF(C2564="RS",4,(IF(C2564="RC",5,0)))))))))</f>
        <v>2</v>
      </c>
      <c r="E2564" s="89" t="s">
        <v>228</v>
      </c>
      <c r="F2564" s="89">
        <f>IF(E2564="AM",1,(IF(E2564="BE",2,(IF(E2564="GV",3,(IF(E2564="RA",4,(IF(E2564="RM",5,(IF(E2564="AC",1,(IF(E2564="AT",2,(IF(E2564="DS",3,(IF(E2564="IP",4,(IF(E2564="MA",5,(IF(E2564="PT",6,(IF(E2564="AE",1,(IF(E2564="CM",2,(IF(E2564="DP",3,(IF(E2564="AN",1,(IF(E2564="CO",2,(IF(E2564="IM",3,(IF(E2564="MI",4,(IF(E2564="RP",5,(IF(E2564="SC",6,0)))))))))))))))))))))))))))))))))))))))</f>
        <v>4</v>
      </c>
      <c r="G2564" s="98">
        <v>12</v>
      </c>
      <c r="H2564" s="90" t="s">
        <v>115</v>
      </c>
      <c r="I2564" s="94" t="s">
        <v>92</v>
      </c>
      <c r="J2564" s="87" t="s">
        <v>236</v>
      </c>
      <c r="K2564" s="102" t="s">
        <v>5226</v>
      </c>
      <c r="L2564" s="117">
        <f>IF(O2564="","",N2564*O2564*M2564)</f>
        <v>0</v>
      </c>
      <c r="M2564" s="108">
        <v>1</v>
      </c>
      <c r="N2564" s="95">
        <v>1</v>
      </c>
      <c r="O2564" s="109">
        <f>IF(Key!D$1="ON",P2564,IF(SUM(Q2564:DL2564)&lt;1,"",SUM(Q2564:DL2564)/COUNTIF(Q2564:DL2564,"&gt;0")))</f>
        <v>0</v>
      </c>
      <c r="P2564" s="109">
        <f>SUMIFS(Q2564:DK2564,Q$1:DK$1,Dashboard!$K$31)</f>
        <v>0</v>
      </c>
      <c r="U2564" s="95">
        <v>33</v>
      </c>
      <c r="AA2564" s="95">
        <v>25</v>
      </c>
      <c r="AH2564" s="95">
        <v>75</v>
      </c>
    </row>
    <row r="2565" spans="1:34" x14ac:dyDescent="0.3">
      <c r="A2565" s="89" t="str">
        <f>CONCATENATE(D2565,".",F2565,"-",G2565,".",H2565,"")</f>
        <v>2.4-12.1</v>
      </c>
      <c r="B2565" s="89" t="str">
        <f>IF(CONCATENATE(I2565,Key!F$2)=CONCATENATE(INDEX(Dashboard!J:J,MATCH(I2565,Dashboard!J:J,0),1),INDEX(Dashboard!J:K,MATCH(I2565,Dashboard!J:J,0),2)),"ON",IF(Dashboard!K$32="ALL","ON","-"))</f>
        <v>-</v>
      </c>
      <c r="C2565" s="96" t="s">
        <v>152</v>
      </c>
      <c r="D2565" s="89">
        <f>IF(C2565="ID",1,(IF(C2565="PR",2,(IF(C2565="DE",3,(IF(C2565="RS",4,(IF(C2565="RC",5,0)))))))))</f>
        <v>2</v>
      </c>
      <c r="E2565" s="89" t="s">
        <v>228</v>
      </c>
      <c r="F2565" s="89">
        <f>IF(E2565="AM",1,(IF(E2565="BE",2,(IF(E2565="GV",3,(IF(E2565="RA",4,(IF(E2565="RM",5,(IF(E2565="AC",1,(IF(E2565="AT",2,(IF(E2565="DS",3,(IF(E2565="IP",4,(IF(E2565="MA",5,(IF(E2565="PT",6,(IF(E2565="AE",1,(IF(E2565="CM",2,(IF(E2565="DP",3,(IF(E2565="AN",1,(IF(E2565="CO",2,(IF(E2565="IM",3,(IF(E2565="MI",4,(IF(E2565="RP",5,(IF(E2565="SC",6,0)))))))))))))))))))))))))))))))))))))))</f>
        <v>4</v>
      </c>
      <c r="G2565" s="98">
        <v>12</v>
      </c>
      <c r="H2565" s="90" t="s">
        <v>115</v>
      </c>
      <c r="I2565" s="94" t="s">
        <v>92</v>
      </c>
      <c r="J2565" s="87" t="s">
        <v>237</v>
      </c>
      <c r="K2565" s="102" t="s">
        <v>5226</v>
      </c>
      <c r="L2565" s="117">
        <f>IF(O2565="","",N2565*O2565*M2565)</f>
        <v>0</v>
      </c>
      <c r="M2565" s="108">
        <v>1</v>
      </c>
      <c r="N2565" s="95">
        <v>1</v>
      </c>
      <c r="O2565" s="109">
        <f>IF(Key!D$1="ON",P2565,IF(SUM(Q2565:DL2565)&lt;1,"",SUM(Q2565:DL2565)/COUNTIF(Q2565:DL2565,"&gt;0")))</f>
        <v>0</v>
      </c>
      <c r="P2565" s="109">
        <f>SUMIFS(Q2565:DK2565,Q$1:DK$1,Dashboard!$K$31)</f>
        <v>0</v>
      </c>
      <c r="U2565" s="95">
        <v>33</v>
      </c>
      <c r="AA2565" s="95">
        <v>25</v>
      </c>
      <c r="AH2565" s="95">
        <v>75</v>
      </c>
    </row>
    <row r="2566" spans="1:34" x14ac:dyDescent="0.3">
      <c r="A2566" s="89" t="str">
        <f>CONCATENATE(D2566,".",F2566,"-",G2566,".",H2566,"")</f>
        <v>2.4-12.1</v>
      </c>
      <c r="B2566" s="89" t="str">
        <f>IF(CONCATENATE(I2566,Key!F$2)=CONCATENATE(INDEX(Dashboard!J:J,MATCH(I2566,Dashboard!J:J,0),1),INDEX(Dashboard!J:K,MATCH(I2566,Dashboard!J:J,0),2)),"ON",IF(Dashboard!K$32="ALL","ON","-"))</f>
        <v>-</v>
      </c>
      <c r="C2566" s="96" t="s">
        <v>152</v>
      </c>
      <c r="D2566" s="89">
        <f>IF(C2566="ID",1,(IF(C2566="PR",2,(IF(C2566="DE",3,(IF(C2566="RS",4,(IF(C2566="RC",5,0)))))))))</f>
        <v>2</v>
      </c>
      <c r="E2566" s="89" t="s">
        <v>228</v>
      </c>
      <c r="F2566" s="89">
        <f>IF(E2566="AM",1,(IF(E2566="BE",2,(IF(E2566="GV",3,(IF(E2566="RA",4,(IF(E2566="RM",5,(IF(E2566="AC",1,(IF(E2566="AT",2,(IF(E2566="DS",3,(IF(E2566="IP",4,(IF(E2566="MA",5,(IF(E2566="PT",6,(IF(E2566="AE",1,(IF(E2566="CM",2,(IF(E2566="DP",3,(IF(E2566="AN",1,(IF(E2566="CO",2,(IF(E2566="IM",3,(IF(E2566="MI",4,(IF(E2566="RP",5,(IF(E2566="SC",6,0)))))))))))))))))))))))))))))))))))))))</f>
        <v>4</v>
      </c>
      <c r="G2566" s="98">
        <v>12</v>
      </c>
      <c r="H2566" s="90" t="s">
        <v>115</v>
      </c>
      <c r="I2566" s="94" t="s">
        <v>92</v>
      </c>
      <c r="J2566" s="87" t="s">
        <v>238</v>
      </c>
      <c r="K2566" s="102" t="s">
        <v>5226</v>
      </c>
      <c r="L2566" s="117">
        <f>IF(O2566="","",N2566*O2566*M2566)</f>
        <v>0</v>
      </c>
      <c r="M2566" s="108">
        <v>1</v>
      </c>
      <c r="N2566" s="95">
        <v>1</v>
      </c>
      <c r="O2566" s="109">
        <f>IF(Key!D$1="ON",P2566,IF(SUM(Q2566:DL2566)&lt;1,"",SUM(Q2566:DL2566)/COUNTIF(Q2566:DL2566,"&gt;0")))</f>
        <v>0</v>
      </c>
      <c r="P2566" s="109">
        <f>SUMIFS(Q2566:DK2566,Q$1:DK$1,Dashboard!$K$31)</f>
        <v>0</v>
      </c>
      <c r="U2566" s="95">
        <v>33</v>
      </c>
      <c r="AA2566" s="95">
        <v>25</v>
      </c>
      <c r="AH2566" s="95">
        <v>75</v>
      </c>
    </row>
    <row r="2567" spans="1:34" x14ac:dyDescent="0.3">
      <c r="A2567" s="89" t="str">
        <f>CONCATENATE(D2567,".",F2567,"-",G2567,".",H2567,"")</f>
        <v>2.4-2.0</v>
      </c>
      <c r="B2567" s="89" t="str">
        <f>IF(CONCATENATE(I2567,Key!F$2)=CONCATENATE(INDEX(Dashboard!J:J,MATCH(I2567,Dashboard!J:J,0),1),INDEX(Dashboard!J:K,MATCH(I2567,Dashboard!J:J,0),2)),"ON",IF(Dashboard!K$32="ALL","ON","-"))</f>
        <v>-</v>
      </c>
      <c r="C2567" s="88" t="s">
        <v>152</v>
      </c>
      <c r="D2567" s="89">
        <f>IF(C2567="ID",1,(IF(C2567="PR",2,(IF(C2567="DE",3,(IF(C2567="RS",4,(IF(C2567="RC",5,0)))))))))</f>
        <v>2</v>
      </c>
      <c r="E2567" s="89" t="s">
        <v>228</v>
      </c>
      <c r="F2567" s="89">
        <f>IF(E2567="AM",1,(IF(E2567="BE",2,(IF(E2567="GV",3,(IF(E2567="RA",4,(IF(E2567="RM",5,(IF(E2567="AC",1,(IF(E2567="AT",2,(IF(E2567="DS",3,(IF(E2567="IP",4,(IF(E2567="MA",5,(IF(E2567="PT",6,(IF(E2567="AE",1,(IF(E2567="CM",2,(IF(E2567="DP",3,(IF(E2567="AN",1,(IF(E2567="CO",2,(IF(E2567="IM",3,(IF(E2567="MI",4,(IF(E2567="RP",5,(IF(E2567="SC",6,0)))))))))))))))))))))))))))))))))))))))</f>
        <v>4</v>
      </c>
      <c r="G2567" s="52">
        <v>2</v>
      </c>
      <c r="H2567" s="90" t="s">
        <v>347</v>
      </c>
      <c r="I2567" s="94" t="s">
        <v>2835</v>
      </c>
      <c r="J2567" s="53" t="s">
        <v>2970</v>
      </c>
      <c r="K2567" s="150" t="s">
        <v>2971</v>
      </c>
      <c r="L2567" s="117">
        <f>IF(O2567="","",N2567*O2567*M2567)</f>
        <v>0</v>
      </c>
      <c r="M2567" s="108">
        <v>1</v>
      </c>
      <c r="N2567" s="95">
        <v>1</v>
      </c>
      <c r="O2567" s="109">
        <f>IF(Key!D$1="ON",P2567,IF(SUM(Q2567:DL2567)&lt;1,"",SUM(Q2567:DL2567)/COUNTIF(Q2567:DL2567,"&gt;0")))</f>
        <v>0</v>
      </c>
      <c r="P2567" s="109">
        <f>SUMIFS(Q2567:DK2567,Q$1:DK$1,Dashboard!$K$31)</f>
        <v>0</v>
      </c>
      <c r="U2567" s="95">
        <v>33</v>
      </c>
    </row>
    <row r="2568" spans="1:34" x14ac:dyDescent="0.3">
      <c r="A2568" s="89" t="str">
        <f>CONCATENATE(D2568,".",F2568,"-",G2568,".",H2568,"")</f>
        <v>2.4-2.1</v>
      </c>
      <c r="B2568" s="89" t="str">
        <f>IF(CONCATENATE(I2568,Key!F$2)=CONCATENATE(INDEX(Dashboard!J:J,MATCH(I2568,Dashboard!J:J,0),1),INDEX(Dashboard!J:K,MATCH(I2568,Dashboard!J:J,0),2)),"ON",IF(Dashboard!K$32="ALL","ON","-"))</f>
        <v>ON</v>
      </c>
      <c r="C2568" s="130" t="s">
        <v>152</v>
      </c>
      <c r="D2568" s="89">
        <f>IF(C2568="ID",1,(IF(C2568="PR",2,(IF(C2568="DE",3,(IF(C2568="RS",4,(IF(C2568="RC",5,0)))))))))</f>
        <v>2</v>
      </c>
      <c r="E2568" s="95" t="s">
        <v>228</v>
      </c>
      <c r="F2568" s="89">
        <f>IF(E2568="AM",1,(IF(E2568="BE",2,(IF(E2568="GV",3,(IF(E2568="RA",4,(IF(E2568="RM",5,(IF(E2568="AC",1,(IF(E2568="AT",2,(IF(E2568="DS",3,(IF(E2568="IP",4,(IF(E2568="MA",5,(IF(E2568="PT",6,(IF(E2568="AE",1,(IF(E2568="CM",2,(IF(E2568="DP",3,(IF(E2568="AN",1,(IF(E2568="CO",2,(IF(E2568="IM",3,(IF(E2568="MI",4,(IF(E2568="RP",5,(IF(E2568="SC",6,0)))))))))))))))))))))))))))))))))))))))</f>
        <v>4</v>
      </c>
      <c r="G2568" s="52">
        <v>2</v>
      </c>
      <c r="H2568" s="90" t="s">
        <v>115</v>
      </c>
      <c r="I2568" s="94" t="s">
        <v>4107</v>
      </c>
      <c r="J2568" s="86" t="s">
        <v>3993</v>
      </c>
      <c r="K2568" s="101" t="s">
        <v>4443</v>
      </c>
      <c r="L2568" s="117">
        <f>IF(O2568="","",N2568*O2568*M2568)</f>
        <v>0</v>
      </c>
      <c r="M2568" s="108">
        <v>1</v>
      </c>
      <c r="N2568" s="95">
        <v>1</v>
      </c>
      <c r="O2568" s="109">
        <f>IF(Key!D$1="ON",P2568,IF(SUM(Q2568:DL2568)&lt;1,"",SUM(Q2568:DL2568)/COUNTIF(Q2568:DL2568,"&gt;0")))</f>
        <v>0</v>
      </c>
      <c r="P2568" s="109">
        <f>SUMIFS(Q2568:DK2568,Q$1:DK$1,Dashboard!$K$31)</f>
        <v>0</v>
      </c>
      <c r="U2568" s="95">
        <v>33</v>
      </c>
      <c r="AA2568" s="95">
        <v>25</v>
      </c>
      <c r="AH2568" s="95">
        <v>75</v>
      </c>
    </row>
    <row r="2569" spans="1:34" x14ac:dyDescent="0.3">
      <c r="A2569" s="89" t="str">
        <f>CONCATENATE(D2569,".",F2569,"-",G2569,".",H2569,"")</f>
        <v>2.4-2.1</v>
      </c>
      <c r="B2569" s="89" t="str">
        <f>IF(CONCATENATE(I2569,Key!F$2)=CONCATENATE(INDEX(Dashboard!J:J,MATCH(I2569,Dashboard!J:J,0),1),INDEX(Dashboard!J:K,MATCH(I2569,Dashboard!J:J,0),2)),"ON",IF(Dashboard!K$32="ALL","ON","-"))</f>
        <v>ON</v>
      </c>
      <c r="C2569" s="88" t="s">
        <v>152</v>
      </c>
      <c r="D2569" s="89">
        <f>IF(C2569="ID",1,(IF(C2569="PR",2,(IF(C2569="DE",3,(IF(C2569="RS",4,(IF(C2569="RC",5,0)))))))))</f>
        <v>2</v>
      </c>
      <c r="E2569" s="89" t="s">
        <v>228</v>
      </c>
      <c r="F2569" s="89">
        <f>IF(E2569="AM",1,(IF(E2569="BE",2,(IF(E2569="GV",3,(IF(E2569="RA",4,(IF(E2569="RM",5,(IF(E2569="AC",1,(IF(E2569="AT",2,(IF(E2569="DS",3,(IF(E2569="IP",4,(IF(E2569="MA",5,(IF(E2569="PT",6,(IF(E2569="AE",1,(IF(E2569="CM",2,(IF(E2569="DP",3,(IF(E2569="AN",1,(IF(E2569="CO",2,(IF(E2569="IM",3,(IF(E2569="MI",4,(IF(E2569="RP",5,(IF(E2569="SC",6,0)))))))))))))))))))))))))))))))))))))))</f>
        <v>4</v>
      </c>
      <c r="G2569" s="98">
        <v>2</v>
      </c>
      <c r="H2569" s="90" t="s">
        <v>115</v>
      </c>
      <c r="I2569" s="94" t="s">
        <v>4107</v>
      </c>
      <c r="J2569" s="86" t="s">
        <v>4049</v>
      </c>
      <c r="K2569" s="101" t="s">
        <v>4462</v>
      </c>
      <c r="L2569" s="117">
        <f>IF(O2569="","",N2569*O2569*M2569)</f>
        <v>0</v>
      </c>
      <c r="M2569" s="108">
        <v>1</v>
      </c>
      <c r="N2569" s="95">
        <v>1</v>
      </c>
      <c r="O2569" s="109">
        <f>IF(Key!D$1="ON",P2569,IF(SUM(Q2569:DL2569)&lt;1,"",SUM(Q2569:DL2569)/COUNTIF(Q2569:DL2569,"&gt;0")))</f>
        <v>0</v>
      </c>
      <c r="P2569" s="109">
        <f>SUMIFS(Q2569:DK2569,Q$1:DK$1,Dashboard!$K$31)</f>
        <v>0</v>
      </c>
      <c r="U2569" s="95">
        <v>33</v>
      </c>
      <c r="AA2569" s="95">
        <v>25</v>
      </c>
      <c r="AH2569" s="95">
        <v>75</v>
      </c>
    </row>
    <row r="2570" spans="1:34" ht="15.6" x14ac:dyDescent="0.3">
      <c r="A2570" s="89" t="str">
        <f>CONCATENATE(D2570,".",F2570,"-",G2570,".",H2570,"")</f>
        <v>2.4-2.1</v>
      </c>
      <c r="B2570" s="89" t="str">
        <f>IF(CONCATENATE(I2570,Key!F$2)=CONCATENATE(INDEX(Dashboard!J:J,MATCH(I2570,Dashboard!J:J,0),1),INDEX(Dashboard!J:K,MATCH(I2570,Dashboard!J:J,0),2)),"ON",IF(Dashboard!K$32="ALL","ON","-"))</f>
        <v>ON</v>
      </c>
      <c r="C2570" s="96" t="s">
        <v>152</v>
      </c>
      <c r="D2570" s="89">
        <f>IF(C2570="ID",1,(IF(C2570="PR",2,(IF(C2570="DE",3,(IF(C2570="RS",4,(IF(C2570="RC",5,0)))))))))</f>
        <v>2</v>
      </c>
      <c r="E2570" s="89" t="s">
        <v>228</v>
      </c>
      <c r="F2570" s="89">
        <f>IF(E2570="AM",1,(IF(E2570="BE",2,(IF(E2570="GV",3,(IF(E2570="RA",4,(IF(E2570="RM",5,(IF(E2570="AC",1,(IF(E2570="AT",2,(IF(E2570="DS",3,(IF(E2570="IP",4,(IF(E2570="MA",5,(IF(E2570="PT",6,(IF(E2570="AE",1,(IF(E2570="CM",2,(IF(E2570="DP",3,(IF(E2570="AN",1,(IF(E2570="CO",2,(IF(E2570="IM",3,(IF(E2570="MI",4,(IF(E2570="RP",5,(IF(E2570="SC",6,0)))))))))))))))))))))))))))))))))))))))</f>
        <v>4</v>
      </c>
      <c r="G2570" s="98">
        <v>2</v>
      </c>
      <c r="H2570" s="90" t="s">
        <v>115</v>
      </c>
      <c r="I2570" s="94" t="s">
        <v>4107</v>
      </c>
      <c r="J2570" s="86" t="s">
        <v>4072</v>
      </c>
      <c r="K2570" s="101" t="s">
        <v>4473</v>
      </c>
      <c r="L2570" s="117">
        <f>IF(O2570="","",N2570*O2570*M2570)</f>
        <v>0</v>
      </c>
      <c r="M2570" s="108">
        <v>1</v>
      </c>
      <c r="N2570" s="95">
        <v>1</v>
      </c>
      <c r="O2570" s="109">
        <f>IF(Key!D$1="ON",P2570,IF(SUM(Q2570:DL2570)&lt;1,"",SUM(Q2570:DL2570)/COUNTIF(Q2570:DL2570,"&gt;0")))</f>
        <v>0</v>
      </c>
      <c r="P2570" s="109">
        <f>SUMIFS(Q2570:DK2570,Q$1:DK$1,Dashboard!$K$31)</f>
        <v>0</v>
      </c>
      <c r="U2570" s="95">
        <v>33</v>
      </c>
      <c r="AA2570" s="95">
        <v>25</v>
      </c>
      <c r="AH2570" s="95">
        <v>75</v>
      </c>
    </row>
    <row r="2571" spans="1:34" x14ac:dyDescent="0.3">
      <c r="A2571" s="89" t="str">
        <f>CONCATENATE(D2571,".",F2571,"-",G2571,".",H2571,"")</f>
        <v>2.4-2.1</v>
      </c>
      <c r="B2571" s="89" t="str">
        <f>IF(CONCATENATE(I2571,Key!F$2)=CONCATENATE(INDEX(Dashboard!J:J,MATCH(I2571,Dashboard!J:J,0),1),INDEX(Dashboard!J:K,MATCH(I2571,Dashboard!J:J,0),2)),"ON",IF(Dashboard!K$32="ALL","ON","-"))</f>
        <v>-</v>
      </c>
      <c r="C2571" s="88" t="s">
        <v>152</v>
      </c>
      <c r="D2571" s="89">
        <f>IF(C2571="ID",1,(IF(C2571="PR",2,(IF(C2571="DE",3,(IF(C2571="RS",4,(IF(C2571="RC",5,0)))))))))</f>
        <v>2</v>
      </c>
      <c r="E2571" s="89" t="s">
        <v>228</v>
      </c>
      <c r="F2571" s="89">
        <f>IF(E2571="AM",1,(IF(E2571="BE",2,(IF(E2571="GV",3,(IF(E2571="RA",4,(IF(E2571="RM",5,(IF(E2571="AC",1,(IF(E2571="AT",2,(IF(E2571="DS",3,(IF(E2571="IP",4,(IF(E2571="MA",5,(IF(E2571="PT",6,(IF(E2571="AE",1,(IF(E2571="CM",2,(IF(E2571="DP",3,(IF(E2571="AN",1,(IF(E2571="CO",2,(IF(E2571="IM",3,(IF(E2571="MI",4,(IF(E2571="RP",5,(IF(E2571="SC",6,0)))))))))))))))))))))))))))))))))))))))</f>
        <v>4</v>
      </c>
      <c r="G2571" s="52">
        <v>2</v>
      </c>
      <c r="H2571" s="99">
        <v>1</v>
      </c>
      <c r="I2571" s="94" t="s">
        <v>37</v>
      </c>
      <c r="J2571" s="86">
        <v>11.2</v>
      </c>
      <c r="K2571" s="102" t="s">
        <v>3767</v>
      </c>
      <c r="L2571" s="117">
        <f>IF(O2571="","",N2571*O2571*M2571)</f>
        <v>0</v>
      </c>
      <c r="M2571" s="108">
        <v>1</v>
      </c>
      <c r="N2571" s="95">
        <v>1</v>
      </c>
      <c r="O2571" s="109">
        <f>IF(Key!D$1="ON",P2571,IF(SUM(Q2571:DL2571)&lt;1,"",SUM(Q2571:DL2571)/COUNTIF(Q2571:DL2571,"&gt;0")))</f>
        <v>0</v>
      </c>
      <c r="P2571" s="109">
        <f>SUMIFS(Q2571:DK2571,Q$1:DK$1,Dashboard!$K$31)</f>
        <v>0</v>
      </c>
      <c r="U2571" s="95">
        <v>33</v>
      </c>
      <c r="AA2571" s="95">
        <v>25</v>
      </c>
      <c r="AH2571" s="95">
        <v>75</v>
      </c>
    </row>
    <row r="2572" spans="1:34" x14ac:dyDescent="0.3">
      <c r="A2572" s="89" t="str">
        <f>CONCATENATE(D2572,".",F2572,"-",G2572,".",H2572,"")</f>
        <v>2.4-2.1</v>
      </c>
      <c r="B2572" s="89" t="str">
        <f>IF(CONCATENATE(I2572,Key!F$2)=CONCATENATE(INDEX(Dashboard!J:J,MATCH(I2572,Dashboard!J:J,0),1),INDEX(Dashboard!J:K,MATCH(I2572,Dashboard!J:J,0),2)),"ON",IF(Dashboard!K$32="ALL","ON","-"))</f>
        <v>-</v>
      </c>
      <c r="C2572" s="88" t="s">
        <v>152</v>
      </c>
      <c r="D2572" s="89">
        <f>IF(C2572="ID",1,(IF(C2572="PR",2,(IF(C2572="DE",3,(IF(C2572="RS",4,(IF(C2572="RC",5,0)))))))))</f>
        <v>2</v>
      </c>
      <c r="E2572" s="89" t="s">
        <v>228</v>
      </c>
      <c r="F2572" s="89">
        <f>IF(E2572="AM",1,(IF(E2572="BE",2,(IF(E2572="GV",3,(IF(E2572="RA",4,(IF(E2572="RM",5,(IF(E2572="AC",1,(IF(E2572="AT",2,(IF(E2572="DS",3,(IF(E2572="IP",4,(IF(E2572="MA",5,(IF(E2572="PT",6,(IF(E2572="AE",1,(IF(E2572="CM",2,(IF(E2572="DP",3,(IF(E2572="AN",1,(IF(E2572="CO",2,(IF(E2572="IM",3,(IF(E2572="MI",4,(IF(E2572="RP",5,(IF(E2572="SC",6,0)))))))))))))))))))))))))))))))))))))))</f>
        <v>4</v>
      </c>
      <c r="G2572" s="52">
        <v>2</v>
      </c>
      <c r="H2572" s="99">
        <v>1</v>
      </c>
      <c r="I2572" s="94" t="s">
        <v>37</v>
      </c>
      <c r="J2572" s="86">
        <v>7.3</v>
      </c>
      <c r="K2572" s="102" t="s">
        <v>3766</v>
      </c>
      <c r="L2572" s="117">
        <f>IF(O2572="","",N2572*O2572*M2572)</f>
        <v>0</v>
      </c>
      <c r="M2572" s="108">
        <v>1</v>
      </c>
      <c r="N2572" s="95">
        <v>1</v>
      </c>
      <c r="O2572" s="109">
        <f>IF(Key!D$1="ON",P2572,IF(SUM(Q2572:DL2572)&lt;1,"",SUM(Q2572:DL2572)/COUNTIF(Q2572:DL2572,"&gt;0")))</f>
        <v>0</v>
      </c>
      <c r="P2572" s="109">
        <f>SUMIFS(Q2572:DK2572,Q$1:DK$1,Dashboard!$K$31)</f>
        <v>0</v>
      </c>
      <c r="U2572" s="95">
        <v>33</v>
      </c>
      <c r="AA2572" s="95">
        <v>25</v>
      </c>
      <c r="AH2572" s="95">
        <v>75</v>
      </c>
    </row>
    <row r="2573" spans="1:34" x14ac:dyDescent="0.3">
      <c r="A2573" s="89" t="str">
        <f>CONCATENATE(D2573,".",F2573,"-",G2573,".",H2573,"")</f>
        <v>2.4-2.1</v>
      </c>
      <c r="B2573" s="89" t="str">
        <f>IF(CONCATENATE(I2573,Key!F$2)=CONCATENATE(INDEX(Dashboard!J:J,MATCH(I2573,Dashboard!J:J,0),1),INDEX(Dashboard!J:K,MATCH(I2573,Dashboard!J:J,0),2)),"ON",IF(Dashboard!K$32="ALL","ON","-"))</f>
        <v>-</v>
      </c>
      <c r="C2573" s="88" t="s">
        <v>152</v>
      </c>
      <c r="D2573" s="89">
        <f>IF(C2573="ID",1,(IF(C2573="PR",2,(IF(C2573="DE",3,(IF(C2573="RS",4,(IF(C2573="RC",5,0)))))))))</f>
        <v>2</v>
      </c>
      <c r="E2573" s="89" t="s">
        <v>228</v>
      </c>
      <c r="F2573" s="89">
        <f>IF(E2573="AM",1,(IF(E2573="BE",2,(IF(E2573="GV",3,(IF(E2573="RA",4,(IF(E2573="RM",5,(IF(E2573="AC",1,(IF(E2573="AT",2,(IF(E2573="DS",3,(IF(E2573="IP",4,(IF(E2573="MA",5,(IF(E2573="PT",6,(IF(E2573="AE",1,(IF(E2573="CM",2,(IF(E2573="DP",3,(IF(E2573="AN",1,(IF(E2573="CO",2,(IF(E2573="IM",3,(IF(E2573="MI",4,(IF(E2573="RP",5,(IF(E2573="SC",6,0)))))))))))))))))))))))))))))))))))))))</f>
        <v>4</v>
      </c>
      <c r="G2573" s="52">
        <v>2</v>
      </c>
      <c r="H2573" s="99">
        <v>1</v>
      </c>
      <c r="I2573" s="94" t="s">
        <v>37</v>
      </c>
      <c r="J2573" s="86">
        <v>18</v>
      </c>
      <c r="K2573" s="102" t="s">
        <v>3768</v>
      </c>
      <c r="L2573" s="117">
        <f>IF(O2573="","",N2573*O2573*M2573)</f>
        <v>0</v>
      </c>
      <c r="M2573" s="108">
        <v>1</v>
      </c>
      <c r="N2573" s="95">
        <v>1</v>
      </c>
      <c r="O2573" s="109">
        <f>IF(Key!D$1="ON",P2573,IF(SUM(Q2573:DL2573)&lt;1,"",SUM(Q2573:DL2573)/COUNTIF(Q2573:DL2573,"&gt;0")))</f>
        <v>0</v>
      </c>
      <c r="P2573" s="109">
        <f>SUMIFS(Q2573:DK2573,Q$1:DK$1,Dashboard!$K$31)</f>
        <v>0</v>
      </c>
      <c r="U2573" s="95">
        <v>33</v>
      </c>
      <c r="AA2573" s="95">
        <v>25</v>
      </c>
      <c r="AH2573" s="95">
        <v>75</v>
      </c>
    </row>
    <row r="2574" spans="1:34" x14ac:dyDescent="0.3">
      <c r="A2574" s="89" t="str">
        <f>CONCATENATE(D2574,".",F2574,"-",G2574,".",H2574,"")</f>
        <v>2.4-2.1</v>
      </c>
      <c r="B2574" s="89" t="str">
        <f>IF(CONCATENATE(I2574,Key!F$2)=CONCATENATE(INDEX(Dashboard!J:J,MATCH(I2574,Dashboard!J:J,0),1),INDEX(Dashboard!J:K,MATCH(I2574,Dashboard!J:J,0),2)),"ON",IF(Dashboard!K$32="ALL","ON","-"))</f>
        <v>-</v>
      </c>
      <c r="C2574" s="88" t="s">
        <v>152</v>
      </c>
      <c r="D2574" s="89">
        <f>IF(C2574="ID",1,(IF(C2574="PR",2,(IF(C2574="DE",3,(IF(C2574="RS",4,(IF(C2574="RC",5,0)))))))))</f>
        <v>2</v>
      </c>
      <c r="E2574" s="89" t="s">
        <v>228</v>
      </c>
      <c r="F2574" s="89">
        <f>IF(E2574="AM",1,(IF(E2574="BE",2,(IF(E2574="GV",3,(IF(E2574="RA",4,(IF(E2574="RM",5,(IF(E2574="AC",1,(IF(E2574="AT",2,(IF(E2574="DS",3,(IF(E2574="IP",4,(IF(E2574="MA",5,(IF(E2574="PT",6,(IF(E2574="AE",1,(IF(E2574="CM",2,(IF(E2574="DP",3,(IF(E2574="AN",1,(IF(E2574="CO",2,(IF(E2574="IM",3,(IF(E2574="MI",4,(IF(E2574="RP",5,(IF(E2574="SC",6,0)))))))))))))))))))))))))))))))))))))))</f>
        <v>4</v>
      </c>
      <c r="G2574" s="52">
        <v>2</v>
      </c>
      <c r="H2574" s="99">
        <v>1</v>
      </c>
      <c r="I2574" s="94" t="s">
        <v>37</v>
      </c>
      <c r="J2574" s="86">
        <v>18.3</v>
      </c>
      <c r="K2574" s="102" t="s">
        <v>3769</v>
      </c>
      <c r="L2574" s="117">
        <f>IF(O2574="","",N2574*O2574*M2574)</f>
        <v>0</v>
      </c>
      <c r="M2574" s="108">
        <v>1</v>
      </c>
      <c r="N2574" s="95">
        <v>1</v>
      </c>
      <c r="O2574" s="109">
        <f>IF(Key!D$1="ON",P2574,IF(SUM(Q2574:DL2574)&lt;1,"",SUM(Q2574:DL2574)/COUNTIF(Q2574:DL2574,"&gt;0")))</f>
        <v>0</v>
      </c>
      <c r="P2574" s="109">
        <f>SUMIFS(Q2574:DK2574,Q$1:DK$1,Dashboard!$K$31)</f>
        <v>0</v>
      </c>
      <c r="U2574" s="95">
        <v>33</v>
      </c>
      <c r="AA2574" s="95">
        <v>25</v>
      </c>
      <c r="AH2574" s="95">
        <v>75</v>
      </c>
    </row>
    <row r="2575" spans="1:34" ht="15.6" x14ac:dyDescent="0.3">
      <c r="A2575" s="89" t="str">
        <f>CONCATENATE(D2575,".",F2575,"-",G2575,".",H2575,"")</f>
        <v>2.4-2.1</v>
      </c>
      <c r="B2575" s="89" t="str">
        <f>IF(CONCATENATE(I2575,Key!F$2)=CONCATENATE(INDEX(Dashboard!J:J,MATCH(I2575,Dashboard!J:J,0),1),INDEX(Dashboard!J:K,MATCH(I2575,Dashboard!J:J,0),2)),"ON",IF(Dashboard!K$32="ALL","ON","-"))</f>
        <v>-</v>
      </c>
      <c r="C2575" s="88" t="s">
        <v>152</v>
      </c>
      <c r="D2575" s="89">
        <f>IF(C2575="ID",1,(IF(C2575="PR",2,(IF(C2575="DE",3,(IF(C2575="RS",4,(IF(C2575="RC",5,0)))))))))</f>
        <v>2</v>
      </c>
      <c r="E2575" s="89" t="s">
        <v>228</v>
      </c>
      <c r="F2575" s="89">
        <f>IF(E2575="AM",1,(IF(E2575="BE",2,(IF(E2575="GV",3,(IF(E2575="RA",4,(IF(E2575="RM",5,(IF(E2575="AC",1,(IF(E2575="AT",2,(IF(E2575="DS",3,(IF(E2575="IP",4,(IF(E2575="MA",5,(IF(E2575="PT",6,(IF(E2575="AE",1,(IF(E2575="CM",2,(IF(E2575="DP",3,(IF(E2575="AN",1,(IF(E2575="CO",2,(IF(E2575="IM",3,(IF(E2575="MI",4,(IF(E2575="RP",5,(IF(E2575="SC",6,0)))))))))))))))))))))))))))))))))))))))</f>
        <v>4</v>
      </c>
      <c r="G2575" s="52">
        <v>2</v>
      </c>
      <c r="H2575" s="99">
        <v>1</v>
      </c>
      <c r="I2575" s="94" t="s">
        <v>37</v>
      </c>
      <c r="J2575" s="86">
        <v>18.7</v>
      </c>
      <c r="K2575" s="102" t="s">
        <v>3763</v>
      </c>
      <c r="L2575" s="117">
        <f>IF(O2575="","",N2575*O2575*M2575)</f>
        <v>0</v>
      </c>
      <c r="M2575" s="108">
        <v>1</v>
      </c>
      <c r="N2575" s="95">
        <v>1</v>
      </c>
      <c r="O2575" s="109">
        <f>IF(Key!D$1="ON",P2575,IF(SUM(Q2575:DL2575)&lt;1,"",SUM(Q2575:DL2575)/COUNTIF(Q2575:DL2575,"&gt;0")))</f>
        <v>0</v>
      </c>
      <c r="P2575" s="109">
        <f>SUMIFS(Q2575:DK2575,Q$1:DK$1,Dashboard!$K$31)</f>
        <v>0</v>
      </c>
      <c r="U2575" s="95">
        <v>33</v>
      </c>
      <c r="AA2575" s="95">
        <v>25</v>
      </c>
      <c r="AH2575" s="95">
        <v>75</v>
      </c>
    </row>
    <row r="2576" spans="1:34" x14ac:dyDescent="0.3">
      <c r="A2576" s="89" t="str">
        <f>CONCATENATE(D2576,".",F2576,"-",G2576,".",H2576,"")</f>
        <v>2.4-2.1</v>
      </c>
      <c r="B2576" s="89" t="str">
        <f>IF(CONCATENATE(I2576,Key!F$2)=CONCATENATE(INDEX(Dashboard!J:J,MATCH(I2576,Dashboard!J:J,0),1),INDEX(Dashboard!J:K,MATCH(I2576,Dashboard!J:J,0),2)),"ON",IF(Dashboard!K$32="ALL","ON","-"))</f>
        <v>-</v>
      </c>
      <c r="C2576" s="88" t="s">
        <v>152</v>
      </c>
      <c r="D2576" s="89">
        <f>IF(C2576="ID",1,(IF(C2576="PR",2,(IF(C2576="DE",3,(IF(C2576="RS",4,(IF(C2576="RC",5,0)))))))))</f>
        <v>2</v>
      </c>
      <c r="E2576" s="89" t="s">
        <v>228</v>
      </c>
      <c r="F2576" s="89">
        <f>IF(E2576="AM",1,(IF(E2576="BE",2,(IF(E2576="GV",3,(IF(E2576="RA",4,(IF(E2576="RM",5,(IF(E2576="AC",1,(IF(E2576="AT",2,(IF(E2576="DS",3,(IF(E2576="IP",4,(IF(E2576="MA",5,(IF(E2576="PT",6,(IF(E2576="AE",1,(IF(E2576="CM",2,(IF(E2576="DP",3,(IF(E2576="AN",1,(IF(E2576="CO",2,(IF(E2576="IM",3,(IF(E2576="MI",4,(IF(E2576="RP",5,(IF(E2576="SC",6,0)))))))))))))))))))))))))))))))))))))))</f>
        <v>4</v>
      </c>
      <c r="G2576" s="52">
        <v>2</v>
      </c>
      <c r="H2576" s="99">
        <v>1</v>
      </c>
      <c r="I2576" s="94" t="s">
        <v>37</v>
      </c>
      <c r="J2576" s="86">
        <v>18.399999999999999</v>
      </c>
      <c r="K2576" s="102" t="s">
        <v>3770</v>
      </c>
      <c r="L2576" s="117">
        <f>IF(O2576="","",N2576*O2576*M2576)</f>
        <v>0</v>
      </c>
      <c r="M2576" s="108">
        <v>1</v>
      </c>
      <c r="N2576" s="95">
        <v>1</v>
      </c>
      <c r="O2576" s="109">
        <f>IF(Key!D$1="ON",P2576,IF(SUM(Q2576:DL2576)&lt;1,"",SUM(Q2576:DL2576)/COUNTIF(Q2576:DL2576,"&gt;0")))</f>
        <v>0</v>
      </c>
      <c r="P2576" s="109">
        <f>SUMIFS(Q2576:DK2576,Q$1:DK$1,Dashboard!$K$31)</f>
        <v>0</v>
      </c>
      <c r="U2576" s="95">
        <v>33</v>
      </c>
      <c r="AA2576" s="95">
        <v>25</v>
      </c>
      <c r="AH2576" s="95">
        <v>75</v>
      </c>
    </row>
    <row r="2577" spans="1:34" x14ac:dyDescent="0.3">
      <c r="A2577" s="89" t="str">
        <f>CONCATENATE(D2577,".",F2577,"-",G2577,".",H2577,"")</f>
        <v>2.4-2.1</v>
      </c>
      <c r="B2577" s="89" t="str">
        <f>IF(CONCATENATE(I2577,Key!F$2)=CONCATENATE(INDEX(Dashboard!J:J,MATCH(I2577,Dashboard!J:J,0),1),INDEX(Dashboard!J:K,MATCH(I2577,Dashboard!J:J,0),2)),"ON",IF(Dashboard!K$32="ALL","ON","-"))</f>
        <v>-</v>
      </c>
      <c r="C2577" s="88" t="s">
        <v>152</v>
      </c>
      <c r="D2577" s="89">
        <f>IF(C2577="ID",1,(IF(C2577="PR",2,(IF(C2577="DE",3,(IF(C2577="RS",4,(IF(C2577="RC",5,0)))))))))</f>
        <v>2</v>
      </c>
      <c r="E2577" s="89" t="s">
        <v>228</v>
      </c>
      <c r="F2577" s="89">
        <f>IF(E2577="AM",1,(IF(E2577="BE",2,(IF(E2577="GV",3,(IF(E2577="RA",4,(IF(E2577="RM",5,(IF(E2577="AC",1,(IF(E2577="AT",2,(IF(E2577="DS",3,(IF(E2577="IP",4,(IF(E2577="MA",5,(IF(E2577="PT",6,(IF(E2577="AE",1,(IF(E2577="CM",2,(IF(E2577="DP",3,(IF(E2577="AN",1,(IF(E2577="CO",2,(IF(E2577="IM",3,(IF(E2577="MI",4,(IF(E2577="RP",5,(IF(E2577="SC",6,0)))))))))))))))))))))))))))))))))))))))</f>
        <v>4</v>
      </c>
      <c r="G2577" s="52">
        <v>2</v>
      </c>
      <c r="H2577" s="99">
        <v>1</v>
      </c>
      <c r="I2577" s="94" t="s">
        <v>37</v>
      </c>
      <c r="J2577" s="86">
        <v>18.5</v>
      </c>
      <c r="K2577" s="102" t="s">
        <v>3771</v>
      </c>
      <c r="L2577" s="117">
        <f>IF(O2577="","",N2577*O2577*M2577)</f>
        <v>0</v>
      </c>
      <c r="M2577" s="108">
        <v>1</v>
      </c>
      <c r="N2577" s="95">
        <v>1</v>
      </c>
      <c r="O2577" s="109">
        <f>IF(Key!D$1="ON",P2577,IF(SUM(Q2577:DL2577)&lt;1,"",SUM(Q2577:DL2577)/COUNTIF(Q2577:DL2577,"&gt;0")))</f>
        <v>0</v>
      </c>
      <c r="P2577" s="109">
        <f>SUMIFS(Q2577:DK2577,Q$1:DK$1,Dashboard!$K$31)</f>
        <v>0</v>
      </c>
      <c r="U2577" s="95">
        <v>33</v>
      </c>
      <c r="AA2577" s="95">
        <v>25</v>
      </c>
      <c r="AH2577" s="95">
        <v>75</v>
      </c>
    </row>
    <row r="2578" spans="1:34" x14ac:dyDescent="0.3">
      <c r="A2578" s="89" t="str">
        <f>CONCATENATE(D2578,".",F2578,"-",G2578,".",H2578,"")</f>
        <v>2.4-2.1</v>
      </c>
      <c r="B2578" s="89" t="str">
        <f>IF(CONCATENATE(I2578,Key!F$2)=CONCATENATE(INDEX(Dashboard!J:J,MATCH(I2578,Dashboard!J:J,0),1),INDEX(Dashboard!J:K,MATCH(I2578,Dashboard!J:J,0),2)),"ON",IF(Dashboard!K$32="ALL","ON","-"))</f>
        <v>-</v>
      </c>
      <c r="C2578" s="88" t="s">
        <v>152</v>
      </c>
      <c r="D2578" s="89">
        <f>IF(C2578="ID",1,(IF(C2578="PR",2,(IF(C2578="DE",3,(IF(C2578="RS",4,(IF(C2578="RC",5,0)))))))))</f>
        <v>2</v>
      </c>
      <c r="E2578" s="89" t="s">
        <v>228</v>
      </c>
      <c r="F2578" s="89">
        <f>IF(E2578="AM",1,(IF(E2578="BE",2,(IF(E2578="GV",3,(IF(E2578="RA",4,(IF(E2578="RM",5,(IF(E2578="AC",1,(IF(E2578="AT",2,(IF(E2578="DS",3,(IF(E2578="IP",4,(IF(E2578="MA",5,(IF(E2578="PT",6,(IF(E2578="AE",1,(IF(E2578="CM",2,(IF(E2578="DP",3,(IF(E2578="AN",1,(IF(E2578="CO",2,(IF(E2578="IM",3,(IF(E2578="MI",4,(IF(E2578="RP",5,(IF(E2578="SC",6,0)))))))))))))))))))))))))))))))))))))))</f>
        <v>4</v>
      </c>
      <c r="G2578" s="52">
        <v>2</v>
      </c>
      <c r="H2578" s="99">
        <v>1</v>
      </c>
      <c r="I2578" s="94" t="s">
        <v>37</v>
      </c>
      <c r="J2578" s="86">
        <v>18.899999999999999</v>
      </c>
      <c r="K2578" s="102" t="s">
        <v>3772</v>
      </c>
      <c r="L2578" s="117">
        <f>IF(O2578="","",N2578*O2578*M2578)</f>
        <v>0</v>
      </c>
      <c r="M2578" s="108">
        <v>1</v>
      </c>
      <c r="N2578" s="95">
        <v>1</v>
      </c>
      <c r="O2578" s="109">
        <f>IF(Key!D$1="ON",P2578,IF(SUM(Q2578:DL2578)&lt;1,"",SUM(Q2578:DL2578)/COUNTIF(Q2578:DL2578,"&gt;0")))</f>
        <v>0</v>
      </c>
      <c r="P2578" s="109">
        <f>SUMIFS(Q2578:DK2578,Q$1:DK$1,Dashboard!$K$31)</f>
        <v>0</v>
      </c>
      <c r="U2578" s="95">
        <v>33</v>
      </c>
      <c r="AA2578" s="95">
        <v>25</v>
      </c>
      <c r="AH2578" s="95">
        <v>75</v>
      </c>
    </row>
    <row r="2579" spans="1:34" x14ac:dyDescent="0.3">
      <c r="A2579" s="89" t="str">
        <f>CONCATENATE(D2579,".",F2579,"-",G2579,".",H2579,"")</f>
        <v>2.4-2.1</v>
      </c>
      <c r="B2579" s="89" t="str">
        <f>IF(CONCATENATE(I2579,Key!F$2)=CONCATENATE(INDEX(Dashboard!J:J,MATCH(I2579,Dashboard!J:J,0),1),INDEX(Dashboard!J:K,MATCH(I2579,Dashboard!J:J,0),2)),"ON",IF(Dashboard!K$32="ALL","ON","-"))</f>
        <v>-</v>
      </c>
      <c r="C2579" s="88" t="s">
        <v>152</v>
      </c>
      <c r="D2579" s="89">
        <f>IF(C2579="ID",1,(IF(C2579="PR",2,(IF(C2579="DE",3,(IF(C2579="RS",4,(IF(C2579="RC",5,0)))))))))</f>
        <v>2</v>
      </c>
      <c r="E2579" s="89" t="s">
        <v>228</v>
      </c>
      <c r="F2579" s="89">
        <f>IF(E2579="AM",1,(IF(E2579="BE",2,(IF(E2579="GV",3,(IF(E2579="RA",4,(IF(E2579="RM",5,(IF(E2579="AC",1,(IF(E2579="AT",2,(IF(E2579="DS",3,(IF(E2579="IP",4,(IF(E2579="MA",5,(IF(E2579="PT",6,(IF(E2579="AE",1,(IF(E2579="CM",2,(IF(E2579="DP",3,(IF(E2579="AN",1,(IF(E2579="CO",2,(IF(E2579="IM",3,(IF(E2579="MI",4,(IF(E2579="RP",5,(IF(E2579="SC",6,0)))))))))))))))))))))))))))))))))))))))</f>
        <v>4</v>
      </c>
      <c r="G2579" s="52">
        <v>2</v>
      </c>
      <c r="H2579" s="99">
        <v>1</v>
      </c>
      <c r="I2579" s="94" t="s">
        <v>41</v>
      </c>
      <c r="J2579" s="86">
        <v>7.3</v>
      </c>
      <c r="K2579" s="103" t="s">
        <v>3504</v>
      </c>
      <c r="L2579" s="117">
        <f>IF(O2579="","",N2579*O2579*M2579)</f>
        <v>0</v>
      </c>
      <c r="M2579" s="108">
        <v>1</v>
      </c>
      <c r="N2579" s="95">
        <v>1</v>
      </c>
      <c r="O2579" s="109">
        <f>IF(Key!D$1="ON",P2579,IF(SUM(Q2579:DL2579)&lt;1,"",SUM(Q2579:DL2579)/COUNTIF(Q2579:DL2579,"&gt;0")))</f>
        <v>0</v>
      </c>
      <c r="P2579" s="109">
        <f>SUMIFS(Q2579:DK2579,Q$1:DK$1,Dashboard!$K$31)</f>
        <v>0</v>
      </c>
      <c r="U2579" s="95">
        <v>33</v>
      </c>
    </row>
    <row r="2580" spans="1:34" x14ac:dyDescent="0.3">
      <c r="A2580" s="89" t="str">
        <f>CONCATENATE(D2580,".",F2580,"-",G2580,".",H2580,"")</f>
        <v>2.4-2.1</v>
      </c>
      <c r="B2580" s="89" t="str">
        <f>IF(CONCATENATE(I2580,Key!F$2)=CONCATENATE(INDEX(Dashboard!J:J,MATCH(I2580,Dashboard!J:J,0),1),INDEX(Dashboard!J:K,MATCH(I2580,Dashboard!J:J,0),2)),"ON",IF(Dashboard!K$32="ALL","ON","-"))</f>
        <v>-</v>
      </c>
      <c r="C2580" s="88" t="s">
        <v>152</v>
      </c>
      <c r="D2580" s="89">
        <f>IF(C2580="ID",1,(IF(C2580="PR",2,(IF(C2580="DE",3,(IF(C2580="RS",4,(IF(C2580="RC",5,0)))))))))</f>
        <v>2</v>
      </c>
      <c r="E2580" s="89" t="s">
        <v>228</v>
      </c>
      <c r="F2580" s="89">
        <f>IF(E2580="AM",1,(IF(E2580="BE",2,(IF(E2580="GV",3,(IF(E2580="RA",4,(IF(E2580="RM",5,(IF(E2580="AC",1,(IF(E2580="AT",2,(IF(E2580="DS",3,(IF(E2580="IP",4,(IF(E2580="MA",5,(IF(E2580="PT",6,(IF(E2580="AE",1,(IF(E2580="CM",2,(IF(E2580="DP",3,(IF(E2580="AN",1,(IF(E2580="CO",2,(IF(E2580="IM",3,(IF(E2580="MI",4,(IF(E2580="RP",5,(IF(E2580="SC",6,0)))))))))))))))))))))))))))))))))))))))</f>
        <v>4</v>
      </c>
      <c r="G2580" s="52">
        <v>2</v>
      </c>
      <c r="H2580" s="99">
        <v>1</v>
      </c>
      <c r="I2580" s="94" t="s">
        <v>41</v>
      </c>
      <c r="J2580" s="86">
        <v>18</v>
      </c>
      <c r="K2580" s="103" t="s">
        <v>3596</v>
      </c>
      <c r="L2580" s="117">
        <f>IF(O2580="","",N2580*O2580*M2580)</f>
        <v>0</v>
      </c>
      <c r="M2580" s="108">
        <v>1</v>
      </c>
      <c r="N2580" s="95">
        <v>1</v>
      </c>
      <c r="O2580" s="109">
        <f>IF(Key!D$1="ON",P2580,IF(SUM(Q2580:DL2580)&lt;1,"",SUM(Q2580:DL2580)/COUNTIF(Q2580:DL2580,"&gt;0")))</f>
        <v>0</v>
      </c>
      <c r="P2580" s="109">
        <f>SUMIFS(Q2580:DK2580,Q$1:DK$1,Dashboard!$K$31)</f>
        <v>0</v>
      </c>
      <c r="U2580" s="95">
        <v>33</v>
      </c>
    </row>
    <row r="2581" spans="1:34" x14ac:dyDescent="0.3">
      <c r="A2581" s="89" t="str">
        <f>CONCATENATE(D2581,".",F2581,"-",G2581,".",H2581,"")</f>
        <v>2.4-2.1</v>
      </c>
      <c r="B2581" s="89" t="str">
        <f>IF(CONCATENATE(I2581,Key!F$2)=CONCATENATE(INDEX(Dashboard!J:J,MATCH(I2581,Dashboard!J:J,0),1),INDEX(Dashboard!J:K,MATCH(I2581,Dashboard!J:J,0),2)),"ON",IF(Dashboard!K$32="ALL","ON","-"))</f>
        <v>-</v>
      </c>
      <c r="C2581" s="88" t="s">
        <v>152</v>
      </c>
      <c r="D2581" s="89">
        <f>IF(C2581="ID",1,(IF(C2581="PR",2,(IF(C2581="DE",3,(IF(C2581="RS",4,(IF(C2581="RC",5,0)))))))))</f>
        <v>2</v>
      </c>
      <c r="E2581" s="89" t="s">
        <v>228</v>
      </c>
      <c r="F2581" s="89">
        <f>IF(E2581="AM",1,(IF(E2581="BE",2,(IF(E2581="GV",3,(IF(E2581="RA",4,(IF(E2581="RM",5,(IF(E2581="AC",1,(IF(E2581="AT",2,(IF(E2581="DS",3,(IF(E2581="IP",4,(IF(E2581="MA",5,(IF(E2581="PT",6,(IF(E2581="AE",1,(IF(E2581="CM",2,(IF(E2581="DP",3,(IF(E2581="AN",1,(IF(E2581="CO",2,(IF(E2581="IM",3,(IF(E2581="MI",4,(IF(E2581="RP",5,(IF(E2581="SC",6,0)))))))))))))))))))))))))))))))))))))))</f>
        <v>4</v>
      </c>
      <c r="G2581" s="52">
        <v>2</v>
      </c>
      <c r="H2581" s="99">
        <v>1</v>
      </c>
      <c r="I2581" s="94" t="s">
        <v>41</v>
      </c>
      <c r="J2581" s="86">
        <v>18.11</v>
      </c>
      <c r="K2581" s="103" t="s">
        <v>3598</v>
      </c>
      <c r="L2581" s="117">
        <f>IF(O2581="","",N2581*O2581*M2581)</f>
        <v>0</v>
      </c>
      <c r="M2581" s="108">
        <v>1</v>
      </c>
      <c r="N2581" s="95">
        <v>1</v>
      </c>
      <c r="O2581" s="109">
        <f>IF(Key!D$1="ON",P2581,IF(SUM(Q2581:DL2581)&lt;1,"",SUM(Q2581:DL2581)/COUNTIF(Q2581:DL2581,"&gt;0")))</f>
        <v>0</v>
      </c>
      <c r="P2581" s="109">
        <f>SUMIFS(Q2581:DK2581,Q$1:DK$1,Dashboard!$K$31)</f>
        <v>0</v>
      </c>
      <c r="U2581" s="95">
        <v>33</v>
      </c>
    </row>
    <row r="2582" spans="1:34" x14ac:dyDescent="0.3">
      <c r="A2582" s="89" t="str">
        <f>CONCATENATE(D2582,".",F2582,"-",G2582,".",H2582,"")</f>
        <v>2.4-2.1</v>
      </c>
      <c r="B2582" s="89" t="str">
        <f>IF(CONCATENATE(I2582,Key!F$2)=CONCATENATE(INDEX(Dashboard!J:J,MATCH(I2582,Dashboard!J:J,0),1),INDEX(Dashboard!J:K,MATCH(I2582,Dashboard!J:J,0),2)),"ON",IF(Dashboard!K$32="ALL","ON","-"))</f>
        <v>-</v>
      </c>
      <c r="C2582" s="88" t="s">
        <v>152</v>
      </c>
      <c r="D2582" s="89">
        <f>IF(C2582="ID",1,(IF(C2582="PR",2,(IF(C2582="DE",3,(IF(C2582="RS",4,(IF(C2582="RC",5,0)))))))))</f>
        <v>2</v>
      </c>
      <c r="E2582" s="89" t="s">
        <v>228</v>
      </c>
      <c r="F2582" s="89">
        <f>IF(E2582="AM",1,(IF(E2582="BE",2,(IF(E2582="GV",3,(IF(E2582="RA",4,(IF(E2582="RM",5,(IF(E2582="AC",1,(IF(E2582="AT",2,(IF(E2582="DS",3,(IF(E2582="IP",4,(IF(E2582="MA",5,(IF(E2582="PT",6,(IF(E2582="AE",1,(IF(E2582="CM",2,(IF(E2582="DP",3,(IF(E2582="AN",1,(IF(E2582="CO",2,(IF(E2582="IM",3,(IF(E2582="MI",4,(IF(E2582="RP",5,(IF(E2582="SC",6,0)))))))))))))))))))))))))))))))))))))))</f>
        <v>4</v>
      </c>
      <c r="G2582" s="52">
        <v>2</v>
      </c>
      <c r="H2582" s="99">
        <v>1</v>
      </c>
      <c r="I2582" s="94" t="s">
        <v>41</v>
      </c>
      <c r="J2582" s="86" t="s">
        <v>3626</v>
      </c>
      <c r="K2582" s="103" t="s">
        <v>3627</v>
      </c>
      <c r="L2582" s="117">
        <f>IF(O2582="","",N2582*O2582*M2582)</f>
        <v>0</v>
      </c>
      <c r="M2582" s="108">
        <v>1</v>
      </c>
      <c r="N2582" s="95">
        <v>1</v>
      </c>
      <c r="O2582" s="109">
        <f>IF(Key!D$1="ON",P2582,IF(SUM(Q2582:DL2582)&lt;1,"",SUM(Q2582:DL2582)/COUNTIF(Q2582:DL2582,"&gt;0")))</f>
        <v>0</v>
      </c>
      <c r="P2582" s="109">
        <f>SUMIFS(Q2582:DK2582,Q$1:DK$1,Dashboard!$K$31)</f>
        <v>0</v>
      </c>
      <c r="U2582" s="95">
        <v>33</v>
      </c>
    </row>
    <row r="2583" spans="1:34" ht="15.6" x14ac:dyDescent="0.3">
      <c r="A2583" s="89" t="str">
        <f>CONCATENATE(D2583,".",F2583,"-",G2583,".",H2583,"")</f>
        <v>2.4-2.1</v>
      </c>
      <c r="B2583" s="89" t="str">
        <f>IF(CONCATENATE(I2583,Key!F$2)=CONCATENATE(INDEX(Dashboard!J:J,MATCH(I2583,Dashboard!J:J,0),1),INDEX(Dashboard!J:K,MATCH(I2583,Dashboard!J:J,0),2)),"ON",IF(Dashboard!K$32="ALL","ON","-"))</f>
        <v>-</v>
      </c>
      <c r="C2583" s="88" t="s">
        <v>152</v>
      </c>
      <c r="D2583" s="89">
        <f>IF(C2583="ID",1,(IF(C2583="PR",2,(IF(C2583="DE",3,(IF(C2583="RS",4,(IF(C2583="RC",5,0)))))))))</f>
        <v>2</v>
      </c>
      <c r="E2583" s="89" t="s">
        <v>228</v>
      </c>
      <c r="F2583" s="89">
        <f>IF(E2583="AM",1,(IF(E2583="BE",2,(IF(E2583="GV",3,(IF(E2583="RA",4,(IF(E2583="RM",5,(IF(E2583="AC",1,(IF(E2583="AT",2,(IF(E2583="DS",3,(IF(E2583="IP",4,(IF(E2583="MA",5,(IF(E2583="PT",6,(IF(E2583="AE",1,(IF(E2583="CM",2,(IF(E2583="DP",3,(IF(E2583="AN",1,(IF(E2583="CO",2,(IF(E2583="IM",3,(IF(E2583="MI",4,(IF(E2583="RP",5,(IF(E2583="SC",6,0)))))))))))))))))))))))))))))))))))))))</f>
        <v>4</v>
      </c>
      <c r="G2583" s="52">
        <v>2</v>
      </c>
      <c r="H2583" s="99">
        <v>1</v>
      </c>
      <c r="I2583" s="94" t="s">
        <v>41</v>
      </c>
      <c r="J2583" s="86" t="s">
        <v>3630</v>
      </c>
      <c r="K2583" s="103" t="s">
        <v>3631</v>
      </c>
      <c r="L2583" s="117">
        <f>IF(O2583="","",N2583*O2583*M2583)</f>
        <v>0</v>
      </c>
      <c r="M2583" s="108">
        <v>1</v>
      </c>
      <c r="N2583" s="95">
        <v>1</v>
      </c>
      <c r="O2583" s="109">
        <f>IF(Key!D$1="ON",P2583,IF(SUM(Q2583:DL2583)&lt;1,"",SUM(Q2583:DL2583)/COUNTIF(Q2583:DL2583,"&gt;0")))</f>
        <v>0</v>
      </c>
      <c r="P2583" s="109">
        <f>SUMIFS(Q2583:DK2583,Q$1:DK$1,Dashboard!$K$31)</f>
        <v>0</v>
      </c>
      <c r="U2583" s="95">
        <v>33</v>
      </c>
    </row>
    <row r="2584" spans="1:34" ht="15.6" x14ac:dyDescent="0.3">
      <c r="A2584" s="89" t="str">
        <f>CONCATENATE(D2584,".",F2584,"-",G2584,".",H2584,"")</f>
        <v>2.4-2.1</v>
      </c>
      <c r="B2584" s="89" t="str">
        <f>IF(CONCATENATE(I2584,Key!F$2)=CONCATENATE(INDEX(Dashboard!J:J,MATCH(I2584,Dashboard!J:J,0),1),INDEX(Dashboard!J:K,MATCH(I2584,Dashboard!J:J,0),2)),"ON",IF(Dashboard!K$32="ALL","ON","-"))</f>
        <v>-</v>
      </c>
      <c r="C2584" s="88" t="s">
        <v>152</v>
      </c>
      <c r="D2584" s="89">
        <f>IF(C2584="ID",1,(IF(C2584="PR",2,(IF(C2584="DE",3,(IF(C2584="RS",4,(IF(C2584="RC",5,0)))))))))</f>
        <v>2</v>
      </c>
      <c r="E2584" s="89" t="s">
        <v>228</v>
      </c>
      <c r="F2584" s="89">
        <f>IF(E2584="AM",1,(IF(E2584="BE",2,(IF(E2584="GV",3,(IF(E2584="RA",4,(IF(E2584="RM",5,(IF(E2584="AC",1,(IF(E2584="AT",2,(IF(E2584="DS",3,(IF(E2584="IP",4,(IF(E2584="MA",5,(IF(E2584="PT",6,(IF(E2584="AE",1,(IF(E2584="CM",2,(IF(E2584="DP",3,(IF(E2584="AN",1,(IF(E2584="CO",2,(IF(E2584="IM",3,(IF(E2584="MI",4,(IF(E2584="RP",5,(IF(E2584="SC",6,0)))))))))))))))))))))))))))))))))))))))</f>
        <v>4</v>
      </c>
      <c r="G2584" s="52">
        <v>2</v>
      </c>
      <c r="H2584" s="89">
        <v>1</v>
      </c>
      <c r="I2584" s="94" t="s">
        <v>60</v>
      </c>
      <c r="J2584" s="88" t="s">
        <v>3125</v>
      </c>
      <c r="K2584" s="51" t="s">
        <v>5238</v>
      </c>
      <c r="L2584" s="117">
        <f>IF(O2584="","",N2584*O2584*M2584)</f>
        <v>0</v>
      </c>
      <c r="M2584" s="108">
        <v>1</v>
      </c>
      <c r="N2584" s="95">
        <v>1</v>
      </c>
      <c r="O2584" s="109">
        <f>IF(Key!D$1="ON",P2584,IF(SUM(Q2584:DL2584)&lt;1,"",SUM(Q2584:DL2584)/COUNTIF(Q2584:DL2584,"&gt;0")))</f>
        <v>0</v>
      </c>
      <c r="P2584" s="109">
        <f>SUMIFS(Q2584:DK2584,Q$1:DK$1,Dashboard!$K$31)</f>
        <v>0</v>
      </c>
      <c r="U2584" s="95">
        <v>33</v>
      </c>
      <c r="AA2584" s="95">
        <v>25</v>
      </c>
      <c r="AH2584" s="95">
        <v>75</v>
      </c>
    </row>
    <row r="2585" spans="1:34" ht="15.6" x14ac:dyDescent="0.3">
      <c r="A2585" s="89" t="str">
        <f>CONCATENATE(D2585,".",F2585,"-",G2585,".",H2585,"")</f>
        <v>2.4-2.1</v>
      </c>
      <c r="B2585" s="89" t="str">
        <f>IF(CONCATENATE(I2585,Key!F$2)=CONCATENATE(INDEX(Dashboard!J:J,MATCH(I2585,Dashboard!J:J,0),1),INDEX(Dashboard!J:K,MATCH(I2585,Dashboard!J:J,0),2)),"ON",IF(Dashboard!K$32="ALL","ON","-"))</f>
        <v>-</v>
      </c>
      <c r="C2585" s="88" t="s">
        <v>152</v>
      </c>
      <c r="D2585" s="89">
        <f>IF(C2585="ID",1,(IF(C2585="PR",2,(IF(C2585="DE",3,(IF(C2585="RS",4,(IF(C2585="RC",5,0)))))))))</f>
        <v>2</v>
      </c>
      <c r="E2585" s="89" t="s">
        <v>228</v>
      </c>
      <c r="F2585" s="89">
        <f>IF(E2585="AM",1,(IF(E2585="BE",2,(IF(E2585="GV",3,(IF(E2585="RA",4,(IF(E2585="RM",5,(IF(E2585="AC",1,(IF(E2585="AT",2,(IF(E2585="DS",3,(IF(E2585="IP",4,(IF(E2585="MA",5,(IF(E2585="PT",6,(IF(E2585="AE",1,(IF(E2585="CM",2,(IF(E2585="DP",3,(IF(E2585="AN",1,(IF(E2585="CO",2,(IF(E2585="IM",3,(IF(E2585="MI",4,(IF(E2585="RP",5,(IF(E2585="SC",6,0)))))))))))))))))))))))))))))))))))))))</f>
        <v>4</v>
      </c>
      <c r="G2585" s="52">
        <v>2</v>
      </c>
      <c r="H2585" s="90" t="s">
        <v>115</v>
      </c>
      <c r="I2585" s="94" t="s">
        <v>60</v>
      </c>
      <c r="J2585" s="87" t="s">
        <v>3239</v>
      </c>
      <c r="K2585" s="51" t="s">
        <v>5352</v>
      </c>
      <c r="L2585" s="117">
        <f>IF(O2585="","",N2585*O2585*M2585)</f>
        <v>0</v>
      </c>
      <c r="M2585" s="108">
        <v>1</v>
      </c>
      <c r="N2585" s="95">
        <v>1</v>
      </c>
      <c r="O2585" s="109">
        <f>IF(Key!D$1="ON",P2585,IF(SUM(Q2585:DL2585)&lt;1,"",SUM(Q2585:DL2585)/COUNTIF(Q2585:DL2585,"&gt;0")))</f>
        <v>0</v>
      </c>
      <c r="P2585" s="109">
        <f>SUMIFS(Q2585:DK2585,Q$1:DK$1,Dashboard!$K$31)</f>
        <v>0</v>
      </c>
      <c r="U2585" s="95">
        <v>33</v>
      </c>
      <c r="AA2585" s="95">
        <v>25</v>
      </c>
      <c r="AH2585" s="95">
        <v>75</v>
      </c>
    </row>
    <row r="2586" spans="1:34" ht="15.6" x14ac:dyDescent="0.3">
      <c r="A2586" s="89" t="str">
        <f>CONCATENATE(D2586,".",F2586,"-",G2586,".",H2586,"")</f>
        <v>2.4-2.1</v>
      </c>
      <c r="B2586" s="89" t="str">
        <f>IF(CONCATENATE(I2586,Key!F$2)=CONCATENATE(INDEX(Dashboard!J:J,MATCH(I2586,Dashboard!J:J,0),1),INDEX(Dashboard!J:K,MATCH(I2586,Dashboard!J:J,0),2)),"ON",IF(Dashboard!K$32="ALL","ON","-"))</f>
        <v>-</v>
      </c>
      <c r="C2586" s="88" t="s">
        <v>152</v>
      </c>
      <c r="D2586" s="89">
        <f>IF(C2586="ID",1,(IF(C2586="PR",2,(IF(C2586="DE",3,(IF(C2586="RS",4,(IF(C2586="RC",5,0)))))))))</f>
        <v>2</v>
      </c>
      <c r="E2586" s="89" t="s">
        <v>228</v>
      </c>
      <c r="F2586" s="89">
        <f>IF(E2586="AM",1,(IF(E2586="BE",2,(IF(E2586="GV",3,(IF(E2586="RA",4,(IF(E2586="RM",5,(IF(E2586="AC",1,(IF(E2586="AT",2,(IF(E2586="DS",3,(IF(E2586="IP",4,(IF(E2586="MA",5,(IF(E2586="PT",6,(IF(E2586="AE",1,(IF(E2586="CM",2,(IF(E2586="DP",3,(IF(E2586="AN",1,(IF(E2586="CO",2,(IF(E2586="IM",3,(IF(E2586="MI",4,(IF(E2586="RP",5,(IF(E2586="SC",6,0)))))))))))))))))))))))))))))))))))))))</f>
        <v>4</v>
      </c>
      <c r="G2586" s="52">
        <v>2</v>
      </c>
      <c r="H2586" s="90" t="s">
        <v>115</v>
      </c>
      <c r="I2586" s="94" t="s">
        <v>60</v>
      </c>
      <c r="J2586" s="87" t="s">
        <v>3140</v>
      </c>
      <c r="K2586" s="51" t="s">
        <v>5253</v>
      </c>
      <c r="L2586" s="117">
        <f>IF(O2586="","",N2586*O2586*M2586)</f>
        <v>0</v>
      </c>
      <c r="M2586" s="108">
        <v>1</v>
      </c>
      <c r="N2586" s="95">
        <v>1</v>
      </c>
      <c r="O2586" s="109">
        <f>IF(Key!D$1="ON",P2586,IF(SUM(Q2586:DL2586)&lt;1,"",SUM(Q2586:DL2586)/COUNTIF(Q2586:DL2586,"&gt;0")))</f>
        <v>0</v>
      </c>
      <c r="P2586" s="109">
        <f>SUMIFS(Q2586:DK2586,Q$1:DK$1,Dashboard!$K$31)</f>
        <v>0</v>
      </c>
      <c r="U2586" s="95">
        <v>33</v>
      </c>
      <c r="AA2586" s="95">
        <v>25</v>
      </c>
      <c r="AH2586" s="95">
        <v>75</v>
      </c>
    </row>
    <row r="2587" spans="1:34" ht="15.6" x14ac:dyDescent="0.3">
      <c r="A2587" s="89" t="str">
        <f>CONCATENATE(D2587,".",F2587,"-",G2587,".",H2587,"")</f>
        <v>2.4-2.1</v>
      </c>
      <c r="B2587" s="89" t="str">
        <f>IF(CONCATENATE(I2587,Key!F$2)=CONCATENATE(INDEX(Dashboard!J:J,MATCH(I2587,Dashboard!J:J,0),1),INDEX(Dashboard!J:K,MATCH(I2587,Dashboard!J:J,0),2)),"ON",IF(Dashboard!K$32="ALL","ON","-"))</f>
        <v>-</v>
      </c>
      <c r="C2587" s="88" t="s">
        <v>152</v>
      </c>
      <c r="D2587" s="89">
        <f>IF(C2587="ID",1,(IF(C2587="PR",2,(IF(C2587="DE",3,(IF(C2587="RS",4,(IF(C2587="RC",5,0)))))))))</f>
        <v>2</v>
      </c>
      <c r="E2587" s="89" t="s">
        <v>228</v>
      </c>
      <c r="F2587" s="89">
        <f>IF(E2587="AM",1,(IF(E2587="BE",2,(IF(E2587="GV",3,(IF(E2587="RA",4,(IF(E2587="RM",5,(IF(E2587="AC",1,(IF(E2587="AT",2,(IF(E2587="DS",3,(IF(E2587="IP",4,(IF(E2587="MA",5,(IF(E2587="PT",6,(IF(E2587="AE",1,(IF(E2587="CM",2,(IF(E2587="DP",3,(IF(E2587="AN",1,(IF(E2587="CO",2,(IF(E2587="IM",3,(IF(E2587="MI",4,(IF(E2587="RP",5,(IF(E2587="SC",6,0)))))))))))))))))))))))))))))))))))))))</f>
        <v>4</v>
      </c>
      <c r="G2587" s="52">
        <v>2</v>
      </c>
      <c r="H2587" s="90" t="s">
        <v>115</v>
      </c>
      <c r="I2587" s="94" t="s">
        <v>60</v>
      </c>
      <c r="J2587" s="87" t="s">
        <v>3240</v>
      </c>
      <c r="K2587" s="51" t="s">
        <v>5353</v>
      </c>
      <c r="L2587" s="117">
        <f>IF(O2587="","",N2587*O2587*M2587)</f>
        <v>0</v>
      </c>
      <c r="M2587" s="108">
        <v>1</v>
      </c>
      <c r="N2587" s="95">
        <v>1</v>
      </c>
      <c r="O2587" s="109">
        <f>IF(Key!D$1="ON",P2587,IF(SUM(Q2587:DL2587)&lt;1,"",SUM(Q2587:DL2587)/COUNTIF(Q2587:DL2587,"&gt;0")))</f>
        <v>0</v>
      </c>
      <c r="P2587" s="109">
        <f>SUMIFS(Q2587:DK2587,Q$1:DK$1,Dashboard!$K$31)</f>
        <v>0</v>
      </c>
      <c r="U2587" s="95">
        <v>33</v>
      </c>
      <c r="AA2587" s="95">
        <v>25</v>
      </c>
      <c r="AH2587" s="95">
        <v>75</v>
      </c>
    </row>
    <row r="2588" spans="1:34" ht="15.6" x14ac:dyDescent="0.3">
      <c r="A2588" s="89" t="str">
        <f>CONCATENATE(D2588,".",F2588,"-",G2588,".",H2588,"")</f>
        <v>2.4-2.1</v>
      </c>
      <c r="B2588" s="89" t="str">
        <f>IF(CONCATENATE(I2588,Key!F$2)=CONCATENATE(INDEX(Dashboard!J:J,MATCH(I2588,Dashboard!J:J,0),1),INDEX(Dashboard!J:K,MATCH(I2588,Dashboard!J:J,0),2)),"ON",IF(Dashboard!K$32="ALL","ON","-"))</f>
        <v>-</v>
      </c>
      <c r="C2588" s="88" t="s">
        <v>152</v>
      </c>
      <c r="D2588" s="89">
        <f>IF(C2588="ID",1,(IF(C2588="PR",2,(IF(C2588="DE",3,(IF(C2588="RS",4,(IF(C2588="RC",5,0)))))))))</f>
        <v>2</v>
      </c>
      <c r="E2588" s="89" t="s">
        <v>228</v>
      </c>
      <c r="F2588" s="89">
        <f>IF(E2588="AM",1,(IF(E2588="BE",2,(IF(E2588="GV",3,(IF(E2588="RA",4,(IF(E2588="RM",5,(IF(E2588="AC",1,(IF(E2588="AT",2,(IF(E2588="DS",3,(IF(E2588="IP",4,(IF(E2588="MA",5,(IF(E2588="PT",6,(IF(E2588="AE",1,(IF(E2588="CM",2,(IF(E2588="DP",3,(IF(E2588="AN",1,(IF(E2588="CO",2,(IF(E2588="IM",3,(IF(E2588="MI",4,(IF(E2588="RP",5,(IF(E2588="SC",6,0)))))))))))))))))))))))))))))))))))))))</f>
        <v>4</v>
      </c>
      <c r="G2588" s="98">
        <v>2</v>
      </c>
      <c r="H2588" s="89">
        <v>1</v>
      </c>
      <c r="I2588" s="94" t="s">
        <v>60</v>
      </c>
      <c r="J2588" s="88" t="s">
        <v>3241</v>
      </c>
      <c r="K2588" s="51" t="s">
        <v>5354</v>
      </c>
      <c r="L2588" s="117">
        <f>IF(O2588="","",N2588*O2588*M2588)</f>
        <v>0</v>
      </c>
      <c r="M2588" s="108">
        <v>1</v>
      </c>
      <c r="N2588" s="95">
        <v>1</v>
      </c>
      <c r="O2588" s="109">
        <f>IF(Key!D$1="ON",P2588,IF(SUM(Q2588:DL2588)&lt;1,"",SUM(Q2588:DL2588)/COUNTIF(Q2588:DL2588,"&gt;0")))</f>
        <v>0</v>
      </c>
      <c r="P2588" s="109">
        <f>SUMIFS(Q2588:DK2588,Q$1:DK$1,Dashboard!$K$31)</f>
        <v>0</v>
      </c>
      <c r="U2588" s="95">
        <v>33</v>
      </c>
      <c r="AA2588" s="95">
        <v>25</v>
      </c>
      <c r="AH2588" s="95">
        <v>75</v>
      </c>
    </row>
    <row r="2589" spans="1:34" ht="15.6" x14ac:dyDescent="0.3">
      <c r="A2589" s="89" t="str">
        <f>CONCATENATE(D2589,".",F2589,"-",G2589,".",H2589,"")</f>
        <v>2.4-2.1</v>
      </c>
      <c r="B2589" s="89" t="str">
        <f>IF(CONCATENATE(I2589,Key!F$2)=CONCATENATE(INDEX(Dashboard!J:J,MATCH(I2589,Dashboard!J:J,0),1),INDEX(Dashboard!J:K,MATCH(I2589,Dashboard!J:J,0),2)),"ON",IF(Dashboard!K$32="ALL","ON","-"))</f>
        <v>-</v>
      </c>
      <c r="C2589" s="88" t="s">
        <v>152</v>
      </c>
      <c r="D2589" s="89">
        <f>IF(C2589="ID",1,(IF(C2589="PR",2,(IF(C2589="DE",3,(IF(C2589="RS",4,(IF(C2589="RC",5,0)))))))))</f>
        <v>2</v>
      </c>
      <c r="E2589" s="89" t="s">
        <v>228</v>
      </c>
      <c r="F2589" s="89">
        <f>IF(E2589="AM",1,(IF(E2589="BE",2,(IF(E2589="GV",3,(IF(E2589="RA",4,(IF(E2589="RM",5,(IF(E2589="AC",1,(IF(E2589="AT",2,(IF(E2589="DS",3,(IF(E2589="IP",4,(IF(E2589="MA",5,(IF(E2589="PT",6,(IF(E2589="AE",1,(IF(E2589="CM",2,(IF(E2589="DP",3,(IF(E2589="AN",1,(IF(E2589="CO",2,(IF(E2589="IM",3,(IF(E2589="MI",4,(IF(E2589="RP",5,(IF(E2589="SC",6,0)))))))))))))))))))))))))))))))))))))))</f>
        <v>4</v>
      </c>
      <c r="G2589" s="52">
        <v>2</v>
      </c>
      <c r="H2589" s="90" t="s">
        <v>115</v>
      </c>
      <c r="I2589" s="94" t="s">
        <v>60</v>
      </c>
      <c r="J2589" s="87" t="s">
        <v>3244</v>
      </c>
      <c r="K2589" s="51" t="s">
        <v>5355</v>
      </c>
      <c r="L2589" s="117">
        <f>IF(O2589="","",N2589*O2589*M2589)</f>
        <v>0</v>
      </c>
      <c r="M2589" s="108">
        <v>1</v>
      </c>
      <c r="N2589" s="95">
        <v>1</v>
      </c>
      <c r="O2589" s="109">
        <f>IF(Key!D$1="ON",P2589,IF(SUM(Q2589:DL2589)&lt;1,"",SUM(Q2589:DL2589)/COUNTIF(Q2589:DL2589,"&gt;0")))</f>
        <v>0</v>
      </c>
      <c r="P2589" s="109">
        <f>SUMIFS(Q2589:DK2589,Q$1:DK$1,Dashboard!$K$31)</f>
        <v>0</v>
      </c>
      <c r="U2589" s="95">
        <v>33</v>
      </c>
      <c r="AA2589" s="95">
        <v>25</v>
      </c>
      <c r="AH2589" s="95">
        <v>75</v>
      </c>
    </row>
    <row r="2590" spans="1:34" x14ac:dyDescent="0.3">
      <c r="A2590" s="89" t="str">
        <f>CONCATENATE(D2590,".",F2590,"-",G2590,".",H2590,"")</f>
        <v>2.4-2.1</v>
      </c>
      <c r="B2590" s="89" t="str">
        <f>IF(CONCATENATE(I2590,Key!F$2)=CONCATENATE(INDEX(Dashboard!J:J,MATCH(I2590,Dashboard!J:J,0),1),INDEX(Dashboard!J:K,MATCH(I2590,Dashboard!J:J,0),2)),"ON",IF(Dashboard!K$32="ALL","ON","-"))</f>
        <v>-</v>
      </c>
      <c r="C2590" s="88" t="s">
        <v>152</v>
      </c>
      <c r="D2590" s="89">
        <f>IF(C2590="ID",1,(IF(C2590="PR",2,(IF(C2590="DE",3,(IF(C2590="RS",4,(IF(C2590="RC",5,0)))))))))</f>
        <v>2</v>
      </c>
      <c r="E2590" s="89" t="s">
        <v>228</v>
      </c>
      <c r="F2590" s="89">
        <f>IF(E2590="AM",1,(IF(E2590="BE",2,(IF(E2590="GV",3,(IF(E2590="RA",4,(IF(E2590="RM",5,(IF(E2590="AC",1,(IF(E2590="AT",2,(IF(E2590="DS",3,(IF(E2590="IP",4,(IF(E2590="MA",5,(IF(E2590="PT",6,(IF(E2590="AE",1,(IF(E2590="CM",2,(IF(E2590="DP",3,(IF(E2590="AN",1,(IF(E2590="CO",2,(IF(E2590="IM",3,(IF(E2590="MI",4,(IF(E2590="RP",5,(IF(E2590="SC",6,0)))))))))))))))))))))))))))))))))))))))</f>
        <v>4</v>
      </c>
      <c r="G2590" s="52">
        <v>2</v>
      </c>
      <c r="H2590" s="90" t="s">
        <v>115</v>
      </c>
      <c r="I2590" s="94" t="s">
        <v>60</v>
      </c>
      <c r="J2590" s="87" t="s">
        <v>3242</v>
      </c>
      <c r="K2590" s="51" t="s">
        <v>5356</v>
      </c>
      <c r="L2590" s="117">
        <f>IF(O2590="","",N2590*O2590*M2590)</f>
        <v>0</v>
      </c>
      <c r="M2590" s="108">
        <v>1</v>
      </c>
      <c r="N2590" s="95">
        <v>1</v>
      </c>
      <c r="O2590" s="109">
        <f>IF(Key!D$1="ON",P2590,IF(SUM(Q2590:DL2590)&lt;1,"",SUM(Q2590:DL2590)/COUNTIF(Q2590:DL2590,"&gt;0")))</f>
        <v>0</v>
      </c>
      <c r="P2590" s="109">
        <f>SUMIFS(Q2590:DK2590,Q$1:DK$1,Dashboard!$K$31)</f>
        <v>0</v>
      </c>
      <c r="U2590" s="95">
        <v>33</v>
      </c>
      <c r="AA2590" s="95">
        <v>25</v>
      </c>
      <c r="AH2590" s="95">
        <v>75</v>
      </c>
    </row>
    <row r="2591" spans="1:34" x14ac:dyDescent="0.3">
      <c r="A2591" s="89" t="str">
        <f>CONCATENATE(D2591,".",F2591,"-",G2591,".",H2591,"")</f>
        <v>2.4-2.1</v>
      </c>
      <c r="B2591" s="89" t="str">
        <f>IF(CONCATENATE(I2591,Key!F$2)=CONCATENATE(INDEX(Dashboard!J:J,MATCH(I2591,Dashboard!J:J,0),1),INDEX(Dashboard!J:K,MATCH(I2591,Dashboard!J:J,0),2)),"ON",IF(Dashboard!K$32="ALL","ON","-"))</f>
        <v>-</v>
      </c>
      <c r="C2591" s="88" t="s">
        <v>152</v>
      </c>
      <c r="D2591" s="89">
        <f>IF(C2591="ID",1,(IF(C2591="PR",2,(IF(C2591="DE",3,(IF(C2591="RS",4,(IF(C2591="RC",5,0)))))))))</f>
        <v>2</v>
      </c>
      <c r="E2591" s="89" t="s">
        <v>228</v>
      </c>
      <c r="F2591" s="89">
        <f>IF(E2591="AM",1,(IF(E2591="BE",2,(IF(E2591="GV",3,(IF(E2591="RA",4,(IF(E2591="RM",5,(IF(E2591="AC",1,(IF(E2591="AT",2,(IF(E2591="DS",3,(IF(E2591="IP",4,(IF(E2591="MA",5,(IF(E2591="PT",6,(IF(E2591="AE",1,(IF(E2591="CM",2,(IF(E2591="DP",3,(IF(E2591="AN",1,(IF(E2591="CO",2,(IF(E2591="IM",3,(IF(E2591="MI",4,(IF(E2591="RP",5,(IF(E2591="SC",6,0)))))))))))))))))))))))))))))))))))))))</f>
        <v>4</v>
      </c>
      <c r="G2591" s="52">
        <v>2</v>
      </c>
      <c r="H2591" s="90" t="s">
        <v>115</v>
      </c>
      <c r="I2591" s="94" t="s">
        <v>77</v>
      </c>
      <c r="J2591" s="87" t="s">
        <v>1558</v>
      </c>
      <c r="K2591" s="102" t="s">
        <v>2517</v>
      </c>
      <c r="L2591" s="117">
        <f>IF(O2591="","",N2591*O2591*M2591)</f>
        <v>0</v>
      </c>
      <c r="M2591" s="108">
        <v>1</v>
      </c>
      <c r="N2591" s="95">
        <v>1</v>
      </c>
      <c r="O2591" s="109">
        <f>IF(Key!D$1="ON",P2591,IF(SUM(Q2591:DL2591)&lt;1,"",SUM(Q2591:DL2591)/COUNTIF(Q2591:DL2591,"&gt;0")))</f>
        <v>0</v>
      </c>
      <c r="P2591" s="109">
        <f>SUMIFS(Q2591:DK2591,Q$1:DK$1,Dashboard!$K$31)</f>
        <v>0</v>
      </c>
      <c r="U2591" s="95">
        <v>33</v>
      </c>
      <c r="AA2591" s="95">
        <v>25</v>
      </c>
      <c r="AH2591" s="95">
        <v>75</v>
      </c>
    </row>
    <row r="2592" spans="1:34" x14ac:dyDescent="0.3">
      <c r="A2592" s="89" t="str">
        <f>CONCATENATE(D2592,".",F2592,"-",G2592,".",H2592,"")</f>
        <v>2.4-2.1</v>
      </c>
      <c r="B2592" s="89" t="str">
        <f>IF(CONCATENATE(I2592,Key!F$2)=CONCATENATE(INDEX(Dashboard!J:J,MATCH(I2592,Dashboard!J:J,0),1),INDEX(Dashboard!J:K,MATCH(I2592,Dashboard!J:J,0),2)),"ON",IF(Dashboard!K$32="ALL","ON","-"))</f>
        <v>-</v>
      </c>
      <c r="C2592" s="88" t="s">
        <v>152</v>
      </c>
      <c r="D2592" s="89">
        <f>IF(C2592="ID",1,(IF(C2592="PR",2,(IF(C2592="DE",3,(IF(C2592="RS",4,(IF(C2592="RC",5,0)))))))))</f>
        <v>2</v>
      </c>
      <c r="E2592" s="89" t="s">
        <v>228</v>
      </c>
      <c r="F2592" s="89">
        <f>IF(E2592="AM",1,(IF(E2592="BE",2,(IF(E2592="GV",3,(IF(E2592="RA",4,(IF(E2592="RM",5,(IF(E2592="AC",1,(IF(E2592="AT",2,(IF(E2592="DS",3,(IF(E2592="IP",4,(IF(E2592="MA",5,(IF(E2592="PT",6,(IF(E2592="AE",1,(IF(E2592="CM",2,(IF(E2592="DP",3,(IF(E2592="AN",1,(IF(E2592="CO",2,(IF(E2592="IM",3,(IF(E2592="MI",4,(IF(E2592="RP",5,(IF(E2592="SC",6,0)))))))))))))))))))))))))))))))))))))))</f>
        <v>4</v>
      </c>
      <c r="G2592" s="52">
        <v>2</v>
      </c>
      <c r="H2592" s="90" t="s">
        <v>115</v>
      </c>
      <c r="I2592" s="94" t="s">
        <v>77</v>
      </c>
      <c r="J2592" s="87" t="s">
        <v>1559</v>
      </c>
      <c r="K2592" s="102" t="s">
        <v>2518</v>
      </c>
      <c r="L2592" s="117">
        <f>IF(O2592="","",N2592*O2592*M2592)</f>
        <v>0</v>
      </c>
      <c r="M2592" s="108">
        <v>1</v>
      </c>
      <c r="N2592" s="95">
        <v>1</v>
      </c>
      <c r="O2592" s="109">
        <f>IF(Key!D$1="ON",P2592,IF(SUM(Q2592:DL2592)&lt;1,"",SUM(Q2592:DL2592)/COUNTIF(Q2592:DL2592,"&gt;0")))</f>
        <v>0</v>
      </c>
      <c r="P2592" s="109">
        <f>SUMIFS(Q2592:DK2592,Q$1:DK$1,Dashboard!$K$31)</f>
        <v>0</v>
      </c>
      <c r="U2592" s="95">
        <v>33</v>
      </c>
      <c r="AA2592" s="95">
        <v>25</v>
      </c>
      <c r="AH2592" s="95">
        <v>75</v>
      </c>
    </row>
    <row r="2593" spans="1:34" ht="15.6" x14ac:dyDescent="0.3">
      <c r="A2593" s="89" t="str">
        <f>CONCATENATE(D2593,".",F2593,"-",G2593,".",H2593,"")</f>
        <v>2.4-2.1</v>
      </c>
      <c r="B2593" s="89" t="str">
        <f>IF(CONCATENATE(I2593,Key!F$2)=CONCATENATE(INDEX(Dashboard!J:J,MATCH(I2593,Dashboard!J:J,0),1),INDEX(Dashboard!J:K,MATCH(I2593,Dashboard!J:J,0),2)),"ON",IF(Dashboard!K$32="ALL","ON","-"))</f>
        <v>-</v>
      </c>
      <c r="C2593" s="96" t="s">
        <v>152</v>
      </c>
      <c r="D2593" s="89">
        <f>IF(C2593="ID",1,(IF(C2593="PR",2,(IF(C2593="DE",3,(IF(C2593="RS",4,(IF(C2593="RC",5,0)))))))))</f>
        <v>2</v>
      </c>
      <c r="E2593" s="89" t="s">
        <v>228</v>
      </c>
      <c r="F2593" s="89">
        <f>IF(E2593="AM",1,(IF(E2593="BE",2,(IF(E2593="GV",3,(IF(E2593="RA",4,(IF(E2593="RM",5,(IF(E2593="AC",1,(IF(E2593="AT",2,(IF(E2593="DS",3,(IF(E2593="IP",4,(IF(E2593="MA",5,(IF(E2593="PT",6,(IF(E2593="AE",1,(IF(E2593="CM",2,(IF(E2593="DP",3,(IF(E2593="AN",1,(IF(E2593="CO",2,(IF(E2593="IM",3,(IF(E2593="MI",4,(IF(E2593="RP",5,(IF(E2593="SC",6,0)))))))))))))))))))))))))))))))))))))))</f>
        <v>4</v>
      </c>
      <c r="G2593" s="98">
        <v>2</v>
      </c>
      <c r="H2593" s="90" t="s">
        <v>115</v>
      </c>
      <c r="I2593" s="94" t="s">
        <v>77</v>
      </c>
      <c r="J2593" s="87" t="s">
        <v>1560</v>
      </c>
      <c r="K2593" s="102" t="s">
        <v>2519</v>
      </c>
      <c r="L2593" s="117">
        <f>IF(O2593="","",N2593*O2593*M2593)</f>
        <v>0</v>
      </c>
      <c r="M2593" s="108">
        <v>1</v>
      </c>
      <c r="N2593" s="95">
        <v>1</v>
      </c>
      <c r="O2593" s="109">
        <f>IF(Key!D$1="ON",P2593,IF(SUM(Q2593:DL2593)&lt;1,"",SUM(Q2593:DL2593)/COUNTIF(Q2593:DL2593,"&gt;0")))</f>
        <v>0</v>
      </c>
      <c r="P2593" s="109">
        <f>SUMIFS(Q2593:DK2593,Q$1:DK$1,Dashboard!$K$31)</f>
        <v>0</v>
      </c>
      <c r="U2593" s="95">
        <v>33</v>
      </c>
      <c r="AA2593" s="95">
        <v>25</v>
      </c>
      <c r="AH2593" s="95">
        <v>75</v>
      </c>
    </row>
    <row r="2594" spans="1:34" ht="15.6" x14ac:dyDescent="0.3">
      <c r="A2594" s="89" t="str">
        <f>CONCATENATE(D2594,".",F2594,"-",G2594,".",H2594,"")</f>
        <v>2.4-2.1</v>
      </c>
      <c r="B2594" s="89" t="str">
        <f>IF(CONCATENATE(I2594,Key!F$2)=CONCATENATE(INDEX(Dashboard!J:J,MATCH(I2594,Dashboard!J:J,0),1),INDEX(Dashboard!J:K,MATCH(I2594,Dashboard!J:J,0),2)),"ON",IF(Dashboard!K$32="ALL","ON","-"))</f>
        <v>-</v>
      </c>
      <c r="C2594" s="88" t="s">
        <v>152</v>
      </c>
      <c r="D2594" s="89">
        <f>IF(C2594="ID",1,(IF(C2594="PR",2,(IF(C2594="DE",3,(IF(C2594="RS",4,(IF(C2594="RC",5,0)))))))))</f>
        <v>2</v>
      </c>
      <c r="E2594" s="89" t="s">
        <v>228</v>
      </c>
      <c r="F2594" s="89">
        <f>IF(E2594="AM",1,(IF(E2594="BE",2,(IF(E2594="GV",3,(IF(E2594="RA",4,(IF(E2594="RM",5,(IF(E2594="AC",1,(IF(E2594="AT",2,(IF(E2594="DS",3,(IF(E2594="IP",4,(IF(E2594="MA",5,(IF(E2594="PT",6,(IF(E2594="AE",1,(IF(E2594="CM",2,(IF(E2594="DP",3,(IF(E2594="AN",1,(IF(E2594="CO",2,(IF(E2594="IM",3,(IF(E2594="MI",4,(IF(E2594="RP",5,(IF(E2594="SC",6,0)))))))))))))))))))))))))))))))))))))))</f>
        <v>4</v>
      </c>
      <c r="G2594" s="52">
        <v>2</v>
      </c>
      <c r="H2594" s="90" t="s">
        <v>115</v>
      </c>
      <c r="I2594" s="94" t="s">
        <v>77</v>
      </c>
      <c r="J2594" s="87" t="s">
        <v>1562</v>
      </c>
      <c r="K2594" s="102" t="s">
        <v>2520</v>
      </c>
      <c r="L2594" s="117">
        <f>IF(O2594="","",N2594*O2594*M2594)</f>
        <v>0</v>
      </c>
      <c r="M2594" s="108">
        <v>1</v>
      </c>
      <c r="N2594" s="95">
        <v>1</v>
      </c>
      <c r="O2594" s="109">
        <f>IF(Key!D$1="ON",P2594,IF(SUM(Q2594:DL2594)&lt;1,"",SUM(Q2594:DL2594)/COUNTIF(Q2594:DL2594,"&gt;0")))</f>
        <v>0</v>
      </c>
      <c r="P2594" s="109">
        <f>SUMIFS(Q2594:DK2594,Q$1:DK$1,Dashboard!$K$31)</f>
        <v>0</v>
      </c>
      <c r="U2594" s="95">
        <v>33</v>
      </c>
      <c r="AA2594" s="95">
        <v>25</v>
      </c>
      <c r="AH2594" s="95">
        <v>75</v>
      </c>
    </row>
    <row r="2595" spans="1:34" x14ac:dyDescent="0.3">
      <c r="A2595" s="89" t="str">
        <f>CONCATENATE(D2595,".",F2595,"-",G2595,".",H2595,"")</f>
        <v>2.4-2.1</v>
      </c>
      <c r="B2595" s="89" t="str">
        <f>IF(CONCATENATE(I2595,Key!F$2)=CONCATENATE(INDEX(Dashboard!J:J,MATCH(I2595,Dashboard!J:J,0),1),INDEX(Dashboard!J:K,MATCH(I2595,Dashboard!J:J,0),2)),"ON",IF(Dashboard!K$32="ALL","ON","-"))</f>
        <v>-</v>
      </c>
      <c r="C2595" s="88" t="s">
        <v>152</v>
      </c>
      <c r="D2595" s="89">
        <f>IF(C2595="ID",1,(IF(C2595="PR",2,(IF(C2595="DE",3,(IF(C2595="RS",4,(IF(C2595="RC",5,0)))))))))</f>
        <v>2</v>
      </c>
      <c r="E2595" s="89" t="s">
        <v>228</v>
      </c>
      <c r="F2595" s="89">
        <f>IF(E2595="AM",1,(IF(E2595="BE",2,(IF(E2595="GV",3,(IF(E2595="RA",4,(IF(E2595="RM",5,(IF(E2595="AC",1,(IF(E2595="AT",2,(IF(E2595="DS",3,(IF(E2595="IP",4,(IF(E2595="MA",5,(IF(E2595="PT",6,(IF(E2595="AE",1,(IF(E2595="CM",2,(IF(E2595="DP",3,(IF(E2595="AN",1,(IF(E2595="CO",2,(IF(E2595="IM",3,(IF(E2595="MI",4,(IF(E2595="RP",5,(IF(E2595="SC",6,0)))))))))))))))))))))))))))))))))))))))</f>
        <v>4</v>
      </c>
      <c r="G2595" s="52">
        <v>2</v>
      </c>
      <c r="H2595" s="90" t="s">
        <v>115</v>
      </c>
      <c r="I2595" s="94" t="s">
        <v>77</v>
      </c>
      <c r="J2595" s="87" t="s">
        <v>1563</v>
      </c>
      <c r="K2595" s="102" t="s">
        <v>2521</v>
      </c>
      <c r="L2595" s="117">
        <f>IF(O2595="","",N2595*O2595*M2595)</f>
        <v>0</v>
      </c>
      <c r="M2595" s="108">
        <v>1</v>
      </c>
      <c r="N2595" s="95">
        <v>1</v>
      </c>
      <c r="O2595" s="109">
        <f>IF(Key!D$1="ON",P2595,IF(SUM(Q2595:DL2595)&lt;1,"",SUM(Q2595:DL2595)/COUNTIF(Q2595:DL2595,"&gt;0")))</f>
        <v>0</v>
      </c>
      <c r="P2595" s="109">
        <f>SUMIFS(Q2595:DK2595,Q$1:DK$1,Dashboard!$K$31)</f>
        <v>0</v>
      </c>
      <c r="U2595" s="95">
        <v>33</v>
      </c>
      <c r="AA2595" s="95">
        <v>25</v>
      </c>
      <c r="AH2595" s="95">
        <v>75</v>
      </c>
    </row>
    <row r="2596" spans="1:34" x14ac:dyDescent="0.3">
      <c r="A2596" s="89" t="str">
        <f>CONCATENATE(D2596,".",F2596,"-",G2596,".",H2596,"")</f>
        <v>2.4-2.1</v>
      </c>
      <c r="B2596" s="89" t="str">
        <f>IF(CONCATENATE(I2596,Key!F$2)=CONCATENATE(INDEX(Dashboard!J:J,MATCH(I2596,Dashboard!J:J,0),1),INDEX(Dashboard!J:K,MATCH(I2596,Dashboard!J:J,0),2)),"ON",IF(Dashboard!K$32="ALL","ON","-"))</f>
        <v>-</v>
      </c>
      <c r="C2596" s="88" t="s">
        <v>152</v>
      </c>
      <c r="D2596" s="89">
        <f>IF(C2596="ID",1,(IF(C2596="PR",2,(IF(C2596="DE",3,(IF(C2596="RS",4,(IF(C2596="RC",5,0)))))))))</f>
        <v>2</v>
      </c>
      <c r="E2596" s="89" t="s">
        <v>228</v>
      </c>
      <c r="F2596" s="89">
        <f>IF(E2596="AM",1,(IF(E2596="BE",2,(IF(E2596="GV",3,(IF(E2596="RA",4,(IF(E2596="RM",5,(IF(E2596="AC",1,(IF(E2596="AT",2,(IF(E2596="DS",3,(IF(E2596="IP",4,(IF(E2596="MA",5,(IF(E2596="PT",6,(IF(E2596="AE",1,(IF(E2596="CM",2,(IF(E2596="DP",3,(IF(E2596="AN",1,(IF(E2596="CO",2,(IF(E2596="IM",3,(IF(E2596="MI",4,(IF(E2596="RP",5,(IF(E2596="SC",6,0)))))))))))))))))))))))))))))))))))))))</f>
        <v>4</v>
      </c>
      <c r="G2596" s="52">
        <v>2</v>
      </c>
      <c r="H2596" s="90" t="s">
        <v>115</v>
      </c>
      <c r="I2596" s="94" t="s">
        <v>77</v>
      </c>
      <c r="J2596" s="87" t="s">
        <v>1564</v>
      </c>
      <c r="K2596" s="102" t="s">
        <v>2522</v>
      </c>
      <c r="L2596" s="117">
        <f>IF(O2596="","",N2596*O2596*M2596)</f>
        <v>0</v>
      </c>
      <c r="M2596" s="108">
        <v>1</v>
      </c>
      <c r="N2596" s="95">
        <v>1</v>
      </c>
      <c r="O2596" s="109">
        <f>IF(Key!D$1="ON",P2596,IF(SUM(Q2596:DL2596)&lt;1,"",SUM(Q2596:DL2596)/COUNTIF(Q2596:DL2596,"&gt;0")))</f>
        <v>0</v>
      </c>
      <c r="P2596" s="109">
        <f>SUMIFS(Q2596:DK2596,Q$1:DK$1,Dashboard!$K$31)</f>
        <v>0</v>
      </c>
      <c r="U2596" s="95">
        <v>33</v>
      </c>
      <c r="AA2596" s="95">
        <v>25</v>
      </c>
      <c r="AH2596" s="95">
        <v>75</v>
      </c>
    </row>
    <row r="2597" spans="1:34" x14ac:dyDescent="0.3">
      <c r="A2597" s="89" t="str">
        <f>CONCATENATE(D2597,".",F2597,"-",G2597,".",H2597,"")</f>
        <v>2.4-2.1</v>
      </c>
      <c r="B2597" s="89" t="str">
        <f>IF(CONCATENATE(I2597,Key!F$2)=CONCATENATE(INDEX(Dashboard!J:J,MATCH(I2597,Dashboard!J:J,0),1),INDEX(Dashboard!J:K,MATCH(I2597,Dashboard!J:J,0),2)),"ON",IF(Dashboard!K$32="ALL","ON","-"))</f>
        <v>-</v>
      </c>
      <c r="C2597" s="88" t="s">
        <v>152</v>
      </c>
      <c r="D2597" s="89">
        <f>IF(C2597="ID",1,(IF(C2597="PR",2,(IF(C2597="DE",3,(IF(C2597="RS",4,(IF(C2597="RC",5,0)))))))))</f>
        <v>2</v>
      </c>
      <c r="E2597" s="89" t="s">
        <v>228</v>
      </c>
      <c r="F2597" s="89">
        <f>IF(E2597="AM",1,(IF(E2597="BE",2,(IF(E2597="GV",3,(IF(E2597="RA",4,(IF(E2597="RM",5,(IF(E2597="AC",1,(IF(E2597="AT",2,(IF(E2597="DS",3,(IF(E2597="IP",4,(IF(E2597="MA",5,(IF(E2597="PT",6,(IF(E2597="AE",1,(IF(E2597="CM",2,(IF(E2597="DP",3,(IF(E2597="AN",1,(IF(E2597="CO",2,(IF(E2597="IM",3,(IF(E2597="MI",4,(IF(E2597="RP",5,(IF(E2597="SC",6,0)))))))))))))))))))))))))))))))))))))))</f>
        <v>4</v>
      </c>
      <c r="G2597" s="52">
        <v>2</v>
      </c>
      <c r="H2597" s="90" t="s">
        <v>115</v>
      </c>
      <c r="I2597" s="94" t="s">
        <v>77</v>
      </c>
      <c r="J2597" s="87" t="s">
        <v>1565</v>
      </c>
      <c r="K2597" s="102" t="s">
        <v>2523</v>
      </c>
      <c r="L2597" s="117">
        <f>IF(O2597="","",N2597*O2597*M2597)</f>
        <v>0</v>
      </c>
      <c r="M2597" s="108">
        <v>1</v>
      </c>
      <c r="N2597" s="95">
        <v>1</v>
      </c>
      <c r="O2597" s="109">
        <f>IF(Key!D$1="ON",P2597,IF(SUM(Q2597:DL2597)&lt;1,"",SUM(Q2597:DL2597)/COUNTIF(Q2597:DL2597,"&gt;0")))</f>
        <v>0</v>
      </c>
      <c r="P2597" s="109">
        <f>SUMIFS(Q2597:DK2597,Q$1:DK$1,Dashboard!$K$31)</f>
        <v>0</v>
      </c>
      <c r="U2597" s="95">
        <v>33</v>
      </c>
      <c r="AA2597" s="95">
        <v>25</v>
      </c>
      <c r="AH2597" s="95">
        <v>75</v>
      </c>
    </row>
    <row r="2598" spans="1:34" x14ac:dyDescent="0.3">
      <c r="A2598" s="89" t="str">
        <f>CONCATENATE(D2598,".",F2598,"-",G2598,".",H2598,"")</f>
        <v>2.4-2.1</v>
      </c>
      <c r="B2598" s="89" t="str">
        <f>IF(CONCATENATE(I2598,Key!F$2)=CONCATENATE(INDEX(Dashboard!J:J,MATCH(I2598,Dashboard!J:J,0),1),INDEX(Dashboard!J:K,MATCH(I2598,Dashboard!J:J,0),2)),"ON",IF(Dashboard!K$32="ALL","ON","-"))</f>
        <v>-</v>
      </c>
      <c r="C2598" s="88" t="s">
        <v>152</v>
      </c>
      <c r="D2598" s="89">
        <f>IF(C2598="ID",1,(IF(C2598="PR",2,(IF(C2598="DE",3,(IF(C2598="RS",4,(IF(C2598="RC",5,0)))))))))</f>
        <v>2</v>
      </c>
      <c r="E2598" s="89" t="s">
        <v>228</v>
      </c>
      <c r="F2598" s="89">
        <f>IF(E2598="AM",1,(IF(E2598="BE",2,(IF(E2598="GV",3,(IF(E2598="RA",4,(IF(E2598="RM",5,(IF(E2598="AC",1,(IF(E2598="AT",2,(IF(E2598="DS",3,(IF(E2598="IP",4,(IF(E2598="MA",5,(IF(E2598="PT",6,(IF(E2598="AE",1,(IF(E2598="CM",2,(IF(E2598="DP",3,(IF(E2598="AN",1,(IF(E2598="CO",2,(IF(E2598="IM",3,(IF(E2598="MI",4,(IF(E2598="RP",5,(IF(E2598="SC",6,0)))))))))))))))))))))))))))))))))))))))</f>
        <v>4</v>
      </c>
      <c r="G2598" s="52">
        <v>2</v>
      </c>
      <c r="H2598" s="90" t="s">
        <v>115</v>
      </c>
      <c r="I2598" s="94" t="s">
        <v>77</v>
      </c>
      <c r="J2598" s="87" t="s">
        <v>1566</v>
      </c>
      <c r="K2598" s="102" t="s">
        <v>2524</v>
      </c>
      <c r="L2598" s="117">
        <f>IF(O2598="","",N2598*O2598*M2598)</f>
        <v>0</v>
      </c>
      <c r="M2598" s="108">
        <v>1</v>
      </c>
      <c r="N2598" s="95">
        <v>1</v>
      </c>
      <c r="O2598" s="109">
        <f>IF(Key!D$1="ON",P2598,IF(SUM(Q2598:DL2598)&lt;1,"",SUM(Q2598:DL2598)/COUNTIF(Q2598:DL2598,"&gt;0")))</f>
        <v>0</v>
      </c>
      <c r="P2598" s="109">
        <f>SUMIFS(Q2598:DK2598,Q$1:DK$1,Dashboard!$K$31)</f>
        <v>0</v>
      </c>
      <c r="U2598" s="95">
        <v>33</v>
      </c>
      <c r="AA2598" s="95">
        <v>25</v>
      </c>
      <c r="AH2598" s="95">
        <v>75</v>
      </c>
    </row>
    <row r="2599" spans="1:34" x14ac:dyDescent="0.3">
      <c r="A2599" s="89" t="str">
        <f>CONCATENATE(D2599,".",F2599,"-",G2599,".",H2599,"")</f>
        <v>2.4-2.1</v>
      </c>
      <c r="B2599" s="89" t="str">
        <f>IF(CONCATENATE(I2599,Key!F$2)=CONCATENATE(INDEX(Dashboard!J:J,MATCH(I2599,Dashboard!J:J,0),1),INDEX(Dashboard!J:K,MATCH(I2599,Dashboard!J:J,0),2)),"ON",IF(Dashboard!K$32="ALL","ON","-"))</f>
        <v>-</v>
      </c>
      <c r="C2599" s="88" t="s">
        <v>152</v>
      </c>
      <c r="D2599" s="89">
        <f>IF(C2599="ID",1,(IF(C2599="PR",2,(IF(C2599="DE",3,(IF(C2599="RS",4,(IF(C2599="RC",5,0)))))))))</f>
        <v>2</v>
      </c>
      <c r="E2599" s="89" t="s">
        <v>228</v>
      </c>
      <c r="F2599" s="89">
        <f>IF(E2599="AM",1,(IF(E2599="BE",2,(IF(E2599="GV",3,(IF(E2599="RA",4,(IF(E2599="RM",5,(IF(E2599="AC",1,(IF(E2599="AT",2,(IF(E2599="DS",3,(IF(E2599="IP",4,(IF(E2599="MA",5,(IF(E2599="PT",6,(IF(E2599="AE",1,(IF(E2599="CM",2,(IF(E2599="DP",3,(IF(E2599="AN",1,(IF(E2599="CO",2,(IF(E2599="IM",3,(IF(E2599="MI",4,(IF(E2599="RP",5,(IF(E2599="SC",6,0)))))))))))))))))))))))))))))))))))))))</f>
        <v>4</v>
      </c>
      <c r="G2599" s="52">
        <v>2</v>
      </c>
      <c r="H2599" s="90" t="s">
        <v>115</v>
      </c>
      <c r="I2599" s="94" t="s">
        <v>77</v>
      </c>
      <c r="J2599" s="87" t="s">
        <v>1567</v>
      </c>
      <c r="K2599" s="102" t="s">
        <v>2525</v>
      </c>
      <c r="L2599" s="117">
        <f>IF(O2599="","",N2599*O2599*M2599)</f>
        <v>0</v>
      </c>
      <c r="M2599" s="108">
        <v>1</v>
      </c>
      <c r="N2599" s="95">
        <v>1</v>
      </c>
      <c r="O2599" s="109">
        <f>IF(Key!D$1="ON",P2599,IF(SUM(Q2599:DL2599)&lt;1,"",SUM(Q2599:DL2599)/COUNTIF(Q2599:DL2599,"&gt;0")))</f>
        <v>0</v>
      </c>
      <c r="P2599" s="109">
        <f>SUMIFS(Q2599:DK2599,Q$1:DK$1,Dashboard!$K$31)</f>
        <v>0</v>
      </c>
      <c r="U2599" s="95">
        <v>33</v>
      </c>
      <c r="AA2599" s="95">
        <v>25</v>
      </c>
      <c r="AH2599" s="95">
        <v>75</v>
      </c>
    </row>
    <row r="2600" spans="1:34" x14ac:dyDescent="0.3">
      <c r="A2600" s="89" t="str">
        <f>CONCATENATE(D2600,".",F2600,"-",G2600,".",H2600,"")</f>
        <v>2.4-2.1</v>
      </c>
      <c r="B2600" s="89" t="str">
        <f>IF(CONCATENATE(I2600,Key!F$2)=CONCATENATE(INDEX(Dashboard!J:J,MATCH(I2600,Dashboard!J:J,0),1),INDEX(Dashboard!J:K,MATCH(I2600,Dashboard!J:J,0),2)),"ON",IF(Dashboard!K$32="ALL","ON","-"))</f>
        <v>-</v>
      </c>
      <c r="C2600" s="88" t="s">
        <v>152</v>
      </c>
      <c r="D2600" s="89">
        <f>IF(C2600="ID",1,(IF(C2600="PR",2,(IF(C2600="DE",3,(IF(C2600="RS",4,(IF(C2600="RC",5,0)))))))))</f>
        <v>2</v>
      </c>
      <c r="E2600" s="89" t="s">
        <v>228</v>
      </c>
      <c r="F2600" s="89">
        <f>IF(E2600="AM",1,(IF(E2600="BE",2,(IF(E2600="GV",3,(IF(E2600="RA",4,(IF(E2600="RM",5,(IF(E2600="AC",1,(IF(E2600="AT",2,(IF(E2600="DS",3,(IF(E2600="IP",4,(IF(E2600="MA",5,(IF(E2600="PT",6,(IF(E2600="AE",1,(IF(E2600="CM",2,(IF(E2600="DP",3,(IF(E2600="AN",1,(IF(E2600="CO",2,(IF(E2600="IM",3,(IF(E2600="MI",4,(IF(E2600="RP",5,(IF(E2600="SC",6,0)))))))))))))))))))))))))))))))))))))))</f>
        <v>4</v>
      </c>
      <c r="G2600" s="52">
        <v>2</v>
      </c>
      <c r="H2600" s="90" t="s">
        <v>115</v>
      </c>
      <c r="I2600" s="94" t="s">
        <v>77</v>
      </c>
      <c r="J2600" s="87" t="s">
        <v>1568</v>
      </c>
      <c r="K2600" s="102" t="s">
        <v>2526</v>
      </c>
      <c r="L2600" s="117">
        <f>IF(O2600="","",N2600*O2600*M2600)</f>
        <v>0</v>
      </c>
      <c r="M2600" s="108">
        <v>1</v>
      </c>
      <c r="N2600" s="95">
        <v>1</v>
      </c>
      <c r="O2600" s="109">
        <f>IF(Key!D$1="ON",P2600,IF(SUM(Q2600:DL2600)&lt;1,"",SUM(Q2600:DL2600)/COUNTIF(Q2600:DL2600,"&gt;0")))</f>
        <v>0</v>
      </c>
      <c r="P2600" s="109">
        <f>SUMIFS(Q2600:DK2600,Q$1:DK$1,Dashboard!$K$31)</f>
        <v>0</v>
      </c>
      <c r="U2600" s="95">
        <v>33</v>
      </c>
      <c r="AA2600" s="95">
        <v>25</v>
      </c>
      <c r="AH2600" s="95">
        <v>75</v>
      </c>
    </row>
    <row r="2601" spans="1:34" ht="15.6" x14ac:dyDescent="0.3">
      <c r="A2601" s="89" t="str">
        <f>CONCATENATE(D2601,".",F2601,"-",G2601,".",H2601,"")</f>
        <v>2.4-2.1</v>
      </c>
      <c r="B2601" s="89" t="str">
        <f>IF(CONCATENATE(I2601,Key!F$2)=CONCATENATE(INDEX(Dashboard!J:J,MATCH(I2601,Dashboard!J:J,0),1),INDEX(Dashboard!J:K,MATCH(I2601,Dashboard!J:J,0),2)),"ON",IF(Dashboard!K$32="ALL","ON","-"))</f>
        <v>-</v>
      </c>
      <c r="C2601" s="88" t="s">
        <v>152</v>
      </c>
      <c r="D2601" s="89">
        <f>IF(C2601="ID",1,(IF(C2601="PR",2,(IF(C2601="DE",3,(IF(C2601="RS",4,(IF(C2601="RC",5,0)))))))))</f>
        <v>2</v>
      </c>
      <c r="E2601" s="89" t="s">
        <v>228</v>
      </c>
      <c r="F2601" s="89">
        <f>IF(E2601="AM",1,(IF(E2601="BE",2,(IF(E2601="GV",3,(IF(E2601="RA",4,(IF(E2601="RM",5,(IF(E2601="AC",1,(IF(E2601="AT",2,(IF(E2601="DS",3,(IF(E2601="IP",4,(IF(E2601="MA",5,(IF(E2601="PT",6,(IF(E2601="AE",1,(IF(E2601="CM",2,(IF(E2601="DP",3,(IF(E2601="AN",1,(IF(E2601="CO",2,(IF(E2601="IM",3,(IF(E2601="MI",4,(IF(E2601="RP",5,(IF(E2601="SC",6,0)))))))))))))))))))))))))))))))))))))))</f>
        <v>4</v>
      </c>
      <c r="G2601" s="52">
        <v>2</v>
      </c>
      <c r="H2601" s="90" t="s">
        <v>115</v>
      </c>
      <c r="I2601" s="94" t="s">
        <v>77</v>
      </c>
      <c r="J2601" s="87" t="s">
        <v>1569</v>
      </c>
      <c r="K2601" s="102" t="s">
        <v>2527</v>
      </c>
      <c r="L2601" s="117">
        <f>IF(O2601="","",N2601*O2601*M2601)</f>
        <v>0</v>
      </c>
      <c r="M2601" s="108">
        <v>1</v>
      </c>
      <c r="N2601" s="95">
        <v>1</v>
      </c>
      <c r="O2601" s="109">
        <f>IF(Key!D$1="ON",P2601,IF(SUM(Q2601:DL2601)&lt;1,"",SUM(Q2601:DL2601)/COUNTIF(Q2601:DL2601,"&gt;0")))</f>
        <v>0</v>
      </c>
      <c r="P2601" s="109">
        <f>SUMIFS(Q2601:DK2601,Q$1:DK$1,Dashboard!$K$31)</f>
        <v>0</v>
      </c>
      <c r="U2601" s="95">
        <v>33</v>
      </c>
      <c r="AA2601" s="95">
        <v>25</v>
      </c>
      <c r="AH2601" s="95">
        <v>75</v>
      </c>
    </row>
    <row r="2602" spans="1:34" x14ac:dyDescent="0.3">
      <c r="A2602" s="89" t="str">
        <f>CONCATENATE(D2602,".",F2602,"-",G2602,".",H2602,"")</f>
        <v>2.4-2.1</v>
      </c>
      <c r="B2602" s="89" t="str">
        <f>IF(CONCATENATE(I2602,Key!F$2)=CONCATENATE(INDEX(Dashboard!J:J,MATCH(I2602,Dashboard!J:J,0),1),INDEX(Dashboard!J:K,MATCH(I2602,Dashboard!J:J,0),2)),"ON",IF(Dashboard!K$32="ALL","ON","-"))</f>
        <v>-</v>
      </c>
      <c r="C2602" s="88" t="s">
        <v>152</v>
      </c>
      <c r="D2602" s="89">
        <f>IF(C2602="ID",1,(IF(C2602="PR",2,(IF(C2602="DE",3,(IF(C2602="RS",4,(IF(C2602="RC",5,0)))))))))</f>
        <v>2</v>
      </c>
      <c r="E2602" s="89" t="s">
        <v>228</v>
      </c>
      <c r="F2602" s="89">
        <f>IF(E2602="AM",1,(IF(E2602="BE",2,(IF(E2602="GV",3,(IF(E2602="RA",4,(IF(E2602="RM",5,(IF(E2602="AC",1,(IF(E2602="AT",2,(IF(E2602="DS",3,(IF(E2602="IP",4,(IF(E2602="MA",5,(IF(E2602="PT",6,(IF(E2602="AE",1,(IF(E2602="CM",2,(IF(E2602="DP",3,(IF(E2602="AN",1,(IF(E2602="CO",2,(IF(E2602="IM",3,(IF(E2602="MI",4,(IF(E2602="RP",5,(IF(E2602="SC",6,0)))))))))))))))))))))))))))))))))))))))</f>
        <v>4</v>
      </c>
      <c r="G2602" s="52">
        <v>2</v>
      </c>
      <c r="H2602" s="90" t="s">
        <v>115</v>
      </c>
      <c r="I2602" s="94" t="s">
        <v>77</v>
      </c>
      <c r="J2602" s="87" t="s">
        <v>1570</v>
      </c>
      <c r="K2602" s="102" t="s">
        <v>2528</v>
      </c>
      <c r="L2602" s="117">
        <f>IF(O2602="","",N2602*O2602*M2602)</f>
        <v>0</v>
      </c>
      <c r="M2602" s="108">
        <v>1</v>
      </c>
      <c r="N2602" s="95">
        <v>1</v>
      </c>
      <c r="O2602" s="109">
        <f>IF(Key!D$1="ON",P2602,IF(SUM(Q2602:DL2602)&lt;1,"",SUM(Q2602:DL2602)/COUNTIF(Q2602:DL2602,"&gt;0")))</f>
        <v>0</v>
      </c>
      <c r="P2602" s="109">
        <f>SUMIFS(Q2602:DK2602,Q$1:DK$1,Dashboard!$K$31)</f>
        <v>0</v>
      </c>
      <c r="U2602" s="95">
        <v>33</v>
      </c>
      <c r="AA2602" s="95">
        <v>25</v>
      </c>
      <c r="AH2602" s="95">
        <v>75</v>
      </c>
    </row>
    <row r="2603" spans="1:34" x14ac:dyDescent="0.3">
      <c r="A2603" s="89" t="str">
        <f>CONCATENATE(D2603,".",F2603,"-",G2603,".",H2603,"")</f>
        <v>2.4-2.1</v>
      </c>
      <c r="B2603" s="89" t="str">
        <f>IF(CONCATENATE(I2603,Key!F$2)=CONCATENATE(INDEX(Dashboard!J:J,MATCH(I2603,Dashboard!J:J,0),1),INDEX(Dashboard!J:K,MATCH(I2603,Dashboard!J:J,0),2)),"ON",IF(Dashboard!K$32="ALL","ON","-"))</f>
        <v>-</v>
      </c>
      <c r="C2603" s="88" t="s">
        <v>152</v>
      </c>
      <c r="D2603" s="89">
        <f>IF(C2603="ID",1,(IF(C2603="PR",2,(IF(C2603="DE",3,(IF(C2603="RS",4,(IF(C2603="RC",5,0)))))))))</f>
        <v>2</v>
      </c>
      <c r="E2603" s="89" t="s">
        <v>228</v>
      </c>
      <c r="F2603" s="89">
        <f>IF(E2603="AM",1,(IF(E2603="BE",2,(IF(E2603="GV",3,(IF(E2603="RA",4,(IF(E2603="RM",5,(IF(E2603="AC",1,(IF(E2603="AT",2,(IF(E2603="DS",3,(IF(E2603="IP",4,(IF(E2603="MA",5,(IF(E2603="PT",6,(IF(E2603="AE",1,(IF(E2603="CM",2,(IF(E2603="DP",3,(IF(E2603="AN",1,(IF(E2603="CO",2,(IF(E2603="IM",3,(IF(E2603="MI",4,(IF(E2603="RP",5,(IF(E2603="SC",6,0)))))))))))))))))))))))))))))))))))))))</f>
        <v>4</v>
      </c>
      <c r="G2603" s="52">
        <v>2</v>
      </c>
      <c r="H2603" s="90" t="s">
        <v>115</v>
      </c>
      <c r="I2603" s="94" t="s">
        <v>77</v>
      </c>
      <c r="J2603" s="87" t="s">
        <v>1571</v>
      </c>
      <c r="K2603" s="102" t="s">
        <v>2529</v>
      </c>
      <c r="L2603" s="117">
        <f>IF(O2603="","",N2603*O2603*M2603)</f>
        <v>0</v>
      </c>
      <c r="M2603" s="108">
        <v>1</v>
      </c>
      <c r="N2603" s="95">
        <v>1</v>
      </c>
      <c r="O2603" s="109">
        <f>IF(Key!D$1="ON",P2603,IF(SUM(Q2603:DL2603)&lt;1,"",SUM(Q2603:DL2603)/COUNTIF(Q2603:DL2603,"&gt;0")))</f>
        <v>0</v>
      </c>
      <c r="P2603" s="109">
        <f>SUMIFS(Q2603:DK2603,Q$1:DK$1,Dashboard!$K$31)</f>
        <v>0</v>
      </c>
      <c r="U2603" s="95">
        <v>33</v>
      </c>
      <c r="AA2603" s="95">
        <v>25</v>
      </c>
      <c r="AH2603" s="95">
        <v>75</v>
      </c>
    </row>
    <row r="2604" spans="1:34" x14ac:dyDescent="0.3">
      <c r="A2604" s="89" t="str">
        <f>CONCATENATE(D2604,".",F2604,"-",G2604,".",H2604,"")</f>
        <v>2.4-2.1</v>
      </c>
      <c r="B2604" s="89" t="str">
        <f>IF(CONCATENATE(I2604,Key!F$2)=CONCATENATE(INDEX(Dashboard!J:J,MATCH(I2604,Dashboard!J:J,0),1),INDEX(Dashboard!J:K,MATCH(I2604,Dashboard!J:J,0),2)),"ON",IF(Dashboard!K$32="ALL","ON","-"))</f>
        <v>-</v>
      </c>
      <c r="C2604" s="88" t="s">
        <v>152</v>
      </c>
      <c r="D2604" s="89">
        <f>IF(C2604="ID",1,(IF(C2604="PR",2,(IF(C2604="DE",3,(IF(C2604="RS",4,(IF(C2604="RC",5,0)))))))))</f>
        <v>2</v>
      </c>
      <c r="E2604" s="89" t="s">
        <v>228</v>
      </c>
      <c r="F2604" s="89">
        <f>IF(E2604="AM",1,(IF(E2604="BE",2,(IF(E2604="GV",3,(IF(E2604="RA",4,(IF(E2604="RM",5,(IF(E2604="AC",1,(IF(E2604="AT",2,(IF(E2604="DS",3,(IF(E2604="IP",4,(IF(E2604="MA",5,(IF(E2604="PT",6,(IF(E2604="AE",1,(IF(E2604="CM",2,(IF(E2604="DP",3,(IF(E2604="AN",1,(IF(E2604="CO",2,(IF(E2604="IM",3,(IF(E2604="MI",4,(IF(E2604="RP",5,(IF(E2604="SC",6,0)))))))))))))))))))))))))))))))))))))))</f>
        <v>4</v>
      </c>
      <c r="G2604" s="52">
        <v>2</v>
      </c>
      <c r="H2604" s="90" t="s">
        <v>115</v>
      </c>
      <c r="I2604" s="94" t="s">
        <v>77</v>
      </c>
      <c r="J2604" s="87" t="s">
        <v>1572</v>
      </c>
      <c r="K2604" s="102" t="s">
        <v>2530</v>
      </c>
      <c r="L2604" s="117">
        <f>IF(O2604="","",N2604*O2604*M2604)</f>
        <v>0</v>
      </c>
      <c r="M2604" s="108">
        <v>1</v>
      </c>
      <c r="N2604" s="95">
        <v>1</v>
      </c>
      <c r="O2604" s="109">
        <f>IF(Key!D$1="ON",P2604,IF(SUM(Q2604:DL2604)&lt;1,"",SUM(Q2604:DL2604)/COUNTIF(Q2604:DL2604,"&gt;0")))</f>
        <v>0</v>
      </c>
      <c r="P2604" s="109">
        <f>SUMIFS(Q2604:DK2604,Q$1:DK$1,Dashboard!$K$31)</f>
        <v>0</v>
      </c>
      <c r="U2604" s="95">
        <v>33</v>
      </c>
      <c r="AA2604" s="95">
        <v>25</v>
      </c>
      <c r="AH2604" s="95">
        <v>75</v>
      </c>
    </row>
    <row r="2605" spans="1:34" x14ac:dyDescent="0.3">
      <c r="A2605" s="89" t="str">
        <f>CONCATENATE(D2605,".",F2605,"-",G2605,".",H2605,"")</f>
        <v>2.4-2.1</v>
      </c>
      <c r="B2605" s="89" t="str">
        <f>IF(CONCATENATE(I2605,Key!F$2)=CONCATENATE(INDEX(Dashboard!J:J,MATCH(I2605,Dashboard!J:J,0),1),INDEX(Dashboard!J:K,MATCH(I2605,Dashboard!J:J,0),2)),"ON",IF(Dashboard!K$32="ALL","ON","-"))</f>
        <v>-</v>
      </c>
      <c r="C2605" s="96" t="s">
        <v>152</v>
      </c>
      <c r="D2605" s="89">
        <f>IF(C2605="ID",1,(IF(C2605="PR",2,(IF(C2605="DE",3,(IF(C2605="RS",4,(IF(C2605="RC",5,0)))))))))</f>
        <v>2</v>
      </c>
      <c r="E2605" s="89" t="s">
        <v>228</v>
      </c>
      <c r="F2605" s="89">
        <f>IF(E2605="AM",1,(IF(E2605="BE",2,(IF(E2605="GV",3,(IF(E2605="RA",4,(IF(E2605="RM",5,(IF(E2605="AC",1,(IF(E2605="AT",2,(IF(E2605="DS",3,(IF(E2605="IP",4,(IF(E2605="MA",5,(IF(E2605="PT",6,(IF(E2605="AE",1,(IF(E2605="CM",2,(IF(E2605="DP",3,(IF(E2605="AN",1,(IF(E2605="CO",2,(IF(E2605="IM",3,(IF(E2605="MI",4,(IF(E2605="RP",5,(IF(E2605="SC",6,0)))))))))))))))))))))))))))))))))))))))</f>
        <v>4</v>
      </c>
      <c r="G2605" s="98">
        <v>2</v>
      </c>
      <c r="H2605" s="90" t="s">
        <v>115</v>
      </c>
      <c r="I2605" s="94" t="s">
        <v>77</v>
      </c>
      <c r="J2605" s="87" t="s">
        <v>1573</v>
      </c>
      <c r="K2605" s="102" t="s">
        <v>2531</v>
      </c>
      <c r="L2605" s="117">
        <f>IF(O2605="","",N2605*O2605*M2605)</f>
        <v>0</v>
      </c>
      <c r="M2605" s="108">
        <v>1</v>
      </c>
      <c r="N2605" s="95">
        <v>1</v>
      </c>
      <c r="O2605" s="109">
        <f>IF(Key!D$1="ON",P2605,IF(SUM(Q2605:DL2605)&lt;1,"",SUM(Q2605:DL2605)/COUNTIF(Q2605:DL2605,"&gt;0")))</f>
        <v>0</v>
      </c>
      <c r="P2605" s="109">
        <f>SUMIFS(Q2605:DK2605,Q$1:DK$1,Dashboard!$K$31)</f>
        <v>0</v>
      </c>
      <c r="U2605" s="95">
        <v>33</v>
      </c>
      <c r="AA2605" s="95">
        <v>25</v>
      </c>
      <c r="AH2605" s="95">
        <v>75</v>
      </c>
    </row>
    <row r="2606" spans="1:34" x14ac:dyDescent="0.3">
      <c r="A2606" s="89" t="str">
        <f>CONCATENATE(D2606,".",F2606,"-",G2606,".",H2606,"")</f>
        <v>2.4-2.1</v>
      </c>
      <c r="B2606" s="89" t="str">
        <f>IF(CONCATENATE(I2606,Key!F$2)=CONCATENATE(INDEX(Dashboard!J:J,MATCH(I2606,Dashboard!J:J,0),1),INDEX(Dashboard!J:K,MATCH(I2606,Dashboard!J:J,0),2)),"ON",IF(Dashboard!K$32="ALL","ON","-"))</f>
        <v>-</v>
      </c>
      <c r="C2606" s="88" t="s">
        <v>152</v>
      </c>
      <c r="D2606" s="89">
        <f>IF(C2606="ID",1,(IF(C2606="PR",2,(IF(C2606="DE",3,(IF(C2606="RS",4,(IF(C2606="RC",5,0)))))))))</f>
        <v>2</v>
      </c>
      <c r="E2606" s="89" t="s">
        <v>228</v>
      </c>
      <c r="F2606" s="89">
        <f>IF(E2606="AM",1,(IF(E2606="BE",2,(IF(E2606="GV",3,(IF(E2606="RA",4,(IF(E2606="RM",5,(IF(E2606="AC",1,(IF(E2606="AT",2,(IF(E2606="DS",3,(IF(E2606="IP",4,(IF(E2606="MA",5,(IF(E2606="PT",6,(IF(E2606="AE",1,(IF(E2606="CM",2,(IF(E2606="DP",3,(IF(E2606="AN",1,(IF(E2606="CO",2,(IF(E2606="IM",3,(IF(E2606="MI",4,(IF(E2606="RP",5,(IF(E2606="SC",6,0)))))))))))))))))))))))))))))))))))))))</f>
        <v>4</v>
      </c>
      <c r="G2606" s="52">
        <v>2</v>
      </c>
      <c r="H2606" s="90" t="s">
        <v>115</v>
      </c>
      <c r="I2606" s="94" t="s">
        <v>77</v>
      </c>
      <c r="J2606" s="87" t="s">
        <v>1574</v>
      </c>
      <c r="K2606" s="102" t="s">
        <v>2532</v>
      </c>
      <c r="L2606" s="117">
        <f>IF(O2606="","",N2606*O2606*M2606)</f>
        <v>0</v>
      </c>
      <c r="M2606" s="108">
        <v>1</v>
      </c>
      <c r="N2606" s="95">
        <v>1</v>
      </c>
      <c r="O2606" s="109">
        <f>IF(Key!D$1="ON",P2606,IF(SUM(Q2606:DL2606)&lt;1,"",SUM(Q2606:DL2606)/COUNTIF(Q2606:DL2606,"&gt;0")))</f>
        <v>0</v>
      </c>
      <c r="P2606" s="109">
        <f>SUMIFS(Q2606:DK2606,Q$1:DK$1,Dashboard!$K$31)</f>
        <v>0</v>
      </c>
      <c r="U2606" s="95">
        <v>33</v>
      </c>
      <c r="AA2606" s="95">
        <v>25</v>
      </c>
      <c r="AH2606" s="95">
        <v>75</v>
      </c>
    </row>
    <row r="2607" spans="1:34" x14ac:dyDescent="0.3">
      <c r="A2607" s="89" t="str">
        <f>CONCATENATE(D2607,".",F2607,"-",G2607,".",H2607,"")</f>
        <v>2.4-2.1</v>
      </c>
      <c r="B2607" s="89" t="str">
        <f>IF(CONCATENATE(I2607,Key!F$2)=CONCATENATE(INDEX(Dashboard!J:J,MATCH(I2607,Dashboard!J:J,0),1),INDEX(Dashboard!J:K,MATCH(I2607,Dashboard!J:J,0),2)),"ON",IF(Dashboard!K$32="ALL","ON","-"))</f>
        <v>-</v>
      </c>
      <c r="C2607" s="88" t="s">
        <v>152</v>
      </c>
      <c r="D2607" s="89">
        <f>IF(C2607="ID",1,(IF(C2607="PR",2,(IF(C2607="DE",3,(IF(C2607="RS",4,(IF(C2607="RC",5,0)))))))))</f>
        <v>2</v>
      </c>
      <c r="E2607" s="89" t="s">
        <v>228</v>
      </c>
      <c r="F2607" s="89">
        <f>IF(E2607="AM",1,(IF(E2607="BE",2,(IF(E2607="GV",3,(IF(E2607="RA",4,(IF(E2607="RM",5,(IF(E2607="AC",1,(IF(E2607="AT",2,(IF(E2607="DS",3,(IF(E2607="IP",4,(IF(E2607="MA",5,(IF(E2607="PT",6,(IF(E2607="AE",1,(IF(E2607="CM",2,(IF(E2607="DP",3,(IF(E2607="AN",1,(IF(E2607="CO",2,(IF(E2607="IM",3,(IF(E2607="MI",4,(IF(E2607="RP",5,(IF(E2607="SC",6,0)))))))))))))))))))))))))))))))))))))))</f>
        <v>4</v>
      </c>
      <c r="G2607" s="52">
        <v>2</v>
      </c>
      <c r="H2607" s="90" t="s">
        <v>115</v>
      </c>
      <c r="I2607" s="94" t="s">
        <v>77</v>
      </c>
      <c r="J2607" s="87" t="s">
        <v>1575</v>
      </c>
      <c r="K2607" s="102" t="s">
        <v>2533</v>
      </c>
      <c r="L2607" s="117">
        <f>IF(O2607="","",N2607*O2607*M2607)</f>
        <v>0</v>
      </c>
      <c r="M2607" s="108">
        <v>1</v>
      </c>
      <c r="N2607" s="95">
        <v>1</v>
      </c>
      <c r="O2607" s="109">
        <f>IF(Key!D$1="ON",P2607,IF(SUM(Q2607:DL2607)&lt;1,"",SUM(Q2607:DL2607)/COUNTIF(Q2607:DL2607,"&gt;0")))</f>
        <v>0</v>
      </c>
      <c r="P2607" s="109">
        <f>SUMIFS(Q2607:DK2607,Q$1:DK$1,Dashboard!$K$31)</f>
        <v>0</v>
      </c>
      <c r="U2607" s="95">
        <v>33</v>
      </c>
      <c r="AA2607" s="95">
        <v>25</v>
      </c>
      <c r="AH2607" s="95">
        <v>75</v>
      </c>
    </row>
    <row r="2608" spans="1:34" x14ac:dyDescent="0.3">
      <c r="A2608" s="89" t="str">
        <f>CONCATENATE(D2608,".",F2608,"-",G2608,".",H2608,"")</f>
        <v>2.4-2.1</v>
      </c>
      <c r="B2608" s="89" t="str">
        <f>IF(CONCATENATE(I2608,Key!F$2)=CONCATENATE(INDEX(Dashboard!J:J,MATCH(I2608,Dashboard!J:J,0),1),INDEX(Dashboard!J:K,MATCH(I2608,Dashboard!J:J,0),2)),"ON",IF(Dashboard!K$32="ALL","ON","-"))</f>
        <v>-</v>
      </c>
      <c r="C2608" s="88" t="s">
        <v>152</v>
      </c>
      <c r="D2608" s="89">
        <f>IF(C2608="ID",1,(IF(C2608="PR",2,(IF(C2608="DE",3,(IF(C2608="RS",4,(IF(C2608="RC",5,0)))))))))</f>
        <v>2</v>
      </c>
      <c r="E2608" s="89" t="s">
        <v>228</v>
      </c>
      <c r="F2608" s="89">
        <f>IF(E2608="AM",1,(IF(E2608="BE",2,(IF(E2608="GV",3,(IF(E2608="RA",4,(IF(E2608="RM",5,(IF(E2608="AC",1,(IF(E2608="AT",2,(IF(E2608="DS",3,(IF(E2608="IP",4,(IF(E2608="MA",5,(IF(E2608="PT",6,(IF(E2608="AE",1,(IF(E2608="CM",2,(IF(E2608="DP",3,(IF(E2608="AN",1,(IF(E2608="CO",2,(IF(E2608="IM",3,(IF(E2608="MI",4,(IF(E2608="RP",5,(IF(E2608="SC",6,0)))))))))))))))))))))))))))))))))))))))</f>
        <v>4</v>
      </c>
      <c r="G2608" s="52">
        <v>2</v>
      </c>
      <c r="H2608" s="90" t="s">
        <v>115</v>
      </c>
      <c r="I2608" s="94" t="s">
        <v>77</v>
      </c>
      <c r="J2608" s="87" t="s">
        <v>1576</v>
      </c>
      <c r="K2608" s="102" t="s">
        <v>2534</v>
      </c>
      <c r="L2608" s="117">
        <f>IF(O2608="","",N2608*O2608*M2608)</f>
        <v>0</v>
      </c>
      <c r="M2608" s="108">
        <v>1</v>
      </c>
      <c r="N2608" s="95">
        <v>1</v>
      </c>
      <c r="O2608" s="109">
        <f>IF(Key!D$1="ON",P2608,IF(SUM(Q2608:DL2608)&lt;1,"",SUM(Q2608:DL2608)/COUNTIF(Q2608:DL2608,"&gt;0")))</f>
        <v>0</v>
      </c>
      <c r="P2608" s="109">
        <f>SUMIFS(Q2608:DK2608,Q$1:DK$1,Dashboard!$K$31)</f>
        <v>0</v>
      </c>
      <c r="U2608" s="95">
        <v>33</v>
      </c>
      <c r="AA2608" s="95">
        <v>25</v>
      </c>
      <c r="AH2608" s="95">
        <v>75</v>
      </c>
    </row>
    <row r="2609" spans="1:34" x14ac:dyDescent="0.3">
      <c r="A2609" s="89" t="str">
        <f>CONCATENATE(D2609,".",F2609,"-",G2609,".",H2609,"")</f>
        <v>2.4-2.1</v>
      </c>
      <c r="B2609" s="89" t="str">
        <f>IF(CONCATENATE(I2609,Key!F$2)=CONCATENATE(INDEX(Dashboard!J:J,MATCH(I2609,Dashboard!J:J,0),1),INDEX(Dashboard!J:K,MATCH(I2609,Dashboard!J:J,0),2)),"ON",IF(Dashboard!K$32="ALL","ON","-"))</f>
        <v>-</v>
      </c>
      <c r="C2609" s="88" t="s">
        <v>152</v>
      </c>
      <c r="D2609" s="89">
        <f>IF(C2609="ID",1,(IF(C2609="PR",2,(IF(C2609="DE",3,(IF(C2609="RS",4,(IF(C2609="RC",5,0)))))))))</f>
        <v>2</v>
      </c>
      <c r="E2609" s="89" t="s">
        <v>228</v>
      </c>
      <c r="F2609" s="89">
        <f>IF(E2609="AM",1,(IF(E2609="BE",2,(IF(E2609="GV",3,(IF(E2609="RA",4,(IF(E2609="RM",5,(IF(E2609="AC",1,(IF(E2609="AT",2,(IF(E2609="DS",3,(IF(E2609="IP",4,(IF(E2609="MA",5,(IF(E2609="PT",6,(IF(E2609="AE",1,(IF(E2609="CM",2,(IF(E2609="DP",3,(IF(E2609="AN",1,(IF(E2609="CO",2,(IF(E2609="IM",3,(IF(E2609="MI",4,(IF(E2609="RP",5,(IF(E2609="SC",6,0)))))))))))))))))))))))))))))))))))))))</f>
        <v>4</v>
      </c>
      <c r="G2609" s="52">
        <v>2</v>
      </c>
      <c r="H2609" s="90" t="s">
        <v>115</v>
      </c>
      <c r="I2609" s="94" t="s">
        <v>77</v>
      </c>
      <c r="J2609" s="87" t="s">
        <v>1577</v>
      </c>
      <c r="K2609" s="102" t="s">
        <v>2535</v>
      </c>
      <c r="L2609" s="117">
        <f>IF(O2609="","",N2609*O2609*M2609)</f>
        <v>0</v>
      </c>
      <c r="M2609" s="108">
        <v>1</v>
      </c>
      <c r="N2609" s="95">
        <v>1</v>
      </c>
      <c r="O2609" s="109">
        <f>IF(Key!D$1="ON",P2609,IF(SUM(Q2609:DL2609)&lt;1,"",SUM(Q2609:DL2609)/COUNTIF(Q2609:DL2609,"&gt;0")))</f>
        <v>0</v>
      </c>
      <c r="P2609" s="109">
        <f>SUMIFS(Q2609:DK2609,Q$1:DK$1,Dashboard!$K$31)</f>
        <v>0</v>
      </c>
      <c r="U2609" s="95">
        <v>33</v>
      </c>
      <c r="AA2609" s="95">
        <v>25</v>
      </c>
      <c r="AH2609" s="95">
        <v>75</v>
      </c>
    </row>
    <row r="2610" spans="1:34" x14ac:dyDescent="0.3">
      <c r="A2610" s="89" t="str">
        <f>CONCATENATE(D2610,".",F2610,"-",G2610,".",H2610,"")</f>
        <v>2.4-2.1</v>
      </c>
      <c r="B2610" s="89" t="str">
        <f>IF(CONCATENATE(I2610,Key!F$2)=CONCATENATE(INDEX(Dashboard!J:J,MATCH(I2610,Dashboard!J:J,0),1),INDEX(Dashboard!J:K,MATCH(I2610,Dashboard!J:J,0),2)),"ON",IF(Dashboard!K$32="ALL","ON","-"))</f>
        <v>-</v>
      </c>
      <c r="C2610" s="88" t="s">
        <v>152</v>
      </c>
      <c r="D2610" s="89">
        <f>IF(C2610="ID",1,(IF(C2610="PR",2,(IF(C2610="DE",3,(IF(C2610="RS",4,(IF(C2610="RC",5,0)))))))))</f>
        <v>2</v>
      </c>
      <c r="E2610" s="89" t="s">
        <v>228</v>
      </c>
      <c r="F2610" s="89">
        <f>IF(E2610="AM",1,(IF(E2610="BE",2,(IF(E2610="GV",3,(IF(E2610="RA",4,(IF(E2610="RM",5,(IF(E2610="AC",1,(IF(E2610="AT",2,(IF(E2610="DS",3,(IF(E2610="IP",4,(IF(E2610="MA",5,(IF(E2610="PT",6,(IF(E2610="AE",1,(IF(E2610="CM",2,(IF(E2610="DP",3,(IF(E2610="AN",1,(IF(E2610="CO",2,(IF(E2610="IM",3,(IF(E2610="MI",4,(IF(E2610="RP",5,(IF(E2610="SC",6,0)))))))))))))))))))))))))))))))))))))))</f>
        <v>4</v>
      </c>
      <c r="G2610" s="52">
        <v>2</v>
      </c>
      <c r="H2610" s="90" t="s">
        <v>115</v>
      </c>
      <c r="I2610" s="94" t="s">
        <v>77</v>
      </c>
      <c r="J2610" s="87" t="s">
        <v>1578</v>
      </c>
      <c r="K2610" s="102" t="s">
        <v>2536</v>
      </c>
      <c r="L2610" s="117">
        <f>IF(O2610="","",N2610*O2610*M2610)</f>
        <v>0</v>
      </c>
      <c r="M2610" s="108">
        <v>1</v>
      </c>
      <c r="N2610" s="95">
        <v>1</v>
      </c>
      <c r="O2610" s="109">
        <f>IF(Key!D$1="ON",P2610,IF(SUM(Q2610:DL2610)&lt;1,"",SUM(Q2610:DL2610)/COUNTIF(Q2610:DL2610,"&gt;0")))</f>
        <v>0</v>
      </c>
      <c r="P2610" s="109">
        <f>SUMIFS(Q2610:DK2610,Q$1:DK$1,Dashboard!$K$31)</f>
        <v>0</v>
      </c>
      <c r="U2610" s="95">
        <v>33</v>
      </c>
      <c r="AA2610" s="95">
        <v>25</v>
      </c>
      <c r="AH2610" s="95">
        <v>75</v>
      </c>
    </row>
    <row r="2611" spans="1:34" x14ac:dyDescent="0.3">
      <c r="A2611" s="89" t="str">
        <f>CONCATENATE(D2611,".",F2611,"-",G2611,".",H2611,"")</f>
        <v>2.4-2.1</v>
      </c>
      <c r="B2611" s="89" t="str">
        <f>IF(CONCATENATE(I2611,Key!F$2)=CONCATENATE(INDEX(Dashboard!J:J,MATCH(I2611,Dashboard!J:J,0),1),INDEX(Dashboard!J:K,MATCH(I2611,Dashboard!J:J,0),2)),"ON",IF(Dashboard!K$32="ALL","ON","-"))</f>
        <v>-</v>
      </c>
      <c r="C2611" s="88" t="s">
        <v>152</v>
      </c>
      <c r="D2611" s="89">
        <f>IF(C2611="ID",1,(IF(C2611="PR",2,(IF(C2611="DE",3,(IF(C2611="RS",4,(IF(C2611="RC",5,0)))))))))</f>
        <v>2</v>
      </c>
      <c r="E2611" s="89" t="s">
        <v>228</v>
      </c>
      <c r="F2611" s="89">
        <f>IF(E2611="AM",1,(IF(E2611="BE",2,(IF(E2611="GV",3,(IF(E2611="RA",4,(IF(E2611="RM",5,(IF(E2611="AC",1,(IF(E2611="AT",2,(IF(E2611="DS",3,(IF(E2611="IP",4,(IF(E2611="MA",5,(IF(E2611="PT",6,(IF(E2611="AE",1,(IF(E2611="CM",2,(IF(E2611="DP",3,(IF(E2611="AN",1,(IF(E2611="CO",2,(IF(E2611="IM",3,(IF(E2611="MI",4,(IF(E2611="RP",5,(IF(E2611="SC",6,0)))))))))))))))))))))))))))))))))))))))</f>
        <v>4</v>
      </c>
      <c r="G2611" s="52">
        <v>2</v>
      </c>
      <c r="H2611" s="90" t="s">
        <v>115</v>
      </c>
      <c r="I2611" s="94" t="s">
        <v>77</v>
      </c>
      <c r="J2611" s="87" t="s">
        <v>1579</v>
      </c>
      <c r="K2611" s="102" t="s">
        <v>2537</v>
      </c>
      <c r="L2611" s="117">
        <f>IF(O2611="","",N2611*O2611*M2611)</f>
        <v>0</v>
      </c>
      <c r="M2611" s="108">
        <v>1</v>
      </c>
      <c r="N2611" s="95">
        <v>1</v>
      </c>
      <c r="O2611" s="109">
        <f>IF(Key!D$1="ON",P2611,IF(SUM(Q2611:DL2611)&lt;1,"",SUM(Q2611:DL2611)/COUNTIF(Q2611:DL2611,"&gt;0")))</f>
        <v>0</v>
      </c>
      <c r="P2611" s="109">
        <f>SUMIFS(Q2611:DK2611,Q$1:DK$1,Dashboard!$K$31)</f>
        <v>0</v>
      </c>
      <c r="U2611" s="95">
        <v>33</v>
      </c>
      <c r="AA2611" s="95">
        <v>25</v>
      </c>
      <c r="AH2611" s="95">
        <v>75</v>
      </c>
    </row>
    <row r="2612" spans="1:34" x14ac:dyDescent="0.3">
      <c r="A2612" s="89" t="str">
        <f>CONCATENATE(D2612,".",F2612,"-",G2612,".",H2612,"")</f>
        <v>2.4-2.1</v>
      </c>
      <c r="B2612" s="89" t="str">
        <f>IF(CONCATENATE(I2612,Key!F$2)=CONCATENATE(INDEX(Dashboard!J:J,MATCH(I2612,Dashboard!J:J,0),1),INDEX(Dashboard!J:K,MATCH(I2612,Dashboard!J:J,0),2)),"ON",IF(Dashboard!K$32="ALL","ON","-"))</f>
        <v>-</v>
      </c>
      <c r="C2612" s="88" t="s">
        <v>152</v>
      </c>
      <c r="D2612" s="89">
        <f>IF(C2612="ID",1,(IF(C2612="PR",2,(IF(C2612="DE",3,(IF(C2612="RS",4,(IF(C2612="RC",5,0)))))))))</f>
        <v>2</v>
      </c>
      <c r="E2612" s="89" t="s">
        <v>228</v>
      </c>
      <c r="F2612" s="89">
        <f>IF(E2612="AM",1,(IF(E2612="BE",2,(IF(E2612="GV",3,(IF(E2612="RA",4,(IF(E2612="RM",5,(IF(E2612="AC",1,(IF(E2612="AT",2,(IF(E2612="DS",3,(IF(E2612="IP",4,(IF(E2612="MA",5,(IF(E2612="PT",6,(IF(E2612="AE",1,(IF(E2612="CM",2,(IF(E2612="DP",3,(IF(E2612="AN",1,(IF(E2612="CO",2,(IF(E2612="IM",3,(IF(E2612="MI",4,(IF(E2612="RP",5,(IF(E2612="SC",6,0)))))))))))))))))))))))))))))))))))))))</f>
        <v>4</v>
      </c>
      <c r="G2612" s="52">
        <v>2</v>
      </c>
      <c r="H2612" s="90" t="s">
        <v>115</v>
      </c>
      <c r="I2612" s="94" t="s">
        <v>77</v>
      </c>
      <c r="J2612" s="87" t="s">
        <v>1580</v>
      </c>
      <c r="K2612" s="102" t="s">
        <v>2538</v>
      </c>
      <c r="L2612" s="117">
        <f>IF(O2612="","",N2612*O2612*M2612)</f>
        <v>0</v>
      </c>
      <c r="M2612" s="108">
        <v>1</v>
      </c>
      <c r="N2612" s="95">
        <v>1</v>
      </c>
      <c r="O2612" s="109">
        <f>IF(Key!D$1="ON",P2612,IF(SUM(Q2612:DL2612)&lt;1,"",SUM(Q2612:DL2612)/COUNTIF(Q2612:DL2612,"&gt;0")))</f>
        <v>0</v>
      </c>
      <c r="P2612" s="109">
        <f>SUMIFS(Q2612:DK2612,Q$1:DK$1,Dashboard!$K$31)</f>
        <v>0</v>
      </c>
      <c r="U2612" s="95">
        <v>33</v>
      </c>
      <c r="AA2612" s="95">
        <v>25</v>
      </c>
      <c r="AH2612" s="95">
        <v>75</v>
      </c>
    </row>
    <row r="2613" spans="1:34" x14ac:dyDescent="0.3">
      <c r="A2613" s="89" t="str">
        <f>CONCATENATE(D2613,".",F2613,"-",G2613,".",H2613,"")</f>
        <v>2.4-2.1</v>
      </c>
      <c r="B2613" s="89" t="str">
        <f>IF(CONCATENATE(I2613,Key!F$2)=CONCATENATE(INDEX(Dashboard!J:J,MATCH(I2613,Dashboard!J:J,0),1),INDEX(Dashboard!J:K,MATCH(I2613,Dashboard!J:J,0),2)),"ON",IF(Dashboard!K$32="ALL","ON","-"))</f>
        <v>-</v>
      </c>
      <c r="C2613" s="88" t="s">
        <v>152</v>
      </c>
      <c r="D2613" s="89">
        <f>IF(C2613="ID",1,(IF(C2613="PR",2,(IF(C2613="DE",3,(IF(C2613="RS",4,(IF(C2613="RC",5,0)))))))))</f>
        <v>2</v>
      </c>
      <c r="E2613" s="89" t="s">
        <v>228</v>
      </c>
      <c r="F2613" s="89">
        <f>IF(E2613="AM",1,(IF(E2613="BE",2,(IF(E2613="GV",3,(IF(E2613="RA",4,(IF(E2613="RM",5,(IF(E2613="AC",1,(IF(E2613="AT",2,(IF(E2613="DS",3,(IF(E2613="IP",4,(IF(E2613="MA",5,(IF(E2613="PT",6,(IF(E2613="AE",1,(IF(E2613="CM",2,(IF(E2613="DP",3,(IF(E2613="AN",1,(IF(E2613="CO",2,(IF(E2613="IM",3,(IF(E2613="MI",4,(IF(E2613="RP",5,(IF(E2613="SC",6,0)))))))))))))))))))))))))))))))))))))))</f>
        <v>4</v>
      </c>
      <c r="G2613" s="98">
        <v>2</v>
      </c>
      <c r="H2613" s="90" t="s">
        <v>115</v>
      </c>
      <c r="I2613" s="94" t="s">
        <v>77</v>
      </c>
      <c r="J2613" s="87" t="s">
        <v>1581</v>
      </c>
      <c r="K2613" s="102" t="s">
        <v>2539</v>
      </c>
      <c r="L2613" s="117">
        <f>IF(O2613="","",N2613*O2613*M2613)</f>
        <v>0</v>
      </c>
      <c r="M2613" s="108">
        <v>1</v>
      </c>
      <c r="N2613" s="95">
        <v>1</v>
      </c>
      <c r="O2613" s="109">
        <f>IF(Key!D$1="ON",P2613,IF(SUM(Q2613:DL2613)&lt;1,"",SUM(Q2613:DL2613)/COUNTIF(Q2613:DL2613,"&gt;0")))</f>
        <v>0</v>
      </c>
      <c r="P2613" s="109">
        <f>SUMIFS(Q2613:DK2613,Q$1:DK$1,Dashboard!$K$31)</f>
        <v>0</v>
      </c>
      <c r="U2613" s="95">
        <v>33</v>
      </c>
      <c r="AA2613" s="95">
        <v>25</v>
      </c>
      <c r="AH2613" s="95">
        <v>75</v>
      </c>
    </row>
    <row r="2614" spans="1:34" x14ac:dyDescent="0.3">
      <c r="A2614" s="89" t="str">
        <f>CONCATENATE(D2614,".",F2614,"-",G2614,".",H2614,"")</f>
        <v>2.4-2.1</v>
      </c>
      <c r="B2614" s="89" t="str">
        <f>IF(CONCATENATE(I2614,Key!F$2)=CONCATENATE(INDEX(Dashboard!J:J,MATCH(I2614,Dashboard!J:J,0),1),INDEX(Dashboard!J:K,MATCH(I2614,Dashboard!J:J,0),2)),"ON",IF(Dashboard!K$32="ALL","ON","-"))</f>
        <v>-</v>
      </c>
      <c r="C2614" s="88" t="s">
        <v>152</v>
      </c>
      <c r="D2614" s="89">
        <f>IF(C2614="ID",1,(IF(C2614="PR",2,(IF(C2614="DE",3,(IF(C2614="RS",4,(IF(C2614="RC",5,0)))))))))</f>
        <v>2</v>
      </c>
      <c r="E2614" s="89" t="s">
        <v>228</v>
      </c>
      <c r="F2614" s="89">
        <f>IF(E2614="AM",1,(IF(E2614="BE",2,(IF(E2614="GV",3,(IF(E2614="RA",4,(IF(E2614="RM",5,(IF(E2614="AC",1,(IF(E2614="AT",2,(IF(E2614="DS",3,(IF(E2614="IP",4,(IF(E2614="MA",5,(IF(E2614="PT",6,(IF(E2614="AE",1,(IF(E2614="CM",2,(IF(E2614="DP",3,(IF(E2614="AN",1,(IF(E2614="CO",2,(IF(E2614="IM",3,(IF(E2614="MI",4,(IF(E2614="RP",5,(IF(E2614="SC",6,0)))))))))))))))))))))))))))))))))))))))</f>
        <v>4</v>
      </c>
      <c r="G2614" s="98">
        <v>2</v>
      </c>
      <c r="H2614" s="90" t="s">
        <v>115</v>
      </c>
      <c r="I2614" s="94" t="s">
        <v>77</v>
      </c>
      <c r="J2614" s="87" t="s">
        <v>1582</v>
      </c>
      <c r="K2614" s="102" t="s">
        <v>2540</v>
      </c>
      <c r="L2614" s="117">
        <f>IF(O2614="","",N2614*O2614*M2614)</f>
        <v>0</v>
      </c>
      <c r="M2614" s="108">
        <v>1</v>
      </c>
      <c r="N2614" s="95">
        <v>1</v>
      </c>
      <c r="O2614" s="109">
        <f>IF(Key!D$1="ON",P2614,IF(SUM(Q2614:DL2614)&lt;1,"",SUM(Q2614:DL2614)/COUNTIF(Q2614:DL2614,"&gt;0")))</f>
        <v>0</v>
      </c>
      <c r="P2614" s="109">
        <f>SUMIFS(Q2614:DK2614,Q$1:DK$1,Dashboard!$K$31)</f>
        <v>0</v>
      </c>
      <c r="U2614" s="95">
        <v>33</v>
      </c>
      <c r="AA2614" s="95">
        <v>25</v>
      </c>
      <c r="AH2614" s="95">
        <v>75</v>
      </c>
    </row>
    <row r="2615" spans="1:34" x14ac:dyDescent="0.3">
      <c r="A2615" s="89" t="str">
        <f>CONCATENATE(D2615,".",F2615,"-",G2615,".",H2615,"")</f>
        <v>2.4-2.1</v>
      </c>
      <c r="B2615" s="89" t="str">
        <f>IF(CONCATENATE(I2615,Key!F$2)=CONCATENATE(INDEX(Dashboard!J:J,MATCH(I2615,Dashboard!J:J,0),1),INDEX(Dashboard!J:K,MATCH(I2615,Dashboard!J:J,0),2)),"ON",IF(Dashboard!K$32="ALL","ON","-"))</f>
        <v>-</v>
      </c>
      <c r="C2615" s="88" t="s">
        <v>152</v>
      </c>
      <c r="D2615" s="89">
        <f>IF(C2615="ID",1,(IF(C2615="PR",2,(IF(C2615="DE",3,(IF(C2615="RS",4,(IF(C2615="RC",5,0)))))))))</f>
        <v>2</v>
      </c>
      <c r="E2615" s="89" t="s">
        <v>228</v>
      </c>
      <c r="F2615" s="89">
        <f>IF(E2615="AM",1,(IF(E2615="BE",2,(IF(E2615="GV",3,(IF(E2615="RA",4,(IF(E2615="RM",5,(IF(E2615="AC",1,(IF(E2615="AT",2,(IF(E2615="DS",3,(IF(E2615="IP",4,(IF(E2615="MA",5,(IF(E2615="PT",6,(IF(E2615="AE",1,(IF(E2615="CM",2,(IF(E2615="DP",3,(IF(E2615="AN",1,(IF(E2615="CO",2,(IF(E2615="IM",3,(IF(E2615="MI",4,(IF(E2615="RP",5,(IF(E2615="SC",6,0)))))))))))))))))))))))))))))))))))))))</f>
        <v>4</v>
      </c>
      <c r="G2615" s="98">
        <v>2</v>
      </c>
      <c r="H2615" s="90" t="s">
        <v>115</v>
      </c>
      <c r="I2615" s="94" t="s">
        <v>77</v>
      </c>
      <c r="J2615" s="87" t="s">
        <v>1584</v>
      </c>
      <c r="K2615" s="102" t="s">
        <v>2541</v>
      </c>
      <c r="L2615" s="117">
        <f>IF(O2615="","",N2615*O2615*M2615)</f>
        <v>0</v>
      </c>
      <c r="M2615" s="108">
        <v>1</v>
      </c>
      <c r="N2615" s="95">
        <v>1</v>
      </c>
      <c r="O2615" s="109">
        <f>IF(Key!D$1="ON",P2615,IF(SUM(Q2615:DL2615)&lt;1,"",SUM(Q2615:DL2615)/COUNTIF(Q2615:DL2615,"&gt;0")))</f>
        <v>0</v>
      </c>
      <c r="P2615" s="109">
        <f>SUMIFS(Q2615:DK2615,Q$1:DK$1,Dashboard!$K$31)</f>
        <v>0</v>
      </c>
      <c r="U2615" s="95">
        <v>33</v>
      </c>
      <c r="AA2615" s="95">
        <v>25</v>
      </c>
      <c r="AH2615" s="95">
        <v>75</v>
      </c>
    </row>
    <row r="2616" spans="1:34" x14ac:dyDescent="0.3">
      <c r="A2616" s="89" t="str">
        <f>CONCATENATE(D2616,".",F2616,"-",G2616,".",H2616,"")</f>
        <v>2.4-2.1</v>
      </c>
      <c r="B2616" s="89" t="str">
        <f>IF(CONCATENATE(I2616,Key!F$2)=CONCATENATE(INDEX(Dashboard!J:J,MATCH(I2616,Dashboard!J:J,0),1),INDEX(Dashboard!J:K,MATCH(I2616,Dashboard!J:J,0),2)),"ON",IF(Dashboard!K$32="ALL","ON","-"))</f>
        <v>-</v>
      </c>
      <c r="C2616" s="96" t="s">
        <v>152</v>
      </c>
      <c r="D2616" s="89">
        <f>IF(C2616="ID",1,(IF(C2616="PR",2,(IF(C2616="DE",3,(IF(C2616="RS",4,(IF(C2616="RC",5,0)))))))))</f>
        <v>2</v>
      </c>
      <c r="E2616" s="89" t="s">
        <v>228</v>
      </c>
      <c r="F2616" s="89">
        <f>IF(E2616="AM",1,(IF(E2616="BE",2,(IF(E2616="GV",3,(IF(E2616="RA",4,(IF(E2616="RM",5,(IF(E2616="AC",1,(IF(E2616="AT",2,(IF(E2616="DS",3,(IF(E2616="IP",4,(IF(E2616="MA",5,(IF(E2616="PT",6,(IF(E2616="AE",1,(IF(E2616="CM",2,(IF(E2616="DP",3,(IF(E2616="AN",1,(IF(E2616="CO",2,(IF(E2616="IM",3,(IF(E2616="MI",4,(IF(E2616="RP",5,(IF(E2616="SC",6,0)))))))))))))))))))))))))))))))))))))))</f>
        <v>4</v>
      </c>
      <c r="G2616" s="98">
        <v>2</v>
      </c>
      <c r="H2616" s="90" t="s">
        <v>115</v>
      </c>
      <c r="I2616" s="94" t="s">
        <v>77</v>
      </c>
      <c r="J2616" s="87" t="s">
        <v>1585</v>
      </c>
      <c r="K2616" s="102" t="s">
        <v>2542</v>
      </c>
      <c r="L2616" s="117">
        <f>IF(O2616="","",N2616*O2616*M2616)</f>
        <v>0</v>
      </c>
      <c r="M2616" s="108">
        <v>0.9</v>
      </c>
      <c r="N2616" s="95">
        <v>1</v>
      </c>
      <c r="O2616" s="109">
        <f>IF(Key!D$1="ON",P2616,IF(SUM(Q2616:DL2616)&lt;1,"",SUM(Q2616:DL2616)/COUNTIF(Q2616:DL2616,"&gt;0")))</f>
        <v>0</v>
      </c>
      <c r="P2616" s="109">
        <f>SUMIFS(Q2616:DK2616,Q$1:DK$1,Dashboard!$K$31)</f>
        <v>0</v>
      </c>
      <c r="S2616" s="95">
        <v>99</v>
      </c>
      <c r="T2616" s="95">
        <v>80</v>
      </c>
      <c r="U2616" s="95">
        <v>33</v>
      </c>
      <c r="AA2616" s="95">
        <v>25</v>
      </c>
      <c r="AH2616" s="95">
        <v>75</v>
      </c>
    </row>
    <row r="2617" spans="1:34" x14ac:dyDescent="0.3">
      <c r="A2617" s="89" t="str">
        <f>CONCATENATE(D2617,".",F2617,"-",G2617,".",H2617,"")</f>
        <v>2.4-2.1</v>
      </c>
      <c r="B2617" s="89" t="str">
        <f>IF(CONCATENATE(I2617,Key!F$2)=CONCATENATE(INDEX(Dashboard!J:J,MATCH(I2617,Dashboard!J:J,0),1),INDEX(Dashboard!J:K,MATCH(I2617,Dashboard!J:J,0),2)),"ON",IF(Dashboard!K$32="ALL","ON","-"))</f>
        <v>-</v>
      </c>
      <c r="C2617" s="96" t="s">
        <v>152</v>
      </c>
      <c r="D2617" s="89">
        <f>IF(C2617="ID",1,(IF(C2617="PR",2,(IF(C2617="DE",3,(IF(C2617="RS",4,(IF(C2617="RC",5,0)))))))))</f>
        <v>2</v>
      </c>
      <c r="E2617" s="89" t="s">
        <v>228</v>
      </c>
      <c r="F2617" s="89">
        <f>IF(E2617="AM",1,(IF(E2617="BE",2,(IF(E2617="GV",3,(IF(E2617="RA",4,(IF(E2617="RM",5,(IF(E2617="AC",1,(IF(E2617="AT",2,(IF(E2617="DS",3,(IF(E2617="IP",4,(IF(E2617="MA",5,(IF(E2617="PT",6,(IF(E2617="AE",1,(IF(E2617="CM",2,(IF(E2617="DP",3,(IF(E2617="AN",1,(IF(E2617="CO",2,(IF(E2617="IM",3,(IF(E2617="MI",4,(IF(E2617="RP",5,(IF(E2617="SC",6,0)))))))))))))))))))))))))))))))))))))))</f>
        <v>4</v>
      </c>
      <c r="G2617" s="98">
        <v>2</v>
      </c>
      <c r="H2617" s="90" t="s">
        <v>115</v>
      </c>
      <c r="I2617" s="94" t="s">
        <v>77</v>
      </c>
      <c r="J2617" s="87" t="s">
        <v>1587</v>
      </c>
      <c r="K2617" s="102" t="s">
        <v>2543</v>
      </c>
      <c r="L2617" s="117">
        <f>IF(O2617="","",N2617*O2617*M2617)</f>
        <v>0</v>
      </c>
      <c r="M2617" s="108">
        <v>1</v>
      </c>
      <c r="N2617" s="95">
        <v>1</v>
      </c>
      <c r="O2617" s="109">
        <f>IF(Key!D$1="ON",P2617,IF(SUM(Q2617:DL2617)&lt;1,"",SUM(Q2617:DL2617)/COUNTIF(Q2617:DL2617,"&gt;0")))</f>
        <v>0</v>
      </c>
      <c r="P2617" s="109">
        <f>SUMIFS(Q2617:DK2617,Q$1:DK$1,Dashboard!$K$31)</f>
        <v>0</v>
      </c>
      <c r="U2617" s="95">
        <v>33</v>
      </c>
      <c r="AA2617" s="95">
        <v>25</v>
      </c>
      <c r="AH2617" s="95">
        <v>75</v>
      </c>
    </row>
    <row r="2618" spans="1:34" ht="15.6" x14ac:dyDescent="0.3">
      <c r="A2618" s="89" t="str">
        <f>CONCATENATE(D2618,".",F2618,"-",G2618,".",H2618,"")</f>
        <v>2.4-2.1</v>
      </c>
      <c r="B2618" s="89" t="str">
        <f>IF(CONCATENATE(I2618,Key!F$2)=CONCATENATE(INDEX(Dashboard!J:J,MATCH(I2618,Dashboard!J:J,0),1),INDEX(Dashboard!J:K,MATCH(I2618,Dashboard!J:J,0),2)),"ON",IF(Dashboard!K$32="ALL","ON","-"))</f>
        <v>-</v>
      </c>
      <c r="C2618" s="88" t="s">
        <v>152</v>
      </c>
      <c r="D2618" s="89">
        <f>IF(C2618="ID",1,(IF(C2618="PR",2,(IF(C2618="DE",3,(IF(C2618="RS",4,(IF(C2618="RC",5,0)))))))))</f>
        <v>2</v>
      </c>
      <c r="E2618" s="89" t="s">
        <v>228</v>
      </c>
      <c r="F2618" s="89">
        <f>IF(E2618="AM",1,(IF(E2618="BE",2,(IF(E2618="GV",3,(IF(E2618="RA",4,(IF(E2618="RM",5,(IF(E2618="AC",1,(IF(E2618="AT",2,(IF(E2618="DS",3,(IF(E2618="IP",4,(IF(E2618="MA",5,(IF(E2618="PT",6,(IF(E2618="AE",1,(IF(E2618="CM",2,(IF(E2618="DP",3,(IF(E2618="AN",1,(IF(E2618="CO",2,(IF(E2618="IM",3,(IF(E2618="MI",4,(IF(E2618="RP",5,(IF(E2618="SC",6,0)))))))))))))))))))))))))))))))))))))))</f>
        <v>4</v>
      </c>
      <c r="G2618" s="52">
        <v>2</v>
      </c>
      <c r="H2618" s="90" t="s">
        <v>115</v>
      </c>
      <c r="I2618" s="94" t="s">
        <v>77</v>
      </c>
      <c r="J2618" s="87" t="s">
        <v>1589</v>
      </c>
      <c r="K2618" s="102" t="s">
        <v>2544</v>
      </c>
      <c r="L2618" s="117">
        <f>IF(O2618="","",N2618*O2618*M2618)</f>
        <v>0</v>
      </c>
      <c r="M2618" s="108">
        <v>1</v>
      </c>
      <c r="N2618" s="95">
        <v>1</v>
      </c>
      <c r="O2618" s="109">
        <f>IF(Key!D$1="ON",P2618,IF(SUM(Q2618:DL2618)&lt;1,"",SUM(Q2618:DL2618)/COUNTIF(Q2618:DL2618,"&gt;0")))</f>
        <v>0</v>
      </c>
      <c r="P2618" s="109">
        <f>SUMIFS(Q2618:DK2618,Q$1:DK$1,Dashboard!$K$31)</f>
        <v>0</v>
      </c>
      <c r="U2618" s="95">
        <v>33</v>
      </c>
      <c r="AA2618" s="95">
        <v>25</v>
      </c>
      <c r="AH2618" s="95">
        <v>75</v>
      </c>
    </row>
    <row r="2619" spans="1:34" x14ac:dyDescent="0.3">
      <c r="A2619" s="89" t="str">
        <f>CONCATENATE(D2619,".",F2619,"-",G2619,".",H2619,"")</f>
        <v>2.4-2.1</v>
      </c>
      <c r="B2619" s="89" t="str">
        <f>IF(CONCATENATE(I2619,Key!F$2)=CONCATENATE(INDEX(Dashboard!J:J,MATCH(I2619,Dashboard!J:J,0),1),INDEX(Dashboard!J:K,MATCH(I2619,Dashboard!J:J,0),2)),"ON",IF(Dashboard!K$32="ALL","ON","-"))</f>
        <v>-</v>
      </c>
      <c r="C2619" s="88" t="s">
        <v>152</v>
      </c>
      <c r="D2619" s="89">
        <f>IF(C2619="ID",1,(IF(C2619="PR",2,(IF(C2619="DE",3,(IF(C2619="RS",4,(IF(C2619="RC",5,0)))))))))</f>
        <v>2</v>
      </c>
      <c r="E2619" s="89" t="s">
        <v>228</v>
      </c>
      <c r="F2619" s="89">
        <f>IF(E2619="AM",1,(IF(E2619="BE",2,(IF(E2619="GV",3,(IF(E2619="RA",4,(IF(E2619="RM",5,(IF(E2619="AC",1,(IF(E2619="AT",2,(IF(E2619="DS",3,(IF(E2619="IP",4,(IF(E2619="MA",5,(IF(E2619="PT",6,(IF(E2619="AE",1,(IF(E2619="CM",2,(IF(E2619="DP",3,(IF(E2619="AN",1,(IF(E2619="CO",2,(IF(E2619="IM",3,(IF(E2619="MI",4,(IF(E2619="RP",5,(IF(E2619="SC",6,0)))))))))))))))))))))))))))))))))))))))</f>
        <v>4</v>
      </c>
      <c r="G2619" s="52">
        <v>2</v>
      </c>
      <c r="H2619" s="90" t="s">
        <v>115</v>
      </c>
      <c r="I2619" s="94" t="s">
        <v>77</v>
      </c>
      <c r="J2619" s="87" t="s">
        <v>1590</v>
      </c>
      <c r="K2619" s="102" t="s">
        <v>2545</v>
      </c>
      <c r="L2619" s="117">
        <f>IF(O2619="","",N2619*O2619*M2619)</f>
        <v>0</v>
      </c>
      <c r="M2619" s="108">
        <v>1</v>
      </c>
      <c r="N2619" s="95">
        <v>1</v>
      </c>
      <c r="O2619" s="109">
        <f>IF(Key!D$1="ON",P2619,IF(SUM(Q2619:DL2619)&lt;1,"",SUM(Q2619:DL2619)/COUNTIF(Q2619:DL2619,"&gt;0")))</f>
        <v>0</v>
      </c>
      <c r="P2619" s="109">
        <f>SUMIFS(Q2619:DK2619,Q$1:DK$1,Dashboard!$K$31)</f>
        <v>0</v>
      </c>
      <c r="U2619" s="95">
        <v>33</v>
      </c>
      <c r="AA2619" s="95">
        <v>25</v>
      </c>
      <c r="AH2619" s="95">
        <v>75</v>
      </c>
    </row>
    <row r="2620" spans="1:34" x14ac:dyDescent="0.3">
      <c r="A2620" s="89" t="str">
        <f>CONCATENATE(D2620,".",F2620,"-",G2620,".",H2620,"")</f>
        <v>2.4-2.1</v>
      </c>
      <c r="B2620" s="89" t="str">
        <f>IF(CONCATENATE(I2620,Key!F$2)=CONCATENATE(INDEX(Dashboard!J:J,MATCH(I2620,Dashboard!J:J,0),1),INDEX(Dashboard!J:K,MATCH(I2620,Dashboard!J:J,0),2)),"ON",IF(Dashboard!K$32="ALL","ON","-"))</f>
        <v>-</v>
      </c>
      <c r="C2620" s="88" t="s">
        <v>152</v>
      </c>
      <c r="D2620" s="89">
        <f>IF(C2620="ID",1,(IF(C2620="PR",2,(IF(C2620="DE",3,(IF(C2620="RS",4,(IF(C2620="RC",5,0)))))))))</f>
        <v>2</v>
      </c>
      <c r="E2620" s="89" t="s">
        <v>228</v>
      </c>
      <c r="F2620" s="89">
        <f>IF(E2620="AM",1,(IF(E2620="BE",2,(IF(E2620="GV",3,(IF(E2620="RA",4,(IF(E2620="RM",5,(IF(E2620="AC",1,(IF(E2620="AT",2,(IF(E2620="DS",3,(IF(E2620="IP",4,(IF(E2620="MA",5,(IF(E2620="PT",6,(IF(E2620="AE",1,(IF(E2620="CM",2,(IF(E2620="DP",3,(IF(E2620="AN",1,(IF(E2620="CO",2,(IF(E2620="IM",3,(IF(E2620="MI",4,(IF(E2620="RP",5,(IF(E2620="SC",6,0)))))))))))))))))))))))))))))))))))))))</f>
        <v>4</v>
      </c>
      <c r="G2620" s="52">
        <v>2</v>
      </c>
      <c r="H2620" s="90" t="s">
        <v>115</v>
      </c>
      <c r="I2620" s="94" t="s">
        <v>77</v>
      </c>
      <c r="J2620" s="87" t="s">
        <v>1591</v>
      </c>
      <c r="K2620" s="102" t="s">
        <v>2546</v>
      </c>
      <c r="L2620" s="117">
        <f>IF(O2620="","",N2620*O2620*M2620)</f>
        <v>0</v>
      </c>
      <c r="M2620" s="108">
        <v>1</v>
      </c>
      <c r="N2620" s="95">
        <v>1</v>
      </c>
      <c r="O2620" s="109">
        <f>IF(Key!D$1="ON",P2620,IF(SUM(Q2620:DL2620)&lt;1,"",SUM(Q2620:DL2620)/COUNTIF(Q2620:DL2620,"&gt;0")))</f>
        <v>0</v>
      </c>
      <c r="P2620" s="109">
        <f>SUMIFS(Q2620:DK2620,Q$1:DK$1,Dashboard!$K$31)</f>
        <v>0</v>
      </c>
      <c r="U2620" s="95">
        <v>33</v>
      </c>
      <c r="AA2620" s="95">
        <v>25</v>
      </c>
      <c r="AH2620" s="95">
        <v>75</v>
      </c>
    </row>
    <row r="2621" spans="1:34" x14ac:dyDescent="0.3">
      <c r="A2621" s="89" t="str">
        <f>CONCATENATE(D2621,".",F2621,"-",G2621,".",H2621,"")</f>
        <v>2.4-2.1</v>
      </c>
      <c r="B2621" s="89" t="str">
        <f>IF(CONCATENATE(I2621,Key!F$2)=CONCATENATE(INDEX(Dashboard!J:J,MATCH(I2621,Dashboard!J:J,0),1),INDEX(Dashboard!J:K,MATCH(I2621,Dashboard!J:J,0),2)),"ON",IF(Dashboard!K$32="ALL","ON","-"))</f>
        <v>-</v>
      </c>
      <c r="C2621" s="88" t="s">
        <v>152</v>
      </c>
      <c r="D2621" s="89">
        <f>IF(C2621="ID",1,(IF(C2621="PR",2,(IF(C2621="DE",3,(IF(C2621="RS",4,(IF(C2621="RC",5,0)))))))))</f>
        <v>2</v>
      </c>
      <c r="E2621" s="89" t="s">
        <v>228</v>
      </c>
      <c r="F2621" s="89">
        <f>IF(E2621="AM",1,(IF(E2621="BE",2,(IF(E2621="GV",3,(IF(E2621="RA",4,(IF(E2621="RM",5,(IF(E2621="AC",1,(IF(E2621="AT",2,(IF(E2621="DS",3,(IF(E2621="IP",4,(IF(E2621="MA",5,(IF(E2621="PT",6,(IF(E2621="AE",1,(IF(E2621="CM",2,(IF(E2621="DP",3,(IF(E2621="AN",1,(IF(E2621="CO",2,(IF(E2621="IM",3,(IF(E2621="MI",4,(IF(E2621="RP",5,(IF(E2621="SC",6,0)))))))))))))))))))))))))))))))))))))))</f>
        <v>4</v>
      </c>
      <c r="G2621" s="52">
        <v>2</v>
      </c>
      <c r="H2621" s="90" t="s">
        <v>115</v>
      </c>
      <c r="I2621" s="94" t="s">
        <v>77</v>
      </c>
      <c r="J2621" s="87" t="s">
        <v>1592</v>
      </c>
      <c r="K2621" s="102" t="s">
        <v>2547</v>
      </c>
      <c r="L2621" s="117">
        <f>IF(O2621="","",N2621*O2621*M2621)</f>
        <v>0</v>
      </c>
      <c r="M2621" s="108">
        <v>1</v>
      </c>
      <c r="N2621" s="95">
        <v>1</v>
      </c>
      <c r="O2621" s="109">
        <f>IF(Key!D$1="ON",P2621,IF(SUM(Q2621:DL2621)&lt;1,"",SUM(Q2621:DL2621)/COUNTIF(Q2621:DL2621,"&gt;0")))</f>
        <v>0</v>
      </c>
      <c r="P2621" s="109">
        <f>SUMIFS(Q2621:DK2621,Q$1:DK$1,Dashboard!$K$31)</f>
        <v>0</v>
      </c>
      <c r="U2621" s="95">
        <v>33</v>
      </c>
      <c r="AA2621" s="95">
        <v>25</v>
      </c>
      <c r="AH2621" s="95">
        <v>75</v>
      </c>
    </row>
    <row r="2622" spans="1:34" x14ac:dyDescent="0.3">
      <c r="A2622" s="89" t="str">
        <f>CONCATENATE(D2622,".",F2622,"-",G2622,".",H2622,"")</f>
        <v>2.4-2.1</v>
      </c>
      <c r="B2622" s="89" t="str">
        <f>IF(CONCATENATE(I2622,Key!F$2)=CONCATENATE(INDEX(Dashboard!J:J,MATCH(I2622,Dashboard!J:J,0),1),INDEX(Dashboard!J:K,MATCH(I2622,Dashboard!J:J,0),2)),"ON",IF(Dashboard!K$32="ALL","ON","-"))</f>
        <v>-</v>
      </c>
      <c r="C2622" s="88" t="s">
        <v>152</v>
      </c>
      <c r="D2622" s="89">
        <f>IF(C2622="ID",1,(IF(C2622="PR",2,(IF(C2622="DE",3,(IF(C2622="RS",4,(IF(C2622="RC",5,0)))))))))</f>
        <v>2</v>
      </c>
      <c r="E2622" s="89" t="s">
        <v>228</v>
      </c>
      <c r="F2622" s="89">
        <f>IF(E2622="AM",1,(IF(E2622="BE",2,(IF(E2622="GV",3,(IF(E2622="RA",4,(IF(E2622="RM",5,(IF(E2622="AC",1,(IF(E2622="AT",2,(IF(E2622="DS",3,(IF(E2622="IP",4,(IF(E2622="MA",5,(IF(E2622="PT",6,(IF(E2622="AE",1,(IF(E2622="CM",2,(IF(E2622="DP",3,(IF(E2622="AN",1,(IF(E2622="CO",2,(IF(E2622="IM",3,(IF(E2622="MI",4,(IF(E2622="RP",5,(IF(E2622="SC",6,0)))))))))))))))))))))))))))))))))))))))</f>
        <v>4</v>
      </c>
      <c r="G2622" s="52">
        <v>2</v>
      </c>
      <c r="H2622" s="90" t="s">
        <v>115</v>
      </c>
      <c r="I2622" s="94" t="s">
        <v>77</v>
      </c>
      <c r="J2622" s="87" t="s">
        <v>1593</v>
      </c>
      <c r="K2622" s="102" t="s">
        <v>2548</v>
      </c>
      <c r="L2622" s="117">
        <f>IF(O2622="","",N2622*O2622*M2622)</f>
        <v>0</v>
      </c>
      <c r="M2622" s="108">
        <v>1</v>
      </c>
      <c r="N2622" s="95">
        <v>1</v>
      </c>
      <c r="O2622" s="109">
        <f>IF(Key!D$1="ON",P2622,IF(SUM(Q2622:DL2622)&lt;1,"",SUM(Q2622:DL2622)/COUNTIF(Q2622:DL2622,"&gt;0")))</f>
        <v>0</v>
      </c>
      <c r="P2622" s="109">
        <f>SUMIFS(Q2622:DK2622,Q$1:DK$1,Dashboard!$K$31)</f>
        <v>0</v>
      </c>
      <c r="U2622" s="95">
        <v>33</v>
      </c>
      <c r="AA2622" s="95">
        <v>25</v>
      </c>
      <c r="AH2622" s="95">
        <v>75</v>
      </c>
    </row>
    <row r="2623" spans="1:34" x14ac:dyDescent="0.3">
      <c r="A2623" s="89" t="str">
        <f>CONCATENATE(D2623,".",F2623,"-",G2623,".",H2623,"")</f>
        <v>2.4-2.1</v>
      </c>
      <c r="B2623" s="89" t="str">
        <f>IF(CONCATENATE(I2623,Key!F$2)=CONCATENATE(INDEX(Dashboard!J:J,MATCH(I2623,Dashboard!J:J,0),1),INDEX(Dashboard!J:K,MATCH(I2623,Dashboard!J:J,0),2)),"ON",IF(Dashboard!K$32="ALL","ON","-"))</f>
        <v>-</v>
      </c>
      <c r="C2623" s="88" t="s">
        <v>152</v>
      </c>
      <c r="D2623" s="89">
        <f>IF(C2623="ID",1,(IF(C2623="PR",2,(IF(C2623="DE",3,(IF(C2623="RS",4,(IF(C2623="RC",5,0)))))))))</f>
        <v>2</v>
      </c>
      <c r="E2623" s="89" t="s">
        <v>228</v>
      </c>
      <c r="F2623" s="89">
        <f>IF(E2623="AM",1,(IF(E2623="BE",2,(IF(E2623="GV",3,(IF(E2623="RA",4,(IF(E2623="RM",5,(IF(E2623="AC",1,(IF(E2623="AT",2,(IF(E2623="DS",3,(IF(E2623="IP",4,(IF(E2623="MA",5,(IF(E2623="PT",6,(IF(E2623="AE",1,(IF(E2623="CM",2,(IF(E2623="DP",3,(IF(E2623="AN",1,(IF(E2623="CO",2,(IF(E2623="IM",3,(IF(E2623="MI",4,(IF(E2623="RP",5,(IF(E2623="SC",6,0)))))))))))))))))))))))))))))))))))))))</f>
        <v>4</v>
      </c>
      <c r="G2623" s="52">
        <v>2</v>
      </c>
      <c r="H2623" s="90" t="s">
        <v>115</v>
      </c>
      <c r="I2623" s="94" t="s">
        <v>77</v>
      </c>
      <c r="J2623" s="87" t="s">
        <v>1594</v>
      </c>
      <c r="K2623" s="102" t="s">
        <v>2549</v>
      </c>
      <c r="L2623" s="117">
        <f>IF(O2623="","",N2623*O2623*M2623)</f>
        <v>0</v>
      </c>
      <c r="M2623" s="108">
        <v>1</v>
      </c>
      <c r="N2623" s="95">
        <v>1</v>
      </c>
      <c r="O2623" s="109">
        <f>IF(Key!D$1="ON",P2623,IF(SUM(Q2623:DL2623)&lt;1,"",SUM(Q2623:DL2623)/COUNTIF(Q2623:DL2623,"&gt;0")))</f>
        <v>0</v>
      </c>
      <c r="P2623" s="109">
        <f>SUMIFS(Q2623:DK2623,Q$1:DK$1,Dashboard!$K$31)</f>
        <v>0</v>
      </c>
      <c r="U2623" s="95">
        <v>33</v>
      </c>
      <c r="AA2623" s="95">
        <v>25</v>
      </c>
      <c r="AH2623" s="95">
        <v>75</v>
      </c>
    </row>
    <row r="2624" spans="1:34" x14ac:dyDescent="0.3">
      <c r="A2624" s="89" t="str">
        <f>CONCATENATE(D2624,".",F2624,"-",G2624,".",H2624,"")</f>
        <v>2.4-2.1</v>
      </c>
      <c r="B2624" s="89" t="str">
        <f>IF(CONCATENATE(I2624,Key!F$2)=CONCATENATE(INDEX(Dashboard!J:J,MATCH(I2624,Dashboard!J:J,0),1),INDEX(Dashboard!J:K,MATCH(I2624,Dashboard!J:J,0),2)),"ON",IF(Dashboard!K$32="ALL","ON","-"))</f>
        <v>-</v>
      </c>
      <c r="C2624" s="88" t="s">
        <v>152</v>
      </c>
      <c r="D2624" s="89">
        <f>IF(C2624="ID",1,(IF(C2624="PR",2,(IF(C2624="DE",3,(IF(C2624="RS",4,(IF(C2624="RC",5,0)))))))))</f>
        <v>2</v>
      </c>
      <c r="E2624" s="89" t="s">
        <v>228</v>
      </c>
      <c r="F2624" s="89">
        <f>IF(E2624="AM",1,(IF(E2624="BE",2,(IF(E2624="GV",3,(IF(E2624="RA",4,(IF(E2624="RM",5,(IF(E2624="AC",1,(IF(E2624="AT",2,(IF(E2624="DS",3,(IF(E2624="IP",4,(IF(E2624="MA",5,(IF(E2624="PT",6,(IF(E2624="AE",1,(IF(E2624="CM",2,(IF(E2624="DP",3,(IF(E2624="AN",1,(IF(E2624="CO",2,(IF(E2624="IM",3,(IF(E2624="MI",4,(IF(E2624="RP",5,(IF(E2624="SC",6,0)))))))))))))))))))))))))))))))))))))))</f>
        <v>4</v>
      </c>
      <c r="G2624" s="52">
        <v>2</v>
      </c>
      <c r="H2624" s="90" t="s">
        <v>115</v>
      </c>
      <c r="I2624" s="94" t="s">
        <v>77</v>
      </c>
      <c r="J2624" s="87" t="s">
        <v>1595</v>
      </c>
      <c r="K2624" s="102" t="s">
        <v>2550</v>
      </c>
      <c r="L2624" s="117">
        <f>IF(O2624="","",N2624*O2624*M2624)</f>
        <v>0</v>
      </c>
      <c r="M2624" s="108">
        <v>1</v>
      </c>
      <c r="N2624" s="95">
        <v>1</v>
      </c>
      <c r="O2624" s="109">
        <f>IF(Key!D$1="ON",P2624,IF(SUM(Q2624:DL2624)&lt;1,"",SUM(Q2624:DL2624)/COUNTIF(Q2624:DL2624,"&gt;0")))</f>
        <v>0</v>
      </c>
      <c r="P2624" s="109">
        <f>SUMIFS(Q2624:DK2624,Q$1:DK$1,Dashboard!$K$31)</f>
        <v>0</v>
      </c>
      <c r="U2624" s="95">
        <v>33</v>
      </c>
      <c r="AA2624" s="95">
        <v>25</v>
      </c>
      <c r="AH2624" s="95">
        <v>75</v>
      </c>
    </row>
    <row r="2625" spans="1:34" x14ac:dyDescent="0.3">
      <c r="A2625" s="89" t="str">
        <f>CONCATENATE(D2625,".",F2625,"-",G2625,".",H2625,"")</f>
        <v>2.4-2.1</v>
      </c>
      <c r="B2625" s="89" t="str">
        <f>IF(CONCATENATE(I2625,Key!F$2)=CONCATENATE(INDEX(Dashboard!J:J,MATCH(I2625,Dashboard!J:J,0),1),INDEX(Dashboard!J:K,MATCH(I2625,Dashboard!J:J,0),2)),"ON",IF(Dashboard!K$32="ALL","ON","-"))</f>
        <v>-</v>
      </c>
      <c r="C2625" s="88" t="s">
        <v>152</v>
      </c>
      <c r="D2625" s="89">
        <f>IF(C2625="ID",1,(IF(C2625="PR",2,(IF(C2625="DE",3,(IF(C2625="RS",4,(IF(C2625="RC",5,0)))))))))</f>
        <v>2</v>
      </c>
      <c r="E2625" s="89" t="s">
        <v>228</v>
      </c>
      <c r="F2625" s="89">
        <f>IF(E2625="AM",1,(IF(E2625="BE",2,(IF(E2625="GV",3,(IF(E2625="RA",4,(IF(E2625="RM",5,(IF(E2625="AC",1,(IF(E2625="AT",2,(IF(E2625="DS",3,(IF(E2625="IP",4,(IF(E2625="MA",5,(IF(E2625="PT",6,(IF(E2625="AE",1,(IF(E2625="CM",2,(IF(E2625="DP",3,(IF(E2625="AN",1,(IF(E2625="CO",2,(IF(E2625="IM",3,(IF(E2625="MI",4,(IF(E2625="RP",5,(IF(E2625="SC",6,0)))))))))))))))))))))))))))))))))))))))</f>
        <v>4</v>
      </c>
      <c r="G2625" s="52">
        <v>2</v>
      </c>
      <c r="H2625" s="90" t="s">
        <v>115</v>
      </c>
      <c r="I2625" s="94" t="s">
        <v>77</v>
      </c>
      <c r="J2625" s="87" t="s">
        <v>1596</v>
      </c>
      <c r="K2625" s="102" t="s">
        <v>2551</v>
      </c>
      <c r="L2625" s="117">
        <f>IF(O2625="","",N2625*O2625*M2625)</f>
        <v>0</v>
      </c>
      <c r="M2625" s="108">
        <v>1</v>
      </c>
      <c r="N2625" s="95">
        <v>1</v>
      </c>
      <c r="O2625" s="109">
        <f>IF(Key!D$1="ON",P2625,IF(SUM(Q2625:DL2625)&lt;1,"",SUM(Q2625:DL2625)/COUNTIF(Q2625:DL2625,"&gt;0")))</f>
        <v>0</v>
      </c>
      <c r="P2625" s="109">
        <f>SUMIFS(Q2625:DK2625,Q$1:DK$1,Dashboard!$K$31)</f>
        <v>0</v>
      </c>
      <c r="U2625" s="95">
        <v>33</v>
      </c>
      <c r="AA2625" s="95">
        <v>25</v>
      </c>
      <c r="AH2625" s="95">
        <v>75</v>
      </c>
    </row>
    <row r="2626" spans="1:34" x14ac:dyDescent="0.3">
      <c r="A2626" s="89" t="str">
        <f>CONCATENATE(D2626,".",F2626,"-",G2626,".",H2626,"")</f>
        <v>2.4-2.1</v>
      </c>
      <c r="B2626" s="89" t="str">
        <f>IF(CONCATENATE(I2626,Key!F$2)=CONCATENATE(INDEX(Dashboard!J:J,MATCH(I2626,Dashboard!J:J,0),1),INDEX(Dashboard!J:K,MATCH(I2626,Dashboard!J:J,0),2)),"ON",IF(Dashboard!K$32="ALL","ON","-"))</f>
        <v>-</v>
      </c>
      <c r="C2626" s="88" t="s">
        <v>152</v>
      </c>
      <c r="D2626" s="89">
        <f>IF(C2626="ID",1,(IF(C2626="PR",2,(IF(C2626="DE",3,(IF(C2626="RS",4,(IF(C2626="RC",5,0)))))))))</f>
        <v>2</v>
      </c>
      <c r="E2626" s="89" t="s">
        <v>228</v>
      </c>
      <c r="F2626" s="89">
        <f>IF(E2626="AM",1,(IF(E2626="BE",2,(IF(E2626="GV",3,(IF(E2626="RA",4,(IF(E2626="RM",5,(IF(E2626="AC",1,(IF(E2626="AT",2,(IF(E2626="DS",3,(IF(E2626="IP",4,(IF(E2626="MA",5,(IF(E2626="PT",6,(IF(E2626="AE",1,(IF(E2626="CM",2,(IF(E2626="DP",3,(IF(E2626="AN",1,(IF(E2626="CO",2,(IF(E2626="IM",3,(IF(E2626="MI",4,(IF(E2626="RP",5,(IF(E2626="SC",6,0)))))))))))))))))))))))))))))))))))))))</f>
        <v>4</v>
      </c>
      <c r="G2626" s="52">
        <v>2</v>
      </c>
      <c r="H2626" s="90" t="s">
        <v>115</v>
      </c>
      <c r="I2626" s="94" t="s">
        <v>77</v>
      </c>
      <c r="J2626" s="87" t="s">
        <v>1597</v>
      </c>
      <c r="K2626" s="102" t="s">
        <v>2552</v>
      </c>
      <c r="L2626" s="117">
        <f>IF(O2626="","",N2626*O2626*M2626)</f>
        <v>0</v>
      </c>
      <c r="M2626" s="108">
        <v>1</v>
      </c>
      <c r="N2626" s="95">
        <v>1</v>
      </c>
      <c r="O2626" s="109">
        <f>IF(Key!D$1="ON",P2626,IF(SUM(Q2626:DL2626)&lt;1,"",SUM(Q2626:DL2626)/COUNTIF(Q2626:DL2626,"&gt;0")))</f>
        <v>0</v>
      </c>
      <c r="P2626" s="109">
        <f>SUMIFS(Q2626:DK2626,Q$1:DK$1,Dashboard!$K$31)</f>
        <v>0</v>
      </c>
      <c r="U2626" s="95">
        <v>33</v>
      </c>
      <c r="AA2626" s="95">
        <v>25</v>
      </c>
      <c r="AH2626" s="95">
        <v>75</v>
      </c>
    </row>
    <row r="2627" spans="1:34" x14ac:dyDescent="0.3">
      <c r="A2627" s="89" t="str">
        <f>CONCATENATE(D2627,".",F2627,"-",G2627,".",H2627,"")</f>
        <v>2.4-2.1</v>
      </c>
      <c r="B2627" s="89" t="str">
        <f>IF(CONCATENATE(I2627,Key!F$2)=CONCATENATE(INDEX(Dashboard!J:J,MATCH(I2627,Dashboard!J:J,0),1),INDEX(Dashboard!J:K,MATCH(I2627,Dashboard!J:J,0),2)),"ON",IF(Dashboard!K$32="ALL","ON","-"))</f>
        <v>-</v>
      </c>
      <c r="C2627" s="96" t="s">
        <v>152</v>
      </c>
      <c r="D2627" s="89">
        <f>IF(C2627="ID",1,(IF(C2627="PR",2,(IF(C2627="DE",3,(IF(C2627="RS",4,(IF(C2627="RC",5,0)))))))))</f>
        <v>2</v>
      </c>
      <c r="E2627" s="89" t="s">
        <v>228</v>
      </c>
      <c r="F2627" s="89">
        <f>IF(E2627="AM",1,(IF(E2627="BE",2,(IF(E2627="GV",3,(IF(E2627="RA",4,(IF(E2627="RM",5,(IF(E2627="AC",1,(IF(E2627="AT",2,(IF(E2627="DS",3,(IF(E2627="IP",4,(IF(E2627="MA",5,(IF(E2627="PT",6,(IF(E2627="AE",1,(IF(E2627="CM",2,(IF(E2627="DP",3,(IF(E2627="AN",1,(IF(E2627="CO",2,(IF(E2627="IM",3,(IF(E2627="MI",4,(IF(E2627="RP",5,(IF(E2627="SC",6,0)))))))))))))))))))))))))))))))))))))))</f>
        <v>4</v>
      </c>
      <c r="G2627" s="98">
        <v>2</v>
      </c>
      <c r="H2627" s="90" t="s">
        <v>115</v>
      </c>
      <c r="I2627" s="94" t="s">
        <v>77</v>
      </c>
      <c r="J2627" s="87" t="s">
        <v>1598</v>
      </c>
      <c r="K2627" s="102" t="s">
        <v>2553</v>
      </c>
      <c r="L2627" s="117">
        <f>IF(O2627="","",N2627*O2627*M2627)</f>
        <v>0</v>
      </c>
      <c r="M2627" s="108">
        <v>1</v>
      </c>
      <c r="N2627" s="95">
        <v>1</v>
      </c>
      <c r="O2627" s="109">
        <f>IF(Key!D$1="ON",P2627,IF(SUM(Q2627:DL2627)&lt;1,"",SUM(Q2627:DL2627)/COUNTIF(Q2627:DL2627,"&gt;0")))</f>
        <v>0</v>
      </c>
      <c r="P2627" s="109">
        <f>SUMIFS(Q2627:DK2627,Q$1:DK$1,Dashboard!$K$31)</f>
        <v>0</v>
      </c>
      <c r="U2627" s="95">
        <v>33</v>
      </c>
      <c r="AA2627" s="95">
        <v>25</v>
      </c>
      <c r="AH2627" s="95">
        <v>75</v>
      </c>
    </row>
    <row r="2628" spans="1:34" x14ac:dyDescent="0.3">
      <c r="A2628" s="89" t="str">
        <f>CONCATENATE(D2628,".",F2628,"-",G2628,".",H2628,"")</f>
        <v>2.4-2.1</v>
      </c>
      <c r="B2628" s="89" t="str">
        <f>IF(CONCATENATE(I2628,Key!F$2)=CONCATENATE(INDEX(Dashboard!J:J,MATCH(I2628,Dashboard!J:J,0),1),INDEX(Dashboard!J:K,MATCH(I2628,Dashboard!J:J,0),2)),"ON",IF(Dashboard!K$32="ALL","ON","-"))</f>
        <v>-</v>
      </c>
      <c r="C2628" s="88" t="s">
        <v>152</v>
      </c>
      <c r="D2628" s="89">
        <f>IF(C2628="ID",1,(IF(C2628="PR",2,(IF(C2628="DE",3,(IF(C2628="RS",4,(IF(C2628="RC",5,0)))))))))</f>
        <v>2</v>
      </c>
      <c r="E2628" s="89" t="s">
        <v>228</v>
      </c>
      <c r="F2628" s="89">
        <f>IF(E2628="AM",1,(IF(E2628="BE",2,(IF(E2628="GV",3,(IF(E2628="RA",4,(IF(E2628="RM",5,(IF(E2628="AC",1,(IF(E2628="AT",2,(IF(E2628="DS",3,(IF(E2628="IP",4,(IF(E2628="MA",5,(IF(E2628="PT",6,(IF(E2628="AE",1,(IF(E2628="CM",2,(IF(E2628="DP",3,(IF(E2628="AN",1,(IF(E2628="CO",2,(IF(E2628="IM",3,(IF(E2628="MI",4,(IF(E2628="RP",5,(IF(E2628="SC",6,0)))))))))))))))))))))))))))))))))))))))</f>
        <v>4</v>
      </c>
      <c r="G2628" s="98">
        <v>2</v>
      </c>
      <c r="H2628" s="90" t="s">
        <v>115</v>
      </c>
      <c r="I2628" s="94" t="s">
        <v>81</v>
      </c>
      <c r="J2628" s="129" t="s">
        <v>1964</v>
      </c>
      <c r="K2628" s="103" t="s">
        <v>1965</v>
      </c>
      <c r="L2628" s="117">
        <f>IF(O2628="","",N2628*O2628*M2628)</f>
        <v>0</v>
      </c>
      <c r="M2628" s="108">
        <v>1</v>
      </c>
      <c r="N2628" s="95">
        <v>1</v>
      </c>
      <c r="O2628" s="109">
        <f>IF(Key!D$1="ON",P2628,IF(SUM(Q2628:DL2628)&lt;1,"",SUM(Q2628:DL2628)/COUNTIF(Q2628:DL2628,"&gt;0")))</f>
        <v>0</v>
      </c>
      <c r="P2628" s="109">
        <f>SUMIFS(Q2628:DK2628,Q$1:DK$1,Dashboard!$K$31)</f>
        <v>0</v>
      </c>
      <c r="U2628" s="95">
        <v>33</v>
      </c>
      <c r="AA2628" s="95">
        <v>25</v>
      </c>
      <c r="AH2628" s="95">
        <v>75</v>
      </c>
    </row>
    <row r="2629" spans="1:34" x14ac:dyDescent="0.3">
      <c r="A2629" s="89" t="str">
        <f>CONCATENATE(D2629,".",F2629,"-",G2629,".",H2629,"")</f>
        <v>2.4-2.1</v>
      </c>
      <c r="B2629" s="89" t="str">
        <f>IF(CONCATENATE(I2629,Key!F$2)=CONCATENATE(INDEX(Dashboard!J:J,MATCH(I2629,Dashboard!J:J,0),1),INDEX(Dashboard!J:K,MATCH(I2629,Dashboard!J:J,0),2)),"ON",IF(Dashboard!K$32="ALL","ON","-"))</f>
        <v>-</v>
      </c>
      <c r="C2629" s="88" t="s">
        <v>152</v>
      </c>
      <c r="D2629" s="89">
        <f>IF(C2629="ID",1,(IF(C2629="PR",2,(IF(C2629="DE",3,(IF(C2629="RS",4,(IF(C2629="RC",5,0)))))))))</f>
        <v>2</v>
      </c>
      <c r="E2629" s="89" t="s">
        <v>228</v>
      </c>
      <c r="F2629" s="89">
        <f>IF(E2629="AM",1,(IF(E2629="BE",2,(IF(E2629="GV",3,(IF(E2629="RA",4,(IF(E2629="RM",5,(IF(E2629="AC",1,(IF(E2629="AT",2,(IF(E2629="DS",3,(IF(E2629="IP",4,(IF(E2629="MA",5,(IF(E2629="PT",6,(IF(E2629="AE",1,(IF(E2629="CM",2,(IF(E2629="DP",3,(IF(E2629="AN",1,(IF(E2629="CO",2,(IF(E2629="IM",3,(IF(E2629="MI",4,(IF(E2629="RP",5,(IF(E2629="SC",6,0)))))))))))))))))))))))))))))))))))))))</f>
        <v>4</v>
      </c>
      <c r="G2629" s="52">
        <v>2</v>
      </c>
      <c r="H2629" s="89">
        <v>1</v>
      </c>
      <c r="I2629" s="94" t="s">
        <v>85</v>
      </c>
      <c r="J2629" s="135" t="s">
        <v>716</v>
      </c>
      <c r="K2629" s="143" t="s">
        <v>717</v>
      </c>
      <c r="L2629" s="117">
        <f>IF(O2629="","",N2629*O2629*M2629)</f>
        <v>0</v>
      </c>
      <c r="M2629" s="108">
        <v>1</v>
      </c>
      <c r="N2629" s="95">
        <v>1</v>
      </c>
      <c r="O2629" s="109">
        <f>IF(Key!D$1="ON",P2629,IF(SUM(Q2629:DL2629)&lt;1,"",SUM(Q2629:DL2629)/COUNTIF(Q2629:DL2629,"&gt;0")))</f>
        <v>0</v>
      </c>
      <c r="P2629" s="109">
        <f>SUMIFS(Q2629:DK2629,Q$1:DK$1,Dashboard!$K$31)</f>
        <v>0</v>
      </c>
      <c r="U2629" s="95">
        <v>33</v>
      </c>
      <c r="AA2629" s="95">
        <v>25</v>
      </c>
      <c r="AH2629" s="95">
        <v>75</v>
      </c>
    </row>
    <row r="2630" spans="1:34" x14ac:dyDescent="0.3">
      <c r="A2630" s="89" t="str">
        <f>CONCATENATE(D2630,".",F2630,"-",G2630,".",H2630,"")</f>
        <v>2.4-2.1</v>
      </c>
      <c r="B2630" s="89" t="str">
        <f>IF(CONCATENATE(I2630,Key!F$2)=CONCATENATE(INDEX(Dashboard!J:J,MATCH(I2630,Dashboard!J:J,0),1),INDEX(Dashboard!J:K,MATCH(I2630,Dashboard!J:J,0),2)),"ON",IF(Dashboard!K$32="ALL","ON","-"))</f>
        <v>-</v>
      </c>
      <c r="C2630" s="88" t="s">
        <v>152</v>
      </c>
      <c r="D2630" s="89">
        <f>IF(C2630="ID",1,(IF(C2630="PR",2,(IF(C2630="DE",3,(IF(C2630="RS",4,(IF(C2630="RC",5,0)))))))))</f>
        <v>2</v>
      </c>
      <c r="E2630" s="89" t="s">
        <v>228</v>
      </c>
      <c r="F2630" s="89">
        <f>IF(E2630="AM",1,(IF(E2630="BE",2,(IF(E2630="GV",3,(IF(E2630="RA",4,(IF(E2630="RM",5,(IF(E2630="AC",1,(IF(E2630="AT",2,(IF(E2630="DS",3,(IF(E2630="IP",4,(IF(E2630="MA",5,(IF(E2630="PT",6,(IF(E2630="AE",1,(IF(E2630="CM",2,(IF(E2630="DP",3,(IF(E2630="AN",1,(IF(E2630="CO",2,(IF(E2630="IM",3,(IF(E2630="MI",4,(IF(E2630="RP",5,(IF(E2630="SC",6,0)))))))))))))))))))))))))))))))))))))))</f>
        <v>4</v>
      </c>
      <c r="G2630" s="52">
        <v>2</v>
      </c>
      <c r="H2630" s="89">
        <v>1</v>
      </c>
      <c r="I2630" s="94" t="s">
        <v>85</v>
      </c>
      <c r="J2630" s="135" t="s">
        <v>718</v>
      </c>
      <c r="K2630" s="143" t="s">
        <v>719</v>
      </c>
      <c r="L2630" s="117">
        <f>IF(O2630="","",N2630*O2630*M2630)</f>
        <v>0</v>
      </c>
      <c r="M2630" s="108">
        <v>1</v>
      </c>
      <c r="N2630" s="95">
        <v>1</v>
      </c>
      <c r="O2630" s="109">
        <f>IF(Key!D$1="ON",P2630,IF(SUM(Q2630:DL2630)&lt;1,"",SUM(Q2630:DL2630)/COUNTIF(Q2630:DL2630,"&gt;0")))</f>
        <v>0</v>
      </c>
      <c r="P2630" s="109">
        <f>SUMIFS(Q2630:DK2630,Q$1:DK$1,Dashboard!$K$31)</f>
        <v>0</v>
      </c>
      <c r="U2630" s="95">
        <v>33</v>
      </c>
      <c r="AA2630" s="95">
        <v>25</v>
      </c>
      <c r="AH2630" s="95">
        <v>75</v>
      </c>
    </row>
    <row r="2631" spans="1:34" x14ac:dyDescent="0.3">
      <c r="A2631" s="89" t="str">
        <f>CONCATENATE(D2631,".",F2631,"-",G2631,".",H2631,"")</f>
        <v>2.4-2.1</v>
      </c>
      <c r="B2631" s="89" t="str">
        <f>IF(CONCATENATE(I2631,Key!F$2)=CONCATENATE(INDEX(Dashboard!J:J,MATCH(I2631,Dashboard!J:J,0),1),INDEX(Dashboard!J:K,MATCH(I2631,Dashboard!J:J,0),2)),"ON",IF(Dashboard!K$32="ALL","ON","-"))</f>
        <v>-</v>
      </c>
      <c r="C2631" s="88" t="s">
        <v>152</v>
      </c>
      <c r="D2631" s="89">
        <f>IF(C2631="ID",1,(IF(C2631="PR",2,(IF(C2631="DE",3,(IF(C2631="RS",4,(IF(C2631="RC",5,0)))))))))</f>
        <v>2</v>
      </c>
      <c r="E2631" s="89" t="s">
        <v>228</v>
      </c>
      <c r="F2631" s="89">
        <f>IF(E2631="AM",1,(IF(E2631="BE",2,(IF(E2631="GV",3,(IF(E2631="RA",4,(IF(E2631="RM",5,(IF(E2631="AC",1,(IF(E2631="AT",2,(IF(E2631="DS",3,(IF(E2631="IP",4,(IF(E2631="MA",5,(IF(E2631="PT",6,(IF(E2631="AE",1,(IF(E2631="CM",2,(IF(E2631="DP",3,(IF(E2631="AN",1,(IF(E2631="CO",2,(IF(E2631="IM",3,(IF(E2631="MI",4,(IF(E2631="RP",5,(IF(E2631="SC",6,0)))))))))))))))))))))))))))))))))))))))</f>
        <v>4</v>
      </c>
      <c r="G2631" s="52">
        <v>2</v>
      </c>
      <c r="H2631" s="90" t="s">
        <v>115</v>
      </c>
      <c r="I2631" s="94" t="s">
        <v>85</v>
      </c>
      <c r="J2631" s="135" t="s">
        <v>853</v>
      </c>
      <c r="K2631" s="143" t="s">
        <v>4607</v>
      </c>
      <c r="L2631" s="117">
        <f>IF(O2631="","",N2631*O2631*M2631)</f>
        <v>0</v>
      </c>
      <c r="M2631" s="108">
        <v>1</v>
      </c>
      <c r="N2631" s="95">
        <v>1</v>
      </c>
      <c r="O2631" s="109">
        <f>IF(Key!D$1="ON",P2631,IF(SUM(Q2631:DL2631)&lt;1,"",SUM(Q2631:DL2631)/COUNTIF(Q2631:DL2631,"&gt;0")))</f>
        <v>0</v>
      </c>
      <c r="P2631" s="109">
        <f>SUMIFS(Q2631:DK2631,Q$1:DK$1,Dashboard!$K$31)</f>
        <v>0</v>
      </c>
      <c r="U2631" s="95">
        <v>33</v>
      </c>
      <c r="AA2631" s="95">
        <v>25</v>
      </c>
      <c r="AH2631" s="95">
        <v>75</v>
      </c>
    </row>
    <row r="2632" spans="1:34" x14ac:dyDescent="0.3">
      <c r="A2632" s="89" t="str">
        <f>CONCATENATE(D2632,".",F2632,"-",G2632,".",H2632,"")</f>
        <v>2.4-2.1</v>
      </c>
      <c r="B2632" s="89" t="str">
        <f>IF(CONCATENATE(I2632,Key!F$2)=CONCATENATE(INDEX(Dashboard!J:J,MATCH(I2632,Dashboard!J:J,0),1),INDEX(Dashboard!J:K,MATCH(I2632,Dashboard!J:J,0),2)),"ON",IF(Dashboard!K$32="ALL","ON","-"))</f>
        <v>-</v>
      </c>
      <c r="C2632" s="96" t="s">
        <v>152</v>
      </c>
      <c r="D2632" s="89">
        <f>IF(C2632="ID",1,(IF(C2632="PR",2,(IF(C2632="DE",3,(IF(C2632="RS",4,(IF(C2632="RC",5,0)))))))))</f>
        <v>2</v>
      </c>
      <c r="E2632" s="89" t="s">
        <v>228</v>
      </c>
      <c r="F2632" s="89">
        <f>IF(E2632="AM",1,(IF(E2632="BE",2,(IF(E2632="GV",3,(IF(E2632="RA",4,(IF(E2632="RM",5,(IF(E2632="AC",1,(IF(E2632="AT",2,(IF(E2632="DS",3,(IF(E2632="IP",4,(IF(E2632="MA",5,(IF(E2632="PT",6,(IF(E2632="AE",1,(IF(E2632="CM",2,(IF(E2632="DP",3,(IF(E2632="AN",1,(IF(E2632="CO",2,(IF(E2632="IM",3,(IF(E2632="MI",4,(IF(E2632="RP",5,(IF(E2632="SC",6,0)))))))))))))))))))))))))))))))))))))))</f>
        <v>4</v>
      </c>
      <c r="G2632" s="98">
        <v>2</v>
      </c>
      <c r="H2632" s="90" t="s">
        <v>115</v>
      </c>
      <c r="I2632" s="94" t="s">
        <v>85</v>
      </c>
      <c r="J2632" s="87" t="s">
        <v>1587</v>
      </c>
      <c r="K2632" s="119" t="s">
        <v>1588</v>
      </c>
      <c r="L2632" s="117">
        <f>IF(O2632="","",N2632*O2632*M2632)</f>
        <v>0</v>
      </c>
      <c r="M2632" s="108">
        <v>1</v>
      </c>
      <c r="N2632" s="95">
        <v>1</v>
      </c>
      <c r="O2632" s="109">
        <f>IF(Key!D$1="ON",P2632,IF(SUM(Q2632:DL2632)&lt;1,"",SUM(Q2632:DL2632)/COUNTIF(Q2632:DL2632,"&gt;0")))</f>
        <v>0</v>
      </c>
      <c r="P2632" s="109">
        <f>SUMIFS(Q2632:DK2632,Q$1:DK$1,Dashboard!$K$31)</f>
        <v>0</v>
      </c>
      <c r="U2632" s="95">
        <v>33</v>
      </c>
      <c r="AA2632" s="95">
        <v>25</v>
      </c>
      <c r="AH2632" s="95">
        <v>75</v>
      </c>
    </row>
    <row r="2633" spans="1:34" x14ac:dyDescent="0.3">
      <c r="A2633" s="89" t="str">
        <f>CONCATENATE(D2633,".",F2633,"-",G2633,".",H2633,"")</f>
        <v>2.4-2.1</v>
      </c>
      <c r="B2633" s="89" t="str">
        <f>IF(CONCATENATE(I2633,Key!F$2)=CONCATENATE(INDEX(Dashboard!J:J,MATCH(I2633,Dashboard!J:J,0),1),INDEX(Dashboard!J:K,MATCH(I2633,Dashboard!J:J,0),2)),"ON",IF(Dashboard!K$32="ALL","ON","-"))</f>
        <v>-</v>
      </c>
      <c r="C2633" s="88" t="s">
        <v>152</v>
      </c>
      <c r="D2633" s="89">
        <f>IF(C2633="ID",1,(IF(C2633="PR",2,(IF(C2633="DE",3,(IF(C2633="RS",4,(IF(C2633="RC",5,0)))))))))</f>
        <v>2</v>
      </c>
      <c r="E2633" s="89" t="s">
        <v>228</v>
      </c>
      <c r="F2633" s="89">
        <f>IF(E2633="AM",1,(IF(E2633="BE",2,(IF(E2633="GV",3,(IF(E2633="RA",4,(IF(E2633="RM",5,(IF(E2633="AC",1,(IF(E2633="AT",2,(IF(E2633="DS",3,(IF(E2633="IP",4,(IF(E2633="MA",5,(IF(E2633="PT",6,(IF(E2633="AE",1,(IF(E2633="CM",2,(IF(E2633="DP",3,(IF(E2633="AN",1,(IF(E2633="CO",2,(IF(E2633="IM",3,(IF(E2633="MI",4,(IF(E2633="RP",5,(IF(E2633="SC",6,0)))))))))))))))))))))))))))))))))))))))</f>
        <v>4</v>
      </c>
      <c r="G2633" s="52">
        <v>2</v>
      </c>
      <c r="H2633" s="90" t="s">
        <v>115</v>
      </c>
      <c r="I2633" s="94" t="s">
        <v>85</v>
      </c>
      <c r="J2633" s="87" t="s">
        <v>1564</v>
      </c>
      <c r="K2633" s="119" t="s">
        <v>4985</v>
      </c>
      <c r="L2633" s="117">
        <f>IF(O2633="","",N2633*O2633*M2633)</f>
        <v>0</v>
      </c>
      <c r="M2633" s="108">
        <v>1</v>
      </c>
      <c r="N2633" s="95">
        <v>1</v>
      </c>
      <c r="O2633" s="109">
        <f>IF(Key!D$1="ON",P2633,IF(SUM(Q2633:DL2633)&lt;1,"",SUM(Q2633:DL2633)/COUNTIF(Q2633:DL2633,"&gt;0")))</f>
        <v>0</v>
      </c>
      <c r="P2633" s="109">
        <f>SUMIFS(Q2633:DK2633,Q$1:DK$1,Dashboard!$K$31)</f>
        <v>0</v>
      </c>
      <c r="U2633" s="95">
        <v>33</v>
      </c>
      <c r="AA2633" s="95">
        <v>25</v>
      </c>
      <c r="AH2633" s="95">
        <v>75</v>
      </c>
    </row>
    <row r="2634" spans="1:34" x14ac:dyDescent="0.3">
      <c r="A2634" s="89" t="str">
        <f>CONCATENATE(D2634,".",F2634,"-",G2634,".",H2634,"")</f>
        <v>2.4-2.1</v>
      </c>
      <c r="B2634" s="89" t="str">
        <f>IF(CONCATENATE(I2634,Key!F$2)=CONCATENATE(INDEX(Dashboard!J:J,MATCH(I2634,Dashboard!J:J,0),1),INDEX(Dashboard!J:K,MATCH(I2634,Dashboard!J:J,0),2)),"ON",IF(Dashboard!K$32="ALL","ON","-"))</f>
        <v>-</v>
      </c>
      <c r="C2634" s="88" t="s">
        <v>152</v>
      </c>
      <c r="D2634" s="89">
        <f>IF(C2634="ID",1,(IF(C2634="PR",2,(IF(C2634="DE",3,(IF(C2634="RS",4,(IF(C2634="RC",5,0)))))))))</f>
        <v>2</v>
      </c>
      <c r="E2634" s="89" t="s">
        <v>228</v>
      </c>
      <c r="F2634" s="89">
        <f>IF(E2634="AM",1,(IF(E2634="BE",2,(IF(E2634="GV",3,(IF(E2634="RA",4,(IF(E2634="RM",5,(IF(E2634="AC",1,(IF(E2634="AT",2,(IF(E2634="DS",3,(IF(E2634="IP",4,(IF(E2634="MA",5,(IF(E2634="PT",6,(IF(E2634="AE",1,(IF(E2634="CM",2,(IF(E2634="DP",3,(IF(E2634="AN",1,(IF(E2634="CO",2,(IF(E2634="IM",3,(IF(E2634="MI",4,(IF(E2634="RP",5,(IF(E2634="SC",6,0)))))))))))))))))))))))))))))))))))))))</f>
        <v>4</v>
      </c>
      <c r="G2634" s="52">
        <v>2</v>
      </c>
      <c r="H2634" s="90" t="s">
        <v>115</v>
      </c>
      <c r="I2634" s="94" t="s">
        <v>85</v>
      </c>
      <c r="J2634" s="87" t="s">
        <v>1568</v>
      </c>
      <c r="K2634" s="119" t="s">
        <v>4982</v>
      </c>
      <c r="L2634" s="117">
        <f>IF(O2634="","",N2634*O2634*M2634)</f>
        <v>0</v>
      </c>
      <c r="M2634" s="108">
        <v>1</v>
      </c>
      <c r="N2634" s="95">
        <v>1</v>
      </c>
      <c r="O2634" s="109">
        <f>IF(Key!D$1="ON",P2634,IF(SUM(Q2634:DL2634)&lt;1,"",SUM(Q2634:DL2634)/COUNTIF(Q2634:DL2634,"&gt;0")))</f>
        <v>0</v>
      </c>
      <c r="P2634" s="109">
        <f>SUMIFS(Q2634:DK2634,Q$1:DK$1,Dashboard!$K$31)</f>
        <v>0</v>
      </c>
      <c r="U2634" s="95">
        <v>33</v>
      </c>
      <c r="AA2634" s="95">
        <v>25</v>
      </c>
      <c r="AH2634" s="95">
        <v>75</v>
      </c>
    </row>
    <row r="2635" spans="1:34" x14ac:dyDescent="0.3">
      <c r="A2635" s="89" t="str">
        <f>CONCATENATE(D2635,".",F2635,"-",G2635,".",H2635,"")</f>
        <v>2.4-2.1</v>
      </c>
      <c r="B2635" s="89" t="str">
        <f>IF(CONCATENATE(I2635,Key!F$2)=CONCATENATE(INDEX(Dashboard!J:J,MATCH(I2635,Dashboard!J:J,0),1),INDEX(Dashboard!J:K,MATCH(I2635,Dashboard!J:J,0),2)),"ON",IF(Dashboard!K$32="ALL","ON","-"))</f>
        <v>-</v>
      </c>
      <c r="C2635" s="88" t="s">
        <v>152</v>
      </c>
      <c r="D2635" s="89">
        <f>IF(C2635="ID",1,(IF(C2635="PR",2,(IF(C2635="DE",3,(IF(C2635="RS",4,(IF(C2635="RC",5,0)))))))))</f>
        <v>2</v>
      </c>
      <c r="E2635" s="89" t="s">
        <v>228</v>
      </c>
      <c r="F2635" s="89">
        <f>IF(E2635="AM",1,(IF(E2635="BE",2,(IF(E2635="GV",3,(IF(E2635="RA",4,(IF(E2635="RM",5,(IF(E2635="AC",1,(IF(E2635="AT",2,(IF(E2635="DS",3,(IF(E2635="IP",4,(IF(E2635="MA",5,(IF(E2635="PT",6,(IF(E2635="AE",1,(IF(E2635="CM",2,(IF(E2635="DP",3,(IF(E2635="AN",1,(IF(E2635="CO",2,(IF(E2635="IM",3,(IF(E2635="MI",4,(IF(E2635="RP",5,(IF(E2635="SC",6,0)))))))))))))))))))))))))))))))))))))))</f>
        <v>4</v>
      </c>
      <c r="G2635" s="52">
        <v>2</v>
      </c>
      <c r="H2635" s="90" t="s">
        <v>115</v>
      </c>
      <c r="I2635" s="94" t="s">
        <v>85</v>
      </c>
      <c r="J2635" s="87" t="s">
        <v>1570</v>
      </c>
      <c r="K2635" s="119" t="s">
        <v>4983</v>
      </c>
      <c r="L2635" s="117">
        <f>IF(O2635="","",N2635*O2635*M2635)</f>
        <v>0</v>
      </c>
      <c r="M2635" s="108">
        <v>1</v>
      </c>
      <c r="N2635" s="95">
        <v>1</v>
      </c>
      <c r="O2635" s="109">
        <f>IF(Key!D$1="ON",P2635,IF(SUM(Q2635:DL2635)&lt;1,"",SUM(Q2635:DL2635)/COUNTIF(Q2635:DL2635,"&gt;0")))</f>
        <v>0</v>
      </c>
      <c r="P2635" s="109">
        <f>SUMIFS(Q2635:DK2635,Q$1:DK$1,Dashboard!$K$31)</f>
        <v>0</v>
      </c>
      <c r="U2635" s="95">
        <v>33</v>
      </c>
      <c r="AA2635" s="95">
        <v>25</v>
      </c>
      <c r="AH2635" s="95">
        <v>75</v>
      </c>
    </row>
    <row r="2636" spans="1:34" x14ac:dyDescent="0.3">
      <c r="A2636" s="89" t="str">
        <f>CONCATENATE(D2636,".",F2636,"-",G2636,".",H2636,"")</f>
        <v>2.4-2.1</v>
      </c>
      <c r="B2636" s="89" t="str">
        <f>IF(CONCATENATE(I2636,Key!F$2)=CONCATENATE(INDEX(Dashboard!J:J,MATCH(I2636,Dashboard!J:J,0),1),INDEX(Dashboard!J:K,MATCH(I2636,Dashboard!J:J,0),2)),"ON",IF(Dashboard!K$32="ALL","ON","-"))</f>
        <v>-</v>
      </c>
      <c r="C2636" s="88" t="s">
        <v>152</v>
      </c>
      <c r="D2636" s="89">
        <f>IF(C2636="ID",1,(IF(C2636="PR",2,(IF(C2636="DE",3,(IF(C2636="RS",4,(IF(C2636="RC",5,0)))))))))</f>
        <v>2</v>
      </c>
      <c r="E2636" s="89" t="s">
        <v>228</v>
      </c>
      <c r="F2636" s="89">
        <f>IF(E2636="AM",1,(IF(E2636="BE",2,(IF(E2636="GV",3,(IF(E2636="RA",4,(IF(E2636="RM",5,(IF(E2636="AC",1,(IF(E2636="AT",2,(IF(E2636="DS",3,(IF(E2636="IP",4,(IF(E2636="MA",5,(IF(E2636="PT",6,(IF(E2636="AE",1,(IF(E2636="CM",2,(IF(E2636="DP",3,(IF(E2636="AN",1,(IF(E2636="CO",2,(IF(E2636="IM",3,(IF(E2636="MI",4,(IF(E2636="RP",5,(IF(E2636="SC",6,0)))))))))))))))))))))))))))))))))))))))</f>
        <v>4</v>
      </c>
      <c r="G2636" s="52">
        <v>2</v>
      </c>
      <c r="H2636" s="90" t="s">
        <v>115</v>
      </c>
      <c r="I2636" s="94" t="s">
        <v>85</v>
      </c>
      <c r="J2636" s="87" t="s">
        <v>1600</v>
      </c>
      <c r="K2636" s="119" t="s">
        <v>1601</v>
      </c>
      <c r="L2636" s="117">
        <f>IF(O2636="","",N2636*O2636*M2636)</f>
        <v>0</v>
      </c>
      <c r="M2636" s="108">
        <v>1</v>
      </c>
      <c r="N2636" s="95">
        <v>1</v>
      </c>
      <c r="O2636" s="109">
        <f>IF(Key!D$1="ON",P2636,IF(SUM(Q2636:DL2636)&lt;1,"",SUM(Q2636:DL2636)/COUNTIF(Q2636:DL2636,"&gt;0")))</f>
        <v>0</v>
      </c>
      <c r="P2636" s="109">
        <f>SUMIFS(Q2636:DK2636,Q$1:DK$1,Dashboard!$K$31)</f>
        <v>0</v>
      </c>
      <c r="U2636" s="95">
        <v>33</v>
      </c>
      <c r="AA2636" s="95">
        <v>25</v>
      </c>
      <c r="AH2636" s="95">
        <v>75</v>
      </c>
    </row>
    <row r="2637" spans="1:34" x14ac:dyDescent="0.3">
      <c r="A2637" s="89" t="str">
        <f>CONCATENATE(D2637,".",F2637,"-",G2637,".",H2637,"")</f>
        <v>2.4-2.1</v>
      </c>
      <c r="B2637" s="89" t="str">
        <f>IF(CONCATENATE(I2637,Key!F$2)=CONCATENATE(INDEX(Dashboard!J:J,MATCH(I2637,Dashboard!J:J,0),1),INDEX(Dashboard!J:K,MATCH(I2637,Dashboard!J:J,0),2)),"ON",IF(Dashboard!K$32="ALL","ON","-"))</f>
        <v>-</v>
      </c>
      <c r="C2637" s="88" t="s">
        <v>152</v>
      </c>
      <c r="D2637" s="89">
        <f>IF(C2637="ID",1,(IF(C2637="PR",2,(IF(C2637="DE",3,(IF(C2637="RS",4,(IF(C2637="RC",5,0)))))))))</f>
        <v>2</v>
      </c>
      <c r="E2637" s="89" t="s">
        <v>228</v>
      </c>
      <c r="F2637" s="89">
        <f>IF(E2637="AM",1,(IF(E2637="BE",2,(IF(E2637="GV",3,(IF(E2637="RA",4,(IF(E2637="RM",5,(IF(E2637="AC",1,(IF(E2637="AT",2,(IF(E2637="DS",3,(IF(E2637="IP",4,(IF(E2637="MA",5,(IF(E2637="PT",6,(IF(E2637="AE",1,(IF(E2637="CM",2,(IF(E2637="DP",3,(IF(E2637="AN",1,(IF(E2637="CO",2,(IF(E2637="IM",3,(IF(E2637="MI",4,(IF(E2637="RP",5,(IF(E2637="SC",6,0)))))))))))))))))))))))))))))))))))))))</f>
        <v>4</v>
      </c>
      <c r="G2637" s="52">
        <v>2</v>
      </c>
      <c r="H2637" s="90" t="s">
        <v>115</v>
      </c>
      <c r="I2637" s="94" t="s">
        <v>85</v>
      </c>
      <c r="J2637" s="87" t="s">
        <v>1578</v>
      </c>
      <c r="K2637" s="119" t="s">
        <v>4992</v>
      </c>
      <c r="L2637" s="117">
        <f>IF(O2637="","",N2637*O2637*M2637)</f>
        <v>0</v>
      </c>
      <c r="M2637" s="108">
        <v>1</v>
      </c>
      <c r="N2637" s="95">
        <v>1</v>
      </c>
      <c r="O2637" s="109">
        <f>IF(Key!D$1="ON",P2637,IF(SUM(Q2637:DL2637)&lt;1,"",SUM(Q2637:DL2637)/COUNTIF(Q2637:DL2637,"&gt;0")))</f>
        <v>0</v>
      </c>
      <c r="P2637" s="109">
        <f>SUMIFS(Q2637:DK2637,Q$1:DK$1,Dashboard!$K$31)</f>
        <v>0</v>
      </c>
      <c r="U2637" s="95">
        <v>33</v>
      </c>
      <c r="AA2637" s="95">
        <v>25</v>
      </c>
      <c r="AH2637" s="95">
        <v>75</v>
      </c>
    </row>
    <row r="2638" spans="1:34" x14ac:dyDescent="0.3">
      <c r="A2638" s="89" t="str">
        <f>CONCATENATE(D2638,".",F2638,"-",G2638,".",H2638,"")</f>
        <v>2.4-2.1</v>
      </c>
      <c r="B2638" s="89" t="str">
        <f>IF(CONCATENATE(I2638,Key!F$2)=CONCATENATE(INDEX(Dashboard!J:J,MATCH(I2638,Dashboard!J:J,0),1),INDEX(Dashboard!J:K,MATCH(I2638,Dashboard!J:J,0),2)),"ON",IF(Dashboard!K$32="ALL","ON","-"))</f>
        <v>-</v>
      </c>
      <c r="C2638" s="88" t="s">
        <v>152</v>
      </c>
      <c r="D2638" s="89">
        <f>IF(C2638="ID",1,(IF(C2638="PR",2,(IF(C2638="DE",3,(IF(C2638="RS",4,(IF(C2638="RC",5,0)))))))))</f>
        <v>2</v>
      </c>
      <c r="E2638" s="89" t="s">
        <v>228</v>
      </c>
      <c r="F2638" s="89">
        <f>IF(E2638="AM",1,(IF(E2638="BE",2,(IF(E2638="GV",3,(IF(E2638="RA",4,(IF(E2638="RM",5,(IF(E2638="AC",1,(IF(E2638="AT",2,(IF(E2638="DS",3,(IF(E2638="IP",4,(IF(E2638="MA",5,(IF(E2638="PT",6,(IF(E2638="AE",1,(IF(E2638="CM",2,(IF(E2638="DP",3,(IF(E2638="AN",1,(IF(E2638="CO",2,(IF(E2638="IM",3,(IF(E2638="MI",4,(IF(E2638="RP",5,(IF(E2638="SC",6,0)))))))))))))))))))))))))))))))))))))))</f>
        <v>4</v>
      </c>
      <c r="G2638" s="52">
        <v>2</v>
      </c>
      <c r="H2638" s="90" t="s">
        <v>115</v>
      </c>
      <c r="I2638" s="94" t="s">
        <v>85</v>
      </c>
      <c r="J2638" s="87" t="s">
        <v>1569</v>
      </c>
      <c r="K2638" s="119" t="s">
        <v>4789</v>
      </c>
      <c r="L2638" s="117">
        <f>IF(O2638="","",N2638*O2638*M2638)</f>
        <v>0</v>
      </c>
      <c r="M2638" s="108">
        <v>1</v>
      </c>
      <c r="N2638" s="95">
        <v>1</v>
      </c>
      <c r="O2638" s="109">
        <f>IF(Key!D$1="ON",P2638,IF(SUM(Q2638:DL2638)&lt;1,"",SUM(Q2638:DL2638)/COUNTIF(Q2638:DL2638,"&gt;0")))</f>
        <v>0</v>
      </c>
      <c r="P2638" s="109">
        <f>SUMIFS(Q2638:DK2638,Q$1:DK$1,Dashboard!$K$31)</f>
        <v>0</v>
      </c>
      <c r="U2638" s="95">
        <v>33</v>
      </c>
      <c r="AA2638" s="95">
        <v>25</v>
      </c>
      <c r="AH2638" s="95">
        <v>75</v>
      </c>
    </row>
    <row r="2639" spans="1:34" x14ac:dyDescent="0.3">
      <c r="A2639" s="89" t="str">
        <f>CONCATENATE(D2639,".",F2639,"-",G2639,".",H2639,"")</f>
        <v>2.4-2.1</v>
      </c>
      <c r="B2639" s="89" t="str">
        <f>IF(CONCATENATE(I2639,Key!F$2)=CONCATENATE(INDEX(Dashboard!J:J,MATCH(I2639,Dashboard!J:J,0),1),INDEX(Dashboard!J:K,MATCH(I2639,Dashboard!J:J,0),2)),"ON",IF(Dashboard!K$32="ALL","ON","-"))</f>
        <v>-</v>
      </c>
      <c r="C2639" s="88" t="s">
        <v>152</v>
      </c>
      <c r="D2639" s="89">
        <f>IF(C2639="ID",1,(IF(C2639="PR",2,(IF(C2639="DE",3,(IF(C2639="RS",4,(IF(C2639="RC",5,0)))))))))</f>
        <v>2</v>
      </c>
      <c r="E2639" s="89" t="s">
        <v>228</v>
      </c>
      <c r="F2639" s="89">
        <f>IF(E2639="AM",1,(IF(E2639="BE",2,(IF(E2639="GV",3,(IF(E2639="RA",4,(IF(E2639="RM",5,(IF(E2639="AC",1,(IF(E2639="AT",2,(IF(E2639="DS",3,(IF(E2639="IP",4,(IF(E2639="MA",5,(IF(E2639="PT",6,(IF(E2639="AE",1,(IF(E2639="CM",2,(IF(E2639="DP",3,(IF(E2639="AN",1,(IF(E2639="CO",2,(IF(E2639="IM",3,(IF(E2639="MI",4,(IF(E2639="RP",5,(IF(E2639="SC",6,0)))))))))))))))))))))))))))))))))))))))</f>
        <v>4</v>
      </c>
      <c r="G2639" s="52">
        <v>2</v>
      </c>
      <c r="H2639" s="90" t="s">
        <v>115</v>
      </c>
      <c r="I2639" s="94" t="s">
        <v>85</v>
      </c>
      <c r="J2639" s="87" t="s">
        <v>1596</v>
      </c>
      <c r="K2639" s="119" t="s">
        <v>4919</v>
      </c>
      <c r="L2639" s="117">
        <f>IF(O2639="","",N2639*O2639*M2639)</f>
        <v>0</v>
      </c>
      <c r="M2639" s="108">
        <v>1</v>
      </c>
      <c r="N2639" s="95">
        <v>1</v>
      </c>
      <c r="O2639" s="109">
        <f>IF(Key!D$1="ON",P2639,IF(SUM(Q2639:DL2639)&lt;1,"",SUM(Q2639:DL2639)/COUNTIF(Q2639:DL2639,"&gt;0")))</f>
        <v>0</v>
      </c>
      <c r="P2639" s="109">
        <f>SUMIFS(Q2639:DK2639,Q$1:DK$1,Dashboard!$K$31)</f>
        <v>0</v>
      </c>
      <c r="U2639" s="95">
        <v>33</v>
      </c>
      <c r="AA2639" s="95">
        <v>25</v>
      </c>
      <c r="AH2639" s="95">
        <v>75</v>
      </c>
    </row>
    <row r="2640" spans="1:34" ht="15.6" x14ac:dyDescent="0.3">
      <c r="A2640" s="89" t="str">
        <f>CONCATENATE(D2640,".",F2640,"-",G2640,".",H2640,"")</f>
        <v>2.4-2.1</v>
      </c>
      <c r="B2640" s="89" t="str">
        <f>IF(CONCATENATE(I2640,Key!F$2)=CONCATENATE(INDEX(Dashboard!J:J,MATCH(I2640,Dashboard!J:J,0),1),INDEX(Dashboard!J:K,MATCH(I2640,Dashboard!J:J,0),2)),"ON",IF(Dashboard!K$32="ALL","ON","-"))</f>
        <v>-</v>
      </c>
      <c r="C2640" s="88" t="s">
        <v>152</v>
      </c>
      <c r="D2640" s="89">
        <f>IF(C2640="ID",1,(IF(C2640="PR",2,(IF(C2640="DE",3,(IF(C2640="RS",4,(IF(C2640="RC",5,0)))))))))</f>
        <v>2</v>
      </c>
      <c r="E2640" s="89" t="s">
        <v>228</v>
      </c>
      <c r="F2640" s="89">
        <f>IF(E2640="AM",1,(IF(E2640="BE",2,(IF(E2640="GV",3,(IF(E2640="RA",4,(IF(E2640="RM",5,(IF(E2640="AC",1,(IF(E2640="AT",2,(IF(E2640="DS",3,(IF(E2640="IP",4,(IF(E2640="MA",5,(IF(E2640="PT",6,(IF(E2640="AE",1,(IF(E2640="CM",2,(IF(E2640="DP",3,(IF(E2640="AN",1,(IF(E2640="CO",2,(IF(E2640="IM",3,(IF(E2640="MI",4,(IF(E2640="RP",5,(IF(E2640="SC",6,0)))))))))))))))))))))))))))))))))))))))</f>
        <v>4</v>
      </c>
      <c r="G2640" s="52">
        <v>2</v>
      </c>
      <c r="H2640" s="90" t="s">
        <v>115</v>
      </c>
      <c r="I2640" s="94" t="s">
        <v>85</v>
      </c>
      <c r="J2640" s="87" t="s">
        <v>1566</v>
      </c>
      <c r="K2640" s="119" t="s">
        <v>2046</v>
      </c>
      <c r="L2640" s="117">
        <f>IF(O2640="","",N2640*O2640*M2640)</f>
        <v>0</v>
      </c>
      <c r="M2640" s="108">
        <v>1</v>
      </c>
      <c r="N2640" s="95">
        <v>1</v>
      </c>
      <c r="O2640" s="109">
        <f>IF(Key!D$1="ON",P2640,IF(SUM(Q2640:DL2640)&lt;1,"",SUM(Q2640:DL2640)/COUNTIF(Q2640:DL2640,"&gt;0")))</f>
        <v>0</v>
      </c>
      <c r="P2640" s="109">
        <f>SUMIFS(Q2640:DK2640,Q$1:DK$1,Dashboard!$K$31)</f>
        <v>0</v>
      </c>
      <c r="U2640" s="95">
        <v>33</v>
      </c>
      <c r="AA2640" s="95">
        <v>25</v>
      </c>
      <c r="AH2640" s="95">
        <v>75</v>
      </c>
    </row>
    <row r="2641" spans="1:34" ht="15.6" x14ac:dyDescent="0.3">
      <c r="A2641" s="89" t="str">
        <f>CONCATENATE(D2641,".",F2641,"-",G2641,".",H2641,"")</f>
        <v>2.4-2.1</v>
      </c>
      <c r="B2641" s="89" t="str">
        <f>IF(CONCATENATE(I2641,Key!F$2)=CONCATENATE(INDEX(Dashboard!J:J,MATCH(I2641,Dashboard!J:J,0),1),INDEX(Dashboard!J:K,MATCH(I2641,Dashboard!J:J,0),2)),"ON",IF(Dashboard!K$32="ALL","ON","-"))</f>
        <v>-</v>
      </c>
      <c r="C2641" s="88" t="s">
        <v>152</v>
      </c>
      <c r="D2641" s="89">
        <f>IF(C2641="ID",1,(IF(C2641="PR",2,(IF(C2641="DE",3,(IF(C2641="RS",4,(IF(C2641="RC",5,0)))))))))</f>
        <v>2</v>
      </c>
      <c r="E2641" s="89" t="s">
        <v>228</v>
      </c>
      <c r="F2641" s="89">
        <f>IF(E2641="AM",1,(IF(E2641="BE",2,(IF(E2641="GV",3,(IF(E2641="RA",4,(IF(E2641="RM",5,(IF(E2641="AC",1,(IF(E2641="AT",2,(IF(E2641="DS",3,(IF(E2641="IP",4,(IF(E2641="MA",5,(IF(E2641="PT",6,(IF(E2641="AE",1,(IF(E2641="CM",2,(IF(E2641="DP",3,(IF(E2641="AN",1,(IF(E2641="CO",2,(IF(E2641="IM",3,(IF(E2641="MI",4,(IF(E2641="RP",5,(IF(E2641="SC",6,0)))))))))))))))))))))))))))))))))))))))</f>
        <v>4</v>
      </c>
      <c r="G2641" s="52">
        <v>2</v>
      </c>
      <c r="H2641" s="90" t="s">
        <v>115</v>
      </c>
      <c r="I2641" s="94" t="s">
        <v>85</v>
      </c>
      <c r="J2641" s="86" t="s">
        <v>783</v>
      </c>
      <c r="K2641" s="119" t="s">
        <v>4923</v>
      </c>
      <c r="L2641" s="117">
        <f>IF(O2641="","",N2641*O2641*M2641)</f>
        <v>0</v>
      </c>
      <c r="M2641" s="108">
        <v>1</v>
      </c>
      <c r="N2641" s="95">
        <v>1</v>
      </c>
      <c r="O2641" s="109">
        <f>IF(Key!D$1="ON",P2641,IF(SUM(Q2641:DL2641)&lt;1,"",SUM(Q2641:DL2641)/COUNTIF(Q2641:DL2641,"&gt;0")))</f>
        <v>0</v>
      </c>
      <c r="P2641" s="109">
        <f>SUMIFS(Q2641:DK2641,Q$1:DK$1,Dashboard!$K$31)</f>
        <v>0</v>
      </c>
      <c r="U2641" s="95">
        <v>33</v>
      </c>
      <c r="AA2641" s="95">
        <v>25</v>
      </c>
      <c r="AH2641" s="95">
        <v>75</v>
      </c>
    </row>
    <row r="2642" spans="1:34" ht="15.6" x14ac:dyDescent="0.3">
      <c r="A2642" s="89" t="str">
        <f>CONCATENATE(D2642,".",F2642,"-",G2642,".",H2642,"")</f>
        <v>2.4-2.1</v>
      </c>
      <c r="B2642" s="89" t="str">
        <f>IF(CONCATENATE(I2642,Key!F$2)=CONCATENATE(INDEX(Dashboard!J:J,MATCH(I2642,Dashboard!J:J,0),1),INDEX(Dashboard!J:K,MATCH(I2642,Dashboard!J:J,0),2)),"ON",IF(Dashboard!K$32="ALL","ON","-"))</f>
        <v>-</v>
      </c>
      <c r="C2642" s="88" t="s">
        <v>152</v>
      </c>
      <c r="D2642" s="89">
        <f>IF(C2642="ID",1,(IF(C2642="PR",2,(IF(C2642="DE",3,(IF(C2642="RS",4,(IF(C2642="RC",5,0)))))))))</f>
        <v>2</v>
      </c>
      <c r="E2642" s="89" t="s">
        <v>228</v>
      </c>
      <c r="F2642" s="89">
        <f>IF(E2642="AM",1,(IF(E2642="BE",2,(IF(E2642="GV",3,(IF(E2642="RA",4,(IF(E2642="RM",5,(IF(E2642="AC",1,(IF(E2642="AT",2,(IF(E2642="DS",3,(IF(E2642="IP",4,(IF(E2642="MA",5,(IF(E2642="PT",6,(IF(E2642="AE",1,(IF(E2642="CM",2,(IF(E2642="DP",3,(IF(E2642="AN",1,(IF(E2642="CO",2,(IF(E2642="IM",3,(IF(E2642="MI",4,(IF(E2642="RP",5,(IF(E2642="SC",6,0)))))))))))))))))))))))))))))))))))))))</f>
        <v>4</v>
      </c>
      <c r="G2642" s="52">
        <v>2</v>
      </c>
      <c r="H2642" s="90" t="s">
        <v>115</v>
      </c>
      <c r="I2642" s="94" t="s">
        <v>85</v>
      </c>
      <c r="J2642" s="87" t="s">
        <v>1591</v>
      </c>
      <c r="K2642" s="119" t="s">
        <v>4914</v>
      </c>
      <c r="L2642" s="117">
        <f>IF(O2642="","",N2642*O2642*M2642)</f>
        <v>0</v>
      </c>
      <c r="M2642" s="108">
        <v>1</v>
      </c>
      <c r="N2642" s="95">
        <v>1</v>
      </c>
      <c r="O2642" s="109">
        <f>IF(Key!D$1="ON",P2642,IF(SUM(Q2642:DL2642)&lt;1,"",SUM(Q2642:DL2642)/COUNTIF(Q2642:DL2642,"&gt;0")))</f>
        <v>0</v>
      </c>
      <c r="P2642" s="109">
        <f>SUMIFS(Q2642:DK2642,Q$1:DK$1,Dashboard!$K$31)</f>
        <v>0</v>
      </c>
      <c r="U2642" s="95">
        <v>33</v>
      </c>
      <c r="AA2642" s="95">
        <v>25</v>
      </c>
      <c r="AH2642" s="95">
        <v>75</v>
      </c>
    </row>
    <row r="2643" spans="1:34" ht="15.6" x14ac:dyDescent="0.3">
      <c r="A2643" s="89" t="str">
        <f>CONCATENATE(D2643,".",F2643,"-",G2643,".",H2643,"")</f>
        <v>2.4-2.1</v>
      </c>
      <c r="B2643" s="89" t="str">
        <f>IF(CONCATENATE(I2643,Key!F$2)=CONCATENATE(INDEX(Dashboard!J:J,MATCH(I2643,Dashboard!J:J,0),1),INDEX(Dashboard!J:K,MATCH(I2643,Dashboard!J:J,0),2)),"ON",IF(Dashboard!K$32="ALL","ON","-"))</f>
        <v>-</v>
      </c>
      <c r="C2643" s="96" t="s">
        <v>152</v>
      </c>
      <c r="D2643" s="89">
        <f>IF(C2643="ID",1,(IF(C2643="PR",2,(IF(C2643="DE",3,(IF(C2643="RS",4,(IF(C2643="RC",5,0)))))))))</f>
        <v>2</v>
      </c>
      <c r="E2643" s="89" t="s">
        <v>228</v>
      </c>
      <c r="F2643" s="89">
        <f>IF(E2643="AM",1,(IF(E2643="BE",2,(IF(E2643="GV",3,(IF(E2643="RA",4,(IF(E2643="RM",5,(IF(E2643="AC",1,(IF(E2643="AT",2,(IF(E2643="DS",3,(IF(E2643="IP",4,(IF(E2643="MA",5,(IF(E2643="PT",6,(IF(E2643="AE",1,(IF(E2643="CM",2,(IF(E2643="DP",3,(IF(E2643="AN",1,(IF(E2643="CO",2,(IF(E2643="IM",3,(IF(E2643="MI",4,(IF(E2643="RP",5,(IF(E2643="SC",6,0)))))))))))))))))))))))))))))))))))))))</f>
        <v>4</v>
      </c>
      <c r="G2643" s="98">
        <v>2</v>
      </c>
      <c r="H2643" s="90" t="s">
        <v>115</v>
      </c>
      <c r="I2643" s="94" t="s">
        <v>85</v>
      </c>
      <c r="J2643" s="87" t="s">
        <v>1573</v>
      </c>
      <c r="K2643" s="119" t="s">
        <v>3925</v>
      </c>
      <c r="L2643" s="117">
        <f>IF(O2643="","",N2643*O2643*M2643)</f>
        <v>0</v>
      </c>
      <c r="M2643" s="108">
        <v>1</v>
      </c>
      <c r="N2643" s="95">
        <v>1</v>
      </c>
      <c r="O2643" s="109">
        <f>IF(Key!D$1="ON",P2643,IF(SUM(Q2643:DL2643)&lt;1,"",SUM(Q2643:DL2643)/COUNTIF(Q2643:DL2643,"&gt;0")))</f>
        <v>0</v>
      </c>
      <c r="P2643" s="109">
        <f>SUMIFS(Q2643:DK2643,Q$1:DK$1,Dashboard!$K$31)</f>
        <v>0</v>
      </c>
      <c r="U2643" s="95">
        <v>33</v>
      </c>
      <c r="AA2643" s="95">
        <v>25</v>
      </c>
      <c r="AH2643" s="95">
        <v>75</v>
      </c>
    </row>
    <row r="2644" spans="1:34" x14ac:dyDescent="0.3">
      <c r="A2644" s="89" t="str">
        <f>CONCATENATE(D2644,".",F2644,"-",G2644,".",H2644,"")</f>
        <v>2.4-2.1</v>
      </c>
      <c r="B2644" s="89" t="str">
        <f>IF(CONCATENATE(I2644,Key!F$2)=CONCATENATE(INDEX(Dashboard!J:J,MATCH(I2644,Dashboard!J:J,0),1),INDEX(Dashboard!J:K,MATCH(I2644,Dashboard!J:J,0),2)),"ON",IF(Dashboard!K$32="ALL","ON","-"))</f>
        <v>-</v>
      </c>
      <c r="C2644" s="88" t="s">
        <v>152</v>
      </c>
      <c r="D2644" s="89">
        <f>IF(C2644="ID",1,(IF(C2644="PR",2,(IF(C2644="DE",3,(IF(C2644="RS",4,(IF(C2644="RC",5,0)))))))))</f>
        <v>2</v>
      </c>
      <c r="E2644" s="89" t="s">
        <v>228</v>
      </c>
      <c r="F2644" s="89">
        <f>IF(E2644="AM",1,(IF(E2644="BE",2,(IF(E2644="GV",3,(IF(E2644="RA",4,(IF(E2644="RM",5,(IF(E2644="AC",1,(IF(E2644="AT",2,(IF(E2644="DS",3,(IF(E2644="IP",4,(IF(E2644="MA",5,(IF(E2644="PT",6,(IF(E2644="AE",1,(IF(E2644="CM",2,(IF(E2644="DP",3,(IF(E2644="AN",1,(IF(E2644="CO",2,(IF(E2644="IM",3,(IF(E2644="MI",4,(IF(E2644="RP",5,(IF(E2644="SC",6,0)))))))))))))))))))))))))))))))))))))))</f>
        <v>4</v>
      </c>
      <c r="G2644" s="52">
        <v>2</v>
      </c>
      <c r="H2644" s="90" t="s">
        <v>115</v>
      </c>
      <c r="I2644" s="94" t="s">
        <v>85</v>
      </c>
      <c r="J2644" s="87" t="s">
        <v>1592</v>
      </c>
      <c r="K2644" s="119" t="s">
        <v>4915</v>
      </c>
      <c r="L2644" s="117">
        <f>IF(O2644="","",N2644*O2644*M2644)</f>
        <v>0</v>
      </c>
      <c r="M2644" s="108">
        <v>1</v>
      </c>
      <c r="N2644" s="95">
        <v>1</v>
      </c>
      <c r="O2644" s="109">
        <f>IF(Key!D$1="ON",P2644,IF(SUM(Q2644:DL2644)&lt;1,"",SUM(Q2644:DL2644)/COUNTIF(Q2644:DL2644,"&gt;0")))</f>
        <v>0</v>
      </c>
      <c r="P2644" s="109">
        <f>SUMIFS(Q2644:DK2644,Q$1:DK$1,Dashboard!$K$31)</f>
        <v>0</v>
      </c>
      <c r="U2644" s="95">
        <v>33</v>
      </c>
      <c r="AA2644" s="95">
        <v>25</v>
      </c>
      <c r="AH2644" s="95">
        <v>75</v>
      </c>
    </row>
    <row r="2645" spans="1:34" x14ac:dyDescent="0.3">
      <c r="A2645" s="89" t="str">
        <f>CONCATENATE(D2645,".",F2645,"-",G2645,".",H2645,"")</f>
        <v>2.4-2.1</v>
      </c>
      <c r="B2645" s="89" t="str">
        <f>IF(CONCATENATE(I2645,Key!F$2)=CONCATENATE(INDEX(Dashboard!J:J,MATCH(I2645,Dashboard!J:J,0),1),INDEX(Dashboard!J:K,MATCH(I2645,Dashboard!J:J,0),2)),"ON",IF(Dashboard!K$32="ALL","ON","-"))</f>
        <v>-</v>
      </c>
      <c r="C2645" s="96" t="s">
        <v>152</v>
      </c>
      <c r="D2645" s="89">
        <f>IF(C2645="ID",1,(IF(C2645="PR",2,(IF(C2645="DE",3,(IF(C2645="RS",4,(IF(C2645="RC",5,0)))))))))</f>
        <v>2</v>
      </c>
      <c r="E2645" s="89" t="s">
        <v>228</v>
      </c>
      <c r="F2645" s="89">
        <f>IF(E2645="AM",1,(IF(E2645="BE",2,(IF(E2645="GV",3,(IF(E2645="RA",4,(IF(E2645="RM",5,(IF(E2645="AC",1,(IF(E2645="AT",2,(IF(E2645="DS",3,(IF(E2645="IP",4,(IF(E2645="MA",5,(IF(E2645="PT",6,(IF(E2645="AE",1,(IF(E2645="CM",2,(IF(E2645="DP",3,(IF(E2645="AN",1,(IF(E2645="CO",2,(IF(E2645="IM",3,(IF(E2645="MI",4,(IF(E2645="RP",5,(IF(E2645="SC",6,0)))))))))))))))))))))))))))))))))))))))</f>
        <v>4</v>
      </c>
      <c r="G2645" s="98">
        <v>2</v>
      </c>
      <c r="H2645" s="90" t="s">
        <v>115</v>
      </c>
      <c r="I2645" s="94" t="s">
        <v>85</v>
      </c>
      <c r="J2645" s="87" t="s">
        <v>1560</v>
      </c>
      <c r="K2645" s="119" t="s">
        <v>1561</v>
      </c>
      <c r="L2645" s="117">
        <f>IF(O2645="","",N2645*O2645*M2645)</f>
        <v>0</v>
      </c>
      <c r="M2645" s="108">
        <v>1</v>
      </c>
      <c r="N2645" s="95">
        <v>1</v>
      </c>
      <c r="O2645" s="109">
        <f>IF(Key!D$1="ON",P2645,IF(SUM(Q2645:DL2645)&lt;1,"",SUM(Q2645:DL2645)/COUNTIF(Q2645:DL2645,"&gt;0")))</f>
        <v>0</v>
      </c>
      <c r="P2645" s="109">
        <f>SUMIFS(Q2645:DK2645,Q$1:DK$1,Dashboard!$K$31)</f>
        <v>0</v>
      </c>
      <c r="U2645" s="95">
        <v>33</v>
      </c>
      <c r="AA2645" s="95">
        <v>25</v>
      </c>
      <c r="AH2645" s="95">
        <v>75</v>
      </c>
    </row>
    <row r="2646" spans="1:34" x14ac:dyDescent="0.3">
      <c r="A2646" s="89" t="str">
        <f>CONCATENATE(D2646,".",F2646,"-",G2646,".",H2646,"")</f>
        <v>2.4-2.1</v>
      </c>
      <c r="B2646" s="89" t="str">
        <f>IF(CONCATENATE(I2646,Key!F$2)=CONCATENATE(INDEX(Dashboard!J:J,MATCH(I2646,Dashboard!J:J,0),1),INDEX(Dashboard!J:K,MATCH(I2646,Dashboard!J:J,0),2)),"ON",IF(Dashboard!K$32="ALL","ON","-"))</f>
        <v>-</v>
      </c>
      <c r="C2646" s="88" t="s">
        <v>152</v>
      </c>
      <c r="D2646" s="89">
        <f>IF(C2646="ID",1,(IF(C2646="PR",2,(IF(C2646="DE",3,(IF(C2646="RS",4,(IF(C2646="RC",5,0)))))))))</f>
        <v>2</v>
      </c>
      <c r="E2646" s="89" t="s">
        <v>228</v>
      </c>
      <c r="F2646" s="89">
        <f>IF(E2646="AM",1,(IF(E2646="BE",2,(IF(E2646="GV",3,(IF(E2646="RA",4,(IF(E2646="RM",5,(IF(E2646="AC",1,(IF(E2646="AT",2,(IF(E2646="DS",3,(IF(E2646="IP",4,(IF(E2646="MA",5,(IF(E2646="PT",6,(IF(E2646="AE",1,(IF(E2646="CM",2,(IF(E2646="DP",3,(IF(E2646="AN",1,(IF(E2646="CO",2,(IF(E2646="IM",3,(IF(E2646="MI",4,(IF(E2646="RP",5,(IF(E2646="SC",6,0)))))))))))))))))))))))))))))))))))))))</f>
        <v>4</v>
      </c>
      <c r="G2646" s="52">
        <v>2</v>
      </c>
      <c r="H2646" s="90" t="s">
        <v>115</v>
      </c>
      <c r="I2646" s="94" t="s">
        <v>85</v>
      </c>
      <c r="J2646" s="87" t="s">
        <v>1559</v>
      </c>
      <c r="K2646" s="119" t="s">
        <v>4976</v>
      </c>
      <c r="L2646" s="117">
        <f>IF(O2646="","",N2646*O2646*M2646)</f>
        <v>0</v>
      </c>
      <c r="M2646" s="108">
        <v>1</v>
      </c>
      <c r="N2646" s="95">
        <v>1</v>
      </c>
      <c r="O2646" s="109">
        <f>IF(Key!D$1="ON",P2646,IF(SUM(Q2646:DL2646)&lt;1,"",SUM(Q2646:DL2646)/COUNTIF(Q2646:DL2646,"&gt;0")))</f>
        <v>0</v>
      </c>
      <c r="P2646" s="109">
        <f>SUMIFS(Q2646:DK2646,Q$1:DK$1,Dashboard!$K$31)</f>
        <v>0</v>
      </c>
      <c r="U2646" s="95">
        <v>33</v>
      </c>
      <c r="AA2646" s="95">
        <v>25</v>
      </c>
      <c r="AH2646" s="95">
        <v>75</v>
      </c>
    </row>
    <row r="2647" spans="1:34" x14ac:dyDescent="0.3">
      <c r="A2647" s="89" t="str">
        <f>CONCATENATE(D2647,".",F2647,"-",G2647,".",H2647,"")</f>
        <v>2.4-2.1</v>
      </c>
      <c r="B2647" s="89" t="str">
        <f>IF(CONCATENATE(I2647,Key!F$2)=CONCATENATE(INDEX(Dashboard!J:J,MATCH(I2647,Dashboard!J:J,0),1),INDEX(Dashboard!J:K,MATCH(I2647,Dashboard!J:J,0),2)),"ON",IF(Dashboard!K$32="ALL","ON","-"))</f>
        <v>-</v>
      </c>
      <c r="C2647" s="88" t="s">
        <v>152</v>
      </c>
      <c r="D2647" s="89">
        <f>IF(C2647="ID",1,(IF(C2647="PR",2,(IF(C2647="DE",3,(IF(C2647="RS",4,(IF(C2647="RC",5,0)))))))))</f>
        <v>2</v>
      </c>
      <c r="E2647" s="89" t="s">
        <v>228</v>
      </c>
      <c r="F2647" s="89">
        <f>IF(E2647="AM",1,(IF(E2647="BE",2,(IF(E2647="GV",3,(IF(E2647="RA",4,(IF(E2647="RM",5,(IF(E2647="AC",1,(IF(E2647="AT",2,(IF(E2647="DS",3,(IF(E2647="IP",4,(IF(E2647="MA",5,(IF(E2647="PT",6,(IF(E2647="AE",1,(IF(E2647="CM",2,(IF(E2647="DP",3,(IF(E2647="AN",1,(IF(E2647="CO",2,(IF(E2647="IM",3,(IF(E2647="MI",4,(IF(E2647="RP",5,(IF(E2647="SC",6,0)))))))))))))))))))))))))))))))))))))))</f>
        <v>4</v>
      </c>
      <c r="G2647" s="52">
        <v>2</v>
      </c>
      <c r="H2647" s="90" t="s">
        <v>115</v>
      </c>
      <c r="I2647" s="94" t="s">
        <v>85</v>
      </c>
      <c r="J2647" s="87" t="s">
        <v>1576</v>
      </c>
      <c r="K2647" s="119" t="s">
        <v>4990</v>
      </c>
      <c r="L2647" s="117">
        <f>IF(O2647="","",N2647*O2647*M2647)</f>
        <v>0</v>
      </c>
      <c r="M2647" s="108">
        <v>1</v>
      </c>
      <c r="N2647" s="95">
        <v>1</v>
      </c>
      <c r="O2647" s="109">
        <f>IF(Key!D$1="ON",P2647,IF(SUM(Q2647:DL2647)&lt;1,"",SUM(Q2647:DL2647)/COUNTIF(Q2647:DL2647,"&gt;0")))</f>
        <v>0</v>
      </c>
      <c r="P2647" s="109">
        <f>SUMIFS(Q2647:DK2647,Q$1:DK$1,Dashboard!$K$31)</f>
        <v>0</v>
      </c>
      <c r="U2647" s="95">
        <v>33</v>
      </c>
      <c r="AA2647" s="95">
        <v>25</v>
      </c>
      <c r="AH2647" s="95">
        <v>75</v>
      </c>
    </row>
    <row r="2648" spans="1:34" x14ac:dyDescent="0.3">
      <c r="A2648" s="89" t="str">
        <f>CONCATENATE(D2648,".",F2648,"-",G2648,".",H2648,"")</f>
        <v>2.4-2.1</v>
      </c>
      <c r="B2648" s="89" t="str">
        <f>IF(CONCATENATE(I2648,Key!F$2)=CONCATENATE(INDEX(Dashboard!J:J,MATCH(I2648,Dashboard!J:J,0),1),INDEX(Dashboard!J:K,MATCH(I2648,Dashboard!J:J,0),2)),"ON",IF(Dashboard!K$32="ALL","ON","-"))</f>
        <v>-</v>
      </c>
      <c r="C2648" s="88" t="s">
        <v>152</v>
      </c>
      <c r="D2648" s="89">
        <f>IF(C2648="ID",1,(IF(C2648="PR",2,(IF(C2648="DE",3,(IF(C2648="RS",4,(IF(C2648="RC",5,0)))))))))</f>
        <v>2</v>
      </c>
      <c r="E2648" s="89" t="s">
        <v>228</v>
      </c>
      <c r="F2648" s="89">
        <f>IF(E2648="AM",1,(IF(E2648="BE",2,(IF(E2648="GV",3,(IF(E2648="RA",4,(IF(E2648="RM",5,(IF(E2648="AC",1,(IF(E2648="AT",2,(IF(E2648="DS",3,(IF(E2648="IP",4,(IF(E2648="MA",5,(IF(E2648="PT",6,(IF(E2648="AE",1,(IF(E2648="CM",2,(IF(E2648="DP",3,(IF(E2648="AN",1,(IF(E2648="CO",2,(IF(E2648="IM",3,(IF(E2648="MI",4,(IF(E2648="RP",5,(IF(E2648="SC",6,0)))))))))))))))))))))))))))))))))))))))</f>
        <v>4</v>
      </c>
      <c r="G2648" s="52">
        <v>2</v>
      </c>
      <c r="H2648" s="90" t="s">
        <v>115</v>
      </c>
      <c r="I2648" s="94" t="s">
        <v>85</v>
      </c>
      <c r="J2648" s="87" t="s">
        <v>1574</v>
      </c>
      <c r="K2648" s="119" t="s">
        <v>4988</v>
      </c>
      <c r="L2648" s="117">
        <f>IF(O2648="","",N2648*O2648*M2648)</f>
        <v>0</v>
      </c>
      <c r="M2648" s="108">
        <v>1</v>
      </c>
      <c r="N2648" s="95">
        <v>1</v>
      </c>
      <c r="O2648" s="109">
        <f>IF(Key!D$1="ON",P2648,IF(SUM(Q2648:DL2648)&lt;1,"",SUM(Q2648:DL2648)/COUNTIF(Q2648:DL2648,"&gt;0")))</f>
        <v>0</v>
      </c>
      <c r="P2648" s="109">
        <f>SUMIFS(Q2648:DK2648,Q$1:DK$1,Dashboard!$K$31)</f>
        <v>0</v>
      </c>
      <c r="U2648" s="95">
        <v>33</v>
      </c>
      <c r="AA2648" s="95">
        <v>25</v>
      </c>
      <c r="AH2648" s="95">
        <v>75</v>
      </c>
    </row>
    <row r="2649" spans="1:34" x14ac:dyDescent="0.3">
      <c r="A2649" s="89" t="str">
        <f>CONCATENATE(D2649,".",F2649,"-",G2649,".",H2649,"")</f>
        <v>2.4-2.1</v>
      </c>
      <c r="B2649" s="89" t="str">
        <f>IF(CONCATENATE(I2649,Key!F$2)=CONCATENATE(INDEX(Dashboard!J:J,MATCH(I2649,Dashboard!J:J,0),1),INDEX(Dashboard!J:K,MATCH(I2649,Dashboard!J:J,0),2)),"ON",IF(Dashboard!K$32="ALL","ON","-"))</f>
        <v>-</v>
      </c>
      <c r="C2649" s="88" t="s">
        <v>152</v>
      </c>
      <c r="D2649" s="89">
        <f>IF(C2649="ID",1,(IF(C2649="PR",2,(IF(C2649="DE",3,(IF(C2649="RS",4,(IF(C2649="RC",5,0)))))))))</f>
        <v>2</v>
      </c>
      <c r="E2649" s="89" t="s">
        <v>228</v>
      </c>
      <c r="F2649" s="89">
        <f>IF(E2649="AM",1,(IF(E2649="BE",2,(IF(E2649="GV",3,(IF(E2649="RA",4,(IF(E2649="RM",5,(IF(E2649="AC",1,(IF(E2649="AT",2,(IF(E2649="DS",3,(IF(E2649="IP",4,(IF(E2649="MA",5,(IF(E2649="PT",6,(IF(E2649="AE",1,(IF(E2649="CM",2,(IF(E2649="DP",3,(IF(E2649="AN",1,(IF(E2649="CO",2,(IF(E2649="IM",3,(IF(E2649="MI",4,(IF(E2649="RP",5,(IF(E2649="SC",6,0)))))))))))))))))))))))))))))))))))))))</f>
        <v>4</v>
      </c>
      <c r="G2649" s="52">
        <v>2</v>
      </c>
      <c r="H2649" s="90" t="s">
        <v>115</v>
      </c>
      <c r="I2649" s="94" t="s">
        <v>85</v>
      </c>
      <c r="J2649" s="87" t="s">
        <v>1589</v>
      </c>
      <c r="K2649" s="119" t="s">
        <v>4913</v>
      </c>
      <c r="L2649" s="117">
        <f>IF(O2649="","",N2649*O2649*M2649)</f>
        <v>0</v>
      </c>
      <c r="M2649" s="108">
        <v>1</v>
      </c>
      <c r="N2649" s="95">
        <v>1</v>
      </c>
      <c r="O2649" s="109">
        <f>IF(Key!D$1="ON",P2649,IF(SUM(Q2649:DL2649)&lt;1,"",SUM(Q2649:DL2649)/COUNTIF(Q2649:DL2649,"&gt;0")))</f>
        <v>0</v>
      </c>
      <c r="P2649" s="109">
        <f>SUMIFS(Q2649:DK2649,Q$1:DK$1,Dashboard!$K$31)</f>
        <v>0</v>
      </c>
      <c r="U2649" s="95">
        <v>33</v>
      </c>
      <c r="AA2649" s="95">
        <v>25</v>
      </c>
      <c r="AH2649" s="95">
        <v>75</v>
      </c>
    </row>
    <row r="2650" spans="1:34" x14ac:dyDescent="0.3">
      <c r="A2650" s="89" t="str">
        <f>CONCATENATE(D2650,".",F2650,"-",G2650,".",H2650,"")</f>
        <v>2.4-2.1</v>
      </c>
      <c r="B2650" s="89" t="str">
        <f>IF(CONCATENATE(I2650,Key!F$2)=CONCATENATE(INDEX(Dashboard!J:J,MATCH(I2650,Dashboard!J:J,0),1),INDEX(Dashboard!J:K,MATCH(I2650,Dashboard!J:J,0),2)),"ON",IF(Dashboard!K$32="ALL","ON","-"))</f>
        <v>-</v>
      </c>
      <c r="C2650" s="88" t="s">
        <v>152</v>
      </c>
      <c r="D2650" s="89">
        <f>IF(C2650="ID",1,(IF(C2650="PR",2,(IF(C2650="DE",3,(IF(C2650="RS",4,(IF(C2650="RC",5,0)))))))))</f>
        <v>2</v>
      </c>
      <c r="E2650" s="89" t="s">
        <v>228</v>
      </c>
      <c r="F2650" s="89">
        <f>IF(E2650="AM",1,(IF(E2650="BE",2,(IF(E2650="GV",3,(IF(E2650="RA",4,(IF(E2650="RM",5,(IF(E2650="AC",1,(IF(E2650="AT",2,(IF(E2650="DS",3,(IF(E2650="IP",4,(IF(E2650="MA",5,(IF(E2650="PT",6,(IF(E2650="AE",1,(IF(E2650="CM",2,(IF(E2650="DP",3,(IF(E2650="AN",1,(IF(E2650="CO",2,(IF(E2650="IM",3,(IF(E2650="MI",4,(IF(E2650="RP",5,(IF(E2650="SC",6,0)))))))))))))))))))))))))))))))))))))))</f>
        <v>4</v>
      </c>
      <c r="G2650" s="52">
        <v>2</v>
      </c>
      <c r="H2650" s="90" t="s">
        <v>115</v>
      </c>
      <c r="I2650" s="94" t="s">
        <v>85</v>
      </c>
      <c r="J2650" s="87" t="s">
        <v>1597</v>
      </c>
      <c r="K2650" s="119" t="s">
        <v>4920</v>
      </c>
      <c r="L2650" s="117">
        <f>IF(O2650="","",N2650*O2650*M2650)</f>
        <v>0</v>
      </c>
      <c r="M2650" s="108">
        <v>1</v>
      </c>
      <c r="N2650" s="95">
        <v>1</v>
      </c>
      <c r="O2650" s="109">
        <f>IF(Key!D$1="ON",P2650,IF(SUM(Q2650:DL2650)&lt;1,"",SUM(Q2650:DL2650)/COUNTIF(Q2650:DL2650,"&gt;0")))</f>
        <v>0</v>
      </c>
      <c r="P2650" s="109">
        <f>SUMIFS(Q2650:DK2650,Q$1:DK$1,Dashboard!$K$31)</f>
        <v>0</v>
      </c>
      <c r="U2650" s="95">
        <v>33</v>
      </c>
      <c r="AA2650" s="95">
        <v>25</v>
      </c>
      <c r="AH2650" s="95">
        <v>75</v>
      </c>
    </row>
    <row r="2651" spans="1:34" x14ac:dyDescent="0.3">
      <c r="A2651" s="89" t="str">
        <f>CONCATENATE(D2651,".",F2651,"-",G2651,".",H2651,"")</f>
        <v>2.4-2.1</v>
      </c>
      <c r="B2651" s="89" t="str">
        <f>IF(CONCATENATE(I2651,Key!F$2)=CONCATENATE(INDEX(Dashboard!J:J,MATCH(I2651,Dashboard!J:J,0),1),INDEX(Dashboard!J:K,MATCH(I2651,Dashboard!J:J,0),2)),"ON",IF(Dashboard!K$32="ALL","ON","-"))</f>
        <v>-</v>
      </c>
      <c r="C2651" s="88" t="s">
        <v>152</v>
      </c>
      <c r="D2651" s="89">
        <f>IF(C2651="ID",1,(IF(C2651="PR",2,(IF(C2651="DE",3,(IF(C2651="RS",4,(IF(C2651="RC",5,0)))))))))</f>
        <v>2</v>
      </c>
      <c r="E2651" s="89" t="s">
        <v>228</v>
      </c>
      <c r="F2651" s="89">
        <f>IF(E2651="AM",1,(IF(E2651="BE",2,(IF(E2651="GV",3,(IF(E2651="RA",4,(IF(E2651="RM",5,(IF(E2651="AC",1,(IF(E2651="AT",2,(IF(E2651="DS",3,(IF(E2651="IP",4,(IF(E2651="MA",5,(IF(E2651="PT",6,(IF(E2651="AE",1,(IF(E2651="CM",2,(IF(E2651="DP",3,(IF(E2651="AN",1,(IF(E2651="CO",2,(IF(E2651="IM",3,(IF(E2651="MI",4,(IF(E2651="RP",5,(IF(E2651="SC",6,0)))))))))))))))))))))))))))))))))))))))</f>
        <v>4</v>
      </c>
      <c r="G2651" s="52">
        <v>2</v>
      </c>
      <c r="H2651" s="90" t="s">
        <v>115</v>
      </c>
      <c r="I2651" s="94" t="s">
        <v>85</v>
      </c>
      <c r="J2651" s="87" t="s">
        <v>1563</v>
      </c>
      <c r="K2651" s="119" t="s">
        <v>2484</v>
      </c>
      <c r="L2651" s="117">
        <f>IF(O2651="","",N2651*O2651*M2651)</f>
        <v>0</v>
      </c>
      <c r="M2651" s="108">
        <v>1</v>
      </c>
      <c r="N2651" s="95">
        <v>1</v>
      </c>
      <c r="O2651" s="109">
        <f>IF(Key!D$1="ON",P2651,IF(SUM(Q2651:DL2651)&lt;1,"",SUM(Q2651:DL2651)/COUNTIF(Q2651:DL2651,"&gt;0")))</f>
        <v>0</v>
      </c>
      <c r="P2651" s="109">
        <f>SUMIFS(Q2651:DK2651,Q$1:DK$1,Dashboard!$K$31)</f>
        <v>0</v>
      </c>
      <c r="U2651" s="95">
        <v>33</v>
      </c>
      <c r="AA2651" s="95">
        <v>25</v>
      </c>
      <c r="AH2651" s="95">
        <v>75</v>
      </c>
    </row>
    <row r="2652" spans="1:34" x14ac:dyDescent="0.3">
      <c r="A2652" s="89" t="str">
        <f>CONCATENATE(D2652,".",F2652,"-",G2652,".",H2652,"")</f>
        <v>2.4-2.1</v>
      </c>
      <c r="B2652" s="89" t="str">
        <f>IF(CONCATENATE(I2652,Key!F$2)=CONCATENATE(INDEX(Dashboard!J:J,MATCH(I2652,Dashboard!J:J,0),1),INDEX(Dashboard!J:K,MATCH(I2652,Dashboard!J:J,0),2)),"ON",IF(Dashboard!K$32="ALL","ON","-"))</f>
        <v>-</v>
      </c>
      <c r="C2652" s="88" t="s">
        <v>152</v>
      </c>
      <c r="D2652" s="89">
        <f>IF(C2652="ID",1,(IF(C2652="PR",2,(IF(C2652="DE",3,(IF(C2652="RS",4,(IF(C2652="RC",5,0)))))))))</f>
        <v>2</v>
      </c>
      <c r="E2652" s="89" t="s">
        <v>228</v>
      </c>
      <c r="F2652" s="89">
        <f>IF(E2652="AM",1,(IF(E2652="BE",2,(IF(E2652="GV",3,(IF(E2652="RA",4,(IF(E2652="RM",5,(IF(E2652="AC",1,(IF(E2652="AT",2,(IF(E2652="DS",3,(IF(E2652="IP",4,(IF(E2652="MA",5,(IF(E2652="PT",6,(IF(E2652="AE",1,(IF(E2652="CM",2,(IF(E2652="DP",3,(IF(E2652="AN",1,(IF(E2652="CO",2,(IF(E2652="IM",3,(IF(E2652="MI",4,(IF(E2652="RP",5,(IF(E2652="SC",6,0)))))))))))))))))))))))))))))))))))))))</f>
        <v>4</v>
      </c>
      <c r="G2652" s="52">
        <v>2</v>
      </c>
      <c r="H2652" s="90" t="s">
        <v>115</v>
      </c>
      <c r="I2652" s="94" t="s">
        <v>85</v>
      </c>
      <c r="J2652" s="87" t="s">
        <v>1577</v>
      </c>
      <c r="K2652" s="119" t="s">
        <v>4991</v>
      </c>
      <c r="L2652" s="117">
        <f>IF(O2652="","",N2652*O2652*M2652)</f>
        <v>0</v>
      </c>
      <c r="M2652" s="108">
        <v>1</v>
      </c>
      <c r="N2652" s="95">
        <v>1</v>
      </c>
      <c r="O2652" s="109">
        <f>IF(Key!D$1="ON",P2652,IF(SUM(Q2652:DL2652)&lt;1,"",SUM(Q2652:DL2652)/COUNTIF(Q2652:DL2652,"&gt;0")))</f>
        <v>0</v>
      </c>
      <c r="P2652" s="109">
        <f>SUMIFS(Q2652:DK2652,Q$1:DK$1,Dashboard!$K$31)</f>
        <v>0</v>
      </c>
      <c r="U2652" s="95">
        <v>33</v>
      </c>
      <c r="AA2652" s="95">
        <v>25</v>
      </c>
      <c r="AH2652" s="95">
        <v>75</v>
      </c>
    </row>
    <row r="2653" spans="1:34" x14ac:dyDescent="0.3">
      <c r="A2653" s="89" t="str">
        <f>CONCATENATE(D2653,".",F2653,"-",G2653,".",H2653,"")</f>
        <v>2.4-2.1</v>
      </c>
      <c r="B2653" s="89" t="str">
        <f>IF(CONCATENATE(I2653,Key!F$2)=CONCATENATE(INDEX(Dashboard!J:J,MATCH(I2653,Dashboard!J:J,0),1),INDEX(Dashboard!J:K,MATCH(I2653,Dashboard!J:J,0),2)),"ON",IF(Dashboard!K$32="ALL","ON","-"))</f>
        <v>-</v>
      </c>
      <c r="C2653" s="88" t="s">
        <v>152</v>
      </c>
      <c r="D2653" s="89">
        <f>IF(C2653="ID",1,(IF(C2653="PR",2,(IF(C2653="DE",3,(IF(C2653="RS",4,(IF(C2653="RC",5,0)))))))))</f>
        <v>2</v>
      </c>
      <c r="E2653" s="89" t="s">
        <v>228</v>
      </c>
      <c r="F2653" s="89">
        <f>IF(E2653="AM",1,(IF(E2653="BE",2,(IF(E2653="GV",3,(IF(E2653="RA",4,(IF(E2653="RM",5,(IF(E2653="AC",1,(IF(E2653="AT",2,(IF(E2653="DS",3,(IF(E2653="IP",4,(IF(E2653="MA",5,(IF(E2653="PT",6,(IF(E2653="AE",1,(IF(E2653="CM",2,(IF(E2653="DP",3,(IF(E2653="AN",1,(IF(E2653="CO",2,(IF(E2653="IM",3,(IF(E2653="MI",4,(IF(E2653="RP",5,(IF(E2653="SC",6,0)))))))))))))))))))))))))))))))))))))))</f>
        <v>4</v>
      </c>
      <c r="G2653" s="52">
        <v>2</v>
      </c>
      <c r="H2653" s="90" t="s">
        <v>115</v>
      </c>
      <c r="I2653" s="94" t="s">
        <v>85</v>
      </c>
      <c r="J2653" s="86" t="s">
        <v>917</v>
      </c>
      <c r="K2653" s="119" t="s">
        <v>5174</v>
      </c>
      <c r="L2653" s="117">
        <f>IF(O2653="","",N2653*O2653*M2653)</f>
        <v>0</v>
      </c>
      <c r="M2653" s="108">
        <v>1</v>
      </c>
      <c r="N2653" s="95">
        <v>1</v>
      </c>
      <c r="O2653" s="109">
        <f>IF(Key!D$1="ON",P2653,IF(SUM(Q2653:DL2653)&lt;1,"",SUM(Q2653:DL2653)/COUNTIF(Q2653:DL2653,"&gt;0")))</f>
        <v>0</v>
      </c>
      <c r="P2653" s="109">
        <f>SUMIFS(Q2653:DK2653,Q$1:DK$1,Dashboard!$K$31)</f>
        <v>0</v>
      </c>
      <c r="U2653" s="95">
        <v>33</v>
      </c>
      <c r="AA2653" s="95">
        <v>25</v>
      </c>
      <c r="AH2653" s="95">
        <v>75</v>
      </c>
    </row>
    <row r="2654" spans="1:34" x14ac:dyDescent="0.3">
      <c r="A2654" s="89" t="str">
        <f>CONCATENATE(D2654,".",F2654,"-",G2654,".",H2654,"")</f>
        <v>2.4-2.1</v>
      </c>
      <c r="B2654" s="89" t="str">
        <f>IF(CONCATENATE(I2654,Key!F$2)=CONCATENATE(INDEX(Dashboard!J:J,MATCH(I2654,Dashboard!J:J,0),1),INDEX(Dashboard!J:K,MATCH(I2654,Dashboard!J:J,0),2)),"ON",IF(Dashboard!K$32="ALL","ON","-"))</f>
        <v>-</v>
      </c>
      <c r="C2654" s="88" t="s">
        <v>152</v>
      </c>
      <c r="D2654" s="89">
        <f>IF(C2654="ID",1,(IF(C2654="PR",2,(IF(C2654="DE",3,(IF(C2654="RS",4,(IF(C2654="RC",5,0)))))))))</f>
        <v>2</v>
      </c>
      <c r="E2654" s="89" t="s">
        <v>228</v>
      </c>
      <c r="F2654" s="89">
        <f>IF(E2654="AM",1,(IF(E2654="BE",2,(IF(E2654="GV",3,(IF(E2654="RA",4,(IF(E2654="RM",5,(IF(E2654="AC",1,(IF(E2654="AT",2,(IF(E2654="DS",3,(IF(E2654="IP",4,(IF(E2654="MA",5,(IF(E2654="PT",6,(IF(E2654="AE",1,(IF(E2654="CM",2,(IF(E2654="DP",3,(IF(E2654="AN",1,(IF(E2654="CO",2,(IF(E2654="IM",3,(IF(E2654="MI",4,(IF(E2654="RP",5,(IF(E2654="SC",6,0)))))))))))))))))))))))))))))))))))))))</f>
        <v>4</v>
      </c>
      <c r="G2654" s="52">
        <v>2</v>
      </c>
      <c r="H2654" s="90" t="s">
        <v>115</v>
      </c>
      <c r="I2654" s="94" t="s">
        <v>85</v>
      </c>
      <c r="J2654" s="87" t="s">
        <v>1595</v>
      </c>
      <c r="K2654" s="119" t="s">
        <v>4918</v>
      </c>
      <c r="L2654" s="117">
        <f>IF(O2654="","",N2654*O2654*M2654)</f>
        <v>0</v>
      </c>
      <c r="M2654" s="108">
        <v>1</v>
      </c>
      <c r="N2654" s="95">
        <v>1</v>
      </c>
      <c r="O2654" s="109">
        <f>IF(Key!D$1="ON",P2654,IF(SUM(Q2654:DL2654)&lt;1,"",SUM(Q2654:DL2654)/COUNTIF(Q2654:DL2654,"&gt;0")))</f>
        <v>0</v>
      </c>
      <c r="P2654" s="109">
        <f>SUMIFS(Q2654:DK2654,Q$1:DK$1,Dashboard!$K$31)</f>
        <v>0</v>
      </c>
      <c r="U2654" s="95">
        <v>33</v>
      </c>
      <c r="AA2654" s="95">
        <v>25</v>
      </c>
      <c r="AH2654" s="95">
        <v>75</v>
      </c>
    </row>
    <row r="2655" spans="1:34" x14ac:dyDescent="0.3">
      <c r="A2655" s="89" t="str">
        <f>CONCATENATE(D2655,".",F2655,"-",G2655,".",H2655,"")</f>
        <v>2.4-2.1</v>
      </c>
      <c r="B2655" s="89" t="str">
        <f>IF(CONCATENATE(I2655,Key!F$2)=CONCATENATE(INDEX(Dashboard!J:J,MATCH(I2655,Dashboard!J:J,0),1),INDEX(Dashboard!J:K,MATCH(I2655,Dashboard!J:J,0),2)),"ON",IF(Dashboard!K$32="ALL","ON","-"))</f>
        <v>-</v>
      </c>
      <c r="C2655" s="88" t="s">
        <v>152</v>
      </c>
      <c r="D2655" s="89">
        <f>IF(C2655="ID",1,(IF(C2655="PR",2,(IF(C2655="DE",3,(IF(C2655="RS",4,(IF(C2655="RC",5,0)))))))))</f>
        <v>2</v>
      </c>
      <c r="E2655" s="89" t="s">
        <v>228</v>
      </c>
      <c r="F2655" s="89">
        <f>IF(E2655="AM",1,(IF(E2655="BE",2,(IF(E2655="GV",3,(IF(E2655="RA",4,(IF(E2655="RM",5,(IF(E2655="AC",1,(IF(E2655="AT",2,(IF(E2655="DS",3,(IF(E2655="IP",4,(IF(E2655="MA",5,(IF(E2655="PT",6,(IF(E2655="AE",1,(IF(E2655="CM",2,(IF(E2655="DP",3,(IF(E2655="AN",1,(IF(E2655="CO",2,(IF(E2655="IM",3,(IF(E2655="MI",4,(IF(E2655="RP",5,(IF(E2655="SC",6,0)))))))))))))))))))))))))))))))))))))))</f>
        <v>4</v>
      </c>
      <c r="G2655" s="52">
        <v>2</v>
      </c>
      <c r="H2655" s="90" t="s">
        <v>115</v>
      </c>
      <c r="I2655" s="94" t="s">
        <v>85</v>
      </c>
      <c r="J2655" s="87" t="s">
        <v>1562</v>
      </c>
      <c r="K2655" s="119" t="s">
        <v>4980</v>
      </c>
      <c r="L2655" s="117">
        <f>IF(O2655="","",N2655*O2655*M2655)</f>
        <v>0</v>
      </c>
      <c r="M2655" s="108">
        <v>1</v>
      </c>
      <c r="N2655" s="95">
        <v>1</v>
      </c>
      <c r="O2655" s="109">
        <f>IF(Key!D$1="ON",P2655,IF(SUM(Q2655:DL2655)&lt;1,"",SUM(Q2655:DL2655)/COUNTIF(Q2655:DL2655,"&gt;0")))</f>
        <v>0</v>
      </c>
      <c r="P2655" s="109">
        <f>SUMIFS(Q2655:DK2655,Q$1:DK$1,Dashboard!$K$31)</f>
        <v>0</v>
      </c>
      <c r="U2655" s="95">
        <v>33</v>
      </c>
      <c r="AA2655" s="95">
        <v>25</v>
      </c>
      <c r="AH2655" s="95">
        <v>75</v>
      </c>
    </row>
    <row r="2656" spans="1:34" x14ac:dyDescent="0.3">
      <c r="A2656" s="89" t="str">
        <f>CONCATENATE(D2656,".",F2656,"-",G2656,".",H2656,"")</f>
        <v>2.4-2.1</v>
      </c>
      <c r="B2656" s="89" t="str">
        <f>IF(CONCATENATE(I2656,Key!F$2)=CONCATENATE(INDEX(Dashboard!J:J,MATCH(I2656,Dashboard!J:J,0),1),INDEX(Dashboard!J:K,MATCH(I2656,Dashboard!J:J,0),2)),"ON",IF(Dashboard!K$32="ALL","ON","-"))</f>
        <v>-</v>
      </c>
      <c r="C2656" s="88" t="s">
        <v>152</v>
      </c>
      <c r="D2656" s="89">
        <f>IF(C2656="ID",1,(IF(C2656="PR",2,(IF(C2656="DE",3,(IF(C2656="RS",4,(IF(C2656="RC",5,0)))))))))</f>
        <v>2</v>
      </c>
      <c r="E2656" s="89" t="s">
        <v>228</v>
      </c>
      <c r="F2656" s="89">
        <f>IF(E2656="AM",1,(IF(E2656="BE",2,(IF(E2656="GV",3,(IF(E2656="RA",4,(IF(E2656="RM",5,(IF(E2656="AC",1,(IF(E2656="AT",2,(IF(E2656="DS",3,(IF(E2656="IP",4,(IF(E2656="MA",5,(IF(E2656="PT",6,(IF(E2656="AE",1,(IF(E2656="CM",2,(IF(E2656="DP",3,(IF(E2656="AN",1,(IF(E2656="CO",2,(IF(E2656="IM",3,(IF(E2656="MI",4,(IF(E2656="RP",5,(IF(E2656="SC",6,0)))))))))))))))))))))))))))))))))))))))</f>
        <v>4</v>
      </c>
      <c r="G2656" s="52">
        <v>2</v>
      </c>
      <c r="H2656" s="90" t="s">
        <v>115</v>
      </c>
      <c r="I2656" s="94" t="s">
        <v>85</v>
      </c>
      <c r="J2656" s="87" t="s">
        <v>1571</v>
      </c>
      <c r="K2656" s="119" t="s">
        <v>4984</v>
      </c>
      <c r="L2656" s="117">
        <f>IF(O2656="","",N2656*O2656*M2656)</f>
        <v>0</v>
      </c>
      <c r="M2656" s="108">
        <v>1</v>
      </c>
      <c r="N2656" s="95">
        <v>1</v>
      </c>
      <c r="O2656" s="109">
        <f>IF(Key!D$1="ON",P2656,IF(SUM(Q2656:DL2656)&lt;1,"",SUM(Q2656:DL2656)/COUNTIF(Q2656:DL2656,"&gt;0")))</f>
        <v>0</v>
      </c>
      <c r="P2656" s="109">
        <f>SUMIFS(Q2656:DK2656,Q$1:DK$1,Dashboard!$K$31)</f>
        <v>0</v>
      </c>
      <c r="U2656" s="95">
        <v>33</v>
      </c>
      <c r="AA2656" s="95">
        <v>25</v>
      </c>
      <c r="AH2656" s="95">
        <v>75</v>
      </c>
    </row>
    <row r="2657" spans="1:34" x14ac:dyDescent="0.3">
      <c r="A2657" s="89" t="str">
        <f>CONCATENATE(D2657,".",F2657,"-",G2657,".",H2657,"")</f>
        <v>2.4-2.1</v>
      </c>
      <c r="B2657" s="89" t="str">
        <f>IF(CONCATENATE(I2657,Key!F$2)=CONCATENATE(INDEX(Dashboard!J:J,MATCH(I2657,Dashboard!J:J,0),1),INDEX(Dashboard!J:K,MATCH(I2657,Dashboard!J:J,0),2)),"ON",IF(Dashboard!K$32="ALL","ON","-"))</f>
        <v>-</v>
      </c>
      <c r="C2657" s="96" t="s">
        <v>152</v>
      </c>
      <c r="D2657" s="89">
        <f>IF(C2657="ID",1,(IF(C2657="PR",2,(IF(C2657="DE",3,(IF(C2657="RS",4,(IF(C2657="RC",5,0)))))))))</f>
        <v>2</v>
      </c>
      <c r="E2657" s="89" t="s">
        <v>228</v>
      </c>
      <c r="F2657" s="89">
        <f>IF(E2657="AM",1,(IF(E2657="BE",2,(IF(E2657="GV",3,(IF(E2657="RA",4,(IF(E2657="RM",5,(IF(E2657="AC",1,(IF(E2657="AT",2,(IF(E2657="DS",3,(IF(E2657="IP",4,(IF(E2657="MA",5,(IF(E2657="PT",6,(IF(E2657="AE",1,(IF(E2657="CM",2,(IF(E2657="DP",3,(IF(E2657="AN",1,(IF(E2657="CO",2,(IF(E2657="IM",3,(IF(E2657="MI",4,(IF(E2657="RP",5,(IF(E2657="SC",6,0)))))))))))))))))))))))))))))))))))))))</f>
        <v>4</v>
      </c>
      <c r="G2657" s="98">
        <v>2</v>
      </c>
      <c r="H2657" s="90" t="s">
        <v>115</v>
      </c>
      <c r="I2657" s="94" t="s">
        <v>85</v>
      </c>
      <c r="J2657" s="87" t="s">
        <v>1598</v>
      </c>
      <c r="K2657" s="119" t="s">
        <v>1599</v>
      </c>
      <c r="L2657" s="117">
        <f>IF(O2657="","",N2657*O2657*M2657)</f>
        <v>0</v>
      </c>
      <c r="M2657" s="108">
        <v>1</v>
      </c>
      <c r="N2657" s="95">
        <v>1</v>
      </c>
      <c r="O2657" s="109">
        <f>IF(Key!D$1="ON",P2657,IF(SUM(Q2657:DL2657)&lt;1,"",SUM(Q2657:DL2657)/COUNTIF(Q2657:DL2657,"&gt;0")))</f>
        <v>0</v>
      </c>
      <c r="P2657" s="109">
        <f>SUMIFS(Q2657:DK2657,Q$1:DK$1,Dashboard!$K$31)</f>
        <v>0</v>
      </c>
      <c r="U2657" s="95">
        <v>33</v>
      </c>
      <c r="AA2657" s="95">
        <v>25</v>
      </c>
      <c r="AH2657" s="95">
        <v>75</v>
      </c>
    </row>
    <row r="2658" spans="1:34" x14ac:dyDescent="0.3">
      <c r="A2658" s="89" t="str">
        <f>CONCATENATE(D2658,".",F2658,"-",G2658,".",H2658,"")</f>
        <v>2.4-2.1</v>
      </c>
      <c r="B2658" s="89" t="str">
        <f>IF(CONCATENATE(I2658,Key!F$2)=CONCATENATE(INDEX(Dashboard!J:J,MATCH(I2658,Dashboard!J:J,0),1),INDEX(Dashboard!J:K,MATCH(I2658,Dashboard!J:J,0),2)),"ON",IF(Dashboard!K$32="ALL","ON","-"))</f>
        <v>-</v>
      </c>
      <c r="C2658" s="88" t="s">
        <v>152</v>
      </c>
      <c r="D2658" s="89">
        <f>IF(C2658="ID",1,(IF(C2658="PR",2,(IF(C2658="DE",3,(IF(C2658="RS",4,(IF(C2658="RC",5,0)))))))))</f>
        <v>2</v>
      </c>
      <c r="E2658" s="89" t="s">
        <v>228</v>
      </c>
      <c r="F2658" s="89">
        <f>IF(E2658="AM",1,(IF(E2658="BE",2,(IF(E2658="GV",3,(IF(E2658="RA",4,(IF(E2658="RM",5,(IF(E2658="AC",1,(IF(E2658="AT",2,(IF(E2658="DS",3,(IF(E2658="IP",4,(IF(E2658="MA",5,(IF(E2658="PT",6,(IF(E2658="AE",1,(IF(E2658="CM",2,(IF(E2658="DP",3,(IF(E2658="AN",1,(IF(E2658="CO",2,(IF(E2658="IM",3,(IF(E2658="MI",4,(IF(E2658="RP",5,(IF(E2658="SC",6,0)))))))))))))))))))))))))))))))))))))))</f>
        <v>4</v>
      </c>
      <c r="G2658" s="52">
        <v>2</v>
      </c>
      <c r="H2658" s="90" t="s">
        <v>115</v>
      </c>
      <c r="I2658" s="94" t="s">
        <v>85</v>
      </c>
      <c r="J2658" s="87" t="s">
        <v>1565</v>
      </c>
      <c r="K2658" s="119" t="s">
        <v>4981</v>
      </c>
      <c r="L2658" s="117">
        <f>IF(O2658="","",N2658*O2658*M2658)</f>
        <v>0</v>
      </c>
      <c r="M2658" s="108">
        <v>1</v>
      </c>
      <c r="N2658" s="95">
        <v>1</v>
      </c>
      <c r="O2658" s="109">
        <f>IF(Key!D$1="ON",P2658,IF(SUM(Q2658:DL2658)&lt;1,"",SUM(Q2658:DL2658)/COUNTIF(Q2658:DL2658,"&gt;0")))</f>
        <v>0</v>
      </c>
      <c r="P2658" s="109">
        <f>SUMIFS(Q2658:DK2658,Q$1:DK$1,Dashboard!$K$31)</f>
        <v>0</v>
      </c>
      <c r="U2658" s="95">
        <v>33</v>
      </c>
      <c r="AA2658" s="95">
        <v>25</v>
      </c>
      <c r="AH2658" s="95">
        <v>75</v>
      </c>
    </row>
    <row r="2659" spans="1:34" x14ac:dyDescent="0.3">
      <c r="A2659" s="89" t="str">
        <f>CONCATENATE(D2659,".",F2659,"-",G2659,".",H2659,"")</f>
        <v>2.4-2.1</v>
      </c>
      <c r="B2659" s="89" t="str">
        <f>IF(CONCATENATE(I2659,Key!F$2)=CONCATENATE(INDEX(Dashboard!J:J,MATCH(I2659,Dashboard!J:J,0),1),INDEX(Dashboard!J:K,MATCH(I2659,Dashboard!J:J,0),2)),"ON",IF(Dashboard!K$32="ALL","ON","-"))</f>
        <v>-</v>
      </c>
      <c r="C2659" s="88" t="s">
        <v>152</v>
      </c>
      <c r="D2659" s="89">
        <f>IF(C2659="ID",1,(IF(C2659="PR",2,(IF(C2659="DE",3,(IF(C2659="RS",4,(IF(C2659="RC",5,0)))))))))</f>
        <v>2</v>
      </c>
      <c r="E2659" s="89" t="s">
        <v>228</v>
      </c>
      <c r="F2659" s="89">
        <f>IF(E2659="AM",1,(IF(E2659="BE",2,(IF(E2659="GV",3,(IF(E2659="RA",4,(IF(E2659="RM",5,(IF(E2659="AC",1,(IF(E2659="AT",2,(IF(E2659="DS",3,(IF(E2659="IP",4,(IF(E2659="MA",5,(IF(E2659="PT",6,(IF(E2659="AE",1,(IF(E2659="CM",2,(IF(E2659="DP",3,(IF(E2659="AN",1,(IF(E2659="CO",2,(IF(E2659="IM",3,(IF(E2659="MI",4,(IF(E2659="RP",5,(IF(E2659="SC",6,0)))))))))))))))))))))))))))))))))))))))</f>
        <v>4</v>
      </c>
      <c r="G2659" s="52">
        <v>2</v>
      </c>
      <c r="H2659" s="90" t="s">
        <v>115</v>
      </c>
      <c r="I2659" s="94" t="s">
        <v>85</v>
      </c>
      <c r="J2659" s="87" t="s">
        <v>1575</v>
      </c>
      <c r="K2659" s="119" t="s">
        <v>4989</v>
      </c>
      <c r="L2659" s="117">
        <f>IF(O2659="","",N2659*O2659*M2659)</f>
        <v>0</v>
      </c>
      <c r="M2659" s="108">
        <v>1</v>
      </c>
      <c r="N2659" s="95">
        <v>1</v>
      </c>
      <c r="O2659" s="109">
        <f>IF(Key!D$1="ON",P2659,IF(SUM(Q2659:DL2659)&lt;1,"",SUM(Q2659:DL2659)/COUNTIF(Q2659:DL2659,"&gt;0")))</f>
        <v>0</v>
      </c>
      <c r="P2659" s="109">
        <f>SUMIFS(Q2659:DK2659,Q$1:DK$1,Dashboard!$K$31)</f>
        <v>0</v>
      </c>
      <c r="U2659" s="95">
        <v>33</v>
      </c>
      <c r="AA2659" s="95">
        <v>25</v>
      </c>
      <c r="AH2659" s="95">
        <v>75</v>
      </c>
    </row>
    <row r="2660" spans="1:34" ht="15.6" x14ac:dyDescent="0.3">
      <c r="A2660" s="89" t="str">
        <f>CONCATENATE(D2660,".",F2660,"-",G2660,".",H2660,"")</f>
        <v>2.4-2.1</v>
      </c>
      <c r="B2660" s="89" t="str">
        <f>IF(CONCATENATE(I2660,Key!F$2)=CONCATENATE(INDEX(Dashboard!J:J,MATCH(I2660,Dashboard!J:J,0),1),INDEX(Dashboard!J:K,MATCH(I2660,Dashboard!J:J,0),2)),"ON",IF(Dashboard!K$32="ALL","ON","-"))</f>
        <v>-</v>
      </c>
      <c r="C2660" s="88" t="s">
        <v>152</v>
      </c>
      <c r="D2660" s="89">
        <f>IF(C2660="ID",1,(IF(C2660="PR",2,(IF(C2660="DE",3,(IF(C2660="RS",4,(IF(C2660="RC",5,0)))))))))</f>
        <v>2</v>
      </c>
      <c r="E2660" s="89" t="s">
        <v>228</v>
      </c>
      <c r="F2660" s="89">
        <f>IF(E2660="AM",1,(IF(E2660="BE",2,(IF(E2660="GV",3,(IF(E2660="RA",4,(IF(E2660="RM",5,(IF(E2660="AC",1,(IF(E2660="AT",2,(IF(E2660="DS",3,(IF(E2660="IP",4,(IF(E2660="MA",5,(IF(E2660="PT",6,(IF(E2660="AE",1,(IF(E2660="CM",2,(IF(E2660="DP",3,(IF(E2660="AN",1,(IF(E2660="CO",2,(IF(E2660="IM",3,(IF(E2660="MI",4,(IF(E2660="RP",5,(IF(E2660="SC",6,0)))))))))))))))))))))))))))))))))))))))</f>
        <v>4</v>
      </c>
      <c r="G2660" s="52">
        <v>2</v>
      </c>
      <c r="H2660" s="90" t="s">
        <v>115</v>
      </c>
      <c r="I2660" s="94" t="s">
        <v>85</v>
      </c>
      <c r="J2660" s="87" t="s">
        <v>1558</v>
      </c>
      <c r="K2660" s="119" t="s">
        <v>4964</v>
      </c>
      <c r="L2660" s="117">
        <f>IF(O2660="","",N2660*O2660*M2660)</f>
        <v>0</v>
      </c>
      <c r="M2660" s="108">
        <v>1</v>
      </c>
      <c r="N2660" s="95">
        <v>1</v>
      </c>
      <c r="O2660" s="109">
        <f>IF(Key!D$1="ON",P2660,IF(SUM(Q2660:DL2660)&lt;1,"",SUM(Q2660:DL2660)/COUNTIF(Q2660:DL2660,"&gt;0")))</f>
        <v>0</v>
      </c>
      <c r="P2660" s="109">
        <f>SUMIFS(Q2660:DK2660,Q$1:DK$1,Dashboard!$K$31)</f>
        <v>0</v>
      </c>
      <c r="U2660" s="95">
        <v>33</v>
      </c>
      <c r="AA2660" s="95">
        <v>25</v>
      </c>
      <c r="AH2660" s="95">
        <v>75</v>
      </c>
    </row>
    <row r="2661" spans="1:34" ht="15.6" x14ac:dyDescent="0.3">
      <c r="A2661" s="89" t="str">
        <f>CONCATENATE(D2661,".",F2661,"-",G2661,".",H2661,"")</f>
        <v>2.4-2.1</v>
      </c>
      <c r="B2661" s="89" t="str">
        <f>IF(CONCATENATE(I2661,Key!F$2)=CONCATENATE(INDEX(Dashboard!J:J,MATCH(I2661,Dashboard!J:J,0),1),INDEX(Dashboard!J:K,MATCH(I2661,Dashboard!J:J,0),2)),"ON",IF(Dashboard!K$32="ALL","ON","-"))</f>
        <v>-</v>
      </c>
      <c r="C2661" s="88" t="s">
        <v>152</v>
      </c>
      <c r="D2661" s="89">
        <f>IF(C2661="ID",1,(IF(C2661="PR",2,(IF(C2661="DE",3,(IF(C2661="RS",4,(IF(C2661="RC",5,0)))))))))</f>
        <v>2</v>
      </c>
      <c r="E2661" s="89" t="s">
        <v>228</v>
      </c>
      <c r="F2661" s="89">
        <f>IF(E2661="AM",1,(IF(E2661="BE",2,(IF(E2661="GV",3,(IF(E2661="RA",4,(IF(E2661="RM",5,(IF(E2661="AC",1,(IF(E2661="AT",2,(IF(E2661="DS",3,(IF(E2661="IP",4,(IF(E2661="MA",5,(IF(E2661="PT",6,(IF(E2661="AE",1,(IF(E2661="CM",2,(IF(E2661="DP",3,(IF(E2661="AN",1,(IF(E2661="CO",2,(IF(E2661="IM",3,(IF(E2661="MI",4,(IF(E2661="RP",5,(IF(E2661="SC",6,0)))))))))))))))))))))))))))))))))))))))</f>
        <v>4</v>
      </c>
      <c r="G2661" s="52">
        <v>2</v>
      </c>
      <c r="H2661" s="90" t="s">
        <v>115</v>
      </c>
      <c r="I2661" s="94" t="s">
        <v>85</v>
      </c>
      <c r="J2661" s="87" t="s">
        <v>1580</v>
      </c>
      <c r="K2661" s="119" t="s">
        <v>4994</v>
      </c>
      <c r="L2661" s="117">
        <f>IF(O2661="","",N2661*O2661*M2661)</f>
        <v>0</v>
      </c>
      <c r="M2661" s="108">
        <v>1</v>
      </c>
      <c r="N2661" s="95">
        <v>1</v>
      </c>
      <c r="O2661" s="109">
        <f>IF(Key!D$1="ON",P2661,IF(SUM(Q2661:DL2661)&lt;1,"",SUM(Q2661:DL2661)/COUNTIF(Q2661:DL2661,"&gt;0")))</f>
        <v>0</v>
      </c>
      <c r="P2661" s="109">
        <f>SUMIFS(Q2661:DK2661,Q$1:DK$1,Dashboard!$K$31)</f>
        <v>0</v>
      </c>
      <c r="U2661" s="95">
        <v>33</v>
      </c>
      <c r="AA2661" s="95">
        <v>25</v>
      </c>
      <c r="AH2661" s="95">
        <v>75</v>
      </c>
    </row>
    <row r="2662" spans="1:34" ht="15.6" x14ac:dyDescent="0.3">
      <c r="A2662" s="89" t="str">
        <f>CONCATENATE(D2662,".",F2662,"-",G2662,".",H2662,"")</f>
        <v>2.4-2.1</v>
      </c>
      <c r="B2662" s="89" t="str">
        <f>IF(CONCATENATE(I2662,Key!F$2)=CONCATENATE(INDEX(Dashboard!J:J,MATCH(I2662,Dashboard!J:J,0),1),INDEX(Dashboard!J:K,MATCH(I2662,Dashboard!J:J,0),2)),"ON",IF(Dashboard!K$32="ALL","ON","-"))</f>
        <v>-</v>
      </c>
      <c r="C2662" s="88" t="s">
        <v>152</v>
      </c>
      <c r="D2662" s="89">
        <f>IF(C2662="ID",1,(IF(C2662="PR",2,(IF(C2662="DE",3,(IF(C2662="RS",4,(IF(C2662="RC",5,0)))))))))</f>
        <v>2</v>
      </c>
      <c r="E2662" s="89" t="s">
        <v>228</v>
      </c>
      <c r="F2662" s="89">
        <f>IF(E2662="AM",1,(IF(E2662="BE",2,(IF(E2662="GV",3,(IF(E2662="RA",4,(IF(E2662="RM",5,(IF(E2662="AC",1,(IF(E2662="AT",2,(IF(E2662="DS",3,(IF(E2662="IP",4,(IF(E2662="MA",5,(IF(E2662="PT",6,(IF(E2662="AE",1,(IF(E2662="CM",2,(IF(E2662="DP",3,(IF(E2662="AN",1,(IF(E2662="CO",2,(IF(E2662="IM",3,(IF(E2662="MI",4,(IF(E2662="RP",5,(IF(E2662="SC",6,0)))))))))))))))))))))))))))))))))))))))</f>
        <v>4</v>
      </c>
      <c r="G2662" s="52">
        <v>2</v>
      </c>
      <c r="H2662" s="90" t="s">
        <v>115</v>
      </c>
      <c r="I2662" s="94" t="s">
        <v>85</v>
      </c>
      <c r="J2662" s="87" t="s">
        <v>1579</v>
      </c>
      <c r="K2662" s="119" t="s">
        <v>4993</v>
      </c>
      <c r="L2662" s="117">
        <f>IF(O2662="","",N2662*O2662*M2662)</f>
        <v>0</v>
      </c>
      <c r="M2662" s="108">
        <v>1</v>
      </c>
      <c r="N2662" s="95">
        <v>1</v>
      </c>
      <c r="O2662" s="109">
        <f>IF(Key!D$1="ON",P2662,IF(SUM(Q2662:DL2662)&lt;1,"",SUM(Q2662:DL2662)/COUNTIF(Q2662:DL2662,"&gt;0")))</f>
        <v>0</v>
      </c>
      <c r="P2662" s="109">
        <f>SUMIFS(Q2662:DK2662,Q$1:DK$1,Dashboard!$K$31)</f>
        <v>0</v>
      </c>
      <c r="U2662" s="95">
        <v>33</v>
      </c>
      <c r="AA2662" s="95">
        <v>25</v>
      </c>
      <c r="AH2662" s="95">
        <v>75</v>
      </c>
    </row>
    <row r="2663" spans="1:34" ht="15.6" x14ac:dyDescent="0.3">
      <c r="A2663" s="89" t="str">
        <f>CONCATENATE(D2663,".",F2663,"-",G2663,".",H2663,"")</f>
        <v>2.4-2.1</v>
      </c>
      <c r="B2663" s="89" t="str">
        <f>IF(CONCATENATE(I2663,Key!F$2)=CONCATENATE(INDEX(Dashboard!J:J,MATCH(I2663,Dashboard!J:J,0),1),INDEX(Dashboard!J:K,MATCH(I2663,Dashboard!J:J,0),2)),"ON",IF(Dashboard!K$32="ALL","ON","-"))</f>
        <v>-</v>
      </c>
      <c r="C2663" s="96" t="s">
        <v>152</v>
      </c>
      <c r="D2663" s="89">
        <f>IF(C2663="ID",1,(IF(C2663="PR",2,(IF(C2663="DE",3,(IF(C2663="RS",4,(IF(C2663="RC",5,0)))))))))</f>
        <v>2</v>
      </c>
      <c r="E2663" s="89" t="s">
        <v>228</v>
      </c>
      <c r="F2663" s="89">
        <f>IF(E2663="AM",1,(IF(E2663="BE",2,(IF(E2663="GV",3,(IF(E2663="RA",4,(IF(E2663="RM",5,(IF(E2663="AC",1,(IF(E2663="AT",2,(IF(E2663="DS",3,(IF(E2663="IP",4,(IF(E2663="MA",5,(IF(E2663="PT",6,(IF(E2663="AE",1,(IF(E2663="CM",2,(IF(E2663="DP",3,(IF(E2663="AN",1,(IF(E2663="CO",2,(IF(E2663="IM",3,(IF(E2663="MI",4,(IF(E2663="RP",5,(IF(E2663="SC",6,0)))))))))))))))))))))))))))))))))))))))</f>
        <v>4</v>
      </c>
      <c r="G2663" s="98">
        <v>2</v>
      </c>
      <c r="H2663" s="90" t="s">
        <v>115</v>
      </c>
      <c r="I2663" s="94" t="s">
        <v>85</v>
      </c>
      <c r="J2663" s="87" t="s">
        <v>1585</v>
      </c>
      <c r="K2663" s="119" t="s">
        <v>1586</v>
      </c>
      <c r="L2663" s="117">
        <f>IF(O2663="","",N2663*O2663*M2663)</f>
        <v>0</v>
      </c>
      <c r="M2663" s="108">
        <v>0.9</v>
      </c>
      <c r="N2663" s="95">
        <v>1</v>
      </c>
      <c r="O2663" s="109">
        <f>IF(Key!D$1="ON",P2663,IF(SUM(Q2663:DL2663)&lt;1,"",SUM(Q2663:DL2663)/COUNTIF(Q2663:DL2663,"&gt;0")))</f>
        <v>0</v>
      </c>
      <c r="P2663" s="109">
        <f>SUMIFS(Q2663:DK2663,Q$1:DK$1,Dashboard!$K$31)</f>
        <v>0</v>
      </c>
      <c r="S2663" s="95">
        <v>85</v>
      </c>
      <c r="T2663" s="95">
        <v>80</v>
      </c>
      <c r="U2663" s="95">
        <v>33</v>
      </c>
      <c r="AA2663" s="95">
        <v>25</v>
      </c>
      <c r="AH2663" s="95">
        <v>75</v>
      </c>
    </row>
    <row r="2664" spans="1:34" ht="15.6" x14ac:dyDescent="0.3">
      <c r="A2664" s="89" t="str">
        <f>CONCATENATE(D2664,".",F2664,"-",G2664,".",H2664,"")</f>
        <v>2.4-2.1</v>
      </c>
      <c r="B2664" s="89" t="str">
        <f>IF(CONCATENATE(I2664,Key!F$2)=CONCATENATE(INDEX(Dashboard!J:J,MATCH(I2664,Dashboard!J:J,0),1),INDEX(Dashboard!J:K,MATCH(I2664,Dashboard!J:J,0),2)),"ON",IF(Dashboard!K$32="ALL","ON","-"))</f>
        <v>-</v>
      </c>
      <c r="C2664" s="88" t="s">
        <v>152</v>
      </c>
      <c r="D2664" s="89">
        <f>IF(C2664="ID",1,(IF(C2664="PR",2,(IF(C2664="DE",3,(IF(C2664="RS",4,(IF(C2664="RC",5,0)))))))))</f>
        <v>2</v>
      </c>
      <c r="E2664" s="89" t="s">
        <v>228</v>
      </c>
      <c r="F2664" s="89">
        <f>IF(E2664="AM",1,(IF(E2664="BE",2,(IF(E2664="GV",3,(IF(E2664="RA",4,(IF(E2664="RM",5,(IF(E2664="AC",1,(IF(E2664="AT",2,(IF(E2664="DS",3,(IF(E2664="IP",4,(IF(E2664="MA",5,(IF(E2664="PT",6,(IF(E2664="AE",1,(IF(E2664="CM",2,(IF(E2664="DP",3,(IF(E2664="AN",1,(IF(E2664="CO",2,(IF(E2664="IM",3,(IF(E2664="MI",4,(IF(E2664="RP",5,(IF(E2664="SC",6,0)))))))))))))))))))))))))))))))))))))))</f>
        <v>4</v>
      </c>
      <c r="G2664" s="52">
        <v>2</v>
      </c>
      <c r="H2664" s="90" t="s">
        <v>115</v>
      </c>
      <c r="I2664" s="94" t="s">
        <v>85</v>
      </c>
      <c r="J2664" s="86" t="s">
        <v>782</v>
      </c>
      <c r="K2664" s="119" t="s">
        <v>4922</v>
      </c>
      <c r="L2664" s="117">
        <f>IF(O2664="","",N2664*O2664*M2664)</f>
        <v>0</v>
      </c>
      <c r="M2664" s="108">
        <v>1</v>
      </c>
      <c r="N2664" s="95">
        <v>1</v>
      </c>
      <c r="O2664" s="109">
        <f>IF(Key!D$1="ON",P2664,IF(SUM(Q2664:DL2664)&lt;1,"",SUM(Q2664:DL2664)/COUNTIF(Q2664:DL2664,"&gt;0")))</f>
        <v>0</v>
      </c>
      <c r="P2664" s="109">
        <f>SUMIFS(Q2664:DK2664,Q$1:DK$1,Dashboard!$K$31)</f>
        <v>0</v>
      </c>
      <c r="U2664" s="95">
        <v>33</v>
      </c>
      <c r="AA2664" s="95">
        <v>25</v>
      </c>
      <c r="AH2664" s="95">
        <v>75</v>
      </c>
    </row>
    <row r="2665" spans="1:34" ht="15.6" x14ac:dyDescent="0.3">
      <c r="A2665" s="89" t="str">
        <f>CONCATENATE(D2665,".",F2665,"-",G2665,".",H2665,"")</f>
        <v>2.4-2.1</v>
      </c>
      <c r="B2665" s="89" t="str">
        <f>IF(CONCATENATE(I2665,Key!F$2)=CONCATENATE(INDEX(Dashboard!J:J,MATCH(I2665,Dashboard!J:J,0),1),INDEX(Dashboard!J:K,MATCH(I2665,Dashboard!J:J,0),2)),"ON",IF(Dashboard!K$32="ALL","ON","-"))</f>
        <v>-</v>
      </c>
      <c r="C2665" s="88" t="s">
        <v>152</v>
      </c>
      <c r="D2665" s="89">
        <f>IF(C2665="ID",1,(IF(C2665="PR",2,(IF(C2665="DE",3,(IF(C2665="RS",4,(IF(C2665="RC",5,0)))))))))</f>
        <v>2</v>
      </c>
      <c r="E2665" s="89" t="s">
        <v>228</v>
      </c>
      <c r="F2665" s="89">
        <f>IF(E2665="AM",1,(IF(E2665="BE",2,(IF(E2665="GV",3,(IF(E2665="RA",4,(IF(E2665="RM",5,(IF(E2665="AC",1,(IF(E2665="AT",2,(IF(E2665="DS",3,(IF(E2665="IP",4,(IF(E2665="MA",5,(IF(E2665="PT",6,(IF(E2665="AE",1,(IF(E2665="CM",2,(IF(E2665="DP",3,(IF(E2665="AN",1,(IF(E2665="CO",2,(IF(E2665="IM",3,(IF(E2665="MI",4,(IF(E2665="RP",5,(IF(E2665="SC",6,0)))))))))))))))))))))))))))))))))))))))</f>
        <v>4</v>
      </c>
      <c r="G2665" s="52">
        <v>2</v>
      </c>
      <c r="H2665" s="90" t="s">
        <v>115</v>
      </c>
      <c r="I2665" s="94" t="s">
        <v>85</v>
      </c>
      <c r="J2665" s="87" t="s">
        <v>1593</v>
      </c>
      <c r="K2665" s="119" t="s">
        <v>4916</v>
      </c>
      <c r="L2665" s="117">
        <f>IF(O2665="","",N2665*O2665*M2665)</f>
        <v>0</v>
      </c>
      <c r="M2665" s="108">
        <v>1</v>
      </c>
      <c r="N2665" s="95">
        <v>1</v>
      </c>
      <c r="O2665" s="109">
        <f>IF(Key!D$1="ON",P2665,IF(SUM(Q2665:DL2665)&lt;1,"",SUM(Q2665:DL2665)/COUNTIF(Q2665:DL2665,"&gt;0")))</f>
        <v>0</v>
      </c>
      <c r="P2665" s="109">
        <f>SUMIFS(Q2665:DK2665,Q$1:DK$1,Dashboard!$K$31)</f>
        <v>0</v>
      </c>
      <c r="U2665" s="95">
        <v>33</v>
      </c>
      <c r="AA2665" s="95">
        <v>25</v>
      </c>
      <c r="AH2665" s="95">
        <v>75</v>
      </c>
    </row>
    <row r="2666" spans="1:34" ht="15.6" x14ac:dyDescent="0.3">
      <c r="A2666" s="89" t="str">
        <f>CONCATENATE(D2666,".",F2666,"-",G2666,".",H2666,"")</f>
        <v>2.4-2.1</v>
      </c>
      <c r="B2666" s="89" t="str">
        <f>IF(CONCATENATE(I2666,Key!F$2)=CONCATENATE(INDEX(Dashboard!J:J,MATCH(I2666,Dashboard!J:J,0),1),INDEX(Dashboard!J:K,MATCH(I2666,Dashboard!J:J,0),2)),"ON",IF(Dashboard!K$32="ALL","ON","-"))</f>
        <v>-</v>
      </c>
      <c r="C2666" s="88" t="s">
        <v>152</v>
      </c>
      <c r="D2666" s="89">
        <f>IF(C2666="ID",1,(IF(C2666="PR",2,(IF(C2666="DE",3,(IF(C2666="RS",4,(IF(C2666="RC",5,0)))))))))</f>
        <v>2</v>
      </c>
      <c r="E2666" s="89" t="s">
        <v>228</v>
      </c>
      <c r="F2666" s="89">
        <f>IF(E2666="AM",1,(IF(E2666="BE",2,(IF(E2666="GV",3,(IF(E2666="RA",4,(IF(E2666="RM",5,(IF(E2666="AC",1,(IF(E2666="AT",2,(IF(E2666="DS",3,(IF(E2666="IP",4,(IF(E2666="MA",5,(IF(E2666="PT",6,(IF(E2666="AE",1,(IF(E2666="CM",2,(IF(E2666="DP",3,(IF(E2666="AN",1,(IF(E2666="CO",2,(IF(E2666="IM",3,(IF(E2666="MI",4,(IF(E2666="RP",5,(IF(E2666="SC",6,0)))))))))))))))))))))))))))))))))))))))</f>
        <v>4</v>
      </c>
      <c r="G2666" s="98">
        <v>2</v>
      </c>
      <c r="H2666" s="90" t="s">
        <v>115</v>
      </c>
      <c r="I2666" s="94" t="s">
        <v>85</v>
      </c>
      <c r="J2666" s="87" t="s">
        <v>1582</v>
      </c>
      <c r="K2666" s="119" t="s">
        <v>1583</v>
      </c>
      <c r="L2666" s="117">
        <f>IF(O2666="","",N2666*O2666*M2666)</f>
        <v>0</v>
      </c>
      <c r="M2666" s="108">
        <v>1</v>
      </c>
      <c r="N2666" s="95">
        <v>1</v>
      </c>
      <c r="O2666" s="109">
        <f>IF(Key!D$1="ON",P2666,IF(SUM(Q2666:DL2666)&lt;1,"",SUM(Q2666:DL2666)/COUNTIF(Q2666:DL2666,"&gt;0")))</f>
        <v>0</v>
      </c>
      <c r="P2666" s="109">
        <f>SUMIFS(Q2666:DK2666,Q$1:DK$1,Dashboard!$K$31)</f>
        <v>0</v>
      </c>
      <c r="U2666" s="95">
        <v>33</v>
      </c>
      <c r="AA2666" s="95">
        <v>25</v>
      </c>
      <c r="AH2666" s="95">
        <v>75</v>
      </c>
    </row>
    <row r="2667" spans="1:34" ht="15.6" x14ac:dyDescent="0.3">
      <c r="A2667" s="89" t="str">
        <f>CONCATENATE(D2667,".",F2667,"-",G2667,".",H2667,"")</f>
        <v>2.4-2.1</v>
      </c>
      <c r="B2667" s="89" t="str">
        <f>IF(CONCATENATE(I2667,Key!F$2)=CONCATENATE(INDEX(Dashboard!J:J,MATCH(I2667,Dashboard!J:J,0),1),INDEX(Dashboard!J:K,MATCH(I2667,Dashboard!J:J,0),2)),"ON",IF(Dashboard!K$32="ALL","ON","-"))</f>
        <v>-</v>
      </c>
      <c r="C2667" s="88" t="s">
        <v>152</v>
      </c>
      <c r="D2667" s="89">
        <f>IF(C2667="ID",1,(IF(C2667="PR",2,(IF(C2667="DE",3,(IF(C2667="RS",4,(IF(C2667="RC",5,0)))))))))</f>
        <v>2</v>
      </c>
      <c r="E2667" s="89" t="s">
        <v>228</v>
      </c>
      <c r="F2667" s="89">
        <f>IF(E2667="AM",1,(IF(E2667="BE",2,(IF(E2667="GV",3,(IF(E2667="RA",4,(IF(E2667="RM",5,(IF(E2667="AC",1,(IF(E2667="AT",2,(IF(E2667="DS",3,(IF(E2667="IP",4,(IF(E2667="MA",5,(IF(E2667="PT",6,(IF(E2667="AE",1,(IF(E2667="CM",2,(IF(E2667="DP",3,(IF(E2667="AN",1,(IF(E2667="CO",2,(IF(E2667="IM",3,(IF(E2667="MI",4,(IF(E2667="RP",5,(IF(E2667="SC",6,0)))))))))))))))))))))))))))))))))))))))</f>
        <v>4</v>
      </c>
      <c r="G2667" s="52">
        <v>2</v>
      </c>
      <c r="H2667" s="90" t="s">
        <v>115</v>
      </c>
      <c r="I2667" s="94" t="s">
        <v>85</v>
      </c>
      <c r="J2667" s="87" t="s">
        <v>1590</v>
      </c>
      <c r="K2667" s="119" t="s">
        <v>4921</v>
      </c>
      <c r="L2667" s="117">
        <f>IF(O2667="","",N2667*O2667*M2667)</f>
        <v>0</v>
      </c>
      <c r="M2667" s="108">
        <v>1</v>
      </c>
      <c r="N2667" s="95">
        <v>1</v>
      </c>
      <c r="O2667" s="109">
        <f>IF(Key!D$1="ON",P2667,IF(SUM(Q2667:DL2667)&lt;1,"",SUM(Q2667:DL2667)/COUNTIF(Q2667:DL2667,"&gt;0")))</f>
        <v>0</v>
      </c>
      <c r="P2667" s="109">
        <f>SUMIFS(Q2667:DK2667,Q$1:DK$1,Dashboard!$K$31)</f>
        <v>0</v>
      </c>
      <c r="U2667" s="95">
        <v>33</v>
      </c>
      <c r="AA2667" s="95">
        <v>25</v>
      </c>
      <c r="AH2667" s="95">
        <v>75</v>
      </c>
    </row>
    <row r="2668" spans="1:34" ht="15.6" x14ac:dyDescent="0.3">
      <c r="A2668" s="89" t="str">
        <f>CONCATENATE(D2668,".",F2668,"-",G2668,".",H2668,"")</f>
        <v>2.4-2.1</v>
      </c>
      <c r="B2668" s="89" t="str">
        <f>IF(CONCATENATE(I2668,Key!F$2)=CONCATENATE(INDEX(Dashboard!J:J,MATCH(I2668,Dashboard!J:J,0),1),INDEX(Dashboard!J:K,MATCH(I2668,Dashboard!J:J,0),2)),"ON",IF(Dashboard!K$32="ALL","ON","-"))</f>
        <v>-</v>
      </c>
      <c r="C2668" s="88" t="s">
        <v>152</v>
      </c>
      <c r="D2668" s="89">
        <f>IF(C2668="ID",1,(IF(C2668="PR",2,(IF(C2668="DE",3,(IF(C2668="RS",4,(IF(C2668="RC",5,0)))))))))</f>
        <v>2</v>
      </c>
      <c r="E2668" s="89" t="s">
        <v>228</v>
      </c>
      <c r="F2668" s="89">
        <f>IF(E2668="AM",1,(IF(E2668="BE",2,(IF(E2668="GV",3,(IF(E2668="RA",4,(IF(E2668="RM",5,(IF(E2668="AC",1,(IF(E2668="AT",2,(IF(E2668="DS",3,(IF(E2668="IP",4,(IF(E2668="MA",5,(IF(E2668="PT",6,(IF(E2668="AE",1,(IF(E2668="CM",2,(IF(E2668="DP",3,(IF(E2668="AN",1,(IF(E2668="CO",2,(IF(E2668="IM",3,(IF(E2668="MI",4,(IF(E2668="RP",5,(IF(E2668="SC",6,0)))))))))))))))))))))))))))))))))))))))</f>
        <v>4</v>
      </c>
      <c r="G2668" s="52">
        <v>2</v>
      </c>
      <c r="H2668" s="90" t="s">
        <v>115</v>
      </c>
      <c r="I2668" s="94" t="s">
        <v>85</v>
      </c>
      <c r="J2668" s="87" t="s">
        <v>1594</v>
      </c>
      <c r="K2668" s="119" t="s">
        <v>4917</v>
      </c>
      <c r="L2668" s="117">
        <f>IF(O2668="","",N2668*O2668*M2668)</f>
        <v>0</v>
      </c>
      <c r="M2668" s="108">
        <v>1</v>
      </c>
      <c r="N2668" s="95">
        <v>1</v>
      </c>
      <c r="O2668" s="109">
        <f>IF(Key!D$1="ON",P2668,IF(SUM(Q2668:DL2668)&lt;1,"",SUM(Q2668:DL2668)/COUNTIF(Q2668:DL2668,"&gt;0")))</f>
        <v>0</v>
      </c>
      <c r="P2668" s="109">
        <f>SUMIFS(Q2668:DK2668,Q$1:DK$1,Dashboard!$K$31)</f>
        <v>0</v>
      </c>
      <c r="U2668" s="95">
        <v>33</v>
      </c>
      <c r="AA2668" s="95">
        <v>25</v>
      </c>
      <c r="AH2668" s="95">
        <v>75</v>
      </c>
    </row>
    <row r="2669" spans="1:34" x14ac:dyDescent="0.3">
      <c r="A2669" s="89" t="str">
        <f>CONCATENATE(D2669,".",F2669,"-",G2669,".",H2669,"")</f>
        <v>2.4-2.1</v>
      </c>
      <c r="B2669" s="89" t="str">
        <f>IF(CONCATENATE(I2669,Key!F$2)=CONCATENATE(INDEX(Dashboard!J:J,MATCH(I2669,Dashboard!J:J,0),1),INDEX(Dashboard!J:K,MATCH(I2669,Dashboard!J:J,0),2)),"ON",IF(Dashboard!K$32="ALL","ON","-"))</f>
        <v>-</v>
      </c>
      <c r="C2669" s="88" t="s">
        <v>152</v>
      </c>
      <c r="D2669" s="89">
        <f>IF(C2669="ID",1,(IF(C2669="PR",2,(IF(C2669="DE",3,(IF(C2669="RS",4,(IF(C2669="RC",5,0)))))))))</f>
        <v>2</v>
      </c>
      <c r="E2669" s="89" t="s">
        <v>228</v>
      </c>
      <c r="F2669" s="89">
        <f>IF(E2669="AM",1,(IF(E2669="BE",2,(IF(E2669="GV",3,(IF(E2669="RA",4,(IF(E2669="RM",5,(IF(E2669="AC",1,(IF(E2669="AT",2,(IF(E2669="DS",3,(IF(E2669="IP",4,(IF(E2669="MA",5,(IF(E2669="PT",6,(IF(E2669="AE",1,(IF(E2669="CM",2,(IF(E2669="DP",3,(IF(E2669="AN",1,(IF(E2669="CO",2,(IF(E2669="IM",3,(IF(E2669="MI",4,(IF(E2669="RP",5,(IF(E2669="SC",6,0)))))))))))))))))))))))))))))))))))))))</f>
        <v>4</v>
      </c>
      <c r="G2669" s="52">
        <v>2</v>
      </c>
      <c r="H2669" s="90" t="s">
        <v>115</v>
      </c>
      <c r="I2669" s="94" t="s">
        <v>85</v>
      </c>
      <c r="J2669" s="87" t="s">
        <v>1671</v>
      </c>
      <c r="K2669" s="119" t="s">
        <v>1672</v>
      </c>
      <c r="L2669" s="117">
        <f>IF(O2669="","",N2669*O2669*M2669)</f>
        <v>0</v>
      </c>
      <c r="M2669" s="108">
        <v>1</v>
      </c>
      <c r="N2669" s="95">
        <v>1</v>
      </c>
      <c r="O2669" s="109">
        <f>IF(Key!D$1="ON",P2669,IF(SUM(Q2669:DL2669)&lt;1,"",SUM(Q2669:DL2669)/COUNTIF(Q2669:DL2669,"&gt;0")))</f>
        <v>0</v>
      </c>
      <c r="P2669" s="109">
        <f>SUMIFS(Q2669:DK2669,Q$1:DK$1,Dashboard!$K$31)</f>
        <v>0</v>
      </c>
      <c r="U2669" s="95">
        <v>33</v>
      </c>
      <c r="AA2669" s="95">
        <v>25</v>
      </c>
      <c r="AH2669" s="95">
        <v>75</v>
      </c>
    </row>
    <row r="2670" spans="1:34" x14ac:dyDescent="0.3">
      <c r="A2670" s="89" t="str">
        <f>CONCATENATE(D2670,".",F2670,"-",G2670,".",H2670,"")</f>
        <v>2.4-2.1</v>
      </c>
      <c r="B2670" s="89" t="str">
        <f>IF(CONCATENATE(I2670,Key!F$2)=CONCATENATE(INDEX(Dashboard!J:J,MATCH(I2670,Dashboard!J:J,0),1),INDEX(Dashboard!J:K,MATCH(I2670,Dashboard!J:J,0),2)),"ON",IF(Dashboard!K$32="ALL","ON","-"))</f>
        <v>-</v>
      </c>
      <c r="C2670" s="96" t="s">
        <v>152</v>
      </c>
      <c r="D2670" s="89">
        <f>IF(C2670="ID",1,(IF(C2670="PR",2,(IF(C2670="DE",3,(IF(C2670="RS",4,(IF(C2670="RC",5,0)))))))))</f>
        <v>2</v>
      </c>
      <c r="E2670" s="89" t="s">
        <v>228</v>
      </c>
      <c r="F2670" s="89">
        <f>IF(E2670="AM",1,(IF(E2670="BE",2,(IF(E2670="GV",3,(IF(E2670="RA",4,(IF(E2670="RM",5,(IF(E2670="AC",1,(IF(E2670="AT",2,(IF(E2670="DS",3,(IF(E2670="IP",4,(IF(E2670="MA",5,(IF(E2670="PT",6,(IF(E2670="AE",1,(IF(E2670="CM",2,(IF(E2670="DP",3,(IF(E2670="AN",1,(IF(E2670="CO",2,(IF(E2670="IM",3,(IF(E2670="MI",4,(IF(E2670="RP",5,(IF(E2670="SC",6,0)))))))))))))))))))))))))))))))))))))))</f>
        <v>4</v>
      </c>
      <c r="G2670" s="52">
        <v>2</v>
      </c>
      <c r="H2670" s="90" t="s">
        <v>115</v>
      </c>
      <c r="I2670" s="94" t="s">
        <v>85</v>
      </c>
      <c r="J2670" s="135" t="s">
        <v>808</v>
      </c>
      <c r="K2670" s="143" t="s">
        <v>4952</v>
      </c>
      <c r="L2670" s="117">
        <f>IF(O2670="","",N2670*O2670*M2670)</f>
        <v>0</v>
      </c>
      <c r="M2670" s="108">
        <v>1</v>
      </c>
      <c r="N2670" s="95">
        <v>1</v>
      </c>
      <c r="O2670" s="109">
        <f>IF(Key!D$1="ON",P2670,IF(SUM(Q2670:DL2670)&lt;1,"",SUM(Q2670:DL2670)/COUNTIF(Q2670:DL2670,"&gt;0")))</f>
        <v>0</v>
      </c>
      <c r="P2670" s="109">
        <f>SUMIFS(Q2670:DK2670,Q$1:DK$1,Dashboard!$K$31)</f>
        <v>0</v>
      </c>
      <c r="U2670" s="95">
        <v>33</v>
      </c>
      <c r="AA2670" s="95">
        <v>25</v>
      </c>
      <c r="AH2670" s="95">
        <v>75</v>
      </c>
    </row>
    <row r="2671" spans="1:34" x14ac:dyDescent="0.3">
      <c r="A2671" s="89" t="str">
        <f>CONCATENATE(D2671,".",F2671,"-",G2671,".",H2671,"")</f>
        <v>2.4-2.1</v>
      </c>
      <c r="B2671" s="89" t="str">
        <f>IF(CONCATENATE(I2671,Key!F$2)=CONCATENATE(INDEX(Dashboard!J:J,MATCH(I2671,Dashboard!J:J,0),1),INDEX(Dashboard!J:K,MATCH(I2671,Dashboard!J:J,0),2)),"ON",IF(Dashboard!K$32="ALL","ON","-"))</f>
        <v>-</v>
      </c>
      <c r="C2671" s="88" t="s">
        <v>152</v>
      </c>
      <c r="D2671" s="89">
        <f>IF(C2671="ID",1,(IF(C2671="PR",2,(IF(C2671="DE",3,(IF(C2671="RS",4,(IF(C2671="RC",5,0)))))))))</f>
        <v>2</v>
      </c>
      <c r="E2671" s="89" t="s">
        <v>228</v>
      </c>
      <c r="F2671" s="89">
        <f>IF(E2671="AM",1,(IF(E2671="BE",2,(IF(E2671="GV",3,(IF(E2671="RA",4,(IF(E2671="RM",5,(IF(E2671="AC",1,(IF(E2671="AT",2,(IF(E2671="DS",3,(IF(E2671="IP",4,(IF(E2671="MA",5,(IF(E2671="PT",6,(IF(E2671="AE",1,(IF(E2671="CM",2,(IF(E2671="DP",3,(IF(E2671="AN",1,(IF(E2671="CO",2,(IF(E2671="IM",3,(IF(E2671="MI",4,(IF(E2671="RP",5,(IF(E2671="SC",6,0)))))))))))))))))))))))))))))))))))))))</f>
        <v>4</v>
      </c>
      <c r="G2671" s="52">
        <v>2</v>
      </c>
      <c r="H2671" s="90" t="s">
        <v>115</v>
      </c>
      <c r="I2671" s="94" t="s">
        <v>85</v>
      </c>
      <c r="J2671" s="135" t="s">
        <v>3924</v>
      </c>
      <c r="K2671" s="143" t="s">
        <v>4676</v>
      </c>
      <c r="L2671" s="117">
        <f>IF(O2671="","",N2671*O2671*M2671)</f>
        <v>0</v>
      </c>
      <c r="M2671" s="108">
        <v>1</v>
      </c>
      <c r="N2671" s="95">
        <v>1</v>
      </c>
      <c r="O2671" s="109">
        <f>IF(Key!D$1="ON",P2671,IF(SUM(Q2671:DL2671)&lt;1,"",SUM(Q2671:DL2671)/COUNTIF(Q2671:DL2671,"&gt;0")))</f>
        <v>0</v>
      </c>
      <c r="P2671" s="109">
        <f>SUMIFS(Q2671:DK2671,Q$1:DK$1,Dashboard!$K$31)</f>
        <v>0</v>
      </c>
      <c r="U2671" s="95">
        <v>33</v>
      </c>
      <c r="AA2671" s="95">
        <v>25</v>
      </c>
      <c r="AH2671" s="95">
        <v>75</v>
      </c>
    </row>
    <row r="2672" spans="1:34" x14ac:dyDescent="0.3">
      <c r="A2672" s="89" t="str">
        <f>CONCATENATE(D2672,".",F2672,"-",G2672,".",H2672,"")</f>
        <v>2.4-2.1</v>
      </c>
      <c r="B2672" s="89" t="str">
        <f>IF(CONCATENATE(I2672,Key!F$2)=CONCATENATE(INDEX(Dashboard!J:J,MATCH(I2672,Dashboard!J:J,0),1),INDEX(Dashboard!J:K,MATCH(I2672,Dashboard!J:J,0),2)),"ON",IF(Dashboard!K$32="ALL","ON","-"))</f>
        <v>-</v>
      </c>
      <c r="C2672" s="88" t="s">
        <v>152</v>
      </c>
      <c r="D2672" s="89">
        <f>IF(C2672="ID",1,(IF(C2672="PR",2,(IF(C2672="DE",3,(IF(C2672="RS",4,(IF(C2672="RC",5,0)))))))))</f>
        <v>2</v>
      </c>
      <c r="E2672" s="89" t="s">
        <v>228</v>
      </c>
      <c r="F2672" s="89">
        <f>IF(E2672="AM",1,(IF(E2672="BE",2,(IF(E2672="GV",3,(IF(E2672="RA",4,(IF(E2672="RM",5,(IF(E2672="AC",1,(IF(E2672="AT",2,(IF(E2672="DS",3,(IF(E2672="IP",4,(IF(E2672="MA",5,(IF(E2672="PT",6,(IF(E2672="AE",1,(IF(E2672="CM",2,(IF(E2672="DP",3,(IF(E2672="AN",1,(IF(E2672="CO",2,(IF(E2672="IM",3,(IF(E2672="MI",4,(IF(E2672="RP",5,(IF(E2672="SC",6,0)))))))))))))))))))))))))))))))))))))))</f>
        <v>4</v>
      </c>
      <c r="G2672" s="52">
        <v>2</v>
      </c>
      <c r="H2672" s="90" t="s">
        <v>115</v>
      </c>
      <c r="I2672" s="94" t="s">
        <v>85</v>
      </c>
      <c r="J2672" s="135" t="s">
        <v>773</v>
      </c>
      <c r="K2672" s="143" t="s">
        <v>4977</v>
      </c>
      <c r="L2672" s="117">
        <f>IF(O2672="","",N2672*O2672*M2672)</f>
        <v>0</v>
      </c>
      <c r="M2672" s="108">
        <v>1</v>
      </c>
      <c r="N2672" s="95">
        <v>1</v>
      </c>
      <c r="O2672" s="109">
        <f>IF(Key!D$1="ON",P2672,IF(SUM(Q2672:DL2672)&lt;1,"",SUM(Q2672:DL2672)/COUNTIF(Q2672:DL2672,"&gt;0")))</f>
        <v>0</v>
      </c>
      <c r="P2672" s="109">
        <f>SUMIFS(Q2672:DK2672,Q$1:DK$1,Dashboard!$K$31)</f>
        <v>0</v>
      </c>
      <c r="U2672" s="95">
        <v>33</v>
      </c>
      <c r="AA2672" s="95">
        <v>25</v>
      </c>
      <c r="AH2672" s="95">
        <v>75</v>
      </c>
    </row>
    <row r="2673" spans="1:34" x14ac:dyDescent="0.3">
      <c r="A2673" s="89" t="str">
        <f>CONCATENATE(D2673,".",F2673,"-",G2673,".",H2673,"")</f>
        <v>2.4-2.1</v>
      </c>
      <c r="B2673" s="89" t="str">
        <f>IF(CONCATENATE(I2673,Key!F$2)=CONCATENATE(INDEX(Dashboard!J:J,MATCH(I2673,Dashboard!J:J,0),1),INDEX(Dashboard!J:K,MATCH(I2673,Dashboard!J:J,0),2)),"ON",IF(Dashboard!K$32="ALL","ON","-"))</f>
        <v>-</v>
      </c>
      <c r="C2673" s="96" t="s">
        <v>152</v>
      </c>
      <c r="D2673" s="89">
        <f>IF(C2673="ID",1,(IF(C2673="PR",2,(IF(C2673="DE",3,(IF(C2673="RS",4,(IF(C2673="RC",5,0)))))))))</f>
        <v>2</v>
      </c>
      <c r="E2673" s="89" t="s">
        <v>228</v>
      </c>
      <c r="F2673" s="89">
        <f>IF(E2673="AM",1,(IF(E2673="BE",2,(IF(E2673="GV",3,(IF(E2673="RA",4,(IF(E2673="RM",5,(IF(E2673="AC",1,(IF(E2673="AT",2,(IF(E2673="DS",3,(IF(E2673="IP",4,(IF(E2673="MA",5,(IF(E2673="PT",6,(IF(E2673="AE",1,(IF(E2673="CM",2,(IF(E2673="DP",3,(IF(E2673="AN",1,(IF(E2673="CO",2,(IF(E2673="IM",3,(IF(E2673="MI",4,(IF(E2673="RP",5,(IF(E2673="SC",6,0)))))))))))))))))))))))))))))))))))))))</f>
        <v>4</v>
      </c>
      <c r="G2673" s="52">
        <v>2</v>
      </c>
      <c r="H2673" s="90" t="s">
        <v>115</v>
      </c>
      <c r="I2673" s="94" t="s">
        <v>85</v>
      </c>
      <c r="J2673" s="135" t="s">
        <v>780</v>
      </c>
      <c r="K2673" s="143" t="s">
        <v>4911</v>
      </c>
      <c r="L2673" s="117">
        <f>IF(O2673="","",N2673*O2673*M2673)</f>
        <v>0</v>
      </c>
      <c r="M2673" s="108">
        <v>1</v>
      </c>
      <c r="N2673" s="95">
        <v>1</v>
      </c>
      <c r="O2673" s="109">
        <f>IF(Key!D$1="ON",P2673,IF(SUM(Q2673:DL2673)&lt;1,"",SUM(Q2673:DL2673)/COUNTIF(Q2673:DL2673,"&gt;0")))</f>
        <v>0</v>
      </c>
      <c r="P2673" s="109">
        <f>SUMIFS(Q2673:DK2673,Q$1:DK$1,Dashboard!$K$31)</f>
        <v>0</v>
      </c>
      <c r="U2673" s="95">
        <v>33</v>
      </c>
      <c r="AA2673" s="95">
        <v>25</v>
      </c>
      <c r="AH2673" s="95">
        <v>75</v>
      </c>
    </row>
    <row r="2674" spans="1:34" x14ac:dyDescent="0.3">
      <c r="A2674" s="89" t="str">
        <f>CONCATENATE(D2674,".",F2674,"-",G2674,".",H2674,"")</f>
        <v>2.4-2.1</v>
      </c>
      <c r="B2674" s="89" t="str">
        <f>IF(CONCATENATE(I2674,Key!F$2)=CONCATENATE(INDEX(Dashboard!J:J,MATCH(I2674,Dashboard!J:J,0),1),INDEX(Dashboard!J:K,MATCH(I2674,Dashboard!J:J,0),2)),"ON",IF(Dashboard!K$32="ALL","ON","-"))</f>
        <v>-</v>
      </c>
      <c r="C2674" s="96" t="s">
        <v>152</v>
      </c>
      <c r="D2674" s="89">
        <f>IF(C2674="ID",1,(IF(C2674="PR",2,(IF(C2674="DE",3,(IF(C2674="RS",4,(IF(C2674="RC",5,0)))))))))</f>
        <v>2</v>
      </c>
      <c r="E2674" s="89" t="s">
        <v>228</v>
      </c>
      <c r="F2674" s="89">
        <f>IF(E2674="AM",1,(IF(E2674="BE",2,(IF(E2674="GV",3,(IF(E2674="RA",4,(IF(E2674="RM",5,(IF(E2674="AC",1,(IF(E2674="AT",2,(IF(E2674="DS",3,(IF(E2674="IP",4,(IF(E2674="MA",5,(IF(E2674="PT",6,(IF(E2674="AE",1,(IF(E2674="CM",2,(IF(E2674="DP",3,(IF(E2674="AN",1,(IF(E2674="CO",2,(IF(E2674="IM",3,(IF(E2674="MI",4,(IF(E2674="RP",5,(IF(E2674="SC",6,0)))))))))))))))))))))))))))))))))))))))</f>
        <v>4</v>
      </c>
      <c r="G2674" s="52">
        <v>2</v>
      </c>
      <c r="H2674" s="90" t="s">
        <v>115</v>
      </c>
      <c r="I2674" s="94" t="s">
        <v>85</v>
      </c>
      <c r="J2674" s="135" t="s">
        <v>781</v>
      </c>
      <c r="K2674" s="143" t="s">
        <v>4912</v>
      </c>
      <c r="L2674" s="117">
        <f>IF(O2674="","",N2674*O2674*M2674)</f>
        <v>0</v>
      </c>
      <c r="M2674" s="108">
        <v>1</v>
      </c>
      <c r="N2674" s="95">
        <v>1</v>
      </c>
      <c r="O2674" s="109">
        <f>IF(Key!D$1="ON",P2674,IF(SUM(Q2674:DL2674)&lt;1,"",SUM(Q2674:DL2674)/COUNTIF(Q2674:DL2674,"&gt;0")))</f>
        <v>0</v>
      </c>
      <c r="P2674" s="109">
        <f>SUMIFS(Q2674:DK2674,Q$1:DK$1,Dashboard!$K$31)</f>
        <v>0</v>
      </c>
      <c r="U2674" s="95">
        <v>33</v>
      </c>
      <c r="AA2674" s="95">
        <v>25</v>
      </c>
      <c r="AH2674" s="95">
        <v>75</v>
      </c>
    </row>
    <row r="2675" spans="1:34" x14ac:dyDescent="0.3">
      <c r="A2675" s="89" t="str">
        <f>CONCATENATE(D2675,".",F2675,"-",G2675,".",H2675,"")</f>
        <v>2.4-2.1</v>
      </c>
      <c r="B2675" s="89" t="str">
        <f>IF(CONCATENATE(I2675,Key!F$2)=CONCATENATE(INDEX(Dashboard!J:J,MATCH(I2675,Dashboard!J:J,0),1),INDEX(Dashboard!J:K,MATCH(I2675,Dashboard!J:J,0),2)),"ON",IF(Dashboard!K$32="ALL","ON","-"))</f>
        <v>-</v>
      </c>
      <c r="C2675" s="88" t="s">
        <v>152</v>
      </c>
      <c r="D2675" s="89">
        <f>IF(C2675="ID",1,(IF(C2675="PR",2,(IF(C2675="DE",3,(IF(C2675="RS",4,(IF(C2675="RC",5,0)))))))))</f>
        <v>2</v>
      </c>
      <c r="E2675" s="89" t="s">
        <v>228</v>
      </c>
      <c r="F2675" s="89">
        <f>IF(E2675="AM",1,(IF(E2675="BE",2,(IF(E2675="GV",3,(IF(E2675="RA",4,(IF(E2675="RM",5,(IF(E2675="AC",1,(IF(E2675="AT",2,(IF(E2675="DS",3,(IF(E2675="IP",4,(IF(E2675="MA",5,(IF(E2675="PT",6,(IF(E2675="AE",1,(IF(E2675="CM",2,(IF(E2675="DP",3,(IF(E2675="AN",1,(IF(E2675="CO",2,(IF(E2675="IM",3,(IF(E2675="MI",4,(IF(E2675="RP",5,(IF(E2675="SC",6,0)))))))))))))))))))))))))))))))))))))))</f>
        <v>4</v>
      </c>
      <c r="G2675" s="52">
        <v>2</v>
      </c>
      <c r="H2675" s="90" t="s">
        <v>115</v>
      </c>
      <c r="I2675" s="94" t="s">
        <v>89</v>
      </c>
      <c r="J2675" s="88">
        <v>500.08</v>
      </c>
      <c r="K2675" s="102" t="s">
        <v>562</v>
      </c>
      <c r="L2675" s="117">
        <f>IF(O2675="","",N2675*O2675*M2675)</f>
        <v>0</v>
      </c>
      <c r="M2675" s="108">
        <v>1</v>
      </c>
      <c r="N2675" s="95">
        <v>1</v>
      </c>
      <c r="O2675" s="109">
        <f>IF(Key!D$1="ON",P2675,IF(SUM(Q2675:DL2675)&lt;1,"",SUM(Q2675:DL2675)/COUNTIF(Q2675:DL2675,"&gt;0")))</f>
        <v>0</v>
      </c>
      <c r="P2675" s="109">
        <f>SUMIFS(Q2675:DK2675,Q$1:DK$1,Dashboard!$K$31)</f>
        <v>0</v>
      </c>
      <c r="U2675" s="95">
        <v>33</v>
      </c>
      <c r="AA2675" s="95">
        <v>25</v>
      </c>
      <c r="AH2675" s="95">
        <v>75</v>
      </c>
    </row>
    <row r="2676" spans="1:34" x14ac:dyDescent="0.3">
      <c r="A2676" s="89" t="str">
        <f>CONCATENATE(D2676,".",F2676,"-",G2676,".",H2676,"")</f>
        <v>2.4-2.1</v>
      </c>
      <c r="B2676" s="89" t="str">
        <f>IF(CONCATENATE(I2676,Key!F$2)=CONCATENATE(INDEX(Dashboard!J:J,MATCH(I2676,Dashboard!J:J,0),1),INDEX(Dashboard!J:K,MATCH(I2676,Dashboard!J:J,0),2)),"ON",IF(Dashboard!K$32="ALL","ON","-"))</f>
        <v>-</v>
      </c>
      <c r="C2676" s="88" t="s">
        <v>152</v>
      </c>
      <c r="D2676" s="89">
        <f>IF(C2676="ID",1,(IF(C2676="PR",2,(IF(C2676="DE",3,(IF(C2676="RS",4,(IF(C2676="RC",5,0)))))))))</f>
        <v>2</v>
      </c>
      <c r="E2676" s="89" t="s">
        <v>228</v>
      </c>
      <c r="F2676" s="89">
        <f>IF(E2676="AM",1,(IF(E2676="BE",2,(IF(E2676="GV",3,(IF(E2676="RA",4,(IF(E2676="RM",5,(IF(E2676="AC",1,(IF(E2676="AT",2,(IF(E2676="DS",3,(IF(E2676="IP",4,(IF(E2676="MA",5,(IF(E2676="PT",6,(IF(E2676="AE",1,(IF(E2676="CM",2,(IF(E2676="DP",3,(IF(E2676="AN",1,(IF(E2676="CO",2,(IF(E2676="IM",3,(IF(E2676="MI",4,(IF(E2676="RP",5,(IF(E2676="SC",6,0)))))))))))))))))))))))))))))))))))))))</f>
        <v>4</v>
      </c>
      <c r="G2676" s="52">
        <v>2</v>
      </c>
      <c r="H2676" s="90" t="s">
        <v>115</v>
      </c>
      <c r="I2676" s="94" t="s">
        <v>89</v>
      </c>
      <c r="J2676" s="88" t="s">
        <v>563</v>
      </c>
      <c r="K2676" s="102" t="s">
        <v>564</v>
      </c>
      <c r="L2676" s="117">
        <f>IF(O2676="","",N2676*O2676*M2676)</f>
        <v>0</v>
      </c>
      <c r="M2676" s="108">
        <v>1</v>
      </c>
      <c r="N2676" s="95">
        <v>1</v>
      </c>
      <c r="O2676" s="109">
        <f>IF(Key!D$1="ON",P2676,IF(SUM(Q2676:DL2676)&lt;1,"",SUM(Q2676:DL2676)/COUNTIF(Q2676:DL2676,"&gt;0")))</f>
        <v>0</v>
      </c>
      <c r="P2676" s="109">
        <f>SUMIFS(Q2676:DK2676,Q$1:DK$1,Dashboard!$K$31)</f>
        <v>0</v>
      </c>
      <c r="U2676" s="95">
        <v>33</v>
      </c>
      <c r="AA2676" s="95">
        <v>25</v>
      </c>
      <c r="AH2676" s="95">
        <v>75</v>
      </c>
    </row>
    <row r="2677" spans="1:34" x14ac:dyDescent="0.3">
      <c r="A2677" s="89" t="str">
        <f>CONCATENATE(D2677,".",F2677,"-",G2677,".",H2677,"")</f>
        <v>2.4-2.1</v>
      </c>
      <c r="B2677" s="89" t="str">
        <f>IF(CONCATENATE(I2677,Key!F$2)=CONCATENATE(INDEX(Dashboard!J:J,MATCH(I2677,Dashboard!J:J,0),1),INDEX(Dashboard!J:K,MATCH(I2677,Dashboard!J:J,0),2)),"ON",IF(Dashboard!K$32="ALL","ON","-"))</f>
        <v>-</v>
      </c>
      <c r="C2677" s="88" t="s">
        <v>152</v>
      </c>
      <c r="D2677" s="89">
        <f>IF(C2677="ID",1,(IF(C2677="PR",2,(IF(C2677="DE",3,(IF(C2677="RS",4,(IF(C2677="RC",5,0)))))))))</f>
        <v>2</v>
      </c>
      <c r="E2677" s="89" t="s">
        <v>228</v>
      </c>
      <c r="F2677" s="89">
        <f>IF(E2677="AM",1,(IF(E2677="BE",2,(IF(E2677="GV",3,(IF(E2677="RA",4,(IF(E2677="RM",5,(IF(E2677="AC",1,(IF(E2677="AT",2,(IF(E2677="DS",3,(IF(E2677="IP",4,(IF(E2677="MA",5,(IF(E2677="PT",6,(IF(E2677="AE",1,(IF(E2677="CM",2,(IF(E2677="DP",3,(IF(E2677="AN",1,(IF(E2677="CO",2,(IF(E2677="IM",3,(IF(E2677="MI",4,(IF(E2677="RP",5,(IF(E2677="SC",6,0)))))))))))))))))))))))))))))))))))))))</f>
        <v>4</v>
      </c>
      <c r="G2677" s="52">
        <v>2</v>
      </c>
      <c r="H2677" s="90" t="s">
        <v>115</v>
      </c>
      <c r="I2677" s="94" t="s">
        <v>92</v>
      </c>
      <c r="J2677" s="88">
        <v>6</v>
      </c>
      <c r="K2677" s="102" t="s">
        <v>5226</v>
      </c>
      <c r="L2677" s="117">
        <f>IF(O2677="","",N2677*O2677*M2677)</f>
        <v>0</v>
      </c>
      <c r="M2677" s="108">
        <v>1</v>
      </c>
      <c r="N2677" s="95">
        <v>1</v>
      </c>
      <c r="O2677" s="109">
        <f>IF(Key!D$1="ON",P2677,IF(SUM(Q2677:DL2677)&lt;1,"",SUM(Q2677:DL2677)/COUNTIF(Q2677:DL2677,"&gt;0")))</f>
        <v>0</v>
      </c>
      <c r="P2677" s="109">
        <f>SUMIFS(Q2677:DK2677,Q$1:DK$1,Dashboard!$K$31)</f>
        <v>0</v>
      </c>
      <c r="U2677" s="95">
        <v>33</v>
      </c>
      <c r="AA2677" s="95">
        <v>25</v>
      </c>
      <c r="AH2677" s="95">
        <v>75</v>
      </c>
    </row>
    <row r="2678" spans="1:34" x14ac:dyDescent="0.3">
      <c r="A2678" s="89" t="str">
        <f>CONCATENATE(D2678,".",F2678,"-",G2678,".",H2678,"")</f>
        <v>2.4-2.1</v>
      </c>
      <c r="B2678" s="89" t="str">
        <f>IF(CONCATENATE(I2678,Key!F$2)=CONCATENATE(INDEX(Dashboard!J:J,MATCH(I2678,Dashboard!J:J,0),1),INDEX(Dashboard!J:K,MATCH(I2678,Dashboard!J:J,0),2)),"ON",IF(Dashboard!K$32="ALL","ON","-"))</f>
        <v>-</v>
      </c>
      <c r="C2678" s="96" t="s">
        <v>152</v>
      </c>
      <c r="D2678" s="89">
        <f>IF(C2678="ID",1,(IF(C2678="PR",2,(IF(C2678="DE",3,(IF(C2678="RS",4,(IF(C2678="RC",5,0)))))))))</f>
        <v>2</v>
      </c>
      <c r="E2678" s="89" t="s">
        <v>228</v>
      </c>
      <c r="F2678" s="89">
        <f>IF(E2678="AM",1,(IF(E2678="BE",2,(IF(E2678="GV",3,(IF(E2678="RA",4,(IF(E2678="RM",5,(IF(E2678="AC",1,(IF(E2678="AT",2,(IF(E2678="DS",3,(IF(E2678="IP",4,(IF(E2678="MA",5,(IF(E2678="PT",6,(IF(E2678="AE",1,(IF(E2678="CM",2,(IF(E2678="DP",3,(IF(E2678="AN",1,(IF(E2678="CO",2,(IF(E2678="IM",3,(IF(E2678="MI",4,(IF(E2678="RP",5,(IF(E2678="SC",6,0)))))))))))))))))))))))))))))))))))))))</f>
        <v>4</v>
      </c>
      <c r="G2678" s="98">
        <v>2</v>
      </c>
      <c r="H2678" s="90" t="s">
        <v>115</v>
      </c>
      <c r="I2678" s="94" t="s">
        <v>92</v>
      </c>
      <c r="J2678" s="88">
        <v>6.3</v>
      </c>
      <c r="K2678" s="102" t="s">
        <v>5226</v>
      </c>
      <c r="L2678" s="117">
        <f>IF(O2678="","",N2678*O2678*M2678)</f>
        <v>0</v>
      </c>
      <c r="M2678" s="108">
        <v>1</v>
      </c>
      <c r="N2678" s="95">
        <v>1</v>
      </c>
      <c r="O2678" s="109">
        <f>IF(Key!D$1="ON",P2678,IF(SUM(Q2678:DL2678)&lt;1,"",SUM(Q2678:DL2678)/COUNTIF(Q2678:DL2678,"&gt;0")))</f>
        <v>0</v>
      </c>
      <c r="P2678" s="109">
        <f>SUMIFS(Q2678:DK2678,Q$1:DK$1,Dashboard!$K$31)</f>
        <v>0</v>
      </c>
      <c r="U2678" s="95">
        <v>33</v>
      </c>
      <c r="AA2678" s="95">
        <v>25</v>
      </c>
      <c r="AH2678" s="95">
        <v>75</v>
      </c>
    </row>
    <row r="2679" spans="1:34" x14ac:dyDescent="0.3">
      <c r="A2679" s="89" t="str">
        <f>CONCATENATE(D2679,".",F2679,"-",G2679,".",H2679,"")</f>
        <v>2.4-2.1</v>
      </c>
      <c r="B2679" s="89" t="str">
        <f>IF(CONCATENATE(I2679,Key!F$2)=CONCATENATE(INDEX(Dashboard!J:J,MATCH(I2679,Dashboard!J:J,0),1),INDEX(Dashboard!J:K,MATCH(I2679,Dashboard!J:J,0),2)),"ON",IF(Dashboard!K$32="ALL","ON","-"))</f>
        <v>-</v>
      </c>
      <c r="C2679" s="88" t="s">
        <v>152</v>
      </c>
      <c r="D2679" s="89">
        <f>IF(C2679="ID",1,(IF(C2679="PR",2,(IF(C2679="DE",3,(IF(C2679="RS",4,(IF(C2679="RC",5,0)))))))))</f>
        <v>2</v>
      </c>
      <c r="E2679" s="89" t="s">
        <v>228</v>
      </c>
      <c r="F2679" s="89">
        <f>IF(E2679="AM",1,(IF(E2679="BE",2,(IF(E2679="GV",3,(IF(E2679="RA",4,(IF(E2679="RM",5,(IF(E2679="AC",1,(IF(E2679="AT",2,(IF(E2679="DS",3,(IF(E2679="IP",4,(IF(E2679="MA",5,(IF(E2679="PT",6,(IF(E2679="AE",1,(IF(E2679="CM",2,(IF(E2679="DP",3,(IF(E2679="AN",1,(IF(E2679="CO",2,(IF(E2679="IM",3,(IF(E2679="MI",4,(IF(E2679="RP",5,(IF(E2679="SC",6,0)))))))))))))))))))))))))))))))))))))))</f>
        <v>4</v>
      </c>
      <c r="G2679" s="52">
        <v>2</v>
      </c>
      <c r="H2679" s="90" t="s">
        <v>115</v>
      </c>
      <c r="I2679" s="94" t="s">
        <v>92</v>
      </c>
      <c r="J2679" s="88">
        <v>6.5</v>
      </c>
      <c r="K2679" s="102" t="s">
        <v>5226</v>
      </c>
      <c r="L2679" s="117">
        <f>IF(O2679="","",N2679*O2679*M2679)</f>
        <v>0</v>
      </c>
      <c r="M2679" s="108">
        <v>1</v>
      </c>
      <c r="N2679" s="95">
        <v>1</v>
      </c>
      <c r="O2679" s="109">
        <f>IF(Key!D$1="ON",P2679,IF(SUM(Q2679:DL2679)&lt;1,"",SUM(Q2679:DL2679)/COUNTIF(Q2679:DL2679,"&gt;0")))</f>
        <v>0</v>
      </c>
      <c r="P2679" s="109">
        <f>SUMIFS(Q2679:DK2679,Q$1:DK$1,Dashboard!$K$31)</f>
        <v>0</v>
      </c>
      <c r="U2679" s="95">
        <v>33</v>
      </c>
      <c r="AA2679" s="95">
        <v>25</v>
      </c>
      <c r="AH2679" s="95">
        <v>75</v>
      </c>
    </row>
    <row r="2680" spans="1:34" x14ac:dyDescent="0.3">
      <c r="A2680" s="89" t="str">
        <f>CONCATENATE(D2680,".",F2680,"-",G2680,".",H2680,"")</f>
        <v>2.4-2.1</v>
      </c>
      <c r="B2680" s="89" t="str">
        <f>IF(CONCATENATE(I2680,Key!F$2)=CONCATENATE(INDEX(Dashboard!J:J,MATCH(I2680,Dashboard!J:J,0),1),INDEX(Dashboard!J:K,MATCH(I2680,Dashboard!J:J,0),2)),"ON",IF(Dashboard!K$32="ALL","ON","-"))</f>
        <v>-</v>
      </c>
      <c r="C2680" s="88" t="s">
        <v>152</v>
      </c>
      <c r="D2680" s="89">
        <f>IF(C2680="ID",1,(IF(C2680="PR",2,(IF(C2680="DE",3,(IF(C2680="RS",4,(IF(C2680="RC",5,0)))))))))</f>
        <v>2</v>
      </c>
      <c r="E2680" s="89" t="s">
        <v>228</v>
      </c>
      <c r="F2680" s="89">
        <f>IF(E2680="AM",1,(IF(E2680="BE",2,(IF(E2680="GV",3,(IF(E2680="RA",4,(IF(E2680="RM",5,(IF(E2680="AC",1,(IF(E2680="AT",2,(IF(E2680="DS",3,(IF(E2680="IP",4,(IF(E2680="MA",5,(IF(E2680="PT",6,(IF(E2680="AE",1,(IF(E2680="CM",2,(IF(E2680="DP",3,(IF(E2680="AN",1,(IF(E2680="CO",2,(IF(E2680="IM",3,(IF(E2680="MI",4,(IF(E2680="RP",5,(IF(E2680="SC",6,0)))))))))))))))))))))))))))))))))))))))</f>
        <v>4</v>
      </c>
      <c r="G2680" s="52">
        <v>2</v>
      </c>
      <c r="H2680" s="90" t="s">
        <v>115</v>
      </c>
      <c r="I2680" s="94" t="s">
        <v>92</v>
      </c>
      <c r="J2680" s="88" t="s">
        <v>239</v>
      </c>
      <c r="K2680" s="102" t="s">
        <v>5226</v>
      </c>
      <c r="L2680" s="117">
        <f>IF(O2680="","",N2680*O2680*M2680)</f>
        <v>0</v>
      </c>
      <c r="M2680" s="108">
        <v>1</v>
      </c>
      <c r="N2680" s="95">
        <v>1</v>
      </c>
      <c r="O2680" s="109">
        <f>IF(Key!D$1="ON",P2680,IF(SUM(Q2680:DL2680)&lt;1,"",SUM(Q2680:DL2680)/COUNTIF(Q2680:DL2680,"&gt;0")))</f>
        <v>0</v>
      </c>
      <c r="P2680" s="109">
        <f>SUMIFS(Q2680:DK2680,Q$1:DK$1,Dashboard!$K$31)</f>
        <v>0</v>
      </c>
      <c r="U2680" s="95">
        <v>33</v>
      </c>
      <c r="AA2680" s="95">
        <v>25</v>
      </c>
      <c r="AH2680" s="95">
        <v>75</v>
      </c>
    </row>
    <row r="2681" spans="1:34" x14ac:dyDescent="0.3">
      <c r="A2681" s="89" t="str">
        <f>CONCATENATE(D2681,".",F2681,"-",G2681,".",H2681,"")</f>
        <v>2.4-2.2</v>
      </c>
      <c r="B2681" s="89" t="str">
        <f>IF(CONCATENATE(I2681,Key!F$2)=CONCATENATE(INDEX(Dashboard!J:J,MATCH(I2681,Dashboard!J:J,0),1),INDEX(Dashboard!J:K,MATCH(I2681,Dashboard!J:J,0),2)),"ON",IF(Dashboard!K$32="ALL","ON","-"))</f>
        <v>-</v>
      </c>
      <c r="C2681" s="96" t="s">
        <v>152</v>
      </c>
      <c r="D2681" s="89">
        <f>IF(C2681="ID",1,(IF(C2681="PR",2,(IF(C2681="DE",3,(IF(C2681="RS",4,(IF(C2681="RC",5,0)))))))))</f>
        <v>2</v>
      </c>
      <c r="E2681" s="89" t="s">
        <v>228</v>
      </c>
      <c r="F2681" s="89">
        <f>IF(E2681="AM",1,(IF(E2681="BE",2,(IF(E2681="GV",3,(IF(E2681="RA",4,(IF(E2681="RM",5,(IF(E2681="AC",1,(IF(E2681="AT",2,(IF(E2681="DS",3,(IF(E2681="IP",4,(IF(E2681="MA",5,(IF(E2681="PT",6,(IF(E2681="AE",1,(IF(E2681="CM",2,(IF(E2681="DP",3,(IF(E2681="AN",1,(IF(E2681="CO",2,(IF(E2681="IM",3,(IF(E2681="MI",4,(IF(E2681="RP",5,(IF(E2681="SC",6,0)))))))))))))))))))))))))))))))))))))))</f>
        <v>4</v>
      </c>
      <c r="G2681" s="98">
        <v>2</v>
      </c>
      <c r="H2681" s="90" t="s">
        <v>112</v>
      </c>
      <c r="I2681" s="94" t="s">
        <v>64</v>
      </c>
      <c r="J2681" s="86" t="s">
        <v>1513</v>
      </c>
      <c r="K2681" s="103" t="s">
        <v>2484</v>
      </c>
      <c r="L2681" s="117">
        <f>IF(O2681="","",N2681*O2681*M2681)</f>
        <v>0</v>
      </c>
      <c r="M2681" s="108">
        <v>1</v>
      </c>
      <c r="N2681" s="95">
        <v>1</v>
      </c>
      <c r="O2681" s="109">
        <f>IF(Key!D$1="ON",P2681,IF(SUM(Q2681:DL2681)&lt;1,"",SUM(Q2681:DL2681)/COUNTIF(Q2681:DL2681,"&gt;0")))</f>
        <v>0</v>
      </c>
      <c r="P2681" s="109">
        <f>SUMIFS(Q2681:DK2681,Q$1:DK$1,Dashboard!$K$31)</f>
        <v>0</v>
      </c>
      <c r="U2681" s="95">
        <v>33</v>
      </c>
      <c r="AA2681" s="95">
        <v>25</v>
      </c>
      <c r="AH2681" s="95">
        <v>75</v>
      </c>
    </row>
    <row r="2682" spans="1:34" x14ac:dyDescent="0.3">
      <c r="A2682" s="89" t="str">
        <f>CONCATENATE(D2682,".",F2682,"-",G2682,".",H2682,"")</f>
        <v>2.4-2.3</v>
      </c>
      <c r="B2682" s="89" t="str">
        <f>IF(CONCATENATE(I2682,Key!F$2)=CONCATENATE(INDEX(Dashboard!J:J,MATCH(I2682,Dashboard!J:J,0),1),INDEX(Dashboard!J:K,MATCH(I2682,Dashboard!J:J,0),2)),"ON",IF(Dashboard!K$32="ALL","ON","-"))</f>
        <v>-</v>
      </c>
      <c r="C2682" s="88" t="s">
        <v>152</v>
      </c>
      <c r="D2682" s="89">
        <f>IF(C2682="ID",1,(IF(C2682="PR",2,(IF(C2682="DE",3,(IF(C2682="RS",4,(IF(C2682="RC",5,0)))))))))</f>
        <v>2</v>
      </c>
      <c r="E2682" s="89" t="s">
        <v>228</v>
      </c>
      <c r="F2682" s="89">
        <f>IF(E2682="AM",1,(IF(E2682="BE",2,(IF(E2682="GV",3,(IF(E2682="RA",4,(IF(E2682="RM",5,(IF(E2682="AC",1,(IF(E2682="AT",2,(IF(E2682="DS",3,(IF(E2682="IP",4,(IF(E2682="MA",5,(IF(E2682="PT",6,(IF(E2682="AE",1,(IF(E2682="CM",2,(IF(E2682="DP",3,(IF(E2682="AN",1,(IF(E2682="CO",2,(IF(E2682="IM",3,(IF(E2682="MI",4,(IF(E2682="RP",5,(IF(E2682="SC",6,0)))))))))))))))))))))))))))))))))))))))</f>
        <v>4</v>
      </c>
      <c r="G2682" s="52">
        <v>2</v>
      </c>
      <c r="H2682" s="90" t="s">
        <v>280</v>
      </c>
      <c r="I2682" s="94" t="s">
        <v>60</v>
      </c>
      <c r="J2682" s="87" t="s">
        <v>3243</v>
      </c>
      <c r="K2682" s="51" t="s">
        <v>5357</v>
      </c>
      <c r="L2682" s="117">
        <f>IF(O2682="","",N2682*O2682*M2682)</f>
        <v>0</v>
      </c>
      <c r="M2682" s="108">
        <v>1</v>
      </c>
      <c r="N2682" s="95">
        <v>1</v>
      </c>
      <c r="O2682" s="109">
        <f>IF(Key!D$1="ON",P2682,IF(SUM(Q2682:DL2682)&lt;1,"",SUM(Q2682:DL2682)/COUNTIF(Q2682:DL2682,"&gt;0")))</f>
        <v>0</v>
      </c>
      <c r="P2682" s="109">
        <f>SUMIFS(Q2682:DK2682,Q$1:DK$1,Dashboard!$K$31)</f>
        <v>0</v>
      </c>
      <c r="U2682" s="95">
        <v>33</v>
      </c>
      <c r="AA2682" s="95">
        <v>25</v>
      </c>
      <c r="AH2682" s="95">
        <v>75</v>
      </c>
    </row>
    <row r="2683" spans="1:34" x14ac:dyDescent="0.3">
      <c r="A2683" s="89" t="str">
        <f>CONCATENATE(D2683,".",F2683,"-",G2683,".",H2683,"")</f>
        <v>2.4-2.5</v>
      </c>
      <c r="B2683" s="89" t="str">
        <f>IF(CONCATENATE(I2683,Key!F$2)=CONCATENATE(INDEX(Dashboard!J:J,MATCH(I2683,Dashboard!J:J,0),1),INDEX(Dashboard!J:K,MATCH(I2683,Dashboard!J:J,0),2)),"ON",IF(Dashboard!K$32="ALL","ON","-"))</f>
        <v>-</v>
      </c>
      <c r="C2683" s="88" t="s">
        <v>152</v>
      </c>
      <c r="D2683" s="89">
        <f>IF(C2683="ID",1,(IF(C2683="PR",2,(IF(C2683="DE",3,(IF(C2683="RS",4,(IF(C2683="RC",5,0)))))))))</f>
        <v>2</v>
      </c>
      <c r="E2683" s="89" t="s">
        <v>228</v>
      </c>
      <c r="F2683" s="89">
        <f>IF(E2683="AM",1,(IF(E2683="BE",2,(IF(E2683="GV",3,(IF(E2683="RA",4,(IF(E2683="RM",5,(IF(E2683="AC",1,(IF(E2683="AT",2,(IF(E2683="DS",3,(IF(E2683="IP",4,(IF(E2683="MA",5,(IF(E2683="PT",6,(IF(E2683="AE",1,(IF(E2683="CM",2,(IF(E2683="DP",3,(IF(E2683="AN",1,(IF(E2683="CO",2,(IF(E2683="IM",3,(IF(E2683="MI",4,(IF(E2683="RP",5,(IF(E2683="SC",6,0)))))))))))))))))))))))))))))))))))))))</f>
        <v>4</v>
      </c>
      <c r="G2683" s="52">
        <v>2</v>
      </c>
      <c r="H2683" s="90" t="s">
        <v>123</v>
      </c>
      <c r="I2683" s="94" t="s">
        <v>77</v>
      </c>
      <c r="J2683" s="87" t="s">
        <v>1600</v>
      </c>
      <c r="K2683" s="102" t="s">
        <v>2554</v>
      </c>
      <c r="L2683" s="117">
        <f>IF(O2683="","",N2683*O2683*M2683)</f>
        <v>0</v>
      </c>
      <c r="M2683" s="108">
        <v>1</v>
      </c>
      <c r="N2683" s="95">
        <v>1</v>
      </c>
      <c r="O2683" s="109">
        <f>IF(Key!D$1="ON",P2683,IF(SUM(Q2683:DL2683)&lt;1,"",SUM(Q2683:DL2683)/COUNTIF(Q2683:DL2683,"&gt;0")))</f>
        <v>0</v>
      </c>
      <c r="P2683" s="109">
        <f>SUMIFS(Q2683:DK2683,Q$1:DK$1,Dashboard!$K$31)</f>
        <v>0</v>
      </c>
      <c r="U2683" s="95">
        <v>33</v>
      </c>
      <c r="AA2683" s="95">
        <v>25</v>
      </c>
      <c r="AH2683" s="95">
        <v>75</v>
      </c>
    </row>
    <row r="2684" spans="1:34" x14ac:dyDescent="0.3">
      <c r="A2684" s="89" t="str">
        <f>CONCATENATE(D2684,".",F2684,"-",G2684,".",H2684,"")</f>
        <v>2.4-3.0</v>
      </c>
      <c r="B2684" s="89" t="str">
        <f>IF(CONCATENATE(I2684,Key!F$2)=CONCATENATE(INDEX(Dashboard!J:J,MATCH(I2684,Dashboard!J:J,0),1),INDEX(Dashboard!J:K,MATCH(I2684,Dashboard!J:J,0),2)),"ON",IF(Dashboard!K$32="ALL","ON","-"))</f>
        <v>-</v>
      </c>
      <c r="C2684" s="88" t="s">
        <v>152</v>
      </c>
      <c r="D2684" s="89">
        <f>IF(C2684="ID",1,(IF(C2684="PR",2,(IF(C2684="DE",3,(IF(C2684="RS",4,(IF(C2684="RC",5,0)))))))))</f>
        <v>2</v>
      </c>
      <c r="E2684" s="89" t="s">
        <v>228</v>
      </c>
      <c r="F2684" s="89">
        <f>IF(E2684="AM",1,(IF(E2684="BE",2,(IF(E2684="GV",3,(IF(E2684="RA",4,(IF(E2684="RM",5,(IF(E2684="AC",1,(IF(E2684="AT",2,(IF(E2684="DS",3,(IF(E2684="IP",4,(IF(E2684="MA",5,(IF(E2684="PT",6,(IF(E2684="AE",1,(IF(E2684="CM",2,(IF(E2684="DP",3,(IF(E2684="AN",1,(IF(E2684="CO",2,(IF(E2684="IM",3,(IF(E2684="MI",4,(IF(E2684="RP",5,(IF(E2684="SC",6,0)))))))))))))))))))))))))))))))))))))))</f>
        <v>4</v>
      </c>
      <c r="G2684" s="52">
        <v>3</v>
      </c>
      <c r="H2684" s="90" t="s">
        <v>347</v>
      </c>
      <c r="I2684" s="94" t="s">
        <v>2835</v>
      </c>
      <c r="J2684" s="53" t="s">
        <v>2972</v>
      </c>
      <c r="K2684" s="150" t="s">
        <v>2973</v>
      </c>
      <c r="L2684" s="117">
        <f>IF(O2684="","",N2684*O2684*M2684)</f>
        <v>0</v>
      </c>
      <c r="M2684" s="108">
        <v>1</v>
      </c>
      <c r="N2684" s="95">
        <v>1</v>
      </c>
      <c r="O2684" s="109">
        <f>IF(Key!D$1="ON",P2684,IF(SUM(Q2684:DL2684)&lt;1,"",SUM(Q2684:DL2684)/COUNTIF(Q2684:DL2684,"&gt;0")))</f>
        <v>0</v>
      </c>
      <c r="P2684" s="109">
        <f>SUMIFS(Q2684:DK2684,Q$1:DK$1,Dashboard!$K$31)</f>
        <v>0</v>
      </c>
      <c r="U2684" s="95">
        <v>33</v>
      </c>
    </row>
    <row r="2685" spans="1:34" x14ac:dyDescent="0.3">
      <c r="A2685" s="89" t="str">
        <f>CONCATENATE(D2685,".",F2685,"-",G2685,".",H2685,"")</f>
        <v>2.4-3.1</v>
      </c>
      <c r="B2685" s="89" t="str">
        <f>IF(CONCATENATE(I2685,Key!F$2)=CONCATENATE(INDEX(Dashboard!J:J,MATCH(I2685,Dashboard!J:J,0),1),INDEX(Dashboard!J:K,MATCH(I2685,Dashboard!J:J,0),2)),"ON",IF(Dashboard!K$32="ALL","ON","-"))</f>
        <v>ON</v>
      </c>
      <c r="C2685" s="88" t="s">
        <v>152</v>
      </c>
      <c r="D2685" s="89">
        <f>IF(C2685="ID",1,(IF(C2685="PR",2,(IF(C2685="DE",3,(IF(C2685="RS",4,(IF(C2685="RC",5,0)))))))))</f>
        <v>2</v>
      </c>
      <c r="E2685" s="89" t="s">
        <v>228</v>
      </c>
      <c r="F2685" s="89">
        <f>IF(E2685="AM",1,(IF(E2685="BE",2,(IF(E2685="GV",3,(IF(E2685="RA",4,(IF(E2685="RM",5,(IF(E2685="AC",1,(IF(E2685="AT",2,(IF(E2685="DS",3,(IF(E2685="IP",4,(IF(E2685="MA",5,(IF(E2685="PT",6,(IF(E2685="AE",1,(IF(E2685="CM",2,(IF(E2685="DP",3,(IF(E2685="AN",1,(IF(E2685="CO",2,(IF(E2685="IM",3,(IF(E2685="MI",4,(IF(E2685="RP",5,(IF(E2685="SC",6,0)))))))))))))))))))))))))))))))))))))))</f>
        <v>4</v>
      </c>
      <c r="G2685" s="98">
        <v>3</v>
      </c>
      <c r="H2685" s="90" t="s">
        <v>115</v>
      </c>
      <c r="I2685" s="94" t="s">
        <v>4107</v>
      </c>
      <c r="J2685" s="86" t="s">
        <v>3958</v>
      </c>
      <c r="K2685" s="101" t="s">
        <v>4360</v>
      </c>
      <c r="L2685" s="117">
        <f>IF(O2685="","",N2685*O2685*M2685)</f>
        <v>0</v>
      </c>
      <c r="M2685" s="108">
        <v>1</v>
      </c>
      <c r="N2685" s="95">
        <v>1</v>
      </c>
      <c r="O2685" s="109">
        <f>IF(Key!D$1="ON",P2685,IF(SUM(Q2685:DL2685)&lt;1,"",SUM(Q2685:DL2685)/COUNTIF(Q2685:DL2685,"&gt;0")))</f>
        <v>0</v>
      </c>
      <c r="P2685" s="109">
        <f>SUMIFS(Q2685:DK2685,Q$1:DK$1,Dashboard!$K$31)</f>
        <v>0</v>
      </c>
      <c r="U2685" s="95">
        <v>33</v>
      </c>
      <c r="AA2685" s="95">
        <v>25</v>
      </c>
      <c r="AH2685" s="95">
        <v>75</v>
      </c>
    </row>
    <row r="2686" spans="1:34" x14ac:dyDescent="0.3">
      <c r="A2686" s="89" t="str">
        <f>CONCATENATE(D2686,".",F2686,"-",G2686,".",H2686,"")</f>
        <v>2.4-3.1</v>
      </c>
      <c r="B2686" s="89" t="str">
        <f>IF(CONCATENATE(I2686,Key!F$2)=CONCATENATE(INDEX(Dashboard!J:J,MATCH(I2686,Dashboard!J:J,0),1),INDEX(Dashboard!J:K,MATCH(I2686,Dashboard!J:J,0),2)),"ON",IF(Dashboard!K$32="ALL","ON","-"))</f>
        <v>ON</v>
      </c>
      <c r="C2686" s="130" t="s">
        <v>152</v>
      </c>
      <c r="D2686" s="89">
        <f>IF(C2686="ID",1,(IF(C2686="PR",2,(IF(C2686="DE",3,(IF(C2686="RS",4,(IF(C2686="RC",5,0)))))))))</f>
        <v>2</v>
      </c>
      <c r="E2686" s="95" t="s">
        <v>228</v>
      </c>
      <c r="F2686" s="89">
        <f>IF(E2686="AM",1,(IF(E2686="BE",2,(IF(E2686="GV",3,(IF(E2686="RA",4,(IF(E2686="RM",5,(IF(E2686="AC",1,(IF(E2686="AT",2,(IF(E2686="DS",3,(IF(E2686="IP",4,(IF(E2686="MA",5,(IF(E2686="PT",6,(IF(E2686="AE",1,(IF(E2686="CM",2,(IF(E2686="DP",3,(IF(E2686="AN",1,(IF(E2686="CO",2,(IF(E2686="IM",3,(IF(E2686="MI",4,(IF(E2686="RP",5,(IF(E2686="SC",6,0)))))))))))))))))))))))))))))))))))))))</f>
        <v>4</v>
      </c>
      <c r="G2686" s="52">
        <v>3</v>
      </c>
      <c r="H2686" s="90" t="s">
        <v>115</v>
      </c>
      <c r="I2686" s="94" t="s">
        <v>4107</v>
      </c>
      <c r="J2686" s="86" t="s">
        <v>3987</v>
      </c>
      <c r="K2686" s="101" t="s">
        <v>4439</v>
      </c>
      <c r="L2686" s="117">
        <f>IF(O2686="","",N2686*O2686*M2686)</f>
        <v>0</v>
      </c>
      <c r="M2686" s="108">
        <v>1</v>
      </c>
      <c r="N2686" s="95">
        <v>1</v>
      </c>
      <c r="O2686" s="109">
        <f>IF(Key!D$1="ON",P2686,IF(SUM(Q2686:DL2686)&lt;1,"",SUM(Q2686:DL2686)/COUNTIF(Q2686:DL2686,"&gt;0")))</f>
        <v>0</v>
      </c>
      <c r="P2686" s="109">
        <f>SUMIFS(Q2686:DK2686,Q$1:DK$1,Dashboard!$K$31)</f>
        <v>0</v>
      </c>
      <c r="U2686" s="95">
        <v>33</v>
      </c>
      <c r="AA2686" s="95">
        <v>25</v>
      </c>
      <c r="AH2686" s="95">
        <v>75</v>
      </c>
    </row>
    <row r="2687" spans="1:34" x14ac:dyDescent="0.3">
      <c r="A2687" s="89" t="str">
        <f>CONCATENATE(D2687,".",F2687,"-",G2687,".",H2687,"")</f>
        <v>2.4-3.1</v>
      </c>
      <c r="B2687" s="89" t="str">
        <f>IF(CONCATENATE(I2687,Key!F$2)=CONCATENATE(INDEX(Dashboard!J:J,MATCH(I2687,Dashboard!J:J,0),1),INDEX(Dashboard!J:K,MATCH(I2687,Dashboard!J:J,0),2)),"ON",IF(Dashboard!K$32="ALL","ON","-"))</f>
        <v>ON</v>
      </c>
      <c r="C2687" s="88" t="s">
        <v>152</v>
      </c>
      <c r="D2687" s="89">
        <f>IF(C2687="ID",1,(IF(C2687="PR",2,(IF(C2687="DE",3,(IF(C2687="RS",4,(IF(C2687="RC",5,0)))))))))</f>
        <v>2</v>
      </c>
      <c r="E2687" s="89" t="s">
        <v>228</v>
      </c>
      <c r="F2687" s="89">
        <f>IF(E2687="AM",1,(IF(E2687="BE",2,(IF(E2687="GV",3,(IF(E2687="RA",4,(IF(E2687="RM",5,(IF(E2687="AC",1,(IF(E2687="AT",2,(IF(E2687="DS",3,(IF(E2687="IP",4,(IF(E2687="MA",5,(IF(E2687="PT",6,(IF(E2687="AE",1,(IF(E2687="CM",2,(IF(E2687="DP",3,(IF(E2687="AN",1,(IF(E2687="CO",2,(IF(E2687="IM",3,(IF(E2687="MI",4,(IF(E2687="RP",5,(IF(E2687="SC",6,0)))))))))))))))))))))))))))))))))))))))</f>
        <v>4</v>
      </c>
      <c r="G2687" s="52">
        <v>3</v>
      </c>
      <c r="H2687" s="90" t="s">
        <v>115</v>
      </c>
      <c r="I2687" s="94" t="s">
        <v>4107</v>
      </c>
      <c r="J2687" s="86" t="s">
        <v>3988</v>
      </c>
      <c r="K2687" s="101" t="s">
        <v>4159</v>
      </c>
      <c r="L2687" s="117">
        <f>IF(O2687="","",N2687*O2687*M2687)</f>
        <v>0</v>
      </c>
      <c r="M2687" s="108">
        <v>1</v>
      </c>
      <c r="N2687" s="95">
        <v>1</v>
      </c>
      <c r="O2687" s="109">
        <f>IF(Key!D$1="ON",P2687,IF(SUM(Q2687:DL2687)&lt;1,"",SUM(Q2687:DL2687)/COUNTIF(Q2687:DL2687,"&gt;0")))</f>
        <v>0</v>
      </c>
      <c r="P2687" s="109">
        <f>SUMIFS(Q2687:DK2687,Q$1:DK$1,Dashboard!$K$31)</f>
        <v>0</v>
      </c>
      <c r="U2687" s="95">
        <v>33</v>
      </c>
      <c r="AA2687" s="95">
        <v>25</v>
      </c>
      <c r="AH2687" s="95">
        <v>75</v>
      </c>
    </row>
    <row r="2688" spans="1:34" x14ac:dyDescent="0.3">
      <c r="A2688" s="89" t="str">
        <f>CONCATENATE(D2688,".",F2688,"-",G2688,".",H2688,"")</f>
        <v>2.4-3.1</v>
      </c>
      <c r="B2688" s="89" t="str">
        <f>IF(CONCATENATE(I2688,Key!F$2)=CONCATENATE(INDEX(Dashboard!J:J,MATCH(I2688,Dashboard!J:J,0),1),INDEX(Dashboard!J:K,MATCH(I2688,Dashboard!J:J,0),2)),"ON",IF(Dashboard!K$32="ALL","ON","-"))</f>
        <v>-</v>
      </c>
      <c r="C2688" s="88" t="s">
        <v>152</v>
      </c>
      <c r="D2688" s="89">
        <f>IF(C2688="ID",1,(IF(C2688="PR",2,(IF(C2688="DE",3,(IF(C2688="RS",4,(IF(C2688="RC",5,0)))))))))</f>
        <v>2</v>
      </c>
      <c r="E2688" s="89" t="s">
        <v>228</v>
      </c>
      <c r="F2688" s="89">
        <f>IF(E2688="AM",1,(IF(E2688="BE",2,(IF(E2688="GV",3,(IF(E2688="RA",4,(IF(E2688="RM",5,(IF(E2688="AC",1,(IF(E2688="AT",2,(IF(E2688="DS",3,(IF(E2688="IP",4,(IF(E2688="MA",5,(IF(E2688="PT",6,(IF(E2688="AE",1,(IF(E2688="CM",2,(IF(E2688="DP",3,(IF(E2688="AN",1,(IF(E2688="CO",2,(IF(E2688="IM",3,(IF(E2688="MI",4,(IF(E2688="RP",5,(IF(E2688="SC",6,0)))))))))))))))))))))))))))))))))))))))</f>
        <v>4</v>
      </c>
      <c r="G2688" s="52">
        <v>3</v>
      </c>
      <c r="H2688" s="99">
        <v>1</v>
      </c>
      <c r="I2688" s="94" t="s">
        <v>37</v>
      </c>
      <c r="J2688" s="86">
        <v>2</v>
      </c>
      <c r="K2688" s="102" t="s">
        <v>3685</v>
      </c>
      <c r="L2688" s="117">
        <f>IF(O2688="","",N2688*O2688*M2688)</f>
        <v>0</v>
      </c>
      <c r="M2688" s="108">
        <v>1</v>
      </c>
      <c r="N2688" s="95">
        <v>1</v>
      </c>
      <c r="O2688" s="109">
        <f>IF(Key!D$1="ON",P2688,IF(SUM(Q2688:DL2688)&lt;1,"",SUM(Q2688:DL2688)/COUNTIF(Q2688:DL2688,"&gt;0")))</f>
        <v>0</v>
      </c>
      <c r="P2688" s="109">
        <f>SUMIFS(Q2688:DK2688,Q$1:DK$1,Dashboard!$K$31)</f>
        <v>0</v>
      </c>
      <c r="U2688" s="95">
        <v>33</v>
      </c>
      <c r="AA2688" s="95">
        <v>25</v>
      </c>
      <c r="AH2688" s="95">
        <v>75</v>
      </c>
    </row>
    <row r="2689" spans="1:34" x14ac:dyDescent="0.3">
      <c r="A2689" s="89" t="str">
        <f>CONCATENATE(D2689,".",F2689,"-",G2689,".",H2689,"")</f>
        <v>2.4-3.1</v>
      </c>
      <c r="B2689" s="89" t="str">
        <f>IF(CONCATENATE(I2689,Key!F$2)=CONCATENATE(INDEX(Dashboard!J:J,MATCH(I2689,Dashboard!J:J,0),1),INDEX(Dashboard!J:K,MATCH(I2689,Dashboard!J:J,0),2)),"ON",IF(Dashboard!K$32="ALL","ON","-"))</f>
        <v>-</v>
      </c>
      <c r="C2689" s="88" t="s">
        <v>152</v>
      </c>
      <c r="D2689" s="89">
        <f>IF(C2689="ID",1,(IF(C2689="PR",2,(IF(C2689="DE",3,(IF(C2689="RS",4,(IF(C2689="RC",5,0)))))))))</f>
        <v>2</v>
      </c>
      <c r="E2689" s="89" t="s">
        <v>228</v>
      </c>
      <c r="F2689" s="89">
        <f>IF(E2689="AM",1,(IF(E2689="BE",2,(IF(E2689="GV",3,(IF(E2689="RA",4,(IF(E2689="RM",5,(IF(E2689="AC",1,(IF(E2689="AT",2,(IF(E2689="DS",3,(IF(E2689="IP",4,(IF(E2689="MA",5,(IF(E2689="PT",6,(IF(E2689="AE",1,(IF(E2689="CM",2,(IF(E2689="DP",3,(IF(E2689="AN",1,(IF(E2689="CO",2,(IF(E2689="IM",3,(IF(E2689="MI",4,(IF(E2689="RP",5,(IF(E2689="SC",6,0)))))))))))))))))))))))))))))))))))))))</f>
        <v>4</v>
      </c>
      <c r="G2689" s="52">
        <v>3</v>
      </c>
      <c r="H2689" s="99">
        <v>1</v>
      </c>
      <c r="I2689" s="94" t="s">
        <v>37</v>
      </c>
      <c r="J2689" s="86">
        <v>3</v>
      </c>
      <c r="K2689" s="102" t="s">
        <v>3773</v>
      </c>
      <c r="L2689" s="117">
        <f>IF(O2689="","",N2689*O2689*M2689)</f>
        <v>0</v>
      </c>
      <c r="M2689" s="108">
        <v>1</v>
      </c>
      <c r="N2689" s="95">
        <v>1</v>
      </c>
      <c r="O2689" s="109">
        <f>IF(Key!D$1="ON",P2689,IF(SUM(Q2689:DL2689)&lt;1,"",SUM(Q2689:DL2689)/COUNTIF(Q2689:DL2689,"&gt;0")))</f>
        <v>0</v>
      </c>
      <c r="P2689" s="109">
        <f>SUMIFS(Q2689:DK2689,Q$1:DK$1,Dashboard!$K$31)</f>
        <v>0</v>
      </c>
      <c r="U2689" s="95">
        <v>33</v>
      </c>
      <c r="AA2689" s="95">
        <v>25</v>
      </c>
      <c r="AH2689" s="95">
        <v>75</v>
      </c>
    </row>
    <row r="2690" spans="1:34" x14ac:dyDescent="0.3">
      <c r="A2690" s="89" t="str">
        <f>CONCATENATE(D2690,".",F2690,"-",G2690,".",H2690,"")</f>
        <v>2.4-3.1</v>
      </c>
      <c r="B2690" s="89" t="str">
        <f>IF(CONCATENATE(I2690,Key!F$2)=CONCATENATE(INDEX(Dashboard!J:J,MATCH(I2690,Dashboard!J:J,0),1),INDEX(Dashboard!J:K,MATCH(I2690,Dashboard!J:J,0),2)),"ON",IF(Dashboard!K$32="ALL","ON","-"))</f>
        <v>-</v>
      </c>
      <c r="C2690" s="88" t="s">
        <v>152</v>
      </c>
      <c r="D2690" s="89">
        <f>IF(C2690="ID",1,(IF(C2690="PR",2,(IF(C2690="DE",3,(IF(C2690="RS",4,(IF(C2690="RC",5,0)))))))))</f>
        <v>2</v>
      </c>
      <c r="E2690" s="89" t="s">
        <v>228</v>
      </c>
      <c r="F2690" s="89">
        <f>IF(E2690="AM",1,(IF(E2690="BE",2,(IF(E2690="GV",3,(IF(E2690="RA",4,(IF(E2690="RM",5,(IF(E2690="AC",1,(IF(E2690="AT",2,(IF(E2690="DS",3,(IF(E2690="IP",4,(IF(E2690="MA",5,(IF(E2690="PT",6,(IF(E2690="AE",1,(IF(E2690="CM",2,(IF(E2690="DP",3,(IF(E2690="AN",1,(IF(E2690="CO",2,(IF(E2690="IM",3,(IF(E2690="MI",4,(IF(E2690="RP",5,(IF(E2690="SC",6,0)))))))))))))))))))))))))))))))))))))))</f>
        <v>4</v>
      </c>
      <c r="G2690" s="52">
        <v>3</v>
      </c>
      <c r="H2690" s="99">
        <v>1</v>
      </c>
      <c r="I2690" s="94" t="s">
        <v>37</v>
      </c>
      <c r="J2690" s="86">
        <v>3.2</v>
      </c>
      <c r="K2690" s="102" t="s">
        <v>3774</v>
      </c>
      <c r="L2690" s="117">
        <f>IF(O2690="","",N2690*O2690*M2690)</f>
        <v>0</v>
      </c>
      <c r="M2690" s="108">
        <v>1</v>
      </c>
      <c r="N2690" s="95">
        <v>1</v>
      </c>
      <c r="O2690" s="109">
        <f>IF(Key!D$1="ON",P2690,IF(SUM(Q2690:DL2690)&lt;1,"",SUM(Q2690:DL2690)/COUNTIF(Q2690:DL2690,"&gt;0")))</f>
        <v>0</v>
      </c>
      <c r="P2690" s="109">
        <f>SUMIFS(Q2690:DK2690,Q$1:DK$1,Dashboard!$K$31)</f>
        <v>0</v>
      </c>
      <c r="U2690" s="95">
        <v>33</v>
      </c>
      <c r="AA2690" s="95">
        <v>25</v>
      </c>
      <c r="AH2690" s="95">
        <v>75</v>
      </c>
    </row>
    <row r="2691" spans="1:34" x14ac:dyDescent="0.3">
      <c r="A2691" s="89" t="str">
        <f>CONCATENATE(D2691,".",F2691,"-",G2691,".",H2691,"")</f>
        <v>2.4-3.1</v>
      </c>
      <c r="B2691" s="89" t="str">
        <f>IF(CONCATENATE(I2691,Key!F$2)=CONCATENATE(INDEX(Dashboard!J:J,MATCH(I2691,Dashboard!J:J,0),1),INDEX(Dashboard!J:K,MATCH(I2691,Dashboard!J:J,0),2)),"ON",IF(Dashboard!K$32="ALL","ON","-"))</f>
        <v>-</v>
      </c>
      <c r="C2691" s="88" t="s">
        <v>152</v>
      </c>
      <c r="D2691" s="89">
        <f>IF(C2691="ID",1,(IF(C2691="PR",2,(IF(C2691="DE",3,(IF(C2691="RS",4,(IF(C2691="RC",5,0)))))))))</f>
        <v>2</v>
      </c>
      <c r="E2691" s="89" t="s">
        <v>228</v>
      </c>
      <c r="F2691" s="89">
        <f>IF(E2691="AM",1,(IF(E2691="BE",2,(IF(E2691="GV",3,(IF(E2691="RA",4,(IF(E2691="RM",5,(IF(E2691="AC",1,(IF(E2691="AT",2,(IF(E2691="DS",3,(IF(E2691="IP",4,(IF(E2691="MA",5,(IF(E2691="PT",6,(IF(E2691="AE",1,(IF(E2691="CM",2,(IF(E2691="DP",3,(IF(E2691="AN",1,(IF(E2691="CO",2,(IF(E2691="IM",3,(IF(E2691="MI",4,(IF(E2691="RP",5,(IF(E2691="SC",6,0)))))))))))))))))))))))))))))))))))))))</f>
        <v>4</v>
      </c>
      <c r="G2691" s="52">
        <v>3</v>
      </c>
      <c r="H2691" s="99">
        <v>1</v>
      </c>
      <c r="I2691" s="94" t="s">
        <v>37</v>
      </c>
      <c r="J2691" s="86">
        <v>3.6</v>
      </c>
      <c r="K2691" s="102" t="s">
        <v>3775</v>
      </c>
      <c r="L2691" s="117">
        <f>IF(O2691="","",N2691*O2691*M2691)</f>
        <v>0</v>
      </c>
      <c r="M2691" s="108">
        <v>1</v>
      </c>
      <c r="N2691" s="95">
        <v>1</v>
      </c>
      <c r="O2691" s="109">
        <f>IF(Key!D$1="ON",P2691,IF(SUM(Q2691:DL2691)&lt;1,"",SUM(Q2691:DL2691)/COUNTIF(Q2691:DL2691,"&gt;0")))</f>
        <v>0</v>
      </c>
      <c r="P2691" s="109">
        <f>SUMIFS(Q2691:DK2691,Q$1:DK$1,Dashboard!$K$31)</f>
        <v>0</v>
      </c>
      <c r="U2691" s="95">
        <v>33</v>
      </c>
      <c r="AA2691" s="95">
        <v>25</v>
      </c>
      <c r="AH2691" s="95">
        <v>75</v>
      </c>
    </row>
    <row r="2692" spans="1:34" x14ac:dyDescent="0.3">
      <c r="A2692" s="89" t="str">
        <f>CONCATENATE(D2692,".",F2692,"-",G2692,".",H2692,"")</f>
        <v>2.4-3.1</v>
      </c>
      <c r="B2692" s="89" t="str">
        <f>IF(CONCATENATE(I2692,Key!F$2)=CONCATENATE(INDEX(Dashboard!J:J,MATCH(I2692,Dashboard!J:J,0),1),INDEX(Dashboard!J:K,MATCH(I2692,Dashboard!J:J,0),2)),"ON",IF(Dashboard!K$32="ALL","ON","-"))</f>
        <v>-</v>
      </c>
      <c r="C2692" s="88" t="s">
        <v>152</v>
      </c>
      <c r="D2692" s="89">
        <f>IF(C2692="ID",1,(IF(C2692="PR",2,(IF(C2692="DE",3,(IF(C2692="RS",4,(IF(C2692="RC",5,0)))))))))</f>
        <v>2</v>
      </c>
      <c r="E2692" s="89" t="s">
        <v>228</v>
      </c>
      <c r="F2692" s="89">
        <f>IF(E2692="AM",1,(IF(E2692="BE",2,(IF(E2692="GV",3,(IF(E2692="RA",4,(IF(E2692="RM",5,(IF(E2692="AC",1,(IF(E2692="AT",2,(IF(E2692="DS",3,(IF(E2692="IP",4,(IF(E2692="MA",5,(IF(E2692="PT",6,(IF(E2692="AE",1,(IF(E2692="CM",2,(IF(E2692="DP",3,(IF(E2692="AN",1,(IF(E2692="CO",2,(IF(E2692="IM",3,(IF(E2692="MI",4,(IF(E2692="RP",5,(IF(E2692="SC",6,0)))))))))))))))))))))))))))))))))))))))</f>
        <v>4</v>
      </c>
      <c r="G2692" s="52">
        <v>3</v>
      </c>
      <c r="H2692" s="99">
        <v>1</v>
      </c>
      <c r="I2692" s="94" t="s">
        <v>37</v>
      </c>
      <c r="J2692" s="86">
        <v>3.7</v>
      </c>
      <c r="K2692" s="102" t="s">
        <v>3776</v>
      </c>
      <c r="L2692" s="117">
        <f>IF(O2692="","",N2692*O2692*M2692)</f>
        <v>0</v>
      </c>
      <c r="M2692" s="108">
        <v>1</v>
      </c>
      <c r="N2692" s="95">
        <v>1</v>
      </c>
      <c r="O2692" s="109">
        <f>IF(Key!D$1="ON",P2692,IF(SUM(Q2692:DL2692)&lt;1,"",SUM(Q2692:DL2692)/COUNTIF(Q2692:DL2692,"&gt;0")))</f>
        <v>0</v>
      </c>
      <c r="P2692" s="109">
        <f>SUMIFS(Q2692:DK2692,Q$1:DK$1,Dashboard!$K$31)</f>
        <v>0</v>
      </c>
      <c r="U2692" s="95">
        <v>33</v>
      </c>
      <c r="AA2692" s="95">
        <v>25</v>
      </c>
      <c r="AH2692" s="95">
        <v>75</v>
      </c>
    </row>
    <row r="2693" spans="1:34" x14ac:dyDescent="0.3">
      <c r="A2693" s="89" t="str">
        <f>CONCATENATE(D2693,".",F2693,"-",G2693,".",H2693,"")</f>
        <v>2.4-3.1</v>
      </c>
      <c r="B2693" s="89" t="str">
        <f>IF(CONCATENATE(I2693,Key!F$2)=CONCATENATE(INDEX(Dashboard!J:J,MATCH(I2693,Dashboard!J:J,0),1),INDEX(Dashboard!J:K,MATCH(I2693,Dashboard!J:J,0),2)),"ON",IF(Dashboard!K$32="ALL","ON","-"))</f>
        <v>-</v>
      </c>
      <c r="C2693" s="88" t="s">
        <v>152</v>
      </c>
      <c r="D2693" s="89">
        <f>IF(C2693="ID",1,(IF(C2693="PR",2,(IF(C2693="DE",3,(IF(C2693="RS",4,(IF(C2693="RC",5,0)))))))))</f>
        <v>2</v>
      </c>
      <c r="E2693" s="89" t="s">
        <v>228</v>
      </c>
      <c r="F2693" s="89">
        <f>IF(E2693="AM",1,(IF(E2693="BE",2,(IF(E2693="GV",3,(IF(E2693="RA",4,(IF(E2693="RM",5,(IF(E2693="AC",1,(IF(E2693="AT",2,(IF(E2693="DS",3,(IF(E2693="IP",4,(IF(E2693="MA",5,(IF(E2693="PT",6,(IF(E2693="AE",1,(IF(E2693="CM",2,(IF(E2693="DP",3,(IF(E2693="AN",1,(IF(E2693="CO",2,(IF(E2693="IM",3,(IF(E2693="MI",4,(IF(E2693="RP",5,(IF(E2693="SC",6,0)))))))))))))))))))))))))))))))))))))))</f>
        <v>4</v>
      </c>
      <c r="G2693" s="52">
        <v>3</v>
      </c>
      <c r="H2693" s="99">
        <v>1</v>
      </c>
      <c r="I2693" s="94" t="s">
        <v>37</v>
      </c>
      <c r="J2693" s="86">
        <v>6.1</v>
      </c>
      <c r="K2693" s="102" t="s">
        <v>3777</v>
      </c>
      <c r="L2693" s="117">
        <f>IF(O2693="","",N2693*O2693*M2693)</f>
        <v>0</v>
      </c>
      <c r="M2693" s="108">
        <v>1</v>
      </c>
      <c r="N2693" s="95">
        <v>1</v>
      </c>
      <c r="O2693" s="109">
        <f>IF(Key!D$1="ON",P2693,IF(SUM(Q2693:DL2693)&lt;1,"",SUM(Q2693:DL2693)/COUNTIF(Q2693:DL2693,"&gt;0")))</f>
        <v>0</v>
      </c>
      <c r="P2693" s="109">
        <f>SUMIFS(Q2693:DK2693,Q$1:DK$1,Dashboard!$K$31)</f>
        <v>0</v>
      </c>
      <c r="U2693" s="95">
        <v>33</v>
      </c>
      <c r="AA2693" s="95">
        <v>25</v>
      </c>
      <c r="AH2693" s="95">
        <v>75</v>
      </c>
    </row>
    <row r="2694" spans="1:34" x14ac:dyDescent="0.3">
      <c r="A2694" s="89" t="str">
        <f>CONCATENATE(D2694,".",F2694,"-",G2694,".",H2694,"")</f>
        <v>2.4-3.1</v>
      </c>
      <c r="B2694" s="89" t="str">
        <f>IF(CONCATENATE(I2694,Key!F$2)=CONCATENATE(INDEX(Dashboard!J:J,MATCH(I2694,Dashboard!J:J,0),1),INDEX(Dashboard!J:K,MATCH(I2694,Dashboard!J:J,0),2)),"ON",IF(Dashboard!K$32="ALL","ON","-"))</f>
        <v>-</v>
      </c>
      <c r="C2694" s="88" t="s">
        <v>152</v>
      </c>
      <c r="D2694" s="89">
        <f>IF(C2694="ID",1,(IF(C2694="PR",2,(IF(C2694="DE",3,(IF(C2694="RS",4,(IF(C2694="RC",5,0)))))))))</f>
        <v>2</v>
      </c>
      <c r="E2694" s="89" t="s">
        <v>228</v>
      </c>
      <c r="F2694" s="89">
        <f>IF(E2694="AM",1,(IF(E2694="BE",2,(IF(E2694="GV",3,(IF(E2694="RA",4,(IF(E2694="RM",5,(IF(E2694="AC",1,(IF(E2694="AT",2,(IF(E2694="DS",3,(IF(E2694="IP",4,(IF(E2694="MA",5,(IF(E2694="PT",6,(IF(E2694="AE",1,(IF(E2694="CM",2,(IF(E2694="DP",3,(IF(E2694="AN",1,(IF(E2694="CO",2,(IF(E2694="IM",3,(IF(E2694="MI",4,(IF(E2694="RP",5,(IF(E2694="SC",6,0)))))))))))))))))))))))))))))))))))))))</f>
        <v>4</v>
      </c>
      <c r="G2694" s="52">
        <v>3</v>
      </c>
      <c r="H2694" s="99">
        <v>1</v>
      </c>
      <c r="I2694" s="94" t="s">
        <v>37</v>
      </c>
      <c r="J2694" s="86">
        <v>6.2</v>
      </c>
      <c r="K2694" s="102" t="s">
        <v>3778</v>
      </c>
      <c r="L2694" s="117">
        <f>IF(O2694="","",N2694*O2694*M2694)</f>
        <v>0</v>
      </c>
      <c r="M2694" s="108">
        <v>1</v>
      </c>
      <c r="N2694" s="95">
        <v>1</v>
      </c>
      <c r="O2694" s="109">
        <f>IF(Key!D$1="ON",P2694,IF(SUM(Q2694:DL2694)&lt;1,"",SUM(Q2694:DL2694)/COUNTIF(Q2694:DL2694,"&gt;0")))</f>
        <v>0</v>
      </c>
      <c r="P2694" s="109">
        <f>SUMIFS(Q2694:DK2694,Q$1:DK$1,Dashboard!$K$31)</f>
        <v>0</v>
      </c>
      <c r="U2694" s="95">
        <v>33</v>
      </c>
      <c r="AA2694" s="95">
        <v>25</v>
      </c>
      <c r="AH2694" s="95">
        <v>75</v>
      </c>
    </row>
    <row r="2695" spans="1:34" x14ac:dyDescent="0.3">
      <c r="A2695" s="89" t="str">
        <f>CONCATENATE(D2695,".",F2695,"-",G2695,".",H2695,"")</f>
        <v>2.4-3.1</v>
      </c>
      <c r="B2695" s="89" t="str">
        <f>IF(CONCATENATE(I2695,Key!F$2)=CONCATENATE(INDEX(Dashboard!J:J,MATCH(I2695,Dashboard!J:J,0),1),INDEX(Dashboard!J:K,MATCH(I2695,Dashboard!J:J,0),2)),"ON",IF(Dashboard!K$32="ALL","ON","-"))</f>
        <v>-</v>
      </c>
      <c r="C2695" s="88" t="s">
        <v>152</v>
      </c>
      <c r="D2695" s="89">
        <f>IF(C2695="ID",1,(IF(C2695="PR",2,(IF(C2695="DE",3,(IF(C2695="RS",4,(IF(C2695="RC",5,0)))))))))</f>
        <v>2</v>
      </c>
      <c r="E2695" s="89" t="s">
        <v>228</v>
      </c>
      <c r="F2695" s="89">
        <f>IF(E2695="AM",1,(IF(E2695="BE",2,(IF(E2695="GV",3,(IF(E2695="RA",4,(IF(E2695="RM",5,(IF(E2695="AC",1,(IF(E2695="AT",2,(IF(E2695="DS",3,(IF(E2695="IP",4,(IF(E2695="MA",5,(IF(E2695="PT",6,(IF(E2695="AE",1,(IF(E2695="CM",2,(IF(E2695="DP",3,(IF(E2695="AN",1,(IF(E2695="CO",2,(IF(E2695="IM",3,(IF(E2695="MI",4,(IF(E2695="RP",5,(IF(E2695="SC",6,0)))))))))))))))))))))))))))))))))))))))</f>
        <v>4</v>
      </c>
      <c r="G2695" s="52">
        <v>3</v>
      </c>
      <c r="H2695" s="99">
        <v>1</v>
      </c>
      <c r="I2695" s="94" t="s">
        <v>41</v>
      </c>
      <c r="J2695" s="86">
        <v>2</v>
      </c>
      <c r="K2695" s="103" t="s">
        <v>3460</v>
      </c>
      <c r="L2695" s="117">
        <f>IF(O2695="","",N2695*O2695*M2695)</f>
        <v>0</v>
      </c>
      <c r="M2695" s="108">
        <v>1</v>
      </c>
      <c r="N2695" s="95">
        <v>1</v>
      </c>
      <c r="O2695" s="109">
        <f>IF(Key!D$1="ON",P2695,IF(SUM(Q2695:DL2695)&lt;1,"",SUM(Q2695:DL2695)/COUNTIF(Q2695:DL2695,"&gt;0")))</f>
        <v>0</v>
      </c>
      <c r="P2695" s="109">
        <f>SUMIFS(Q2695:DK2695,Q$1:DK$1,Dashboard!$K$31)</f>
        <v>0</v>
      </c>
      <c r="U2695" s="95">
        <v>33</v>
      </c>
    </row>
    <row r="2696" spans="1:34" x14ac:dyDescent="0.3">
      <c r="A2696" s="89" t="str">
        <f>CONCATENATE(D2696,".",F2696,"-",G2696,".",H2696,"")</f>
        <v>2.4-3.1</v>
      </c>
      <c r="B2696" s="89" t="str">
        <f>IF(CONCATENATE(I2696,Key!F$2)=CONCATENATE(INDEX(Dashboard!J:J,MATCH(I2696,Dashboard!J:J,0),1),INDEX(Dashboard!J:K,MATCH(I2696,Dashboard!J:J,0),2)),"ON",IF(Dashboard!K$32="ALL","ON","-"))</f>
        <v>-</v>
      </c>
      <c r="C2696" s="88" t="s">
        <v>152</v>
      </c>
      <c r="D2696" s="89">
        <f>IF(C2696="ID",1,(IF(C2696="PR",2,(IF(C2696="DE",3,(IF(C2696="RS",4,(IF(C2696="RC",5,0)))))))))</f>
        <v>2</v>
      </c>
      <c r="E2696" s="89" t="s">
        <v>228</v>
      </c>
      <c r="F2696" s="89">
        <f>IF(E2696="AM",1,(IF(E2696="BE",2,(IF(E2696="GV",3,(IF(E2696="RA",4,(IF(E2696="RM",5,(IF(E2696="AC",1,(IF(E2696="AT",2,(IF(E2696="DS",3,(IF(E2696="IP",4,(IF(E2696="MA",5,(IF(E2696="PT",6,(IF(E2696="AE",1,(IF(E2696="CM",2,(IF(E2696="DP",3,(IF(E2696="AN",1,(IF(E2696="CO",2,(IF(E2696="IM",3,(IF(E2696="MI",4,(IF(E2696="RP",5,(IF(E2696="SC",6,0)))))))))))))))))))))))))))))))))))))))</f>
        <v>4</v>
      </c>
      <c r="G2696" s="52">
        <v>3</v>
      </c>
      <c r="H2696" s="99">
        <v>1</v>
      </c>
      <c r="I2696" s="94" t="s">
        <v>41</v>
      </c>
      <c r="J2696" s="86">
        <v>4.2</v>
      </c>
      <c r="K2696" s="103" t="s">
        <v>3478</v>
      </c>
      <c r="L2696" s="117">
        <f>IF(O2696="","",N2696*O2696*M2696)</f>
        <v>0</v>
      </c>
      <c r="M2696" s="108">
        <v>1</v>
      </c>
      <c r="N2696" s="95">
        <v>1</v>
      </c>
      <c r="O2696" s="109">
        <f>IF(Key!D$1="ON",P2696,IF(SUM(Q2696:DL2696)&lt;1,"",SUM(Q2696:DL2696)/COUNTIF(Q2696:DL2696,"&gt;0")))</f>
        <v>0</v>
      </c>
      <c r="P2696" s="109">
        <f>SUMIFS(Q2696:DK2696,Q$1:DK$1,Dashboard!$K$31)</f>
        <v>0</v>
      </c>
      <c r="U2696" s="95">
        <v>33</v>
      </c>
    </row>
    <row r="2697" spans="1:34" x14ac:dyDescent="0.3">
      <c r="A2697" s="89" t="str">
        <f>CONCATENATE(D2697,".",F2697,"-",G2697,".",H2697,"")</f>
        <v>2.4-3.1</v>
      </c>
      <c r="B2697" s="89" t="str">
        <f>IF(CONCATENATE(I2697,Key!F$2)=CONCATENATE(INDEX(Dashboard!J:J,MATCH(I2697,Dashboard!J:J,0),1),INDEX(Dashboard!J:K,MATCH(I2697,Dashboard!J:J,0),2)),"ON",IF(Dashboard!K$32="ALL","ON","-"))</f>
        <v>-</v>
      </c>
      <c r="C2697" s="88" t="s">
        <v>152</v>
      </c>
      <c r="D2697" s="89">
        <f>IF(C2697="ID",1,(IF(C2697="PR",2,(IF(C2697="DE",3,(IF(C2697="RS",4,(IF(C2697="RC",5,0)))))))))</f>
        <v>2</v>
      </c>
      <c r="E2697" s="89" t="s">
        <v>228</v>
      </c>
      <c r="F2697" s="89">
        <f>IF(E2697="AM",1,(IF(E2697="BE",2,(IF(E2697="GV",3,(IF(E2697="RA",4,(IF(E2697="RM",5,(IF(E2697="AC",1,(IF(E2697="AT",2,(IF(E2697="DS",3,(IF(E2697="IP",4,(IF(E2697="MA",5,(IF(E2697="PT",6,(IF(E2697="AE",1,(IF(E2697="CM",2,(IF(E2697="DP",3,(IF(E2697="AN",1,(IF(E2697="CO",2,(IF(E2697="IM",3,(IF(E2697="MI",4,(IF(E2697="RP",5,(IF(E2697="SC",6,0)))))))))))))))))))))))))))))))))))))))</f>
        <v>4</v>
      </c>
      <c r="G2697" s="52">
        <v>3</v>
      </c>
      <c r="H2697" s="99">
        <v>1</v>
      </c>
      <c r="I2697" s="94" t="s">
        <v>41</v>
      </c>
      <c r="J2697" s="86">
        <v>5</v>
      </c>
      <c r="K2697" s="103" t="s">
        <v>3486</v>
      </c>
      <c r="L2697" s="117">
        <f>IF(O2697="","",N2697*O2697*M2697)</f>
        <v>0</v>
      </c>
      <c r="M2697" s="108">
        <v>1</v>
      </c>
      <c r="N2697" s="95">
        <v>1</v>
      </c>
      <c r="O2697" s="109">
        <f>IF(Key!D$1="ON",P2697,IF(SUM(Q2697:DL2697)&lt;1,"",SUM(Q2697:DL2697)/COUNTIF(Q2697:DL2697,"&gt;0")))</f>
        <v>0</v>
      </c>
      <c r="P2697" s="109">
        <f>SUMIFS(Q2697:DK2697,Q$1:DK$1,Dashboard!$K$31)</f>
        <v>0</v>
      </c>
      <c r="U2697" s="95">
        <v>33</v>
      </c>
    </row>
    <row r="2698" spans="1:34" x14ac:dyDescent="0.3">
      <c r="A2698" s="89" t="str">
        <f>CONCATENATE(D2698,".",F2698,"-",G2698,".",H2698,"")</f>
        <v>2.4-3.1</v>
      </c>
      <c r="B2698" s="89" t="str">
        <f>IF(CONCATENATE(I2698,Key!F$2)=CONCATENATE(INDEX(Dashboard!J:J,MATCH(I2698,Dashboard!J:J,0),1),INDEX(Dashboard!J:K,MATCH(I2698,Dashboard!J:J,0),2)),"ON",IF(Dashboard!K$32="ALL","ON","-"))</f>
        <v>-</v>
      </c>
      <c r="C2698" s="88" t="s">
        <v>152</v>
      </c>
      <c r="D2698" s="89">
        <f>IF(C2698="ID",1,(IF(C2698="PR",2,(IF(C2698="DE",3,(IF(C2698="RS",4,(IF(C2698="RC",5,0)))))))))</f>
        <v>2</v>
      </c>
      <c r="E2698" s="89" t="s">
        <v>228</v>
      </c>
      <c r="F2698" s="89">
        <f>IF(E2698="AM",1,(IF(E2698="BE",2,(IF(E2698="GV",3,(IF(E2698="RA",4,(IF(E2698="RM",5,(IF(E2698="AC",1,(IF(E2698="AT",2,(IF(E2698="DS",3,(IF(E2698="IP",4,(IF(E2698="MA",5,(IF(E2698="PT",6,(IF(E2698="AE",1,(IF(E2698="CM",2,(IF(E2698="DP",3,(IF(E2698="AN",1,(IF(E2698="CO",2,(IF(E2698="IM",3,(IF(E2698="MI",4,(IF(E2698="RP",5,(IF(E2698="SC",6,0)))))))))))))))))))))))))))))))))))))))</f>
        <v>4</v>
      </c>
      <c r="G2698" s="52">
        <v>3</v>
      </c>
      <c r="H2698" s="99">
        <v>1</v>
      </c>
      <c r="I2698" s="94" t="s">
        <v>41</v>
      </c>
      <c r="J2698" s="86">
        <v>5.2</v>
      </c>
      <c r="K2698" s="103" t="s">
        <v>3488</v>
      </c>
      <c r="L2698" s="117">
        <f>IF(O2698="","",N2698*O2698*M2698)</f>
        <v>0</v>
      </c>
      <c r="M2698" s="108">
        <v>1</v>
      </c>
      <c r="N2698" s="95">
        <v>1</v>
      </c>
      <c r="O2698" s="109">
        <f>IF(Key!D$1="ON",P2698,IF(SUM(Q2698:DL2698)&lt;1,"",SUM(Q2698:DL2698)/COUNTIF(Q2698:DL2698,"&gt;0")))</f>
        <v>0</v>
      </c>
      <c r="P2698" s="109">
        <f>SUMIFS(Q2698:DK2698,Q$1:DK$1,Dashboard!$K$31)</f>
        <v>0</v>
      </c>
      <c r="U2698" s="95">
        <v>33</v>
      </c>
    </row>
    <row r="2699" spans="1:34" x14ac:dyDescent="0.3">
      <c r="A2699" s="89" t="str">
        <f>CONCATENATE(D2699,".",F2699,"-",G2699,".",H2699,"")</f>
        <v>2.4-3.1</v>
      </c>
      <c r="B2699" s="89" t="str">
        <f>IF(CONCATENATE(I2699,Key!F$2)=CONCATENATE(INDEX(Dashboard!J:J,MATCH(I2699,Dashboard!J:J,0),1),INDEX(Dashboard!J:K,MATCH(I2699,Dashboard!J:J,0),2)),"ON",IF(Dashboard!K$32="ALL","ON","-"))</f>
        <v>-</v>
      </c>
      <c r="C2699" s="88" t="s">
        <v>152</v>
      </c>
      <c r="D2699" s="89">
        <f>IF(C2699="ID",1,(IF(C2699="PR",2,(IF(C2699="DE",3,(IF(C2699="RS",4,(IF(C2699="RC",5,0)))))))))</f>
        <v>2</v>
      </c>
      <c r="E2699" s="89" t="s">
        <v>228</v>
      </c>
      <c r="F2699" s="89">
        <f>IF(E2699="AM",1,(IF(E2699="BE",2,(IF(E2699="GV",3,(IF(E2699="RA",4,(IF(E2699="RM",5,(IF(E2699="AC",1,(IF(E2699="AT",2,(IF(E2699="DS",3,(IF(E2699="IP",4,(IF(E2699="MA",5,(IF(E2699="PT",6,(IF(E2699="AE",1,(IF(E2699="CM",2,(IF(E2699="DP",3,(IF(E2699="AN",1,(IF(E2699="CO",2,(IF(E2699="IM",3,(IF(E2699="MI",4,(IF(E2699="RP",5,(IF(E2699="SC",6,0)))))))))))))))))))))))))))))))))))))))</f>
        <v>4</v>
      </c>
      <c r="G2699" s="52">
        <v>3</v>
      </c>
      <c r="H2699" s="99">
        <v>1</v>
      </c>
      <c r="I2699" s="94" t="s">
        <v>41</v>
      </c>
      <c r="J2699" s="86">
        <v>5.4</v>
      </c>
      <c r="K2699" s="103" t="s">
        <v>3490</v>
      </c>
      <c r="L2699" s="117">
        <f>IF(O2699="","",N2699*O2699*M2699)</f>
        <v>0</v>
      </c>
      <c r="M2699" s="108">
        <v>1</v>
      </c>
      <c r="N2699" s="95">
        <v>1</v>
      </c>
      <c r="O2699" s="109">
        <f>IF(Key!D$1="ON",P2699,IF(SUM(Q2699:DL2699)&lt;1,"",SUM(Q2699:DL2699)/COUNTIF(Q2699:DL2699,"&gt;0")))</f>
        <v>0</v>
      </c>
      <c r="P2699" s="109">
        <f>SUMIFS(Q2699:DK2699,Q$1:DK$1,Dashboard!$K$31)</f>
        <v>0</v>
      </c>
      <c r="U2699" s="95">
        <v>33</v>
      </c>
    </row>
    <row r="2700" spans="1:34" x14ac:dyDescent="0.3">
      <c r="A2700" s="89" t="str">
        <f>CONCATENATE(D2700,".",F2700,"-",G2700,".",H2700,"")</f>
        <v>2.4-3.1</v>
      </c>
      <c r="B2700" s="89" t="str">
        <f>IF(CONCATENATE(I2700,Key!F$2)=CONCATENATE(INDEX(Dashboard!J:J,MATCH(I2700,Dashboard!J:J,0),1),INDEX(Dashboard!J:K,MATCH(I2700,Dashboard!J:J,0),2)),"ON",IF(Dashboard!K$32="ALL","ON","-"))</f>
        <v>-</v>
      </c>
      <c r="C2700" s="88" t="s">
        <v>152</v>
      </c>
      <c r="D2700" s="89">
        <f>IF(C2700="ID",1,(IF(C2700="PR",2,(IF(C2700="DE",3,(IF(C2700="RS",4,(IF(C2700="RC",5,0)))))))))</f>
        <v>2</v>
      </c>
      <c r="E2700" s="89" t="s">
        <v>228</v>
      </c>
      <c r="F2700" s="89">
        <f>IF(E2700="AM",1,(IF(E2700="BE",2,(IF(E2700="GV",3,(IF(E2700="RA",4,(IF(E2700="RM",5,(IF(E2700="AC",1,(IF(E2700="AT",2,(IF(E2700="DS",3,(IF(E2700="IP",4,(IF(E2700="MA",5,(IF(E2700="PT",6,(IF(E2700="AE",1,(IF(E2700="CM",2,(IF(E2700="DP",3,(IF(E2700="AN",1,(IF(E2700="CO",2,(IF(E2700="IM",3,(IF(E2700="MI",4,(IF(E2700="RP",5,(IF(E2700="SC",6,0)))))))))))))))))))))))))))))))))))))))</f>
        <v>4</v>
      </c>
      <c r="G2700" s="52">
        <v>3</v>
      </c>
      <c r="H2700" s="99">
        <v>1</v>
      </c>
      <c r="I2700" s="94" t="s">
        <v>41</v>
      </c>
      <c r="J2700" s="86">
        <v>5.5</v>
      </c>
      <c r="K2700" s="103" t="s">
        <v>3491</v>
      </c>
      <c r="L2700" s="117">
        <f>IF(O2700="","",N2700*O2700*M2700)</f>
        <v>0</v>
      </c>
      <c r="M2700" s="108">
        <v>1</v>
      </c>
      <c r="N2700" s="95">
        <v>1</v>
      </c>
      <c r="O2700" s="109">
        <f>IF(Key!D$1="ON",P2700,IF(SUM(Q2700:DL2700)&lt;1,"",SUM(Q2700:DL2700)/COUNTIF(Q2700:DL2700,"&gt;0")))</f>
        <v>0</v>
      </c>
      <c r="P2700" s="109">
        <f>SUMIFS(Q2700:DK2700,Q$1:DK$1,Dashboard!$K$31)</f>
        <v>0</v>
      </c>
      <c r="U2700" s="95">
        <v>33</v>
      </c>
    </row>
    <row r="2701" spans="1:34" x14ac:dyDescent="0.3">
      <c r="A2701" s="89" t="str">
        <f>CONCATENATE(D2701,".",F2701,"-",G2701,".",H2701,"")</f>
        <v>2.4-3.1</v>
      </c>
      <c r="B2701" s="89" t="str">
        <f>IF(CONCATENATE(I2701,Key!F$2)=CONCATENATE(INDEX(Dashboard!J:J,MATCH(I2701,Dashboard!J:J,0),1),INDEX(Dashboard!J:K,MATCH(I2701,Dashboard!J:J,0),2)),"ON",IF(Dashboard!K$32="ALL","ON","-"))</f>
        <v>-</v>
      </c>
      <c r="C2701" s="88" t="s">
        <v>152</v>
      </c>
      <c r="D2701" s="89">
        <f>IF(C2701="ID",1,(IF(C2701="PR",2,(IF(C2701="DE",3,(IF(C2701="RS",4,(IF(C2701="RC",5,0)))))))))</f>
        <v>2</v>
      </c>
      <c r="E2701" s="89" t="s">
        <v>228</v>
      </c>
      <c r="F2701" s="89">
        <f>IF(E2701="AM",1,(IF(E2701="BE",2,(IF(E2701="GV",3,(IF(E2701="RA",4,(IF(E2701="RM",5,(IF(E2701="AC",1,(IF(E2701="AT",2,(IF(E2701="DS",3,(IF(E2701="IP",4,(IF(E2701="MA",5,(IF(E2701="PT",6,(IF(E2701="AE",1,(IF(E2701="CM",2,(IF(E2701="DP",3,(IF(E2701="AN",1,(IF(E2701="CO",2,(IF(E2701="IM",3,(IF(E2701="MI",4,(IF(E2701="RP",5,(IF(E2701="SC",6,0)))))))))))))))))))))))))))))))))))))))</f>
        <v>4</v>
      </c>
      <c r="G2701" s="52">
        <v>3</v>
      </c>
      <c r="H2701" s="99">
        <v>1</v>
      </c>
      <c r="I2701" s="94" t="s">
        <v>41</v>
      </c>
      <c r="J2701" s="86">
        <v>6.1</v>
      </c>
      <c r="K2701" s="103" t="s">
        <v>3493</v>
      </c>
      <c r="L2701" s="117">
        <f>IF(O2701="","",N2701*O2701*M2701)</f>
        <v>0</v>
      </c>
      <c r="M2701" s="108">
        <v>1</v>
      </c>
      <c r="N2701" s="95">
        <v>1</v>
      </c>
      <c r="O2701" s="109">
        <f>IF(Key!D$1="ON",P2701,IF(SUM(Q2701:DL2701)&lt;1,"",SUM(Q2701:DL2701)/COUNTIF(Q2701:DL2701,"&gt;0")))</f>
        <v>0</v>
      </c>
      <c r="P2701" s="109">
        <f>SUMIFS(Q2701:DK2701,Q$1:DK$1,Dashboard!$K$31)</f>
        <v>0</v>
      </c>
      <c r="U2701" s="95">
        <v>33</v>
      </c>
    </row>
    <row r="2702" spans="1:34" x14ac:dyDescent="0.3">
      <c r="A2702" s="89" t="str">
        <f>CONCATENATE(D2702,".",F2702,"-",G2702,".",H2702,"")</f>
        <v>2.4-3.1</v>
      </c>
      <c r="B2702" s="89" t="str">
        <f>IF(CONCATENATE(I2702,Key!F$2)=CONCATENATE(INDEX(Dashboard!J:J,MATCH(I2702,Dashboard!J:J,0),1),INDEX(Dashboard!J:K,MATCH(I2702,Dashboard!J:J,0),2)),"ON",IF(Dashboard!K$32="ALL","ON","-"))</f>
        <v>-</v>
      </c>
      <c r="C2702" s="96" t="s">
        <v>152</v>
      </c>
      <c r="D2702" s="89">
        <f>IF(C2702="ID",1,(IF(C2702="PR",2,(IF(C2702="DE",3,(IF(C2702="RS",4,(IF(C2702="RC",5,0)))))))))</f>
        <v>2</v>
      </c>
      <c r="E2702" s="89" t="s">
        <v>228</v>
      </c>
      <c r="F2702" s="89">
        <f>IF(E2702="AM",1,(IF(E2702="BE",2,(IF(E2702="GV",3,(IF(E2702="RA",4,(IF(E2702="RM",5,(IF(E2702="AC",1,(IF(E2702="AT",2,(IF(E2702="DS",3,(IF(E2702="IP",4,(IF(E2702="MA",5,(IF(E2702="PT",6,(IF(E2702="AE",1,(IF(E2702="CM",2,(IF(E2702="DP",3,(IF(E2702="AN",1,(IF(E2702="CO",2,(IF(E2702="IM",3,(IF(E2702="MI",4,(IF(E2702="RP",5,(IF(E2702="SC",6,0)))))))))))))))))))))))))))))))))))))))</f>
        <v>4</v>
      </c>
      <c r="G2702" s="98">
        <v>3</v>
      </c>
      <c r="H2702" s="90" t="s">
        <v>115</v>
      </c>
      <c r="I2702" s="94" t="s">
        <v>52</v>
      </c>
      <c r="J2702" s="88">
        <v>164.30600000000001</v>
      </c>
      <c r="K2702" s="103" t="s">
        <v>3424</v>
      </c>
      <c r="L2702" s="117">
        <f>IF(O2702="","",N2702*O2702*M2702)</f>
        <v>0</v>
      </c>
      <c r="M2702" s="108">
        <v>1</v>
      </c>
      <c r="N2702" s="95">
        <v>1</v>
      </c>
      <c r="O2702" s="109">
        <f>IF(Key!D$1="ON",P2702,IF(SUM(Q2702:DL2702)&lt;1,"",SUM(Q2702:DL2702)/COUNTIF(Q2702:DL2702,"&gt;0")))</f>
        <v>0</v>
      </c>
      <c r="P2702" s="109">
        <f>SUMIFS(Q2702:DK2702,Q$1:DK$1,Dashboard!$K$31)</f>
        <v>0</v>
      </c>
      <c r="U2702" s="95">
        <v>33</v>
      </c>
      <c r="AA2702" s="95">
        <v>25</v>
      </c>
      <c r="AH2702" s="95">
        <v>75</v>
      </c>
    </row>
    <row r="2703" spans="1:34" x14ac:dyDescent="0.3">
      <c r="A2703" s="89" t="str">
        <f>CONCATENATE(D2703,".",F2703,"-",G2703,".",H2703,"")</f>
        <v>2.4-3.1</v>
      </c>
      <c r="B2703" s="89" t="str">
        <f>IF(CONCATENATE(I2703,Key!F$2)=CONCATENATE(INDEX(Dashboard!J:J,MATCH(I2703,Dashboard!J:J,0),1),INDEX(Dashboard!J:K,MATCH(I2703,Dashboard!J:J,0),2)),"ON",IF(Dashboard!K$32="ALL","ON","-"))</f>
        <v>-</v>
      </c>
      <c r="C2703" s="96" t="s">
        <v>152</v>
      </c>
      <c r="D2703" s="89">
        <f>IF(C2703="ID",1,(IF(C2703="PR",2,(IF(C2703="DE",3,(IF(C2703="RS",4,(IF(C2703="RC",5,0)))))))))</f>
        <v>2</v>
      </c>
      <c r="E2703" s="89" t="s">
        <v>228</v>
      </c>
      <c r="F2703" s="89">
        <f>IF(E2703="AM",1,(IF(E2703="BE",2,(IF(E2703="GV",3,(IF(E2703="RA",4,(IF(E2703="RM",5,(IF(E2703="AC",1,(IF(E2703="AT",2,(IF(E2703="DS",3,(IF(E2703="IP",4,(IF(E2703="MA",5,(IF(E2703="PT",6,(IF(E2703="AE",1,(IF(E2703="CM",2,(IF(E2703="DP",3,(IF(E2703="AN",1,(IF(E2703="CO",2,(IF(E2703="IM",3,(IF(E2703="MI",4,(IF(E2703="RP",5,(IF(E2703="SC",6,0)))))))))))))))))))))))))))))))))))))))</f>
        <v>4</v>
      </c>
      <c r="G2703" s="98">
        <v>3</v>
      </c>
      <c r="H2703" s="90" t="s">
        <v>115</v>
      </c>
      <c r="I2703" s="94" t="s">
        <v>52</v>
      </c>
      <c r="J2703" s="88" t="s">
        <v>3292</v>
      </c>
      <c r="K2703" s="103" t="s">
        <v>3293</v>
      </c>
      <c r="L2703" s="117">
        <f>IF(O2703="","",N2703*O2703*M2703)</f>
        <v>0</v>
      </c>
      <c r="M2703" s="108">
        <v>1</v>
      </c>
      <c r="N2703" s="95">
        <v>1</v>
      </c>
      <c r="O2703" s="109">
        <f>IF(Key!D$1="ON",P2703,IF(SUM(Q2703:DL2703)&lt;1,"",SUM(Q2703:DL2703)/COUNTIF(Q2703:DL2703,"&gt;0")))</f>
        <v>0</v>
      </c>
      <c r="P2703" s="109">
        <f>SUMIFS(Q2703:DK2703,Q$1:DK$1,Dashboard!$K$31)</f>
        <v>0</v>
      </c>
      <c r="U2703" s="95">
        <v>33</v>
      </c>
      <c r="AA2703" s="95">
        <v>25</v>
      </c>
      <c r="AH2703" s="95">
        <v>75</v>
      </c>
    </row>
    <row r="2704" spans="1:34" x14ac:dyDescent="0.3">
      <c r="A2704" s="89" t="str">
        <f>CONCATENATE(D2704,".",F2704,"-",G2704,".",H2704,"")</f>
        <v>2.4-3.1</v>
      </c>
      <c r="B2704" s="89" t="str">
        <f>IF(CONCATENATE(I2704,Key!F$2)=CONCATENATE(INDEX(Dashboard!J:J,MATCH(I2704,Dashboard!J:J,0),1),INDEX(Dashboard!J:K,MATCH(I2704,Dashboard!J:J,0),2)),"ON",IF(Dashboard!K$32="ALL","ON","-"))</f>
        <v>-</v>
      </c>
      <c r="C2704" s="88" t="s">
        <v>152</v>
      </c>
      <c r="D2704" s="89">
        <f>IF(C2704="ID",1,(IF(C2704="PR",2,(IF(C2704="DE",3,(IF(C2704="RS",4,(IF(C2704="RC",5,0)))))))))</f>
        <v>2</v>
      </c>
      <c r="E2704" s="89" t="s">
        <v>228</v>
      </c>
      <c r="F2704" s="89">
        <f>IF(E2704="AM",1,(IF(E2704="BE",2,(IF(E2704="GV",3,(IF(E2704="RA",4,(IF(E2704="RM",5,(IF(E2704="AC",1,(IF(E2704="AT",2,(IF(E2704="DS",3,(IF(E2704="IP",4,(IF(E2704="MA",5,(IF(E2704="PT",6,(IF(E2704="AE",1,(IF(E2704="CM",2,(IF(E2704="DP",3,(IF(E2704="AN",1,(IF(E2704="CO",2,(IF(E2704="IM",3,(IF(E2704="MI",4,(IF(E2704="RP",5,(IF(E2704="SC",6,0)))))))))))))))))))))))))))))))))))))))</f>
        <v>4</v>
      </c>
      <c r="G2704" s="52">
        <v>3</v>
      </c>
      <c r="H2704" s="89">
        <v>1</v>
      </c>
      <c r="I2704" s="94" t="s">
        <v>60</v>
      </c>
      <c r="J2704" s="88" t="s">
        <v>3245</v>
      </c>
      <c r="K2704" s="51" t="s">
        <v>5358</v>
      </c>
      <c r="L2704" s="117">
        <f>IF(O2704="","",N2704*O2704*M2704)</f>
        <v>0</v>
      </c>
      <c r="M2704" s="108">
        <v>1</v>
      </c>
      <c r="N2704" s="95">
        <v>1</v>
      </c>
      <c r="O2704" s="109">
        <f>IF(Key!D$1="ON",P2704,IF(SUM(Q2704:DL2704)&lt;1,"",SUM(Q2704:DL2704)/COUNTIF(Q2704:DL2704,"&gt;0")))</f>
        <v>0</v>
      </c>
      <c r="P2704" s="109">
        <f>SUMIFS(Q2704:DK2704,Q$1:DK$1,Dashboard!$K$31)</f>
        <v>0</v>
      </c>
      <c r="U2704" s="95">
        <v>33</v>
      </c>
      <c r="AA2704" s="95">
        <v>25</v>
      </c>
      <c r="AH2704" s="95">
        <v>75</v>
      </c>
    </row>
    <row r="2705" spans="1:34" x14ac:dyDescent="0.3">
      <c r="A2705" s="89" t="str">
        <f>CONCATENATE(D2705,".",F2705,"-",G2705,".",H2705,"")</f>
        <v>2.4-3.1</v>
      </c>
      <c r="B2705" s="89" t="str">
        <f>IF(CONCATENATE(I2705,Key!F$2)=CONCATENATE(INDEX(Dashboard!J:J,MATCH(I2705,Dashboard!J:J,0),1),INDEX(Dashboard!J:K,MATCH(I2705,Dashboard!J:J,0),2)),"ON",IF(Dashboard!K$32="ALL","ON","-"))</f>
        <v>-</v>
      </c>
      <c r="C2705" s="88" t="s">
        <v>152</v>
      </c>
      <c r="D2705" s="89">
        <f>IF(C2705="ID",1,(IF(C2705="PR",2,(IF(C2705="DE",3,(IF(C2705="RS",4,(IF(C2705="RC",5,0)))))))))</f>
        <v>2</v>
      </c>
      <c r="E2705" s="89" t="s">
        <v>228</v>
      </c>
      <c r="F2705" s="89">
        <f>IF(E2705="AM",1,(IF(E2705="BE",2,(IF(E2705="GV",3,(IF(E2705="RA",4,(IF(E2705="RM",5,(IF(E2705="AC",1,(IF(E2705="AT",2,(IF(E2705="DS",3,(IF(E2705="IP",4,(IF(E2705="MA",5,(IF(E2705="PT",6,(IF(E2705="AE",1,(IF(E2705="CM",2,(IF(E2705="DP",3,(IF(E2705="AN",1,(IF(E2705="CO",2,(IF(E2705="IM",3,(IF(E2705="MI",4,(IF(E2705="RP",5,(IF(E2705="SC",6,0)))))))))))))))))))))))))))))))))))))))</f>
        <v>4</v>
      </c>
      <c r="G2705" s="52">
        <v>3</v>
      </c>
      <c r="H2705" s="90" t="s">
        <v>115</v>
      </c>
      <c r="I2705" s="94" t="s">
        <v>60</v>
      </c>
      <c r="J2705" s="87" t="s">
        <v>3228</v>
      </c>
      <c r="K2705" s="51" t="s">
        <v>5341</v>
      </c>
      <c r="L2705" s="117">
        <f>IF(O2705="","",N2705*O2705*M2705)</f>
        <v>0</v>
      </c>
      <c r="M2705" s="108">
        <v>1</v>
      </c>
      <c r="N2705" s="95">
        <v>1</v>
      </c>
      <c r="O2705" s="109">
        <f>IF(Key!D$1="ON",P2705,IF(SUM(Q2705:DL2705)&lt;1,"",SUM(Q2705:DL2705)/COUNTIF(Q2705:DL2705,"&gt;0")))</f>
        <v>0</v>
      </c>
      <c r="P2705" s="109">
        <f>SUMIFS(Q2705:DK2705,Q$1:DK$1,Dashboard!$K$31)</f>
        <v>0</v>
      </c>
      <c r="U2705" s="95">
        <v>33</v>
      </c>
      <c r="AA2705" s="95">
        <v>25</v>
      </c>
      <c r="AH2705" s="95">
        <v>75</v>
      </c>
    </row>
    <row r="2706" spans="1:34" x14ac:dyDescent="0.3">
      <c r="A2706" s="89" t="str">
        <f>CONCATENATE(D2706,".",F2706,"-",G2706,".",H2706,"")</f>
        <v>2.4-3.1</v>
      </c>
      <c r="B2706" s="89" t="str">
        <f>IF(CONCATENATE(I2706,Key!F$2)=CONCATENATE(INDEX(Dashboard!J:J,MATCH(I2706,Dashboard!J:J,0),1),INDEX(Dashboard!J:K,MATCH(I2706,Dashboard!J:J,0),2)),"ON",IF(Dashboard!K$32="ALL","ON","-"))</f>
        <v>-</v>
      </c>
      <c r="C2706" s="88" t="s">
        <v>152</v>
      </c>
      <c r="D2706" s="89">
        <f>IF(C2706="ID",1,(IF(C2706="PR",2,(IF(C2706="DE",3,(IF(C2706="RS",4,(IF(C2706="RC",5,0)))))))))</f>
        <v>2</v>
      </c>
      <c r="E2706" s="89" t="s">
        <v>228</v>
      </c>
      <c r="F2706" s="89">
        <f>IF(E2706="AM",1,(IF(E2706="BE",2,(IF(E2706="GV",3,(IF(E2706="RA",4,(IF(E2706="RM",5,(IF(E2706="AC",1,(IF(E2706="AT",2,(IF(E2706="DS",3,(IF(E2706="IP",4,(IF(E2706="MA",5,(IF(E2706="PT",6,(IF(E2706="AE",1,(IF(E2706="CM",2,(IF(E2706="DP",3,(IF(E2706="AN",1,(IF(E2706="CO",2,(IF(E2706="IM",3,(IF(E2706="MI",4,(IF(E2706="RP",5,(IF(E2706="SC",6,0)))))))))))))))))))))))))))))))))))))))</f>
        <v>4</v>
      </c>
      <c r="G2706" s="52">
        <v>3</v>
      </c>
      <c r="H2706" s="90" t="s">
        <v>115</v>
      </c>
      <c r="I2706" s="94" t="s">
        <v>60</v>
      </c>
      <c r="J2706" s="87" t="s">
        <v>3232</v>
      </c>
      <c r="K2706" s="51" t="s">
        <v>5345</v>
      </c>
      <c r="L2706" s="117">
        <f>IF(O2706="","",N2706*O2706*M2706)</f>
        <v>0</v>
      </c>
      <c r="M2706" s="108">
        <v>1</v>
      </c>
      <c r="N2706" s="95">
        <v>1</v>
      </c>
      <c r="O2706" s="109">
        <f>IF(Key!D$1="ON",P2706,IF(SUM(Q2706:DL2706)&lt;1,"",SUM(Q2706:DL2706)/COUNTIF(Q2706:DL2706,"&gt;0")))</f>
        <v>0</v>
      </c>
      <c r="P2706" s="109">
        <f>SUMIFS(Q2706:DK2706,Q$1:DK$1,Dashboard!$K$31)</f>
        <v>0</v>
      </c>
      <c r="U2706" s="95">
        <v>33</v>
      </c>
      <c r="AA2706" s="95">
        <v>25</v>
      </c>
      <c r="AH2706" s="95">
        <v>75</v>
      </c>
    </row>
    <row r="2707" spans="1:34" x14ac:dyDescent="0.3">
      <c r="A2707" s="89" t="str">
        <f>CONCATENATE(D2707,".",F2707,"-",G2707,".",H2707,"")</f>
        <v>2.4-3.1</v>
      </c>
      <c r="B2707" s="89" t="str">
        <f>IF(CONCATENATE(I2707,Key!F$2)=CONCATENATE(INDEX(Dashboard!J:J,MATCH(I2707,Dashboard!J:J,0),1),INDEX(Dashboard!J:K,MATCH(I2707,Dashboard!J:J,0),2)),"ON",IF(Dashboard!K$32="ALL","ON","-"))</f>
        <v>-</v>
      </c>
      <c r="C2707" s="88" t="s">
        <v>152</v>
      </c>
      <c r="D2707" s="89">
        <f>IF(C2707="ID",1,(IF(C2707="PR",2,(IF(C2707="DE",3,(IF(C2707="RS",4,(IF(C2707="RC",5,0)))))))))</f>
        <v>2</v>
      </c>
      <c r="E2707" s="89" t="s">
        <v>228</v>
      </c>
      <c r="F2707" s="89">
        <f>IF(E2707="AM",1,(IF(E2707="BE",2,(IF(E2707="GV",3,(IF(E2707="RA",4,(IF(E2707="RM",5,(IF(E2707="AC",1,(IF(E2707="AT",2,(IF(E2707="DS",3,(IF(E2707="IP",4,(IF(E2707="MA",5,(IF(E2707="PT",6,(IF(E2707="AE",1,(IF(E2707="CM",2,(IF(E2707="DP",3,(IF(E2707="AN",1,(IF(E2707="CO",2,(IF(E2707="IM",3,(IF(E2707="MI",4,(IF(E2707="RP",5,(IF(E2707="SC",6,0)))))))))))))))))))))))))))))))))))))))</f>
        <v>4</v>
      </c>
      <c r="G2707" s="52">
        <v>3</v>
      </c>
      <c r="H2707" s="90" t="s">
        <v>115</v>
      </c>
      <c r="I2707" s="94" t="s">
        <v>60</v>
      </c>
      <c r="J2707" s="87" t="s">
        <v>3246</v>
      </c>
      <c r="K2707" s="51" t="s">
        <v>5359</v>
      </c>
      <c r="L2707" s="117">
        <f>IF(O2707="","",N2707*O2707*M2707)</f>
        <v>0</v>
      </c>
      <c r="M2707" s="108">
        <v>1</v>
      </c>
      <c r="N2707" s="95">
        <v>1</v>
      </c>
      <c r="O2707" s="109">
        <f>IF(Key!D$1="ON",P2707,IF(SUM(Q2707:DL2707)&lt;1,"",SUM(Q2707:DL2707)/COUNTIF(Q2707:DL2707,"&gt;0")))</f>
        <v>0</v>
      </c>
      <c r="P2707" s="109">
        <f>SUMIFS(Q2707:DK2707,Q$1:DK$1,Dashboard!$K$31)</f>
        <v>0</v>
      </c>
      <c r="U2707" s="95">
        <v>33</v>
      </c>
      <c r="AA2707" s="95">
        <v>25</v>
      </c>
      <c r="AH2707" s="95">
        <v>75</v>
      </c>
    </row>
    <row r="2708" spans="1:34" x14ac:dyDescent="0.3">
      <c r="A2708" s="89" t="str">
        <f>CONCATENATE(D2708,".",F2708,"-",G2708,".",H2708,"")</f>
        <v>2.4-3.1</v>
      </c>
      <c r="B2708" s="89" t="str">
        <f>IF(CONCATENATE(I2708,Key!F$2)=CONCATENATE(INDEX(Dashboard!J:J,MATCH(I2708,Dashboard!J:J,0),1),INDEX(Dashboard!J:K,MATCH(I2708,Dashboard!J:J,0),2)),"ON",IF(Dashboard!K$32="ALL","ON","-"))</f>
        <v>-</v>
      </c>
      <c r="C2708" s="88" t="s">
        <v>152</v>
      </c>
      <c r="D2708" s="89">
        <f>IF(C2708="ID",1,(IF(C2708="PR",2,(IF(C2708="DE",3,(IF(C2708="RS",4,(IF(C2708="RC",5,0)))))))))</f>
        <v>2</v>
      </c>
      <c r="E2708" s="89" t="s">
        <v>228</v>
      </c>
      <c r="F2708" s="89">
        <f>IF(E2708="AM",1,(IF(E2708="BE",2,(IF(E2708="GV",3,(IF(E2708="RA",4,(IF(E2708="RM",5,(IF(E2708="AC",1,(IF(E2708="AT",2,(IF(E2708="DS",3,(IF(E2708="IP",4,(IF(E2708="MA",5,(IF(E2708="PT",6,(IF(E2708="AE",1,(IF(E2708="CM",2,(IF(E2708="DP",3,(IF(E2708="AN",1,(IF(E2708="CO",2,(IF(E2708="IM",3,(IF(E2708="MI",4,(IF(E2708="RP",5,(IF(E2708="SC",6,0)))))))))))))))))))))))))))))))))))))))</f>
        <v>4</v>
      </c>
      <c r="G2708" s="52">
        <v>3</v>
      </c>
      <c r="H2708" s="90" t="s">
        <v>115</v>
      </c>
      <c r="I2708" s="94" t="s">
        <v>60</v>
      </c>
      <c r="J2708" s="87" t="s">
        <v>3233</v>
      </c>
      <c r="K2708" s="51" t="s">
        <v>5346</v>
      </c>
      <c r="L2708" s="117">
        <f>IF(O2708="","",N2708*O2708*M2708)</f>
        <v>0</v>
      </c>
      <c r="M2708" s="108">
        <v>1</v>
      </c>
      <c r="N2708" s="95">
        <v>1</v>
      </c>
      <c r="O2708" s="109">
        <f>IF(Key!D$1="ON",P2708,IF(SUM(Q2708:DL2708)&lt;1,"",SUM(Q2708:DL2708)/COUNTIF(Q2708:DL2708,"&gt;0")))</f>
        <v>0</v>
      </c>
      <c r="P2708" s="109">
        <f>SUMIFS(Q2708:DK2708,Q$1:DK$1,Dashboard!$K$31)</f>
        <v>0</v>
      </c>
      <c r="U2708" s="95">
        <v>33</v>
      </c>
      <c r="AA2708" s="95">
        <v>25</v>
      </c>
      <c r="AH2708" s="95">
        <v>75</v>
      </c>
    </row>
    <row r="2709" spans="1:34" x14ac:dyDescent="0.3">
      <c r="A2709" s="89" t="str">
        <f>CONCATENATE(D2709,".",F2709,"-",G2709,".",H2709,"")</f>
        <v>2.4-3.1</v>
      </c>
      <c r="B2709" s="89" t="str">
        <f>IF(CONCATENATE(I2709,Key!F$2)=CONCATENATE(INDEX(Dashboard!J:J,MATCH(I2709,Dashboard!J:J,0),1),INDEX(Dashboard!J:K,MATCH(I2709,Dashboard!J:J,0),2)),"ON",IF(Dashboard!K$32="ALL","ON","-"))</f>
        <v>-</v>
      </c>
      <c r="C2709" s="88" t="s">
        <v>152</v>
      </c>
      <c r="D2709" s="89">
        <f>IF(C2709="ID",1,(IF(C2709="PR",2,(IF(C2709="DE",3,(IF(C2709="RS",4,(IF(C2709="RC",5,0)))))))))</f>
        <v>2</v>
      </c>
      <c r="E2709" s="89" t="s">
        <v>228</v>
      </c>
      <c r="F2709" s="89">
        <f>IF(E2709="AM",1,(IF(E2709="BE",2,(IF(E2709="GV",3,(IF(E2709="RA",4,(IF(E2709="RM",5,(IF(E2709="AC",1,(IF(E2709="AT",2,(IF(E2709="DS",3,(IF(E2709="IP",4,(IF(E2709="MA",5,(IF(E2709="PT",6,(IF(E2709="AE",1,(IF(E2709="CM",2,(IF(E2709="DP",3,(IF(E2709="AN",1,(IF(E2709="CO",2,(IF(E2709="IM",3,(IF(E2709="MI",4,(IF(E2709="RP",5,(IF(E2709="SC",6,0)))))))))))))))))))))))))))))))))))))))</f>
        <v>4</v>
      </c>
      <c r="G2709" s="52">
        <v>3</v>
      </c>
      <c r="H2709" s="90" t="s">
        <v>115</v>
      </c>
      <c r="I2709" s="94" t="s">
        <v>60</v>
      </c>
      <c r="J2709" s="87" t="s">
        <v>3229</v>
      </c>
      <c r="K2709" s="51" t="s">
        <v>5342</v>
      </c>
      <c r="L2709" s="117">
        <f>IF(O2709="","",N2709*O2709*M2709)</f>
        <v>0</v>
      </c>
      <c r="M2709" s="108">
        <v>1</v>
      </c>
      <c r="N2709" s="95">
        <v>1</v>
      </c>
      <c r="O2709" s="109">
        <f>IF(Key!D$1="ON",P2709,IF(SUM(Q2709:DL2709)&lt;1,"",SUM(Q2709:DL2709)/COUNTIF(Q2709:DL2709,"&gt;0")))</f>
        <v>0</v>
      </c>
      <c r="P2709" s="109">
        <f>SUMIFS(Q2709:DK2709,Q$1:DK$1,Dashboard!$K$31)</f>
        <v>0</v>
      </c>
      <c r="U2709" s="95">
        <v>33</v>
      </c>
      <c r="AA2709" s="95">
        <v>25</v>
      </c>
      <c r="AH2709" s="95">
        <v>75</v>
      </c>
    </row>
    <row r="2710" spans="1:34" x14ac:dyDescent="0.3">
      <c r="A2710" s="89" t="str">
        <f>CONCATENATE(D2710,".",F2710,"-",G2710,".",H2710,"")</f>
        <v>2.4-3.1</v>
      </c>
      <c r="B2710" s="89" t="str">
        <f>IF(CONCATENATE(I2710,Key!F$2)=CONCATENATE(INDEX(Dashboard!J:J,MATCH(I2710,Dashboard!J:J,0),1),INDEX(Dashboard!J:K,MATCH(I2710,Dashboard!J:J,0),2)),"ON",IF(Dashboard!K$32="ALL","ON","-"))</f>
        <v>-</v>
      </c>
      <c r="C2710" s="88" t="s">
        <v>152</v>
      </c>
      <c r="D2710" s="89">
        <f>IF(C2710="ID",1,(IF(C2710="PR",2,(IF(C2710="DE",3,(IF(C2710="RS",4,(IF(C2710="RC",5,0)))))))))</f>
        <v>2</v>
      </c>
      <c r="E2710" s="89" t="s">
        <v>228</v>
      </c>
      <c r="F2710" s="89">
        <f>IF(E2710="AM",1,(IF(E2710="BE",2,(IF(E2710="GV",3,(IF(E2710="RA",4,(IF(E2710="RM",5,(IF(E2710="AC",1,(IF(E2710="AT",2,(IF(E2710="DS",3,(IF(E2710="IP",4,(IF(E2710="MA",5,(IF(E2710="PT",6,(IF(E2710="AE",1,(IF(E2710="CM",2,(IF(E2710="DP",3,(IF(E2710="AN",1,(IF(E2710="CO",2,(IF(E2710="IM",3,(IF(E2710="MI",4,(IF(E2710="RP",5,(IF(E2710="SC",6,0)))))))))))))))))))))))))))))))))))))))</f>
        <v>4</v>
      </c>
      <c r="G2710" s="52">
        <v>3</v>
      </c>
      <c r="H2710" s="90" t="s">
        <v>115</v>
      </c>
      <c r="I2710" s="94" t="s">
        <v>64</v>
      </c>
      <c r="J2710" s="87" t="s">
        <v>1602</v>
      </c>
      <c r="K2710" s="102" t="s">
        <v>2555</v>
      </c>
      <c r="L2710" s="117">
        <f>IF(O2710="","",N2710*O2710*M2710)</f>
        <v>0</v>
      </c>
      <c r="M2710" s="108">
        <v>1</v>
      </c>
      <c r="N2710" s="95">
        <v>1</v>
      </c>
      <c r="O2710" s="109">
        <f>IF(Key!D$1="ON",P2710,IF(SUM(Q2710:DL2710)&lt;1,"",SUM(Q2710:DL2710)/COUNTIF(Q2710:DL2710,"&gt;0")))</f>
        <v>0</v>
      </c>
      <c r="P2710" s="109">
        <f>SUMIFS(Q2710:DK2710,Q$1:DK$1,Dashboard!$K$31)</f>
        <v>0</v>
      </c>
      <c r="U2710" s="95">
        <v>33</v>
      </c>
      <c r="AA2710" s="95">
        <v>25</v>
      </c>
      <c r="AH2710" s="95">
        <v>75</v>
      </c>
    </row>
    <row r="2711" spans="1:34" x14ac:dyDescent="0.3">
      <c r="A2711" s="89" t="str">
        <f>CONCATENATE(D2711,".",F2711,"-",G2711,".",H2711,"")</f>
        <v>2.4-3.1</v>
      </c>
      <c r="B2711" s="89" t="str">
        <f>IF(CONCATENATE(I2711,Key!F$2)=CONCATENATE(INDEX(Dashboard!J:J,MATCH(I2711,Dashboard!J:J,0),1),INDEX(Dashboard!J:K,MATCH(I2711,Dashboard!J:J,0),2)),"ON",IF(Dashboard!K$32="ALL","ON","-"))</f>
        <v>-</v>
      </c>
      <c r="C2711" s="88" t="s">
        <v>152</v>
      </c>
      <c r="D2711" s="89">
        <f>IF(C2711="ID",1,(IF(C2711="PR",2,(IF(C2711="DE",3,(IF(C2711="RS",4,(IF(C2711="RC",5,0)))))))))</f>
        <v>2</v>
      </c>
      <c r="E2711" s="89" t="s">
        <v>228</v>
      </c>
      <c r="F2711" s="89">
        <f>IF(E2711="AM",1,(IF(E2711="BE",2,(IF(E2711="GV",3,(IF(E2711="RA",4,(IF(E2711="RM",5,(IF(E2711="AC",1,(IF(E2711="AT",2,(IF(E2711="DS",3,(IF(E2711="IP",4,(IF(E2711="MA",5,(IF(E2711="PT",6,(IF(E2711="AE",1,(IF(E2711="CM",2,(IF(E2711="DP",3,(IF(E2711="AN",1,(IF(E2711="CO",2,(IF(E2711="IM",3,(IF(E2711="MI",4,(IF(E2711="RP",5,(IF(E2711="SC",6,0)))))))))))))))))))))))))))))))))))))))</f>
        <v>4</v>
      </c>
      <c r="G2711" s="98">
        <v>3</v>
      </c>
      <c r="H2711" s="99">
        <v>1</v>
      </c>
      <c r="I2711" s="94" t="s">
        <v>73</v>
      </c>
      <c r="J2711" s="86" t="s">
        <v>4157</v>
      </c>
      <c r="K2711" s="107" t="s">
        <v>4284</v>
      </c>
      <c r="L2711" s="117">
        <f>IF(O2711="","",N2711*O2711*M2711)</f>
        <v>0</v>
      </c>
      <c r="M2711" s="108">
        <v>1</v>
      </c>
      <c r="N2711" s="95">
        <v>1</v>
      </c>
      <c r="O2711" s="109">
        <f>IF(Key!D$1="ON",P2711,IF(SUM(Q2711:DL2711)&lt;1,"",SUM(Q2711:DL2711)/COUNTIF(Q2711:DL2711,"&gt;0")))</f>
        <v>0</v>
      </c>
      <c r="P2711" s="109">
        <f>SUMIFS(Q2711:DK2711,Q$1:DK$1,Dashboard!$K$31)</f>
        <v>0</v>
      </c>
      <c r="U2711" s="95">
        <v>33</v>
      </c>
      <c r="AA2711" s="95">
        <v>25</v>
      </c>
      <c r="AH2711" s="95">
        <v>75</v>
      </c>
    </row>
    <row r="2712" spans="1:34" x14ac:dyDescent="0.3">
      <c r="A2712" s="89" t="str">
        <f>CONCATENATE(D2712,".",F2712,"-",G2712,".",H2712,"")</f>
        <v>2.4-3.1</v>
      </c>
      <c r="B2712" s="89" t="str">
        <f>IF(CONCATENATE(I2712,Key!F$2)=CONCATENATE(INDEX(Dashboard!J:J,MATCH(I2712,Dashboard!J:J,0),1),INDEX(Dashboard!J:K,MATCH(I2712,Dashboard!J:J,0),2)),"ON",IF(Dashboard!K$32="ALL","ON","-"))</f>
        <v>-</v>
      </c>
      <c r="C2712" s="88" t="s">
        <v>152</v>
      </c>
      <c r="D2712" s="89">
        <f>IF(C2712="ID",1,(IF(C2712="PR",2,(IF(C2712="DE",3,(IF(C2712="RS",4,(IF(C2712="RC",5,0)))))))))</f>
        <v>2</v>
      </c>
      <c r="E2712" s="89" t="s">
        <v>228</v>
      </c>
      <c r="F2712" s="89">
        <f>IF(E2712="AM",1,(IF(E2712="BE",2,(IF(E2712="GV",3,(IF(E2712="RA",4,(IF(E2712="RM",5,(IF(E2712="AC",1,(IF(E2712="AT",2,(IF(E2712="DS",3,(IF(E2712="IP",4,(IF(E2712="MA",5,(IF(E2712="PT",6,(IF(E2712="AE",1,(IF(E2712="CM",2,(IF(E2712="DP",3,(IF(E2712="AN",1,(IF(E2712="CO",2,(IF(E2712="IM",3,(IF(E2712="MI",4,(IF(E2712="RP",5,(IF(E2712="SC",6,0)))))))))))))))))))))))))))))))))))))))</f>
        <v>4</v>
      </c>
      <c r="G2712" s="98">
        <v>3</v>
      </c>
      <c r="H2712" s="99">
        <v>1</v>
      </c>
      <c r="I2712" s="94" t="s">
        <v>73</v>
      </c>
      <c r="J2712" s="86" t="s">
        <v>4158</v>
      </c>
      <c r="K2712" s="107" t="s">
        <v>4285</v>
      </c>
      <c r="L2712" s="117">
        <f>IF(O2712="","",N2712*O2712*M2712)</f>
        <v>0</v>
      </c>
      <c r="M2712" s="108">
        <v>1</v>
      </c>
      <c r="N2712" s="95">
        <v>1</v>
      </c>
      <c r="O2712" s="109">
        <f>IF(Key!D$1="ON",P2712,IF(SUM(Q2712:DL2712)&lt;1,"",SUM(Q2712:DL2712)/COUNTIF(Q2712:DL2712,"&gt;0")))</f>
        <v>0</v>
      </c>
      <c r="P2712" s="109">
        <f>SUMIFS(Q2712:DK2712,Q$1:DK$1,Dashboard!$K$31)</f>
        <v>0</v>
      </c>
      <c r="U2712" s="95">
        <v>33</v>
      </c>
      <c r="AA2712" s="95">
        <v>25</v>
      </c>
      <c r="AH2712" s="95">
        <v>75</v>
      </c>
    </row>
    <row r="2713" spans="1:34" x14ac:dyDescent="0.3">
      <c r="A2713" s="89" t="str">
        <f>CONCATENATE(D2713,".",F2713,"-",G2713,".",H2713,"")</f>
        <v>2.4-3.1</v>
      </c>
      <c r="B2713" s="89" t="str">
        <f>IF(CONCATENATE(I2713,Key!F$2)=CONCATENATE(INDEX(Dashboard!J:J,MATCH(I2713,Dashboard!J:J,0),1),INDEX(Dashboard!J:K,MATCH(I2713,Dashboard!J:J,0),2)),"ON",IF(Dashboard!K$32="ALL","ON","-"))</f>
        <v>-</v>
      </c>
      <c r="C2713" s="88" t="s">
        <v>152</v>
      </c>
      <c r="D2713" s="89">
        <f>IF(C2713="ID",1,(IF(C2713="PR",2,(IF(C2713="DE",3,(IF(C2713="RS",4,(IF(C2713="RC",5,0)))))))))</f>
        <v>2</v>
      </c>
      <c r="E2713" s="89" t="s">
        <v>228</v>
      </c>
      <c r="F2713" s="89">
        <f>IF(E2713="AM",1,(IF(E2713="BE",2,(IF(E2713="GV",3,(IF(E2713="RA",4,(IF(E2713="RM",5,(IF(E2713="AC",1,(IF(E2713="AT",2,(IF(E2713="DS",3,(IF(E2713="IP",4,(IF(E2713="MA",5,(IF(E2713="PT",6,(IF(E2713="AE",1,(IF(E2713="CM",2,(IF(E2713="DP",3,(IF(E2713="AN",1,(IF(E2713="CO",2,(IF(E2713="IM",3,(IF(E2713="MI",4,(IF(E2713="RP",5,(IF(E2713="SC",6,0)))))))))))))))))))))))))))))))))))))))</f>
        <v>4</v>
      </c>
      <c r="G2713" s="98">
        <v>3</v>
      </c>
      <c r="H2713" s="99">
        <v>1</v>
      </c>
      <c r="I2713" s="94" t="s">
        <v>73</v>
      </c>
      <c r="J2713" s="86" t="s">
        <v>4160</v>
      </c>
      <c r="K2713" s="107" t="s">
        <v>4286</v>
      </c>
      <c r="L2713" s="117">
        <f>IF(O2713="","",N2713*O2713*M2713)</f>
        <v>0</v>
      </c>
      <c r="M2713" s="108">
        <v>1</v>
      </c>
      <c r="N2713" s="95">
        <v>1</v>
      </c>
      <c r="O2713" s="109">
        <f>IF(Key!D$1="ON",P2713,IF(SUM(Q2713:DL2713)&lt;1,"",SUM(Q2713:DL2713)/COUNTIF(Q2713:DL2713,"&gt;0")))</f>
        <v>0</v>
      </c>
      <c r="P2713" s="109">
        <f>SUMIFS(Q2713:DK2713,Q$1:DK$1,Dashboard!$K$31)</f>
        <v>0</v>
      </c>
      <c r="U2713" s="95">
        <v>33</v>
      </c>
      <c r="AA2713" s="95">
        <v>25</v>
      </c>
      <c r="AH2713" s="95">
        <v>75</v>
      </c>
    </row>
    <row r="2714" spans="1:34" x14ac:dyDescent="0.3">
      <c r="A2714" s="89" t="str">
        <f>CONCATENATE(D2714,".",F2714,"-",G2714,".",H2714,"")</f>
        <v>2.4-3.1</v>
      </c>
      <c r="B2714" s="89" t="str">
        <f>IF(CONCATENATE(I2714,Key!F$2)=CONCATENATE(INDEX(Dashboard!J:J,MATCH(I2714,Dashboard!J:J,0),1),INDEX(Dashboard!J:K,MATCH(I2714,Dashboard!J:J,0),2)),"ON",IF(Dashboard!K$32="ALL","ON","-"))</f>
        <v>-</v>
      </c>
      <c r="C2714" s="88" t="s">
        <v>152</v>
      </c>
      <c r="D2714" s="89">
        <f>IF(C2714="ID",1,(IF(C2714="PR",2,(IF(C2714="DE",3,(IF(C2714="RS",4,(IF(C2714="RC",5,0)))))))))</f>
        <v>2</v>
      </c>
      <c r="E2714" s="89" t="s">
        <v>228</v>
      </c>
      <c r="F2714" s="89">
        <f>IF(E2714="AM",1,(IF(E2714="BE",2,(IF(E2714="GV",3,(IF(E2714="RA",4,(IF(E2714="RM",5,(IF(E2714="AC",1,(IF(E2714="AT",2,(IF(E2714="DS",3,(IF(E2714="IP",4,(IF(E2714="MA",5,(IF(E2714="PT",6,(IF(E2714="AE",1,(IF(E2714="CM",2,(IF(E2714="DP",3,(IF(E2714="AN",1,(IF(E2714="CO",2,(IF(E2714="IM",3,(IF(E2714="MI",4,(IF(E2714="RP",5,(IF(E2714="SC",6,0)))))))))))))))))))))))))))))))))))))))</f>
        <v>4</v>
      </c>
      <c r="G2714" s="52">
        <v>3</v>
      </c>
      <c r="H2714" s="90" t="s">
        <v>115</v>
      </c>
      <c r="I2714" s="94" t="s">
        <v>77</v>
      </c>
      <c r="J2714" s="87" t="s">
        <v>1602</v>
      </c>
      <c r="K2714" s="102" t="s">
        <v>2555</v>
      </c>
      <c r="L2714" s="117">
        <f>IF(O2714="","",N2714*O2714*M2714)</f>
        <v>0</v>
      </c>
      <c r="M2714" s="108">
        <v>1</v>
      </c>
      <c r="N2714" s="95">
        <v>1</v>
      </c>
      <c r="O2714" s="109">
        <f>IF(Key!D$1="ON",P2714,IF(SUM(Q2714:DL2714)&lt;1,"",SUM(Q2714:DL2714)/COUNTIF(Q2714:DL2714,"&gt;0")))</f>
        <v>0</v>
      </c>
      <c r="P2714" s="109">
        <f>SUMIFS(Q2714:DK2714,Q$1:DK$1,Dashboard!$K$31)</f>
        <v>0</v>
      </c>
      <c r="U2714" s="95">
        <v>33</v>
      </c>
      <c r="AA2714" s="95">
        <v>25</v>
      </c>
      <c r="AH2714" s="95">
        <v>75</v>
      </c>
    </row>
    <row r="2715" spans="1:34" x14ac:dyDescent="0.3">
      <c r="A2715" s="89" t="str">
        <f>CONCATENATE(D2715,".",F2715,"-",G2715,".",H2715,"")</f>
        <v>2.4-3.1</v>
      </c>
      <c r="B2715" s="89" t="str">
        <f>IF(CONCATENATE(I2715,Key!F$2)=CONCATENATE(INDEX(Dashboard!J:J,MATCH(I2715,Dashboard!J:J,0),1),INDEX(Dashboard!J:K,MATCH(I2715,Dashboard!J:J,0),2)),"ON",IF(Dashboard!K$32="ALL","ON","-"))</f>
        <v>-</v>
      </c>
      <c r="C2715" s="88" t="s">
        <v>152</v>
      </c>
      <c r="D2715" s="89">
        <f>IF(C2715="ID",1,(IF(C2715="PR",2,(IF(C2715="DE",3,(IF(C2715="RS",4,(IF(C2715="RC",5,0)))))))))</f>
        <v>2</v>
      </c>
      <c r="E2715" s="89" t="s">
        <v>228</v>
      </c>
      <c r="F2715" s="89">
        <f>IF(E2715="AM",1,(IF(E2715="BE",2,(IF(E2715="GV",3,(IF(E2715="RA",4,(IF(E2715="RM",5,(IF(E2715="AC",1,(IF(E2715="AT",2,(IF(E2715="DS",3,(IF(E2715="IP",4,(IF(E2715="MA",5,(IF(E2715="PT",6,(IF(E2715="AE",1,(IF(E2715="CM",2,(IF(E2715="DP",3,(IF(E2715="AN",1,(IF(E2715="CO",2,(IF(E2715="IM",3,(IF(E2715="MI",4,(IF(E2715="RP",5,(IF(E2715="SC",6,0)))))))))))))))))))))))))))))))))))))))</f>
        <v>4</v>
      </c>
      <c r="G2715" s="98">
        <v>3</v>
      </c>
      <c r="H2715" s="90" t="s">
        <v>115</v>
      </c>
      <c r="I2715" s="94" t="s">
        <v>77</v>
      </c>
      <c r="J2715" s="87" t="s">
        <v>1603</v>
      </c>
      <c r="K2715" s="102" t="s">
        <v>2556</v>
      </c>
      <c r="L2715" s="117">
        <f>IF(O2715="","",N2715*O2715*M2715)</f>
        <v>0</v>
      </c>
      <c r="M2715" s="108">
        <v>1</v>
      </c>
      <c r="N2715" s="95">
        <v>1</v>
      </c>
      <c r="O2715" s="109">
        <f>IF(Key!D$1="ON",P2715,IF(SUM(Q2715:DL2715)&lt;1,"",SUM(Q2715:DL2715)/COUNTIF(Q2715:DL2715,"&gt;0")))</f>
        <v>0</v>
      </c>
      <c r="P2715" s="109">
        <f>SUMIFS(Q2715:DK2715,Q$1:DK$1,Dashboard!$K$31)</f>
        <v>0</v>
      </c>
      <c r="U2715" s="95">
        <v>33</v>
      </c>
      <c r="AA2715" s="95">
        <v>25</v>
      </c>
      <c r="AH2715" s="95">
        <v>75</v>
      </c>
    </row>
    <row r="2716" spans="1:34" x14ac:dyDescent="0.3">
      <c r="A2716" s="89" t="str">
        <f>CONCATENATE(D2716,".",F2716,"-",G2716,".",H2716,"")</f>
        <v>2.4-3.1</v>
      </c>
      <c r="B2716" s="89" t="str">
        <f>IF(CONCATENATE(I2716,Key!F$2)=CONCATENATE(INDEX(Dashboard!J:J,MATCH(I2716,Dashboard!J:J,0),1),INDEX(Dashboard!J:K,MATCH(I2716,Dashboard!J:J,0),2)),"ON",IF(Dashboard!K$32="ALL","ON","-"))</f>
        <v>-</v>
      </c>
      <c r="C2716" s="88" t="s">
        <v>152</v>
      </c>
      <c r="D2716" s="89">
        <f>IF(C2716="ID",1,(IF(C2716="PR",2,(IF(C2716="DE",3,(IF(C2716="RS",4,(IF(C2716="RC",5,0)))))))))</f>
        <v>2</v>
      </c>
      <c r="E2716" s="89" t="s">
        <v>228</v>
      </c>
      <c r="F2716" s="89">
        <f>IF(E2716="AM",1,(IF(E2716="BE",2,(IF(E2716="GV",3,(IF(E2716="RA",4,(IF(E2716="RM",5,(IF(E2716="AC",1,(IF(E2716="AT",2,(IF(E2716="DS",3,(IF(E2716="IP",4,(IF(E2716="MA",5,(IF(E2716="PT",6,(IF(E2716="AE",1,(IF(E2716="CM",2,(IF(E2716="DP",3,(IF(E2716="AN",1,(IF(E2716="CO",2,(IF(E2716="IM",3,(IF(E2716="MI",4,(IF(E2716="RP",5,(IF(E2716="SC",6,0)))))))))))))))))))))))))))))))))))))))</f>
        <v>4</v>
      </c>
      <c r="G2716" s="52">
        <v>3</v>
      </c>
      <c r="H2716" s="90" t="s">
        <v>115</v>
      </c>
      <c r="I2716" s="94" t="s">
        <v>77</v>
      </c>
      <c r="J2716" s="87" t="s">
        <v>1604</v>
      </c>
      <c r="K2716" s="102" t="s">
        <v>2557</v>
      </c>
      <c r="L2716" s="117">
        <f>IF(O2716="","",N2716*O2716*M2716)</f>
        <v>0</v>
      </c>
      <c r="M2716" s="108">
        <v>1</v>
      </c>
      <c r="N2716" s="95">
        <v>1</v>
      </c>
      <c r="O2716" s="109">
        <f>IF(Key!D$1="ON",P2716,IF(SUM(Q2716:DL2716)&lt;1,"",SUM(Q2716:DL2716)/COUNTIF(Q2716:DL2716,"&gt;0")))</f>
        <v>0</v>
      </c>
      <c r="P2716" s="109">
        <f>SUMIFS(Q2716:DK2716,Q$1:DK$1,Dashboard!$K$31)</f>
        <v>0</v>
      </c>
      <c r="U2716" s="95">
        <v>33</v>
      </c>
      <c r="AA2716" s="95">
        <v>25</v>
      </c>
      <c r="AH2716" s="95">
        <v>75</v>
      </c>
    </row>
    <row r="2717" spans="1:34" x14ac:dyDescent="0.3">
      <c r="A2717" s="89" t="str">
        <f>CONCATENATE(D2717,".",F2717,"-",G2717,".",H2717,"")</f>
        <v>2.4-3.1</v>
      </c>
      <c r="B2717" s="89" t="str">
        <f>IF(CONCATENATE(I2717,Key!F$2)=CONCATENATE(INDEX(Dashboard!J:J,MATCH(I2717,Dashboard!J:J,0),1),INDEX(Dashboard!J:K,MATCH(I2717,Dashboard!J:J,0),2)),"ON",IF(Dashboard!K$32="ALL","ON","-"))</f>
        <v>-</v>
      </c>
      <c r="C2717" s="88" t="s">
        <v>152</v>
      </c>
      <c r="D2717" s="89">
        <f>IF(C2717="ID",1,(IF(C2717="PR",2,(IF(C2717="DE",3,(IF(C2717="RS",4,(IF(C2717="RC",5,0)))))))))</f>
        <v>2</v>
      </c>
      <c r="E2717" s="89" t="s">
        <v>228</v>
      </c>
      <c r="F2717" s="89">
        <f>IF(E2717="AM",1,(IF(E2717="BE",2,(IF(E2717="GV",3,(IF(E2717="RA",4,(IF(E2717="RM",5,(IF(E2717="AC",1,(IF(E2717="AT",2,(IF(E2717="DS",3,(IF(E2717="IP",4,(IF(E2717="MA",5,(IF(E2717="PT",6,(IF(E2717="AE",1,(IF(E2717="CM",2,(IF(E2717="DP",3,(IF(E2717="AN",1,(IF(E2717="CO",2,(IF(E2717="IM",3,(IF(E2717="MI",4,(IF(E2717="RP",5,(IF(E2717="SC",6,0)))))))))))))))))))))))))))))))))))))))</f>
        <v>4</v>
      </c>
      <c r="G2717" s="98">
        <v>3</v>
      </c>
      <c r="H2717" s="90" t="s">
        <v>115</v>
      </c>
      <c r="I2717" s="94" t="s">
        <v>77</v>
      </c>
      <c r="J2717" s="87" t="s">
        <v>1605</v>
      </c>
      <c r="K2717" s="102" t="s">
        <v>2558</v>
      </c>
      <c r="L2717" s="117">
        <f>IF(O2717="","",N2717*O2717*M2717)</f>
        <v>0</v>
      </c>
      <c r="M2717" s="108">
        <v>1</v>
      </c>
      <c r="N2717" s="95">
        <v>1</v>
      </c>
      <c r="O2717" s="109">
        <f>IF(Key!D$1="ON",P2717,IF(SUM(Q2717:DL2717)&lt;1,"",SUM(Q2717:DL2717)/COUNTIF(Q2717:DL2717,"&gt;0")))</f>
        <v>0</v>
      </c>
      <c r="P2717" s="109">
        <f>SUMIFS(Q2717:DK2717,Q$1:DK$1,Dashboard!$K$31)</f>
        <v>0</v>
      </c>
      <c r="U2717" s="95">
        <v>33</v>
      </c>
      <c r="AA2717" s="95">
        <v>25</v>
      </c>
      <c r="AH2717" s="95">
        <v>75</v>
      </c>
    </row>
    <row r="2718" spans="1:34" x14ac:dyDescent="0.3">
      <c r="A2718" s="89" t="str">
        <f>CONCATENATE(D2718,".",F2718,"-",G2718,".",H2718,"")</f>
        <v>2.4-3.1</v>
      </c>
      <c r="B2718" s="89" t="str">
        <f>IF(CONCATENATE(I2718,Key!F$2)=CONCATENATE(INDEX(Dashboard!J:J,MATCH(I2718,Dashboard!J:J,0),1),INDEX(Dashboard!J:K,MATCH(I2718,Dashboard!J:J,0),2)),"ON",IF(Dashboard!K$32="ALL","ON","-"))</f>
        <v>-</v>
      </c>
      <c r="C2718" s="88" t="s">
        <v>152</v>
      </c>
      <c r="D2718" s="89">
        <f>IF(C2718="ID",1,(IF(C2718="PR",2,(IF(C2718="DE",3,(IF(C2718="RS",4,(IF(C2718="RC",5,0)))))))))</f>
        <v>2</v>
      </c>
      <c r="E2718" s="89" t="s">
        <v>228</v>
      </c>
      <c r="F2718" s="89">
        <f>IF(E2718="AM",1,(IF(E2718="BE",2,(IF(E2718="GV",3,(IF(E2718="RA",4,(IF(E2718="RM",5,(IF(E2718="AC",1,(IF(E2718="AT",2,(IF(E2718="DS",3,(IF(E2718="IP",4,(IF(E2718="MA",5,(IF(E2718="PT",6,(IF(E2718="AE",1,(IF(E2718="CM",2,(IF(E2718="DP",3,(IF(E2718="AN",1,(IF(E2718="CO",2,(IF(E2718="IM",3,(IF(E2718="MI",4,(IF(E2718="RP",5,(IF(E2718="SC",6,0)))))))))))))))))))))))))))))))))))))))</f>
        <v>4</v>
      </c>
      <c r="G2718" s="98">
        <v>3</v>
      </c>
      <c r="H2718" s="90" t="s">
        <v>115</v>
      </c>
      <c r="I2718" s="94" t="s">
        <v>85</v>
      </c>
      <c r="J2718" s="87" t="s">
        <v>1603</v>
      </c>
      <c r="K2718" s="119" t="s">
        <v>4529</v>
      </c>
      <c r="L2718" s="117">
        <f>IF(O2718="","",N2718*O2718*M2718)</f>
        <v>0</v>
      </c>
      <c r="M2718" s="108">
        <v>1</v>
      </c>
      <c r="N2718" s="95">
        <v>1</v>
      </c>
      <c r="O2718" s="109">
        <f>IF(Key!D$1="ON",P2718,IF(SUM(Q2718:DL2718)&lt;1,"",SUM(Q2718:DL2718)/COUNTIF(Q2718:DL2718,"&gt;0")))</f>
        <v>0</v>
      </c>
      <c r="P2718" s="109">
        <f>SUMIFS(Q2718:DK2718,Q$1:DK$1,Dashboard!$K$31)</f>
        <v>0</v>
      </c>
      <c r="U2718" s="95">
        <v>33</v>
      </c>
      <c r="AA2718" s="95">
        <v>25</v>
      </c>
      <c r="AH2718" s="95">
        <v>75</v>
      </c>
    </row>
    <row r="2719" spans="1:34" x14ac:dyDescent="0.3">
      <c r="A2719" s="89" t="str">
        <f>CONCATENATE(D2719,".",F2719,"-",G2719,".",H2719,"")</f>
        <v>2.4-3.1</v>
      </c>
      <c r="B2719" s="89" t="str">
        <f>IF(CONCATENATE(I2719,Key!F$2)=CONCATENATE(INDEX(Dashboard!J:J,MATCH(I2719,Dashboard!J:J,0),1),INDEX(Dashboard!J:K,MATCH(I2719,Dashboard!J:J,0),2)),"ON",IF(Dashboard!K$32="ALL","ON","-"))</f>
        <v>-</v>
      </c>
      <c r="C2719" s="88" t="s">
        <v>152</v>
      </c>
      <c r="D2719" s="89">
        <f>IF(C2719="ID",1,(IF(C2719="PR",2,(IF(C2719="DE",3,(IF(C2719="RS",4,(IF(C2719="RC",5,0)))))))))</f>
        <v>2</v>
      </c>
      <c r="E2719" s="89" t="s">
        <v>228</v>
      </c>
      <c r="F2719" s="89">
        <f>IF(E2719="AM",1,(IF(E2719="BE",2,(IF(E2719="GV",3,(IF(E2719="RA",4,(IF(E2719="RM",5,(IF(E2719="AC",1,(IF(E2719="AT",2,(IF(E2719="DS",3,(IF(E2719="IP",4,(IF(E2719="MA",5,(IF(E2719="PT",6,(IF(E2719="AE",1,(IF(E2719="CM",2,(IF(E2719="DP",3,(IF(E2719="AN",1,(IF(E2719="CO",2,(IF(E2719="IM",3,(IF(E2719="MI",4,(IF(E2719="RP",5,(IF(E2719="SC",6,0)))))))))))))))))))))))))))))))))))))))</f>
        <v>4</v>
      </c>
      <c r="G2719" s="52">
        <v>3</v>
      </c>
      <c r="H2719" s="90" t="s">
        <v>115</v>
      </c>
      <c r="I2719" s="94" t="s">
        <v>85</v>
      </c>
      <c r="J2719" s="87" t="s">
        <v>1602</v>
      </c>
      <c r="K2719" s="119" t="s">
        <v>4507</v>
      </c>
      <c r="L2719" s="117">
        <f>IF(O2719="","",N2719*O2719*M2719)</f>
        <v>0</v>
      </c>
      <c r="M2719" s="108">
        <v>1</v>
      </c>
      <c r="N2719" s="95">
        <v>1</v>
      </c>
      <c r="O2719" s="109">
        <f>IF(Key!D$1="ON",P2719,IF(SUM(Q2719:DL2719)&lt;1,"",SUM(Q2719:DL2719)/COUNTIF(Q2719:DL2719,"&gt;0")))</f>
        <v>0</v>
      </c>
      <c r="P2719" s="109">
        <f>SUMIFS(Q2719:DK2719,Q$1:DK$1,Dashboard!$K$31)</f>
        <v>0</v>
      </c>
      <c r="U2719" s="95">
        <v>33</v>
      </c>
      <c r="AA2719" s="95">
        <v>25</v>
      </c>
      <c r="AH2719" s="95">
        <v>75</v>
      </c>
    </row>
    <row r="2720" spans="1:34" x14ac:dyDescent="0.3">
      <c r="A2720" s="89" t="str">
        <f>CONCATENATE(D2720,".",F2720,"-",G2720,".",H2720,"")</f>
        <v>2.4-3.1</v>
      </c>
      <c r="B2720" s="89" t="str">
        <f>IF(CONCATENATE(I2720,Key!F$2)=CONCATENATE(INDEX(Dashboard!J:J,MATCH(I2720,Dashboard!J:J,0),1),INDEX(Dashboard!J:K,MATCH(I2720,Dashboard!J:J,0),2)),"ON",IF(Dashboard!K$32="ALL","ON","-"))</f>
        <v>-</v>
      </c>
      <c r="C2720" s="88" t="s">
        <v>152</v>
      </c>
      <c r="D2720" s="89">
        <f>IF(C2720="ID",1,(IF(C2720="PR",2,(IF(C2720="DE",3,(IF(C2720="RS",4,(IF(C2720="RC",5,0)))))))))</f>
        <v>2</v>
      </c>
      <c r="E2720" s="89" t="s">
        <v>228</v>
      </c>
      <c r="F2720" s="89">
        <f>IF(E2720="AM",1,(IF(E2720="BE",2,(IF(E2720="GV",3,(IF(E2720="RA",4,(IF(E2720="RM",5,(IF(E2720="AC",1,(IF(E2720="AT",2,(IF(E2720="DS",3,(IF(E2720="IP",4,(IF(E2720="MA",5,(IF(E2720="PT",6,(IF(E2720="AE",1,(IF(E2720="CM",2,(IF(E2720="DP",3,(IF(E2720="AN",1,(IF(E2720="CO",2,(IF(E2720="IM",3,(IF(E2720="MI",4,(IF(E2720="RP",5,(IF(E2720="SC",6,0)))))))))))))))))))))))))))))))))))))))</f>
        <v>4</v>
      </c>
      <c r="G2720" s="52">
        <v>3</v>
      </c>
      <c r="H2720" s="90" t="s">
        <v>115</v>
      </c>
      <c r="I2720" s="94" t="s">
        <v>85</v>
      </c>
      <c r="J2720" s="87" t="s">
        <v>1604</v>
      </c>
      <c r="K2720" s="119" t="s">
        <v>4667</v>
      </c>
      <c r="L2720" s="117">
        <f>IF(O2720="","",N2720*O2720*M2720)</f>
        <v>0</v>
      </c>
      <c r="M2720" s="108">
        <v>1</v>
      </c>
      <c r="N2720" s="95">
        <v>1</v>
      </c>
      <c r="O2720" s="109">
        <f>IF(Key!D$1="ON",P2720,IF(SUM(Q2720:DL2720)&lt;1,"",SUM(Q2720:DL2720)/COUNTIF(Q2720:DL2720,"&gt;0")))</f>
        <v>0</v>
      </c>
      <c r="P2720" s="109">
        <f>SUMIFS(Q2720:DK2720,Q$1:DK$1,Dashboard!$K$31)</f>
        <v>0</v>
      </c>
      <c r="U2720" s="95">
        <v>33</v>
      </c>
      <c r="AA2720" s="95">
        <v>25</v>
      </c>
      <c r="AH2720" s="95">
        <v>75</v>
      </c>
    </row>
    <row r="2721" spans="1:34" x14ac:dyDescent="0.3">
      <c r="A2721" s="89" t="str">
        <f>CONCATENATE(D2721,".",F2721,"-",G2721,".",H2721,"")</f>
        <v>2.4-3.1</v>
      </c>
      <c r="B2721" s="89" t="str">
        <f>IF(CONCATENATE(I2721,Key!F$2)=CONCATENATE(INDEX(Dashboard!J:J,MATCH(I2721,Dashboard!J:J,0),1),INDEX(Dashboard!J:K,MATCH(I2721,Dashboard!J:J,0),2)),"ON",IF(Dashboard!K$32="ALL","ON","-"))</f>
        <v>-</v>
      </c>
      <c r="C2721" s="88" t="s">
        <v>152</v>
      </c>
      <c r="D2721" s="89">
        <f>IF(C2721="ID",1,(IF(C2721="PR",2,(IF(C2721="DE",3,(IF(C2721="RS",4,(IF(C2721="RC",5,0)))))))))</f>
        <v>2</v>
      </c>
      <c r="E2721" s="89" t="s">
        <v>228</v>
      </c>
      <c r="F2721" s="89">
        <f>IF(E2721="AM",1,(IF(E2721="BE",2,(IF(E2721="GV",3,(IF(E2721="RA",4,(IF(E2721="RM",5,(IF(E2721="AC",1,(IF(E2721="AT",2,(IF(E2721="DS",3,(IF(E2721="IP",4,(IF(E2721="MA",5,(IF(E2721="PT",6,(IF(E2721="AE",1,(IF(E2721="CM",2,(IF(E2721="DP",3,(IF(E2721="AN",1,(IF(E2721="CO",2,(IF(E2721="IM",3,(IF(E2721="MI",4,(IF(E2721="RP",5,(IF(E2721="SC",6,0)))))))))))))))))))))))))))))))))))))))</f>
        <v>4</v>
      </c>
      <c r="G2721" s="52">
        <v>3</v>
      </c>
      <c r="H2721" s="89">
        <v>1</v>
      </c>
      <c r="I2721" s="94" t="s">
        <v>85</v>
      </c>
      <c r="J2721" s="86" t="s">
        <v>3928</v>
      </c>
      <c r="K2721" s="119" t="s">
        <v>4624</v>
      </c>
      <c r="L2721" s="117">
        <f>IF(O2721="","",N2721*O2721*M2721)</f>
        <v>0</v>
      </c>
      <c r="M2721" s="108">
        <v>1</v>
      </c>
      <c r="N2721" s="95">
        <v>1</v>
      </c>
      <c r="O2721" s="109">
        <f>IF(Key!D$1="ON",P2721,IF(SUM(Q2721:DL2721)&lt;1,"",SUM(Q2721:DL2721)/COUNTIF(Q2721:DL2721,"&gt;0")))</f>
        <v>0</v>
      </c>
      <c r="P2721" s="109">
        <f>SUMIFS(Q2721:DK2721,Q$1:DK$1,Dashboard!$K$31)</f>
        <v>0</v>
      </c>
      <c r="U2721" s="95">
        <v>33</v>
      </c>
      <c r="AA2721" s="95">
        <v>25</v>
      </c>
      <c r="AH2721" s="95">
        <v>75</v>
      </c>
    </row>
    <row r="2722" spans="1:34" x14ac:dyDescent="0.3">
      <c r="A2722" s="89" t="str">
        <f>CONCATENATE(D2722,".",F2722,"-",G2722,".",H2722,"")</f>
        <v>2.4-3.1</v>
      </c>
      <c r="B2722" s="89" t="str">
        <f>IF(CONCATENATE(I2722,Key!F$2)=CONCATENATE(INDEX(Dashboard!J:J,MATCH(I2722,Dashboard!J:J,0),1),INDEX(Dashboard!J:K,MATCH(I2722,Dashboard!J:J,0),2)),"ON",IF(Dashboard!K$32="ALL","ON","-"))</f>
        <v>-</v>
      </c>
      <c r="C2722" s="88" t="s">
        <v>152</v>
      </c>
      <c r="D2722" s="89">
        <f>IF(C2722="ID",1,(IF(C2722="PR",2,(IF(C2722="DE",3,(IF(C2722="RS",4,(IF(C2722="RC",5,0)))))))))</f>
        <v>2</v>
      </c>
      <c r="E2722" s="89" t="s">
        <v>228</v>
      </c>
      <c r="F2722" s="89">
        <f>IF(E2722="AM",1,(IF(E2722="BE",2,(IF(E2722="GV",3,(IF(E2722="RA",4,(IF(E2722="RM",5,(IF(E2722="AC",1,(IF(E2722="AT",2,(IF(E2722="DS",3,(IF(E2722="IP",4,(IF(E2722="MA",5,(IF(E2722="PT",6,(IF(E2722="AE",1,(IF(E2722="CM",2,(IF(E2722="DP",3,(IF(E2722="AN",1,(IF(E2722="CO",2,(IF(E2722="IM",3,(IF(E2722="MI",4,(IF(E2722="RP",5,(IF(E2722="SC",6,0)))))))))))))))))))))))))))))))))))))))</f>
        <v>4</v>
      </c>
      <c r="G2722" s="52">
        <v>3</v>
      </c>
      <c r="H2722" s="89">
        <v>1</v>
      </c>
      <c r="I2722" s="94" t="s">
        <v>85</v>
      </c>
      <c r="J2722" s="86" t="s">
        <v>3927</v>
      </c>
      <c r="K2722" s="119" t="s">
        <v>4623</v>
      </c>
      <c r="L2722" s="117">
        <f>IF(O2722="","",N2722*O2722*M2722)</f>
        <v>0</v>
      </c>
      <c r="M2722" s="108">
        <v>1</v>
      </c>
      <c r="N2722" s="95">
        <v>1</v>
      </c>
      <c r="O2722" s="109">
        <f>IF(Key!D$1="ON",P2722,IF(SUM(Q2722:DL2722)&lt;1,"",SUM(Q2722:DL2722)/COUNTIF(Q2722:DL2722,"&gt;0")))</f>
        <v>0</v>
      </c>
      <c r="P2722" s="109">
        <f>SUMIFS(Q2722:DK2722,Q$1:DK$1,Dashboard!$K$31)</f>
        <v>0</v>
      </c>
      <c r="U2722" s="95">
        <v>33</v>
      </c>
      <c r="AA2722" s="95">
        <v>25</v>
      </c>
      <c r="AH2722" s="95">
        <v>75</v>
      </c>
    </row>
    <row r="2723" spans="1:34" x14ac:dyDescent="0.3">
      <c r="A2723" s="89" t="str">
        <f>CONCATENATE(D2723,".",F2723,"-",G2723,".",H2723,"")</f>
        <v>2.4-3.1</v>
      </c>
      <c r="B2723" s="89" t="str">
        <f>IF(CONCATENATE(I2723,Key!F$2)=CONCATENATE(INDEX(Dashboard!J:J,MATCH(I2723,Dashboard!J:J,0),1),INDEX(Dashboard!J:K,MATCH(I2723,Dashboard!J:J,0),2)),"ON",IF(Dashboard!K$32="ALL","ON","-"))</f>
        <v>-</v>
      </c>
      <c r="C2723" s="88" t="s">
        <v>152</v>
      </c>
      <c r="D2723" s="89">
        <f>IF(C2723="ID",1,(IF(C2723="PR",2,(IF(C2723="DE",3,(IF(C2723="RS",4,(IF(C2723="RC",5,0)))))))))</f>
        <v>2</v>
      </c>
      <c r="E2723" s="89" t="s">
        <v>228</v>
      </c>
      <c r="F2723" s="89">
        <f>IF(E2723="AM",1,(IF(E2723="BE",2,(IF(E2723="GV",3,(IF(E2723="RA",4,(IF(E2723="RM",5,(IF(E2723="AC",1,(IF(E2723="AT",2,(IF(E2723="DS",3,(IF(E2723="IP",4,(IF(E2723="MA",5,(IF(E2723="PT",6,(IF(E2723="AE",1,(IF(E2723="CM",2,(IF(E2723="DP",3,(IF(E2723="AN",1,(IF(E2723="CO",2,(IF(E2723="IM",3,(IF(E2723="MI",4,(IF(E2723="RP",5,(IF(E2723="SC",6,0)))))))))))))))))))))))))))))))))))))))</f>
        <v>4</v>
      </c>
      <c r="G2723" s="52">
        <v>3</v>
      </c>
      <c r="H2723" s="89">
        <v>1</v>
      </c>
      <c r="I2723" s="94" t="s">
        <v>85</v>
      </c>
      <c r="J2723" s="86" t="s">
        <v>834</v>
      </c>
      <c r="K2723" s="119" t="s">
        <v>835</v>
      </c>
      <c r="L2723" s="117">
        <f>IF(O2723="","",N2723*O2723*M2723)</f>
        <v>0</v>
      </c>
      <c r="M2723" s="108">
        <v>1</v>
      </c>
      <c r="N2723" s="95">
        <v>1</v>
      </c>
      <c r="O2723" s="109">
        <f>IF(Key!D$1="ON",P2723,IF(SUM(Q2723:DL2723)&lt;1,"",SUM(Q2723:DL2723)/COUNTIF(Q2723:DL2723,"&gt;0")))</f>
        <v>0</v>
      </c>
      <c r="P2723" s="109">
        <f>SUMIFS(Q2723:DK2723,Q$1:DK$1,Dashboard!$K$31)</f>
        <v>0</v>
      </c>
      <c r="U2723" s="95">
        <v>33</v>
      </c>
      <c r="AA2723" s="95">
        <v>25</v>
      </c>
      <c r="AH2723" s="95">
        <v>75</v>
      </c>
    </row>
    <row r="2724" spans="1:34" x14ac:dyDescent="0.3">
      <c r="A2724" s="89" t="str">
        <f>CONCATENATE(D2724,".",F2724,"-",G2724,".",H2724,"")</f>
        <v>2.4-3.1</v>
      </c>
      <c r="B2724" s="89" t="str">
        <f>IF(CONCATENATE(I2724,Key!F$2)=CONCATENATE(INDEX(Dashboard!J:J,MATCH(I2724,Dashboard!J:J,0),1),INDEX(Dashboard!J:K,MATCH(I2724,Dashboard!J:J,0),2)),"ON",IF(Dashboard!K$32="ALL","ON","-"))</f>
        <v>-</v>
      </c>
      <c r="C2724" s="88" t="s">
        <v>152</v>
      </c>
      <c r="D2724" s="89">
        <f>IF(C2724="ID",1,(IF(C2724="PR",2,(IF(C2724="DE",3,(IF(C2724="RS",4,(IF(C2724="RC",5,0)))))))))</f>
        <v>2</v>
      </c>
      <c r="E2724" s="89" t="s">
        <v>228</v>
      </c>
      <c r="F2724" s="89">
        <f>IF(E2724="AM",1,(IF(E2724="BE",2,(IF(E2724="GV",3,(IF(E2724="RA",4,(IF(E2724="RM",5,(IF(E2724="AC",1,(IF(E2724="AT",2,(IF(E2724="DS",3,(IF(E2724="IP",4,(IF(E2724="MA",5,(IF(E2724="PT",6,(IF(E2724="AE",1,(IF(E2724="CM",2,(IF(E2724="DP",3,(IF(E2724="AN",1,(IF(E2724="CO",2,(IF(E2724="IM",3,(IF(E2724="MI",4,(IF(E2724="RP",5,(IF(E2724="SC",6,0)))))))))))))))))))))))))))))))))))))))</f>
        <v>4</v>
      </c>
      <c r="G2724" s="52">
        <v>3</v>
      </c>
      <c r="H2724" s="90" t="s">
        <v>115</v>
      </c>
      <c r="I2724" s="94" t="s">
        <v>85</v>
      </c>
      <c r="J2724" s="135" t="s">
        <v>677</v>
      </c>
      <c r="K2724" s="143" t="s">
        <v>4679</v>
      </c>
      <c r="L2724" s="117">
        <f>IF(O2724="","",N2724*O2724*M2724)</f>
        <v>0</v>
      </c>
      <c r="M2724" s="108">
        <v>1</v>
      </c>
      <c r="N2724" s="95">
        <v>1</v>
      </c>
      <c r="O2724" s="109">
        <f>IF(Key!D$1="ON",P2724,IF(SUM(Q2724:DL2724)&lt;1,"",SUM(Q2724:DL2724)/COUNTIF(Q2724:DL2724,"&gt;0")))</f>
        <v>0</v>
      </c>
      <c r="P2724" s="109">
        <f>SUMIFS(Q2724:DK2724,Q$1:DK$1,Dashboard!$K$31)</f>
        <v>0</v>
      </c>
      <c r="U2724" s="95">
        <v>33</v>
      </c>
      <c r="AA2724" s="95">
        <v>25</v>
      </c>
      <c r="AH2724" s="95">
        <v>75</v>
      </c>
    </row>
    <row r="2725" spans="1:34" x14ac:dyDescent="0.3">
      <c r="A2725" s="89" t="str">
        <f>CONCATENATE(D2725,".",F2725,"-",G2725,".",H2725,"")</f>
        <v>2.4-3.1</v>
      </c>
      <c r="B2725" s="89" t="str">
        <f>IF(CONCATENATE(I2725,Key!F$2)=CONCATENATE(INDEX(Dashboard!J:J,MATCH(I2725,Dashboard!J:J,0),1),INDEX(Dashboard!J:K,MATCH(I2725,Dashboard!J:J,0),2)),"ON",IF(Dashboard!K$32="ALL","ON","-"))</f>
        <v>-</v>
      </c>
      <c r="C2725" s="96" t="s">
        <v>152</v>
      </c>
      <c r="D2725" s="89">
        <f>IF(C2725="ID",1,(IF(C2725="PR",2,(IF(C2725="DE",3,(IF(C2725="RS",4,(IF(C2725="RC",5,0)))))))))</f>
        <v>2</v>
      </c>
      <c r="E2725" s="89" t="s">
        <v>228</v>
      </c>
      <c r="F2725" s="89">
        <f>IF(E2725="AM",1,(IF(E2725="BE",2,(IF(E2725="GV",3,(IF(E2725="RA",4,(IF(E2725="RM",5,(IF(E2725="AC",1,(IF(E2725="AT",2,(IF(E2725="DS",3,(IF(E2725="IP",4,(IF(E2725="MA",5,(IF(E2725="PT",6,(IF(E2725="AE",1,(IF(E2725="CM",2,(IF(E2725="DP",3,(IF(E2725="AN",1,(IF(E2725="CO",2,(IF(E2725="IM",3,(IF(E2725="MI",4,(IF(E2725="RP",5,(IF(E2725="SC",6,0)))))))))))))))))))))))))))))))))))))))</f>
        <v>4</v>
      </c>
      <c r="G2725" s="52">
        <v>3</v>
      </c>
      <c r="H2725" s="90" t="s">
        <v>115</v>
      </c>
      <c r="I2725" s="94" t="s">
        <v>85</v>
      </c>
      <c r="J2725" s="135" t="s">
        <v>815</v>
      </c>
      <c r="K2725" s="143" t="s">
        <v>4931</v>
      </c>
      <c r="L2725" s="117">
        <f>IF(O2725="","",N2725*O2725*M2725)</f>
        <v>0</v>
      </c>
      <c r="M2725" s="108">
        <v>1</v>
      </c>
      <c r="N2725" s="95">
        <v>1</v>
      </c>
      <c r="O2725" s="109">
        <f>IF(Key!D$1="ON",P2725,IF(SUM(Q2725:DL2725)&lt;1,"",SUM(Q2725:DL2725)/COUNTIF(Q2725:DL2725,"&gt;0")))</f>
        <v>0</v>
      </c>
      <c r="P2725" s="109">
        <f>SUMIFS(Q2725:DK2725,Q$1:DK$1,Dashboard!$K$31)</f>
        <v>0</v>
      </c>
      <c r="U2725" s="95">
        <v>33</v>
      </c>
      <c r="AA2725" s="95">
        <v>25</v>
      </c>
      <c r="AH2725" s="95">
        <v>75</v>
      </c>
    </row>
    <row r="2726" spans="1:34" ht="15.6" x14ac:dyDescent="0.3">
      <c r="A2726" s="89" t="str">
        <f>CONCATENATE(D2726,".",F2726,"-",G2726,".",H2726,"")</f>
        <v>2.4-3.1</v>
      </c>
      <c r="B2726" s="89" t="str">
        <f>IF(CONCATENATE(I2726,Key!F$2)=CONCATENATE(INDEX(Dashboard!J:J,MATCH(I2726,Dashboard!J:J,0),1),INDEX(Dashboard!J:K,MATCH(I2726,Dashboard!J:J,0),2)),"ON",IF(Dashboard!K$32="ALL","ON","-"))</f>
        <v>-</v>
      </c>
      <c r="C2726" s="96" t="s">
        <v>152</v>
      </c>
      <c r="D2726" s="89">
        <f>IF(C2726="ID",1,(IF(C2726="PR",2,(IF(C2726="DE",3,(IF(C2726="RS",4,(IF(C2726="RC",5,0)))))))))</f>
        <v>2</v>
      </c>
      <c r="E2726" s="89" t="s">
        <v>228</v>
      </c>
      <c r="F2726" s="89">
        <f>IF(E2726="AM",1,(IF(E2726="BE",2,(IF(E2726="GV",3,(IF(E2726="RA",4,(IF(E2726="RM",5,(IF(E2726="AC",1,(IF(E2726="AT",2,(IF(E2726="DS",3,(IF(E2726="IP",4,(IF(E2726="MA",5,(IF(E2726="PT",6,(IF(E2726="AE",1,(IF(E2726="CM",2,(IF(E2726="DP",3,(IF(E2726="AN",1,(IF(E2726="CO",2,(IF(E2726="IM",3,(IF(E2726="MI",4,(IF(E2726="RP",5,(IF(E2726="SC",6,0)))))))))))))))))))))))))))))))))))))))</f>
        <v>4</v>
      </c>
      <c r="G2726" s="98">
        <v>3</v>
      </c>
      <c r="H2726" s="90" t="s">
        <v>115</v>
      </c>
      <c r="I2726" s="94" t="s">
        <v>92</v>
      </c>
      <c r="J2726" s="88">
        <v>6.4</v>
      </c>
      <c r="K2726" s="102" t="s">
        <v>5226</v>
      </c>
      <c r="L2726" s="117">
        <f>IF(O2726="","",N2726*O2726*M2726)</f>
        <v>0</v>
      </c>
      <c r="M2726" s="108">
        <v>1</v>
      </c>
      <c r="N2726" s="95">
        <v>1</v>
      </c>
      <c r="O2726" s="109">
        <f>IF(Key!D$1="ON",P2726,IF(SUM(Q2726:DL2726)&lt;1,"",SUM(Q2726:DL2726)/COUNTIF(Q2726:DL2726,"&gt;0")))</f>
        <v>0</v>
      </c>
      <c r="P2726" s="109">
        <f>SUMIFS(Q2726:DK2726,Q$1:DK$1,Dashboard!$K$31)</f>
        <v>0</v>
      </c>
      <c r="U2726" s="95">
        <v>33</v>
      </c>
      <c r="AA2726" s="95">
        <v>25</v>
      </c>
      <c r="AH2726" s="95">
        <v>75</v>
      </c>
    </row>
    <row r="2727" spans="1:34" x14ac:dyDescent="0.3">
      <c r="A2727" s="89" t="str">
        <f>CONCATENATE(D2727,".",F2727,"-",G2727,".",H2727,"")</f>
        <v>2.4-3.1</v>
      </c>
      <c r="B2727" s="89" t="str">
        <f>IF(CONCATENATE(I2727,Key!F$2)=CONCATENATE(INDEX(Dashboard!J:J,MATCH(I2727,Dashboard!J:J,0),1),INDEX(Dashboard!J:K,MATCH(I2727,Dashboard!J:J,0),2)),"ON",IF(Dashboard!K$32="ALL","ON","-"))</f>
        <v>-</v>
      </c>
      <c r="C2727" s="88" t="s">
        <v>152</v>
      </c>
      <c r="D2727" s="89">
        <f>IF(C2727="ID",1,(IF(C2727="PR",2,(IF(C2727="DE",3,(IF(C2727="RS",4,(IF(C2727="RC",5,0)))))))))</f>
        <v>2</v>
      </c>
      <c r="E2727" s="89" t="s">
        <v>228</v>
      </c>
      <c r="F2727" s="89">
        <f>IF(E2727="AM",1,(IF(E2727="BE",2,(IF(E2727="GV",3,(IF(E2727="RA",4,(IF(E2727="RM",5,(IF(E2727="AC",1,(IF(E2727="AT",2,(IF(E2727="DS",3,(IF(E2727="IP",4,(IF(E2727="MA",5,(IF(E2727="PT",6,(IF(E2727="AE",1,(IF(E2727="CM",2,(IF(E2727="DP",3,(IF(E2727="AN",1,(IF(E2727="CO",2,(IF(E2727="IM",3,(IF(E2727="MI",4,(IF(E2727="RP",5,(IF(E2727="SC",6,0)))))))))))))))))))))))))))))))))))))))</f>
        <v>4</v>
      </c>
      <c r="G2727" s="52">
        <v>3</v>
      </c>
      <c r="H2727" s="90" t="s">
        <v>115</v>
      </c>
      <c r="I2727" s="94" t="s">
        <v>92</v>
      </c>
      <c r="J2727" s="88">
        <v>10.4</v>
      </c>
      <c r="K2727" s="102" t="s">
        <v>5226</v>
      </c>
      <c r="L2727" s="117">
        <f>IF(O2727="","",N2727*O2727*M2727)</f>
        <v>0</v>
      </c>
      <c r="M2727" s="108">
        <v>1</v>
      </c>
      <c r="N2727" s="95">
        <v>1</v>
      </c>
      <c r="O2727" s="109">
        <f>IF(Key!D$1="ON",P2727,IF(SUM(Q2727:DL2727)&lt;1,"",SUM(Q2727:DL2727)/COUNTIF(Q2727:DL2727,"&gt;0")))</f>
        <v>0</v>
      </c>
      <c r="P2727" s="109">
        <f>SUMIFS(Q2727:DK2727,Q$1:DK$1,Dashboard!$K$31)</f>
        <v>0</v>
      </c>
      <c r="U2727" s="95">
        <v>33</v>
      </c>
      <c r="AA2727" s="95">
        <v>25</v>
      </c>
      <c r="AH2727" s="95">
        <v>75</v>
      </c>
    </row>
    <row r="2728" spans="1:34" x14ac:dyDescent="0.3">
      <c r="A2728" s="89" t="str">
        <f>CONCATENATE(D2728,".",F2728,"-",G2728,".",H2728,"")</f>
        <v>2.4-3.1</v>
      </c>
      <c r="B2728" s="89" t="str">
        <f>IF(CONCATENATE(I2728,Key!F$2)=CONCATENATE(INDEX(Dashboard!J:J,MATCH(I2728,Dashboard!J:J,0),1),INDEX(Dashboard!J:K,MATCH(I2728,Dashboard!J:J,0),2)),"ON",IF(Dashboard!K$32="ALL","ON","-"))</f>
        <v>-</v>
      </c>
      <c r="C2728" s="88" t="s">
        <v>152</v>
      </c>
      <c r="D2728" s="89">
        <f>IF(C2728="ID",1,(IF(C2728="PR",2,(IF(C2728="DE",3,(IF(C2728="RS",4,(IF(C2728="RC",5,0)))))))))</f>
        <v>2</v>
      </c>
      <c r="E2728" s="89" t="s">
        <v>228</v>
      </c>
      <c r="F2728" s="89">
        <f>IF(E2728="AM",1,(IF(E2728="BE",2,(IF(E2728="GV",3,(IF(E2728="RA",4,(IF(E2728="RM",5,(IF(E2728="AC",1,(IF(E2728="AT",2,(IF(E2728="DS",3,(IF(E2728="IP",4,(IF(E2728="MA",5,(IF(E2728="PT",6,(IF(E2728="AE",1,(IF(E2728="CM",2,(IF(E2728="DP",3,(IF(E2728="AN",1,(IF(E2728="CO",2,(IF(E2728="IM",3,(IF(E2728="MI",4,(IF(E2728="RP",5,(IF(E2728="SC",6,0)))))))))))))))))))))))))))))))))))))))</f>
        <v>4</v>
      </c>
      <c r="G2728" s="52">
        <v>3</v>
      </c>
      <c r="H2728" s="90" t="s">
        <v>115</v>
      </c>
      <c r="I2728" s="94" t="s">
        <v>92</v>
      </c>
      <c r="J2728" s="88" t="s">
        <v>240</v>
      </c>
      <c r="K2728" s="102" t="s">
        <v>5226</v>
      </c>
      <c r="L2728" s="117">
        <f>IF(O2728="","",N2728*O2728*M2728)</f>
        <v>0</v>
      </c>
      <c r="M2728" s="108">
        <v>1</v>
      </c>
      <c r="N2728" s="95">
        <v>1</v>
      </c>
      <c r="O2728" s="109">
        <f>IF(Key!D$1="ON",P2728,IF(SUM(Q2728:DL2728)&lt;1,"",SUM(Q2728:DL2728)/COUNTIF(Q2728:DL2728,"&gt;0")))</f>
        <v>0</v>
      </c>
      <c r="P2728" s="109">
        <f>SUMIFS(Q2728:DK2728,Q$1:DK$1,Dashboard!$K$31)</f>
        <v>0</v>
      </c>
      <c r="U2728" s="95">
        <v>33</v>
      </c>
      <c r="AA2728" s="95">
        <v>25</v>
      </c>
      <c r="AH2728" s="95">
        <v>75</v>
      </c>
    </row>
    <row r="2729" spans="1:34" x14ac:dyDescent="0.3">
      <c r="A2729" s="89" t="str">
        <f>CONCATENATE(D2729,".",F2729,"-",G2729,".",H2729,"")</f>
        <v>2.4-3.1</v>
      </c>
      <c r="B2729" s="89" t="str">
        <f>IF(CONCATENATE(I2729,Key!F$2)=CONCATENATE(INDEX(Dashboard!J:J,MATCH(I2729,Dashboard!J:J,0),1),INDEX(Dashboard!J:K,MATCH(I2729,Dashboard!J:J,0),2)),"ON",IF(Dashboard!K$32="ALL","ON","-"))</f>
        <v>-</v>
      </c>
      <c r="C2729" s="96" t="s">
        <v>152</v>
      </c>
      <c r="D2729" s="89">
        <f>IF(C2729="ID",1,(IF(C2729="PR",2,(IF(C2729="DE",3,(IF(C2729="RS",4,(IF(C2729="RC",5,0)))))))))</f>
        <v>2</v>
      </c>
      <c r="E2729" s="89" t="s">
        <v>228</v>
      </c>
      <c r="F2729" s="89">
        <f>IF(E2729="AM",1,(IF(E2729="BE",2,(IF(E2729="GV",3,(IF(E2729="RA",4,(IF(E2729="RM",5,(IF(E2729="AC",1,(IF(E2729="AT",2,(IF(E2729="DS",3,(IF(E2729="IP",4,(IF(E2729="MA",5,(IF(E2729="PT",6,(IF(E2729="AE",1,(IF(E2729="CM",2,(IF(E2729="DP",3,(IF(E2729="AN",1,(IF(E2729="CO",2,(IF(E2729="IM",3,(IF(E2729="MI",4,(IF(E2729="RP",5,(IF(E2729="SC",6,0)))))))))))))))))))))))))))))))))))))))</f>
        <v>4</v>
      </c>
      <c r="G2729" s="98">
        <v>3</v>
      </c>
      <c r="H2729" s="90" t="s">
        <v>115</v>
      </c>
      <c r="I2729" s="94" t="s">
        <v>92</v>
      </c>
      <c r="J2729" s="88" t="s">
        <v>241</v>
      </c>
      <c r="K2729" s="102" t="s">
        <v>5226</v>
      </c>
      <c r="L2729" s="117">
        <f>IF(O2729="","",N2729*O2729*M2729)</f>
        <v>0</v>
      </c>
      <c r="M2729" s="108">
        <v>1</v>
      </c>
      <c r="N2729" s="95">
        <v>1</v>
      </c>
      <c r="O2729" s="109">
        <f>IF(Key!D$1="ON",P2729,IF(SUM(Q2729:DL2729)&lt;1,"",SUM(Q2729:DL2729)/COUNTIF(Q2729:DL2729,"&gt;0")))</f>
        <v>0</v>
      </c>
      <c r="P2729" s="109">
        <f>SUMIFS(Q2729:DK2729,Q$1:DK$1,Dashboard!$K$31)</f>
        <v>0</v>
      </c>
      <c r="U2729" s="95">
        <v>33</v>
      </c>
      <c r="AA2729" s="95">
        <v>25</v>
      </c>
      <c r="AH2729" s="95">
        <v>75</v>
      </c>
    </row>
    <row r="2730" spans="1:34" x14ac:dyDescent="0.3">
      <c r="A2730" s="89" t="str">
        <f>CONCATENATE(D2730,".",F2730,"-",G2730,".",H2730,"")</f>
        <v>2.4-3.1</v>
      </c>
      <c r="B2730" s="89" t="str">
        <f>IF(CONCATENATE(I2730,Key!F$2)=CONCATENATE(INDEX(Dashboard!J:J,MATCH(I2730,Dashboard!J:J,0),1),INDEX(Dashboard!J:K,MATCH(I2730,Dashboard!J:J,0),2)),"ON",IF(Dashboard!K$32="ALL","ON","-"))</f>
        <v>-</v>
      </c>
      <c r="C2730" s="88" t="s">
        <v>152</v>
      </c>
      <c r="D2730" s="89">
        <f>IF(C2730="ID",1,(IF(C2730="PR",2,(IF(C2730="DE",3,(IF(C2730="RS",4,(IF(C2730="RC",5,0)))))))))</f>
        <v>2</v>
      </c>
      <c r="E2730" s="89" t="s">
        <v>228</v>
      </c>
      <c r="F2730" s="89">
        <f>IF(E2730="AM",1,(IF(E2730="BE",2,(IF(E2730="GV",3,(IF(E2730="RA",4,(IF(E2730="RM",5,(IF(E2730="AC",1,(IF(E2730="AT",2,(IF(E2730="DS",3,(IF(E2730="IP",4,(IF(E2730="MA",5,(IF(E2730="PT",6,(IF(E2730="AE",1,(IF(E2730="CM",2,(IF(E2730="DP",3,(IF(E2730="AN",1,(IF(E2730="CO",2,(IF(E2730="IM",3,(IF(E2730="MI",4,(IF(E2730="RP",5,(IF(E2730="SC",6,0)))))))))))))))))))))))))))))))))))))))</f>
        <v>4</v>
      </c>
      <c r="G2730" s="52">
        <v>3</v>
      </c>
      <c r="H2730" s="90" t="s">
        <v>115</v>
      </c>
      <c r="I2730" s="94" t="s">
        <v>92</v>
      </c>
      <c r="J2730" s="88" t="s">
        <v>242</v>
      </c>
      <c r="K2730" s="102" t="s">
        <v>5226</v>
      </c>
      <c r="L2730" s="117">
        <f>IF(O2730="","",N2730*O2730*M2730)</f>
        <v>0</v>
      </c>
      <c r="M2730" s="108">
        <v>1</v>
      </c>
      <c r="N2730" s="95">
        <v>1</v>
      </c>
      <c r="O2730" s="109">
        <f>IF(Key!D$1="ON",P2730,IF(SUM(Q2730:DL2730)&lt;1,"",SUM(Q2730:DL2730)/COUNTIF(Q2730:DL2730,"&gt;0")))</f>
        <v>0</v>
      </c>
      <c r="P2730" s="109">
        <f>SUMIFS(Q2730:DK2730,Q$1:DK$1,Dashboard!$K$31)</f>
        <v>0</v>
      </c>
      <c r="U2730" s="95">
        <v>33</v>
      </c>
      <c r="AA2730" s="95">
        <v>25</v>
      </c>
      <c r="AH2730" s="95">
        <v>75</v>
      </c>
    </row>
    <row r="2731" spans="1:34" x14ac:dyDescent="0.3">
      <c r="A2731" s="89" t="str">
        <f>CONCATENATE(D2731,".",F2731,"-",G2731,".",H2731,"")</f>
        <v>2.4-3.1</v>
      </c>
      <c r="B2731" s="89" t="str">
        <f>IF(CONCATENATE(I2731,Key!F$2)=CONCATENATE(INDEX(Dashboard!J:J,MATCH(I2731,Dashboard!J:J,0),1),INDEX(Dashboard!J:K,MATCH(I2731,Dashboard!J:J,0),2)),"ON",IF(Dashboard!K$32="ALL","ON","-"))</f>
        <v>-</v>
      </c>
      <c r="C2731" s="88" t="s">
        <v>152</v>
      </c>
      <c r="D2731" s="89">
        <f>IF(C2731="ID",1,(IF(C2731="PR",2,(IF(C2731="DE",3,(IF(C2731="RS",4,(IF(C2731="RC",5,0)))))))))</f>
        <v>2</v>
      </c>
      <c r="E2731" s="89" t="s">
        <v>228</v>
      </c>
      <c r="F2731" s="89">
        <f>IF(E2731="AM",1,(IF(E2731="BE",2,(IF(E2731="GV",3,(IF(E2731="RA",4,(IF(E2731="RM",5,(IF(E2731="AC",1,(IF(E2731="AT",2,(IF(E2731="DS",3,(IF(E2731="IP",4,(IF(E2731="MA",5,(IF(E2731="PT",6,(IF(E2731="AE",1,(IF(E2731="CM",2,(IF(E2731="DP",3,(IF(E2731="AN",1,(IF(E2731="CO",2,(IF(E2731="IM",3,(IF(E2731="MI",4,(IF(E2731="RP",5,(IF(E2731="SC",6,0)))))))))))))))))))))))))))))))))))))))</f>
        <v>4</v>
      </c>
      <c r="G2731" s="52">
        <v>3</v>
      </c>
      <c r="H2731" s="90" t="s">
        <v>115</v>
      </c>
      <c r="I2731" s="94" t="s">
        <v>92</v>
      </c>
      <c r="J2731" s="88" t="s">
        <v>243</v>
      </c>
      <c r="K2731" s="102" t="s">
        <v>5226</v>
      </c>
      <c r="L2731" s="117">
        <f>IF(O2731="","",N2731*O2731*M2731)</f>
        <v>0</v>
      </c>
      <c r="M2731" s="108">
        <v>1</v>
      </c>
      <c r="N2731" s="95">
        <v>1</v>
      </c>
      <c r="O2731" s="109">
        <f>IF(Key!D$1="ON",P2731,IF(SUM(Q2731:DL2731)&lt;1,"",SUM(Q2731:DL2731)/COUNTIF(Q2731:DL2731,"&gt;0")))</f>
        <v>0</v>
      </c>
      <c r="P2731" s="109">
        <f>SUMIFS(Q2731:DK2731,Q$1:DK$1,Dashboard!$K$31)</f>
        <v>0</v>
      </c>
      <c r="U2731" s="95">
        <v>33</v>
      </c>
      <c r="AA2731" s="95">
        <v>25</v>
      </c>
      <c r="AH2731" s="95">
        <v>75</v>
      </c>
    </row>
    <row r="2732" spans="1:34" x14ac:dyDescent="0.3">
      <c r="A2732" s="89" t="str">
        <f>CONCATENATE(D2732,".",F2732,"-",G2732,".",H2732,"")</f>
        <v>2.4-3.1</v>
      </c>
      <c r="B2732" s="89" t="str">
        <f>IF(CONCATENATE(I2732,Key!F$2)=CONCATENATE(INDEX(Dashboard!J:J,MATCH(I2732,Dashboard!J:J,0),1),INDEX(Dashboard!J:K,MATCH(I2732,Dashboard!J:J,0),2)),"ON",IF(Dashboard!K$32="ALL","ON","-"))</f>
        <v>-</v>
      </c>
      <c r="C2732" s="88" t="s">
        <v>152</v>
      </c>
      <c r="D2732" s="89">
        <f>IF(C2732="ID",1,(IF(C2732="PR",2,(IF(C2732="DE",3,(IF(C2732="RS",4,(IF(C2732="RC",5,0)))))))))</f>
        <v>2</v>
      </c>
      <c r="E2732" s="89" t="s">
        <v>228</v>
      </c>
      <c r="F2732" s="89">
        <f>IF(E2732="AM",1,(IF(E2732="BE",2,(IF(E2732="GV",3,(IF(E2732="RA",4,(IF(E2732="RM",5,(IF(E2732="AC",1,(IF(E2732="AT",2,(IF(E2732="DS",3,(IF(E2732="IP",4,(IF(E2732="MA",5,(IF(E2732="PT",6,(IF(E2732="AE",1,(IF(E2732="CM",2,(IF(E2732="DP",3,(IF(E2732="AN",1,(IF(E2732="CO",2,(IF(E2732="IM",3,(IF(E2732="MI",4,(IF(E2732="RP",5,(IF(E2732="SC",6,0)))))))))))))))))))))))))))))))))))))))</f>
        <v>4</v>
      </c>
      <c r="G2732" s="52">
        <v>3</v>
      </c>
      <c r="H2732" s="90" t="s">
        <v>115</v>
      </c>
      <c r="I2732" s="94" t="s">
        <v>92</v>
      </c>
      <c r="J2732" s="88" t="s">
        <v>244</v>
      </c>
      <c r="K2732" s="102" t="s">
        <v>5226</v>
      </c>
      <c r="L2732" s="117">
        <f>IF(O2732="","",N2732*O2732*M2732)</f>
        <v>0</v>
      </c>
      <c r="M2732" s="108">
        <v>1</v>
      </c>
      <c r="N2732" s="95">
        <v>1</v>
      </c>
      <c r="O2732" s="109">
        <f>IF(Key!D$1="ON",P2732,IF(SUM(Q2732:DL2732)&lt;1,"",SUM(Q2732:DL2732)/COUNTIF(Q2732:DL2732,"&gt;0")))</f>
        <v>0</v>
      </c>
      <c r="P2732" s="109">
        <f>SUMIFS(Q2732:DK2732,Q$1:DK$1,Dashboard!$K$31)</f>
        <v>0</v>
      </c>
      <c r="U2732" s="95">
        <v>33</v>
      </c>
      <c r="AA2732" s="95">
        <v>25</v>
      </c>
      <c r="AH2732" s="95">
        <v>75</v>
      </c>
    </row>
    <row r="2733" spans="1:34" x14ac:dyDescent="0.3">
      <c r="A2733" s="89" t="str">
        <f>CONCATENATE(D2733,".",F2733,"-",G2733,".",H2733,"")</f>
        <v>2.4-3.1</v>
      </c>
      <c r="B2733" s="89" t="str">
        <f>IF(CONCATENATE(I2733,Key!F$2)=CONCATENATE(INDEX(Dashboard!J:J,MATCH(I2733,Dashboard!J:J,0),1),INDEX(Dashboard!J:K,MATCH(I2733,Dashboard!J:J,0),2)),"ON",IF(Dashboard!K$32="ALL","ON","-"))</f>
        <v>-</v>
      </c>
      <c r="C2733" s="96" t="s">
        <v>152</v>
      </c>
      <c r="D2733" s="89">
        <f>IF(C2733="ID",1,(IF(C2733="PR",2,(IF(C2733="DE",3,(IF(C2733="RS",4,(IF(C2733="RC",5,0)))))))))</f>
        <v>2</v>
      </c>
      <c r="E2733" s="89" t="s">
        <v>228</v>
      </c>
      <c r="F2733" s="89">
        <f>IF(E2733="AM",1,(IF(E2733="BE",2,(IF(E2733="GV",3,(IF(E2733="RA",4,(IF(E2733="RM",5,(IF(E2733="AC",1,(IF(E2733="AT",2,(IF(E2733="DS",3,(IF(E2733="IP",4,(IF(E2733="MA",5,(IF(E2733="PT",6,(IF(E2733="AE",1,(IF(E2733="CM",2,(IF(E2733="DP",3,(IF(E2733="AN",1,(IF(E2733="CO",2,(IF(E2733="IM",3,(IF(E2733="MI",4,(IF(E2733="RP",5,(IF(E2733="SC",6,0)))))))))))))))))))))))))))))))))))))))</f>
        <v>4</v>
      </c>
      <c r="G2733" s="98">
        <v>3</v>
      </c>
      <c r="H2733" s="90" t="s">
        <v>115</v>
      </c>
      <c r="I2733" s="94" t="s">
        <v>92</v>
      </c>
      <c r="J2733" s="88" t="s">
        <v>245</v>
      </c>
      <c r="K2733" s="102" t="s">
        <v>5226</v>
      </c>
      <c r="L2733" s="117">
        <f>IF(O2733="","",N2733*O2733*M2733)</f>
        <v>0</v>
      </c>
      <c r="M2733" s="108">
        <v>1</v>
      </c>
      <c r="N2733" s="95">
        <v>1</v>
      </c>
      <c r="O2733" s="109">
        <f>IF(Key!D$1="ON",P2733,IF(SUM(Q2733:DL2733)&lt;1,"",SUM(Q2733:DL2733)/COUNTIF(Q2733:DL2733,"&gt;0")))</f>
        <v>0</v>
      </c>
      <c r="P2733" s="109">
        <f>SUMIFS(Q2733:DK2733,Q$1:DK$1,Dashboard!$K$31)</f>
        <v>0</v>
      </c>
      <c r="U2733" s="95">
        <v>33</v>
      </c>
      <c r="AA2733" s="95">
        <v>25</v>
      </c>
      <c r="AH2733" s="95">
        <v>75</v>
      </c>
    </row>
    <row r="2734" spans="1:34" x14ac:dyDescent="0.3">
      <c r="A2734" s="89" t="str">
        <f>CONCATENATE(D2734,".",F2734,"-",G2734,".",H2734,"")</f>
        <v>2.4-3.1</v>
      </c>
      <c r="B2734" s="89" t="str">
        <f>IF(CONCATENATE(I2734,Key!F$2)=CONCATENATE(INDEX(Dashboard!J:J,MATCH(I2734,Dashboard!J:J,0),1),INDEX(Dashboard!J:K,MATCH(I2734,Dashboard!J:J,0),2)),"ON",IF(Dashboard!K$32="ALL","ON","-"))</f>
        <v>-</v>
      </c>
      <c r="C2734" s="88" t="s">
        <v>152</v>
      </c>
      <c r="D2734" s="89">
        <f>IF(C2734="ID",1,(IF(C2734="PR",2,(IF(C2734="DE",3,(IF(C2734="RS",4,(IF(C2734="RC",5,0)))))))))</f>
        <v>2</v>
      </c>
      <c r="E2734" s="89" t="s">
        <v>228</v>
      </c>
      <c r="F2734" s="89">
        <f>IF(E2734="AM",1,(IF(E2734="BE",2,(IF(E2734="GV",3,(IF(E2734="RA",4,(IF(E2734="RM",5,(IF(E2734="AC",1,(IF(E2734="AT",2,(IF(E2734="DS",3,(IF(E2734="IP",4,(IF(E2734="MA",5,(IF(E2734="PT",6,(IF(E2734="AE",1,(IF(E2734="CM",2,(IF(E2734="DP",3,(IF(E2734="AN",1,(IF(E2734="CO",2,(IF(E2734="IM",3,(IF(E2734="MI",4,(IF(E2734="RP",5,(IF(E2734="SC",6,0)))))))))))))))))))))))))))))))))))))))</f>
        <v>4</v>
      </c>
      <c r="G2734" s="52">
        <v>3</v>
      </c>
      <c r="H2734" s="90" t="s">
        <v>115</v>
      </c>
      <c r="I2734" s="94" t="s">
        <v>92</v>
      </c>
      <c r="J2734" s="88" t="s">
        <v>246</v>
      </c>
      <c r="K2734" s="102" t="s">
        <v>5226</v>
      </c>
      <c r="L2734" s="117">
        <f>IF(O2734="","",N2734*O2734*M2734)</f>
        <v>0</v>
      </c>
      <c r="M2734" s="108">
        <v>1</v>
      </c>
      <c r="N2734" s="95">
        <v>1</v>
      </c>
      <c r="O2734" s="109">
        <f>IF(Key!D$1="ON",P2734,IF(SUM(Q2734:DL2734)&lt;1,"",SUM(Q2734:DL2734)/COUNTIF(Q2734:DL2734,"&gt;0")))</f>
        <v>0</v>
      </c>
      <c r="P2734" s="109">
        <f>SUMIFS(Q2734:DK2734,Q$1:DK$1,Dashboard!$K$31)</f>
        <v>0</v>
      </c>
      <c r="U2734" s="95">
        <v>33</v>
      </c>
      <c r="AA2734" s="95">
        <v>25</v>
      </c>
      <c r="AH2734" s="95">
        <v>75</v>
      </c>
    </row>
    <row r="2735" spans="1:34" ht="15.6" x14ac:dyDescent="0.3">
      <c r="A2735" s="89" t="str">
        <f>CONCATENATE(D2735,".",F2735,"-",G2735,".",H2735,"")</f>
        <v>2.4-3.1</v>
      </c>
      <c r="B2735" s="89" t="str">
        <f>IF(CONCATENATE(I2735,Key!F$2)=CONCATENATE(INDEX(Dashboard!J:J,MATCH(I2735,Dashboard!J:J,0),1),INDEX(Dashboard!J:K,MATCH(I2735,Dashboard!J:J,0),2)),"ON",IF(Dashboard!K$32="ALL","ON","-"))</f>
        <v>-</v>
      </c>
      <c r="C2735" s="88" t="s">
        <v>152</v>
      </c>
      <c r="D2735" s="89">
        <f>IF(C2735="ID",1,(IF(C2735="PR",2,(IF(C2735="DE",3,(IF(C2735="RS",4,(IF(C2735="RC",5,0)))))))))</f>
        <v>2</v>
      </c>
      <c r="E2735" s="89" t="s">
        <v>228</v>
      </c>
      <c r="F2735" s="89">
        <f>IF(E2735="AM",1,(IF(E2735="BE",2,(IF(E2735="GV",3,(IF(E2735="RA",4,(IF(E2735="RM",5,(IF(E2735="AC",1,(IF(E2735="AT",2,(IF(E2735="DS",3,(IF(E2735="IP",4,(IF(E2735="MA",5,(IF(E2735="PT",6,(IF(E2735="AE",1,(IF(E2735="CM",2,(IF(E2735="DP",3,(IF(E2735="AN",1,(IF(E2735="CO",2,(IF(E2735="IM",3,(IF(E2735="MI",4,(IF(E2735="RP",5,(IF(E2735="SC",6,0)))))))))))))))))))))))))))))))))))))))</f>
        <v>4</v>
      </c>
      <c r="G2735" s="52">
        <v>3</v>
      </c>
      <c r="H2735" s="90" t="s">
        <v>115</v>
      </c>
      <c r="I2735" s="94" t="s">
        <v>92</v>
      </c>
      <c r="J2735" s="88" t="s">
        <v>247</v>
      </c>
      <c r="K2735" s="102" t="s">
        <v>5226</v>
      </c>
      <c r="L2735" s="117">
        <f>IF(O2735="","",N2735*O2735*M2735)</f>
        <v>0</v>
      </c>
      <c r="M2735" s="108">
        <v>1</v>
      </c>
      <c r="N2735" s="95">
        <v>1</v>
      </c>
      <c r="O2735" s="109">
        <f>IF(Key!D$1="ON",P2735,IF(SUM(Q2735:DL2735)&lt;1,"",SUM(Q2735:DL2735)/COUNTIF(Q2735:DL2735,"&gt;0")))</f>
        <v>0</v>
      </c>
      <c r="P2735" s="109">
        <f>SUMIFS(Q2735:DK2735,Q$1:DK$1,Dashboard!$K$31)</f>
        <v>0</v>
      </c>
      <c r="U2735" s="95">
        <v>33</v>
      </c>
      <c r="AA2735" s="95">
        <v>25</v>
      </c>
      <c r="AH2735" s="95">
        <v>75</v>
      </c>
    </row>
    <row r="2736" spans="1:34" ht="15.6" x14ac:dyDescent="0.3">
      <c r="A2736" s="89" t="str">
        <f>CONCATENATE(D2736,".",F2736,"-",G2736,".",H2736,"")</f>
        <v>2.4-3.1</v>
      </c>
      <c r="B2736" s="89" t="str">
        <f>IF(CONCATENATE(I2736,Key!F$2)=CONCATENATE(INDEX(Dashboard!J:J,MATCH(I2736,Dashboard!J:J,0),1),INDEX(Dashboard!J:K,MATCH(I2736,Dashboard!J:J,0),2)),"ON",IF(Dashboard!K$32="ALL","ON","-"))</f>
        <v>-</v>
      </c>
      <c r="C2736" s="88" t="s">
        <v>152</v>
      </c>
      <c r="D2736" s="89">
        <f>IF(C2736="ID",1,(IF(C2736="PR",2,(IF(C2736="DE",3,(IF(C2736="RS",4,(IF(C2736="RC",5,0)))))))))</f>
        <v>2</v>
      </c>
      <c r="E2736" s="89" t="s">
        <v>228</v>
      </c>
      <c r="F2736" s="89">
        <f>IF(E2736="AM",1,(IF(E2736="BE",2,(IF(E2736="GV",3,(IF(E2736="RA",4,(IF(E2736="RM",5,(IF(E2736="AC",1,(IF(E2736="AT",2,(IF(E2736="DS",3,(IF(E2736="IP",4,(IF(E2736="MA",5,(IF(E2736="PT",6,(IF(E2736="AE",1,(IF(E2736="CM",2,(IF(E2736="DP",3,(IF(E2736="AN",1,(IF(E2736="CO",2,(IF(E2736="IM",3,(IF(E2736="MI",4,(IF(E2736="RP",5,(IF(E2736="SC",6,0)))))))))))))))))))))))))))))))))))))))</f>
        <v>4</v>
      </c>
      <c r="G2736" s="52">
        <v>3</v>
      </c>
      <c r="H2736" s="90" t="s">
        <v>115</v>
      </c>
      <c r="I2736" s="94" t="s">
        <v>92</v>
      </c>
      <c r="J2736" s="88" t="s">
        <v>248</v>
      </c>
      <c r="K2736" s="102" t="s">
        <v>5226</v>
      </c>
      <c r="L2736" s="117">
        <f>IF(O2736="","",N2736*O2736*M2736)</f>
        <v>0</v>
      </c>
      <c r="M2736" s="108">
        <v>1</v>
      </c>
      <c r="N2736" s="95">
        <v>1</v>
      </c>
      <c r="O2736" s="109">
        <f>IF(Key!D$1="ON",P2736,IF(SUM(Q2736:DL2736)&lt;1,"",SUM(Q2736:DL2736)/COUNTIF(Q2736:DL2736,"&gt;0")))</f>
        <v>0</v>
      </c>
      <c r="P2736" s="109">
        <f>SUMIFS(Q2736:DK2736,Q$1:DK$1,Dashboard!$K$31)</f>
        <v>0</v>
      </c>
      <c r="U2736" s="95">
        <v>33</v>
      </c>
      <c r="AA2736" s="95">
        <v>25</v>
      </c>
      <c r="AH2736" s="95">
        <v>75</v>
      </c>
    </row>
    <row r="2737" spans="1:34" x14ac:dyDescent="0.3">
      <c r="A2737" s="89" t="str">
        <f>CONCATENATE(D2737,".",F2737,"-",G2737,".",H2737,"")</f>
        <v>2.4-3.1</v>
      </c>
      <c r="B2737" s="89" t="str">
        <f>IF(CONCATENATE(I2737,Key!F$2)=CONCATENATE(INDEX(Dashboard!J:J,MATCH(I2737,Dashboard!J:J,0),1),INDEX(Dashboard!J:K,MATCH(I2737,Dashboard!J:J,0),2)),"ON",IF(Dashboard!K$32="ALL","ON","-"))</f>
        <v>-</v>
      </c>
      <c r="C2737" s="96" t="s">
        <v>152</v>
      </c>
      <c r="D2737" s="89">
        <f>IF(C2737="ID",1,(IF(C2737="PR",2,(IF(C2737="DE",3,(IF(C2737="RS",4,(IF(C2737="RC",5,0)))))))))</f>
        <v>2</v>
      </c>
      <c r="E2737" s="89" t="s">
        <v>228</v>
      </c>
      <c r="F2737" s="89">
        <f>IF(E2737="AM",1,(IF(E2737="BE",2,(IF(E2737="GV",3,(IF(E2737="RA",4,(IF(E2737="RM",5,(IF(E2737="AC",1,(IF(E2737="AT",2,(IF(E2737="DS",3,(IF(E2737="IP",4,(IF(E2737="MA",5,(IF(E2737="PT",6,(IF(E2737="AE",1,(IF(E2737="CM",2,(IF(E2737="DP",3,(IF(E2737="AN",1,(IF(E2737="CO",2,(IF(E2737="IM",3,(IF(E2737="MI",4,(IF(E2737="RP",5,(IF(E2737="SC",6,0)))))))))))))))))))))))))))))))))))))))</f>
        <v>4</v>
      </c>
      <c r="G2737" s="52">
        <v>3</v>
      </c>
      <c r="H2737" s="90" t="s">
        <v>115</v>
      </c>
      <c r="I2737" s="94" t="s">
        <v>92</v>
      </c>
      <c r="J2737" s="88" t="s">
        <v>249</v>
      </c>
      <c r="K2737" s="102" t="s">
        <v>5226</v>
      </c>
      <c r="L2737" s="117">
        <f>IF(O2737="","",N2737*O2737*M2737)</f>
        <v>0</v>
      </c>
      <c r="M2737" s="108">
        <v>1</v>
      </c>
      <c r="N2737" s="95">
        <v>1</v>
      </c>
      <c r="O2737" s="109">
        <f>IF(Key!D$1="ON",P2737,IF(SUM(Q2737:DL2737)&lt;1,"",SUM(Q2737:DL2737)/COUNTIF(Q2737:DL2737,"&gt;0")))</f>
        <v>0</v>
      </c>
      <c r="P2737" s="109">
        <f>SUMIFS(Q2737:DK2737,Q$1:DK$1,Dashboard!$K$31)</f>
        <v>0</v>
      </c>
      <c r="U2737" s="95">
        <v>33</v>
      </c>
      <c r="AA2737" s="95">
        <v>25</v>
      </c>
      <c r="AH2737" s="95">
        <v>75</v>
      </c>
    </row>
    <row r="2738" spans="1:34" ht="15.6" x14ac:dyDescent="0.3">
      <c r="A2738" s="89" t="str">
        <f>CONCATENATE(D2738,".",F2738,"-",G2738,".",H2738,"")</f>
        <v>2.4-3.1</v>
      </c>
      <c r="B2738" s="89" t="str">
        <f>IF(CONCATENATE(I2738,Key!F$2)=CONCATENATE(INDEX(Dashboard!J:J,MATCH(I2738,Dashboard!J:J,0),1),INDEX(Dashboard!J:K,MATCH(I2738,Dashboard!J:J,0),2)),"ON",IF(Dashboard!K$32="ALL","ON","-"))</f>
        <v>-</v>
      </c>
      <c r="C2738" s="96" t="s">
        <v>152</v>
      </c>
      <c r="D2738" s="89">
        <f>IF(C2738="ID",1,(IF(C2738="PR",2,(IF(C2738="DE",3,(IF(C2738="RS",4,(IF(C2738="RC",5,0)))))))))</f>
        <v>2</v>
      </c>
      <c r="E2738" s="89" t="s">
        <v>228</v>
      </c>
      <c r="F2738" s="89">
        <f>IF(E2738="AM",1,(IF(E2738="BE",2,(IF(E2738="GV",3,(IF(E2738="RA",4,(IF(E2738="RM",5,(IF(E2738="AC",1,(IF(E2738="AT",2,(IF(E2738="DS",3,(IF(E2738="IP",4,(IF(E2738="MA",5,(IF(E2738="PT",6,(IF(E2738="AE",1,(IF(E2738="CM",2,(IF(E2738="DP",3,(IF(E2738="AN",1,(IF(E2738="CO",2,(IF(E2738="IM",3,(IF(E2738="MI",4,(IF(E2738="RP",5,(IF(E2738="SC",6,0)))))))))))))))))))))))))))))))))))))))</f>
        <v>4</v>
      </c>
      <c r="G2738" s="52">
        <v>3</v>
      </c>
      <c r="H2738" s="90" t="s">
        <v>115</v>
      </c>
      <c r="I2738" s="94" t="s">
        <v>92</v>
      </c>
      <c r="J2738" s="88" t="s">
        <v>250</v>
      </c>
      <c r="K2738" s="102" t="s">
        <v>5226</v>
      </c>
      <c r="L2738" s="117">
        <f>IF(O2738="","",N2738*O2738*M2738)</f>
        <v>0</v>
      </c>
      <c r="M2738" s="108">
        <v>1</v>
      </c>
      <c r="N2738" s="95">
        <v>1</v>
      </c>
      <c r="O2738" s="109">
        <f>IF(Key!D$1="ON",P2738,IF(SUM(Q2738:DL2738)&lt;1,"",SUM(Q2738:DL2738)/COUNTIF(Q2738:DL2738,"&gt;0")))</f>
        <v>0</v>
      </c>
      <c r="P2738" s="109">
        <f>SUMIFS(Q2738:DK2738,Q$1:DK$1,Dashboard!$K$31)</f>
        <v>0</v>
      </c>
      <c r="U2738" s="95">
        <v>33</v>
      </c>
      <c r="AA2738" s="95">
        <v>25</v>
      </c>
      <c r="AH2738" s="95">
        <v>75</v>
      </c>
    </row>
    <row r="2739" spans="1:34" x14ac:dyDescent="0.3">
      <c r="A2739" s="89" t="str">
        <f>CONCATENATE(D2739,".",F2739,"-",G2739,".",H2739,"")</f>
        <v>2.4-3.1</v>
      </c>
      <c r="B2739" s="89" t="str">
        <f>IF(CONCATENATE(I2739,Key!F$2)=CONCATENATE(INDEX(Dashboard!J:J,MATCH(I2739,Dashboard!J:J,0),1),INDEX(Dashboard!J:K,MATCH(I2739,Dashboard!J:J,0),2)),"ON",IF(Dashboard!K$32="ALL","ON","-"))</f>
        <v>-</v>
      </c>
      <c r="C2739" s="96" t="s">
        <v>152</v>
      </c>
      <c r="D2739" s="89">
        <f>IF(C2739="ID",1,(IF(C2739="PR",2,(IF(C2739="DE",3,(IF(C2739="RS",4,(IF(C2739="RC",5,0)))))))))</f>
        <v>2</v>
      </c>
      <c r="E2739" s="89" t="s">
        <v>228</v>
      </c>
      <c r="F2739" s="89">
        <f>IF(E2739="AM",1,(IF(E2739="BE",2,(IF(E2739="GV",3,(IF(E2739="RA",4,(IF(E2739="RM",5,(IF(E2739="AC",1,(IF(E2739="AT",2,(IF(E2739="DS",3,(IF(E2739="IP",4,(IF(E2739="MA",5,(IF(E2739="PT",6,(IF(E2739="AE",1,(IF(E2739="CM",2,(IF(E2739="DP",3,(IF(E2739="AN",1,(IF(E2739="CO",2,(IF(E2739="IM",3,(IF(E2739="MI",4,(IF(E2739="RP",5,(IF(E2739="SC",6,0)))))))))))))))))))))))))))))))))))))))</f>
        <v>4</v>
      </c>
      <c r="G2739" s="52">
        <v>3</v>
      </c>
      <c r="H2739" s="90" t="s">
        <v>115</v>
      </c>
      <c r="I2739" s="94" t="s">
        <v>92</v>
      </c>
      <c r="J2739" s="88" t="s">
        <v>251</v>
      </c>
      <c r="K2739" s="102" t="s">
        <v>5226</v>
      </c>
      <c r="L2739" s="117">
        <f>IF(O2739="","",N2739*O2739*M2739)</f>
        <v>0</v>
      </c>
      <c r="M2739" s="108">
        <v>1</v>
      </c>
      <c r="N2739" s="95">
        <v>1</v>
      </c>
      <c r="O2739" s="109">
        <f>IF(Key!D$1="ON",P2739,IF(SUM(Q2739:DL2739)&lt;1,"",SUM(Q2739:DL2739)/COUNTIF(Q2739:DL2739,"&gt;0")))</f>
        <v>0</v>
      </c>
      <c r="P2739" s="109">
        <f>SUMIFS(Q2739:DK2739,Q$1:DK$1,Dashboard!$K$31)</f>
        <v>0</v>
      </c>
      <c r="U2739" s="95">
        <v>33</v>
      </c>
      <c r="AA2739" s="95">
        <v>25</v>
      </c>
      <c r="AH2739" s="95">
        <v>75</v>
      </c>
    </row>
    <row r="2740" spans="1:34" x14ac:dyDescent="0.3">
      <c r="A2740" s="89" t="str">
        <f>CONCATENATE(D2740,".",F2740,"-",G2740,".",H2740,"")</f>
        <v>2.4-3.5</v>
      </c>
      <c r="B2740" s="89" t="str">
        <f>IF(CONCATENATE(I2740,Key!F$2)=CONCATENATE(INDEX(Dashboard!J:J,MATCH(I2740,Dashboard!J:J,0),1),INDEX(Dashboard!J:K,MATCH(I2740,Dashboard!J:J,0),2)),"ON",IF(Dashboard!K$32="ALL","ON","-"))</f>
        <v>-</v>
      </c>
      <c r="C2740" s="96" t="s">
        <v>152</v>
      </c>
      <c r="D2740" s="89">
        <f>IF(C2740="ID",1,(IF(C2740="PR",2,(IF(C2740="DE",3,(IF(C2740="RS",4,(IF(C2740="RC",5,0)))))))))</f>
        <v>2</v>
      </c>
      <c r="E2740" s="89" t="s">
        <v>228</v>
      </c>
      <c r="F2740" s="89">
        <f>IF(E2740="AM",1,(IF(E2740="BE",2,(IF(E2740="GV",3,(IF(E2740="RA",4,(IF(E2740="RM",5,(IF(E2740="AC",1,(IF(E2740="AT",2,(IF(E2740="DS",3,(IF(E2740="IP",4,(IF(E2740="MA",5,(IF(E2740="PT",6,(IF(E2740="AE",1,(IF(E2740="CM",2,(IF(E2740="DP",3,(IF(E2740="AN",1,(IF(E2740="CO",2,(IF(E2740="IM",3,(IF(E2740="MI",4,(IF(E2740="RP",5,(IF(E2740="SC",6,0)))))))))))))))))))))))))))))))))))))))</f>
        <v>4</v>
      </c>
      <c r="G2740" s="98">
        <v>3</v>
      </c>
      <c r="H2740" s="90" t="s">
        <v>123</v>
      </c>
      <c r="I2740" s="94" t="s">
        <v>77</v>
      </c>
      <c r="J2740" s="87" t="s">
        <v>1606</v>
      </c>
      <c r="K2740" s="102" t="s">
        <v>2559</v>
      </c>
      <c r="L2740" s="117">
        <f>IF(O2740="","",N2740*O2740*M2740)</f>
        <v>0</v>
      </c>
      <c r="M2740" s="108">
        <v>1</v>
      </c>
      <c r="N2740" s="95">
        <v>1</v>
      </c>
      <c r="O2740" s="109">
        <f>IF(Key!D$1="ON",P2740,IF(SUM(Q2740:DL2740)&lt;1,"",SUM(Q2740:DL2740)/COUNTIF(Q2740:DL2740,"&gt;0")))</f>
        <v>0</v>
      </c>
      <c r="P2740" s="109">
        <f>SUMIFS(Q2740:DK2740,Q$1:DK$1,Dashboard!$K$31)</f>
        <v>0</v>
      </c>
      <c r="U2740" s="95">
        <v>33</v>
      </c>
      <c r="AA2740" s="95">
        <v>25</v>
      </c>
      <c r="AH2740" s="95">
        <v>75</v>
      </c>
    </row>
    <row r="2741" spans="1:34" ht="15.6" x14ac:dyDescent="0.3">
      <c r="A2741" s="89" t="str">
        <f>CONCATENATE(D2741,".",F2741,"-",G2741,".",H2741,"")</f>
        <v>2.4-4.0</v>
      </c>
      <c r="B2741" s="89" t="str">
        <f>IF(CONCATENATE(I2741,Key!F$2)=CONCATENATE(INDEX(Dashboard!J:J,MATCH(I2741,Dashboard!J:J,0),1),INDEX(Dashboard!J:K,MATCH(I2741,Dashboard!J:J,0),2)),"ON",IF(Dashboard!K$32="ALL","ON","-"))</f>
        <v>-</v>
      </c>
      <c r="C2741" s="88" t="s">
        <v>152</v>
      </c>
      <c r="D2741" s="89">
        <f>IF(C2741="ID",1,(IF(C2741="PR",2,(IF(C2741="DE",3,(IF(C2741="RS",4,(IF(C2741="RC",5,0)))))))))</f>
        <v>2</v>
      </c>
      <c r="E2741" s="89" t="s">
        <v>228</v>
      </c>
      <c r="F2741" s="89">
        <f>IF(E2741="AM",1,(IF(E2741="BE",2,(IF(E2741="GV",3,(IF(E2741="RA",4,(IF(E2741="RM",5,(IF(E2741="AC",1,(IF(E2741="AT",2,(IF(E2741="DS",3,(IF(E2741="IP",4,(IF(E2741="MA",5,(IF(E2741="PT",6,(IF(E2741="AE",1,(IF(E2741="CM",2,(IF(E2741="DP",3,(IF(E2741="AN",1,(IF(E2741="CO",2,(IF(E2741="IM",3,(IF(E2741="MI",4,(IF(E2741="RP",5,(IF(E2741="SC",6,0)))))))))))))))))))))))))))))))))))))))</f>
        <v>4</v>
      </c>
      <c r="G2741" s="52">
        <v>4</v>
      </c>
      <c r="H2741" s="90" t="s">
        <v>347</v>
      </c>
      <c r="I2741" s="94" t="s">
        <v>2835</v>
      </c>
      <c r="J2741" s="53" t="s">
        <v>2974</v>
      </c>
      <c r="K2741" s="150" t="s">
        <v>2975</v>
      </c>
      <c r="L2741" s="117">
        <f>IF(O2741="","",N2741*O2741*M2741)</f>
        <v>0</v>
      </c>
      <c r="M2741" s="108">
        <v>1</v>
      </c>
      <c r="N2741" s="95">
        <v>1</v>
      </c>
      <c r="O2741" s="109">
        <f>IF(Key!D$1="ON",P2741,IF(SUM(Q2741:DL2741)&lt;1,"",SUM(Q2741:DL2741)/COUNTIF(Q2741:DL2741,"&gt;0")))</f>
        <v>0</v>
      </c>
      <c r="P2741" s="109">
        <f>SUMIFS(Q2741:DK2741,Q$1:DK$1,Dashboard!$K$31)</f>
        <v>0</v>
      </c>
      <c r="U2741" s="95">
        <v>33</v>
      </c>
    </row>
    <row r="2742" spans="1:34" x14ac:dyDescent="0.3">
      <c r="A2742" s="89" t="str">
        <f>CONCATENATE(D2742,".",F2742,"-",G2742,".",H2742,"")</f>
        <v>2.4-4.1</v>
      </c>
      <c r="B2742" s="89" t="str">
        <f>IF(CONCATENATE(I2742,Key!F$2)=CONCATENATE(INDEX(Dashboard!J:J,MATCH(I2742,Dashboard!J:J,0),1),INDEX(Dashboard!J:K,MATCH(I2742,Dashboard!J:J,0),2)),"ON",IF(Dashboard!K$32="ALL","ON","-"))</f>
        <v>ON</v>
      </c>
      <c r="C2742" s="130" t="s">
        <v>152</v>
      </c>
      <c r="D2742" s="89">
        <f>IF(C2742="ID",1,(IF(C2742="PR",2,(IF(C2742="DE",3,(IF(C2742="RS",4,(IF(C2742="RC",5,0)))))))))</f>
        <v>2</v>
      </c>
      <c r="E2742" s="95" t="s">
        <v>228</v>
      </c>
      <c r="F2742" s="89">
        <f>IF(E2742="AM",1,(IF(E2742="BE",2,(IF(E2742="GV",3,(IF(E2742="RA",4,(IF(E2742="RM",5,(IF(E2742="AC",1,(IF(E2742="AT",2,(IF(E2742="DS",3,(IF(E2742="IP",4,(IF(E2742="MA",5,(IF(E2742="PT",6,(IF(E2742="AE",1,(IF(E2742="CM",2,(IF(E2742="DP",3,(IF(E2742="AN",1,(IF(E2742="CO",2,(IF(E2742="IM",3,(IF(E2742="MI",4,(IF(E2742="RP",5,(IF(E2742="SC",6,0)))))))))))))))))))))))))))))))))))))))</f>
        <v>4</v>
      </c>
      <c r="G2742" s="52">
        <v>4</v>
      </c>
      <c r="H2742" s="90" t="s">
        <v>115</v>
      </c>
      <c r="I2742" s="94" t="s">
        <v>4107</v>
      </c>
      <c r="J2742" s="86" t="s">
        <v>4040</v>
      </c>
      <c r="K2742" s="101" t="s">
        <v>4394</v>
      </c>
      <c r="L2742" s="117">
        <f>IF(O2742="","",N2742*O2742*M2742)</f>
        <v>0</v>
      </c>
      <c r="M2742" s="108">
        <v>1</v>
      </c>
      <c r="N2742" s="95">
        <v>1</v>
      </c>
      <c r="O2742" s="109">
        <f>IF(Key!D$1="ON",P2742,IF(SUM(Q2742:DL2742)&lt;1,"",SUM(Q2742:DL2742)/COUNTIF(Q2742:DL2742,"&gt;0")))</f>
        <v>0</v>
      </c>
      <c r="P2742" s="109">
        <f>SUMIFS(Q2742:DK2742,Q$1:DK$1,Dashboard!$K$31)</f>
        <v>0</v>
      </c>
      <c r="U2742" s="95">
        <v>33</v>
      </c>
      <c r="AA2742" s="95">
        <v>25</v>
      </c>
      <c r="AH2742" s="95">
        <v>75</v>
      </c>
    </row>
    <row r="2743" spans="1:34" x14ac:dyDescent="0.3">
      <c r="A2743" s="89" t="str">
        <f>CONCATENATE(D2743,".",F2743,"-",G2743,".",H2743,"")</f>
        <v>2.4-4.1</v>
      </c>
      <c r="B2743" s="89" t="str">
        <f>IF(CONCATENATE(I2743,Key!F$2)=CONCATENATE(INDEX(Dashboard!J:J,MATCH(I2743,Dashboard!J:J,0),1),INDEX(Dashboard!J:K,MATCH(I2743,Dashboard!J:J,0),2)),"ON",IF(Dashboard!K$32="ALL","ON","-"))</f>
        <v>ON</v>
      </c>
      <c r="C2743" s="96" t="s">
        <v>152</v>
      </c>
      <c r="D2743" s="89">
        <f>IF(C2743="ID",1,(IF(C2743="PR",2,(IF(C2743="DE",3,(IF(C2743="RS",4,(IF(C2743="RC",5,0)))))))))</f>
        <v>2</v>
      </c>
      <c r="E2743" s="89" t="s">
        <v>228</v>
      </c>
      <c r="F2743" s="89">
        <f>IF(E2743="AM",1,(IF(E2743="BE",2,(IF(E2743="GV",3,(IF(E2743="RA",4,(IF(E2743="RM",5,(IF(E2743="AC",1,(IF(E2743="AT",2,(IF(E2743="DS",3,(IF(E2743="IP",4,(IF(E2743="MA",5,(IF(E2743="PT",6,(IF(E2743="AE",1,(IF(E2743="CM",2,(IF(E2743="DP",3,(IF(E2743="AN",1,(IF(E2743="CO",2,(IF(E2743="IM",3,(IF(E2743="MI",4,(IF(E2743="RP",5,(IF(E2743="SC",6,0)))))))))))))))))))))))))))))))))))))))</f>
        <v>4</v>
      </c>
      <c r="G2743" s="98">
        <v>4</v>
      </c>
      <c r="H2743" s="90" t="s">
        <v>115</v>
      </c>
      <c r="I2743" s="94" t="s">
        <v>4107</v>
      </c>
      <c r="J2743" s="86" t="s">
        <v>4041</v>
      </c>
      <c r="K2743" s="101" t="s">
        <v>4198</v>
      </c>
      <c r="L2743" s="117">
        <f>IF(O2743="","",N2743*O2743*M2743)</f>
        <v>0</v>
      </c>
      <c r="M2743" s="108">
        <v>1</v>
      </c>
      <c r="N2743" s="95">
        <v>1</v>
      </c>
      <c r="O2743" s="109">
        <f>IF(Key!D$1="ON",P2743,IF(SUM(Q2743:DL2743)&lt;1,"",SUM(Q2743:DL2743)/COUNTIF(Q2743:DL2743,"&gt;0")))</f>
        <v>0</v>
      </c>
      <c r="P2743" s="109">
        <f>SUMIFS(Q2743:DK2743,Q$1:DK$1,Dashboard!$K$31)</f>
        <v>0</v>
      </c>
      <c r="U2743" s="95">
        <v>33</v>
      </c>
      <c r="AA2743" s="95">
        <v>25</v>
      </c>
      <c r="AH2743" s="95">
        <v>75</v>
      </c>
    </row>
    <row r="2744" spans="1:34" ht="15.6" x14ac:dyDescent="0.3">
      <c r="A2744" s="89" t="str">
        <f>CONCATENATE(D2744,".",F2744,"-",G2744,".",H2744,"")</f>
        <v>2.4-4.1</v>
      </c>
      <c r="B2744" s="89" t="str">
        <f>IF(CONCATENATE(I2744,Key!F$2)=CONCATENATE(INDEX(Dashboard!J:J,MATCH(I2744,Dashboard!J:J,0),1),INDEX(Dashboard!J:K,MATCH(I2744,Dashboard!J:J,0),2)),"ON",IF(Dashboard!K$32="ALL","ON","-"))</f>
        <v>ON</v>
      </c>
      <c r="C2744" s="96" t="s">
        <v>152</v>
      </c>
      <c r="D2744" s="89">
        <f>IF(C2744="ID",1,(IF(C2744="PR",2,(IF(C2744="DE",3,(IF(C2744="RS",4,(IF(C2744="RC",5,0)))))))))</f>
        <v>2</v>
      </c>
      <c r="E2744" s="89" t="s">
        <v>228</v>
      </c>
      <c r="F2744" s="89">
        <f>IF(E2744="AM",1,(IF(E2744="BE",2,(IF(E2744="GV",3,(IF(E2744="RA",4,(IF(E2744="RM",5,(IF(E2744="AC",1,(IF(E2744="AT",2,(IF(E2744="DS",3,(IF(E2744="IP",4,(IF(E2744="MA",5,(IF(E2744="PT",6,(IF(E2744="AE",1,(IF(E2744="CM",2,(IF(E2744="DP",3,(IF(E2744="AN",1,(IF(E2744="CO",2,(IF(E2744="IM",3,(IF(E2744="MI",4,(IF(E2744="RP",5,(IF(E2744="SC",6,0)))))))))))))))))))))))))))))))))))))))</f>
        <v>4</v>
      </c>
      <c r="G2744" s="98">
        <v>4</v>
      </c>
      <c r="H2744" s="90" t="s">
        <v>115</v>
      </c>
      <c r="I2744" s="94" t="s">
        <v>4107</v>
      </c>
      <c r="J2744" s="86" t="s">
        <v>4042</v>
      </c>
      <c r="K2744" s="101" t="s">
        <v>4458</v>
      </c>
      <c r="L2744" s="117">
        <f>IF(O2744="","",N2744*O2744*M2744)</f>
        <v>0</v>
      </c>
      <c r="M2744" s="108">
        <v>1</v>
      </c>
      <c r="N2744" s="95">
        <v>1</v>
      </c>
      <c r="O2744" s="109">
        <f>IF(Key!D$1="ON",P2744,IF(SUM(Q2744:DL2744)&lt;1,"",SUM(Q2744:DL2744)/COUNTIF(Q2744:DL2744,"&gt;0")))</f>
        <v>0</v>
      </c>
      <c r="P2744" s="109">
        <f>SUMIFS(Q2744:DK2744,Q$1:DK$1,Dashboard!$K$31)</f>
        <v>0</v>
      </c>
      <c r="U2744" s="95">
        <v>33</v>
      </c>
      <c r="AA2744" s="95">
        <v>25</v>
      </c>
      <c r="AH2744" s="95">
        <v>75</v>
      </c>
    </row>
    <row r="2745" spans="1:34" ht="15.6" x14ac:dyDescent="0.3">
      <c r="A2745" s="89" t="str">
        <f>CONCATENATE(D2745,".",F2745,"-",G2745,".",H2745,"")</f>
        <v>2.4-4.1</v>
      </c>
      <c r="B2745" s="89" t="str">
        <f>IF(CONCATENATE(I2745,Key!F$2)=CONCATENATE(INDEX(Dashboard!J:J,MATCH(I2745,Dashboard!J:J,0),1),INDEX(Dashboard!J:K,MATCH(I2745,Dashboard!J:J,0),2)),"ON",IF(Dashboard!K$32="ALL","ON","-"))</f>
        <v>-</v>
      </c>
      <c r="C2745" s="88" t="s">
        <v>152</v>
      </c>
      <c r="D2745" s="89">
        <f>IF(C2745="ID",1,(IF(C2745="PR",2,(IF(C2745="DE",3,(IF(C2745="RS",4,(IF(C2745="RC",5,0)))))))))</f>
        <v>2</v>
      </c>
      <c r="E2745" s="89" t="s">
        <v>228</v>
      </c>
      <c r="F2745" s="89">
        <f>IF(E2745="AM",1,(IF(E2745="BE",2,(IF(E2745="GV",3,(IF(E2745="RA",4,(IF(E2745="RM",5,(IF(E2745="AC",1,(IF(E2745="AT",2,(IF(E2745="DS",3,(IF(E2745="IP",4,(IF(E2745="MA",5,(IF(E2745="PT",6,(IF(E2745="AE",1,(IF(E2745="CM",2,(IF(E2745="DP",3,(IF(E2745="AN",1,(IF(E2745="CO",2,(IF(E2745="IM",3,(IF(E2745="MI",4,(IF(E2745="RP",5,(IF(E2745="SC",6,0)))))))))))))))))))))))))))))))))))))))</f>
        <v>4</v>
      </c>
      <c r="G2745" s="52">
        <v>4</v>
      </c>
      <c r="H2745" s="99">
        <v>1</v>
      </c>
      <c r="I2745" s="94" t="s">
        <v>37</v>
      </c>
      <c r="J2745" s="86">
        <v>10</v>
      </c>
      <c r="K2745" s="102" t="s">
        <v>3779</v>
      </c>
      <c r="L2745" s="117">
        <f>IF(O2745="","",N2745*O2745*M2745)</f>
        <v>0</v>
      </c>
      <c r="M2745" s="108">
        <v>1</v>
      </c>
      <c r="N2745" s="95">
        <v>1</v>
      </c>
      <c r="O2745" s="109">
        <f>IF(Key!D$1="ON",P2745,IF(SUM(Q2745:DL2745)&lt;1,"",SUM(Q2745:DL2745)/COUNTIF(Q2745:DL2745,"&gt;0")))</f>
        <v>0</v>
      </c>
      <c r="P2745" s="109">
        <f>SUMIFS(Q2745:DK2745,Q$1:DK$1,Dashboard!$K$31)</f>
        <v>0</v>
      </c>
      <c r="U2745" s="95">
        <v>33</v>
      </c>
      <c r="AA2745" s="95">
        <v>25</v>
      </c>
      <c r="AH2745" s="95">
        <v>75</v>
      </c>
    </row>
    <row r="2746" spans="1:34" ht="15.6" x14ac:dyDescent="0.3">
      <c r="A2746" s="89" t="str">
        <f>CONCATENATE(D2746,".",F2746,"-",G2746,".",H2746,"")</f>
        <v>2.4-4.1</v>
      </c>
      <c r="B2746" s="89" t="str">
        <f>IF(CONCATENATE(I2746,Key!F$2)=CONCATENATE(INDEX(Dashboard!J:J,MATCH(I2746,Dashboard!J:J,0),1),INDEX(Dashboard!J:K,MATCH(I2746,Dashboard!J:J,0),2)),"ON",IF(Dashboard!K$32="ALL","ON","-"))</f>
        <v>-</v>
      </c>
      <c r="C2746" s="88" t="s">
        <v>152</v>
      </c>
      <c r="D2746" s="89">
        <f>IF(C2746="ID",1,(IF(C2746="PR",2,(IF(C2746="DE",3,(IF(C2746="RS",4,(IF(C2746="RC",5,0)))))))))</f>
        <v>2</v>
      </c>
      <c r="E2746" s="89" t="s">
        <v>228</v>
      </c>
      <c r="F2746" s="89">
        <f>IF(E2746="AM",1,(IF(E2746="BE",2,(IF(E2746="GV",3,(IF(E2746="RA",4,(IF(E2746="RM",5,(IF(E2746="AC",1,(IF(E2746="AT",2,(IF(E2746="DS",3,(IF(E2746="IP",4,(IF(E2746="MA",5,(IF(E2746="PT",6,(IF(E2746="AE",1,(IF(E2746="CM",2,(IF(E2746="DP",3,(IF(E2746="AN",1,(IF(E2746="CO",2,(IF(E2746="IM",3,(IF(E2746="MI",4,(IF(E2746="RP",5,(IF(E2746="SC",6,0)))))))))))))))))))))))))))))))))))))))</f>
        <v>4</v>
      </c>
      <c r="G2746" s="52">
        <v>4</v>
      </c>
      <c r="H2746" s="99">
        <v>1</v>
      </c>
      <c r="I2746" s="94" t="s">
        <v>37</v>
      </c>
      <c r="J2746" s="86">
        <v>10.199999999999999</v>
      </c>
      <c r="K2746" s="102" t="s">
        <v>3780</v>
      </c>
      <c r="L2746" s="117">
        <f>IF(O2746="","",N2746*O2746*M2746)</f>
        <v>0</v>
      </c>
      <c r="M2746" s="108">
        <v>1</v>
      </c>
      <c r="N2746" s="95">
        <v>1</v>
      </c>
      <c r="O2746" s="109">
        <f>IF(Key!D$1="ON",P2746,IF(SUM(Q2746:DL2746)&lt;1,"",SUM(Q2746:DL2746)/COUNTIF(Q2746:DL2746,"&gt;0")))</f>
        <v>0</v>
      </c>
      <c r="P2746" s="109">
        <f>SUMIFS(Q2746:DK2746,Q$1:DK$1,Dashboard!$K$31)</f>
        <v>0</v>
      </c>
      <c r="U2746" s="95">
        <v>33</v>
      </c>
      <c r="AA2746" s="95">
        <v>25</v>
      </c>
      <c r="AH2746" s="95">
        <v>75</v>
      </c>
    </row>
    <row r="2747" spans="1:34" ht="15.6" x14ac:dyDescent="0.3">
      <c r="A2747" s="89" t="str">
        <f>CONCATENATE(D2747,".",F2747,"-",G2747,".",H2747,"")</f>
        <v>2.4-4.1</v>
      </c>
      <c r="B2747" s="89" t="str">
        <f>IF(CONCATENATE(I2747,Key!F$2)=CONCATENATE(INDEX(Dashboard!J:J,MATCH(I2747,Dashboard!J:J,0),1),INDEX(Dashboard!J:K,MATCH(I2747,Dashboard!J:J,0),2)),"ON",IF(Dashboard!K$32="ALL","ON","-"))</f>
        <v>-</v>
      </c>
      <c r="C2747" s="88" t="s">
        <v>152</v>
      </c>
      <c r="D2747" s="89">
        <f>IF(C2747="ID",1,(IF(C2747="PR",2,(IF(C2747="DE",3,(IF(C2747="RS",4,(IF(C2747="RC",5,0)))))))))</f>
        <v>2</v>
      </c>
      <c r="E2747" s="89" t="s">
        <v>228</v>
      </c>
      <c r="F2747" s="89">
        <f>IF(E2747="AM",1,(IF(E2747="BE",2,(IF(E2747="GV",3,(IF(E2747="RA",4,(IF(E2747="RM",5,(IF(E2747="AC",1,(IF(E2747="AT",2,(IF(E2747="DS",3,(IF(E2747="IP",4,(IF(E2747="MA",5,(IF(E2747="PT",6,(IF(E2747="AE",1,(IF(E2747="CM",2,(IF(E2747="DP",3,(IF(E2747="AN",1,(IF(E2747="CO",2,(IF(E2747="IM",3,(IF(E2747="MI",4,(IF(E2747="RP",5,(IF(E2747="SC",6,0)))))))))))))))))))))))))))))))))))))))</f>
        <v>4</v>
      </c>
      <c r="G2747" s="52">
        <v>4</v>
      </c>
      <c r="H2747" s="99">
        <v>1</v>
      </c>
      <c r="I2747" s="94" t="s">
        <v>37</v>
      </c>
      <c r="J2747" s="86">
        <v>10.3</v>
      </c>
      <c r="K2747" s="102" t="s">
        <v>3781</v>
      </c>
      <c r="L2747" s="117">
        <f>IF(O2747="","",N2747*O2747*M2747)</f>
        <v>0</v>
      </c>
      <c r="M2747" s="108">
        <v>1</v>
      </c>
      <c r="N2747" s="95">
        <v>1</v>
      </c>
      <c r="O2747" s="109">
        <f>IF(Key!D$1="ON",P2747,IF(SUM(Q2747:DL2747)&lt;1,"",SUM(Q2747:DL2747)/COUNTIF(Q2747:DL2747,"&gt;0")))</f>
        <v>0</v>
      </c>
      <c r="P2747" s="109">
        <f>SUMIFS(Q2747:DK2747,Q$1:DK$1,Dashboard!$K$31)</f>
        <v>0</v>
      </c>
      <c r="U2747" s="95">
        <v>33</v>
      </c>
      <c r="AA2747" s="95">
        <v>25</v>
      </c>
      <c r="AH2747" s="95">
        <v>75</v>
      </c>
    </row>
    <row r="2748" spans="1:34" ht="15.6" x14ac:dyDescent="0.3">
      <c r="A2748" s="89" t="str">
        <f>CONCATENATE(D2748,".",F2748,"-",G2748,".",H2748,"")</f>
        <v>2.4-4.1</v>
      </c>
      <c r="B2748" s="89" t="str">
        <f>IF(CONCATENATE(I2748,Key!F$2)=CONCATENATE(INDEX(Dashboard!J:J,MATCH(I2748,Dashboard!J:J,0),1),INDEX(Dashboard!J:K,MATCH(I2748,Dashboard!J:J,0),2)),"ON",IF(Dashboard!K$32="ALL","ON","-"))</f>
        <v>-</v>
      </c>
      <c r="C2748" s="88" t="s">
        <v>152</v>
      </c>
      <c r="D2748" s="89">
        <f>IF(C2748="ID",1,(IF(C2748="PR",2,(IF(C2748="DE",3,(IF(C2748="RS",4,(IF(C2748="RC",5,0)))))))))</f>
        <v>2</v>
      </c>
      <c r="E2748" s="89" t="s">
        <v>228</v>
      </c>
      <c r="F2748" s="89">
        <f>IF(E2748="AM",1,(IF(E2748="BE",2,(IF(E2748="GV",3,(IF(E2748="RA",4,(IF(E2748="RM",5,(IF(E2748="AC",1,(IF(E2748="AT",2,(IF(E2748="DS",3,(IF(E2748="IP",4,(IF(E2748="MA",5,(IF(E2748="PT",6,(IF(E2748="AE",1,(IF(E2748="CM",2,(IF(E2748="DP",3,(IF(E2748="AN",1,(IF(E2748="CO",2,(IF(E2748="IM",3,(IF(E2748="MI",4,(IF(E2748="RP",5,(IF(E2748="SC",6,0)))))))))))))))))))))))))))))))))))))))</f>
        <v>4</v>
      </c>
      <c r="G2748" s="52">
        <v>4</v>
      </c>
      <c r="H2748" s="99">
        <v>1</v>
      </c>
      <c r="I2748" s="94" t="s">
        <v>37</v>
      </c>
      <c r="J2748" s="86">
        <v>10.4</v>
      </c>
      <c r="K2748" s="102" t="s">
        <v>3782</v>
      </c>
      <c r="L2748" s="117">
        <f>IF(O2748="","",N2748*O2748*M2748)</f>
        <v>0</v>
      </c>
      <c r="M2748" s="108">
        <v>1</v>
      </c>
      <c r="N2748" s="95">
        <v>1</v>
      </c>
      <c r="O2748" s="109">
        <f>IF(Key!D$1="ON",P2748,IF(SUM(Q2748:DL2748)&lt;1,"",SUM(Q2748:DL2748)/COUNTIF(Q2748:DL2748,"&gt;0")))</f>
        <v>0</v>
      </c>
      <c r="P2748" s="109">
        <f>SUMIFS(Q2748:DK2748,Q$1:DK$1,Dashboard!$K$31)</f>
        <v>0</v>
      </c>
      <c r="U2748" s="95">
        <v>33</v>
      </c>
      <c r="AA2748" s="95">
        <v>25</v>
      </c>
      <c r="AH2748" s="95">
        <v>75</v>
      </c>
    </row>
    <row r="2749" spans="1:34" ht="15.6" x14ac:dyDescent="0.3">
      <c r="A2749" s="89" t="str">
        <f>CONCATENATE(D2749,".",F2749,"-",G2749,".",H2749,"")</f>
        <v>2.4-4.1</v>
      </c>
      <c r="B2749" s="89" t="str">
        <f>IF(CONCATENATE(I2749,Key!F$2)=CONCATENATE(INDEX(Dashboard!J:J,MATCH(I2749,Dashboard!J:J,0),1),INDEX(Dashboard!J:K,MATCH(I2749,Dashboard!J:J,0),2)),"ON",IF(Dashboard!K$32="ALL","ON","-"))</f>
        <v>-</v>
      </c>
      <c r="C2749" s="88" t="s">
        <v>152</v>
      </c>
      <c r="D2749" s="89">
        <f>IF(C2749="ID",1,(IF(C2749="PR",2,(IF(C2749="DE",3,(IF(C2749="RS",4,(IF(C2749="RC",5,0)))))))))</f>
        <v>2</v>
      </c>
      <c r="E2749" s="89" t="s">
        <v>228</v>
      </c>
      <c r="F2749" s="89">
        <f>IF(E2749="AM",1,(IF(E2749="BE",2,(IF(E2749="GV",3,(IF(E2749="RA",4,(IF(E2749="RM",5,(IF(E2749="AC",1,(IF(E2749="AT",2,(IF(E2749="DS",3,(IF(E2749="IP",4,(IF(E2749="MA",5,(IF(E2749="PT",6,(IF(E2749="AE",1,(IF(E2749="CM",2,(IF(E2749="DP",3,(IF(E2749="AN",1,(IF(E2749="CO",2,(IF(E2749="IM",3,(IF(E2749="MI",4,(IF(E2749="RP",5,(IF(E2749="SC",6,0)))))))))))))))))))))))))))))))))))))))</f>
        <v>4</v>
      </c>
      <c r="G2749" s="52">
        <v>4</v>
      </c>
      <c r="H2749" s="99">
        <v>1</v>
      </c>
      <c r="I2749" s="94" t="s">
        <v>37</v>
      </c>
      <c r="J2749" s="86">
        <v>11.1</v>
      </c>
      <c r="K2749" s="102" t="s">
        <v>3783</v>
      </c>
      <c r="L2749" s="117">
        <f>IF(O2749="","",N2749*O2749*M2749)</f>
        <v>0</v>
      </c>
      <c r="M2749" s="108">
        <v>1</v>
      </c>
      <c r="N2749" s="95">
        <v>1</v>
      </c>
      <c r="O2749" s="109">
        <f>IF(Key!D$1="ON",P2749,IF(SUM(Q2749:DL2749)&lt;1,"",SUM(Q2749:DL2749)/COUNTIF(Q2749:DL2749,"&gt;0")))</f>
        <v>0</v>
      </c>
      <c r="P2749" s="109">
        <f>SUMIFS(Q2749:DK2749,Q$1:DK$1,Dashboard!$K$31)</f>
        <v>0</v>
      </c>
      <c r="U2749" s="95">
        <v>33</v>
      </c>
      <c r="AA2749" s="95">
        <v>25</v>
      </c>
      <c r="AH2749" s="95">
        <v>75</v>
      </c>
    </row>
    <row r="2750" spans="1:34" ht="15.6" x14ac:dyDescent="0.3">
      <c r="A2750" s="89" t="str">
        <f>CONCATENATE(D2750,".",F2750,"-",G2750,".",H2750,"")</f>
        <v>2.4-4.1</v>
      </c>
      <c r="B2750" s="89" t="str">
        <f>IF(CONCATENATE(I2750,Key!F$2)=CONCATENATE(INDEX(Dashboard!J:J,MATCH(I2750,Dashboard!J:J,0),1),INDEX(Dashboard!J:K,MATCH(I2750,Dashboard!J:J,0),2)),"ON",IF(Dashboard!K$32="ALL","ON","-"))</f>
        <v>-</v>
      </c>
      <c r="C2750" s="88" t="s">
        <v>152</v>
      </c>
      <c r="D2750" s="89">
        <f>IF(C2750="ID",1,(IF(C2750="PR",2,(IF(C2750="DE",3,(IF(C2750="RS",4,(IF(C2750="RC",5,0)))))))))</f>
        <v>2</v>
      </c>
      <c r="E2750" s="89" t="s">
        <v>228</v>
      </c>
      <c r="F2750" s="89">
        <f>IF(E2750="AM",1,(IF(E2750="BE",2,(IF(E2750="GV",3,(IF(E2750="RA",4,(IF(E2750="RM",5,(IF(E2750="AC",1,(IF(E2750="AT",2,(IF(E2750="DS",3,(IF(E2750="IP",4,(IF(E2750="MA",5,(IF(E2750="PT",6,(IF(E2750="AE",1,(IF(E2750="CM",2,(IF(E2750="DP",3,(IF(E2750="AN",1,(IF(E2750="CO",2,(IF(E2750="IM",3,(IF(E2750="MI",4,(IF(E2750="RP",5,(IF(E2750="SC",6,0)))))))))))))))))))))))))))))))))))))))</f>
        <v>4</v>
      </c>
      <c r="G2750" s="52">
        <v>4</v>
      </c>
      <c r="H2750" s="99">
        <v>1</v>
      </c>
      <c r="I2750" s="94" t="s">
        <v>41</v>
      </c>
      <c r="J2750" s="86">
        <v>10</v>
      </c>
      <c r="K2750" s="103" t="s">
        <v>3526</v>
      </c>
      <c r="L2750" s="117">
        <f>IF(O2750="","",N2750*O2750*M2750)</f>
        <v>0</v>
      </c>
      <c r="M2750" s="108">
        <v>1</v>
      </c>
      <c r="N2750" s="95">
        <v>1</v>
      </c>
      <c r="O2750" s="109">
        <f>IF(Key!D$1="ON",P2750,IF(SUM(Q2750:DL2750)&lt;1,"",SUM(Q2750:DL2750)/COUNTIF(Q2750:DL2750,"&gt;0")))</f>
        <v>0</v>
      </c>
      <c r="P2750" s="109">
        <f>SUMIFS(Q2750:DK2750,Q$1:DK$1,Dashboard!$K$31)</f>
        <v>0</v>
      </c>
      <c r="U2750" s="95">
        <v>33</v>
      </c>
    </row>
    <row r="2751" spans="1:34" x14ac:dyDescent="0.3">
      <c r="A2751" s="89" t="str">
        <f>CONCATENATE(D2751,".",F2751,"-",G2751,".",H2751,"")</f>
        <v>2.4-4.1</v>
      </c>
      <c r="B2751" s="89" t="str">
        <f>IF(CONCATENATE(I2751,Key!F$2)=CONCATENATE(INDEX(Dashboard!J:J,MATCH(I2751,Dashboard!J:J,0),1),INDEX(Dashboard!J:K,MATCH(I2751,Dashboard!J:J,0),2)),"ON",IF(Dashboard!K$32="ALL","ON","-"))</f>
        <v>-</v>
      </c>
      <c r="C2751" s="88" t="s">
        <v>152</v>
      </c>
      <c r="D2751" s="89">
        <f>IF(C2751="ID",1,(IF(C2751="PR",2,(IF(C2751="DE",3,(IF(C2751="RS",4,(IF(C2751="RC",5,0)))))))))</f>
        <v>2</v>
      </c>
      <c r="E2751" s="89" t="s">
        <v>228</v>
      </c>
      <c r="F2751" s="89">
        <f>IF(E2751="AM",1,(IF(E2751="BE",2,(IF(E2751="GV",3,(IF(E2751="RA",4,(IF(E2751="RM",5,(IF(E2751="AC",1,(IF(E2751="AT",2,(IF(E2751="DS",3,(IF(E2751="IP",4,(IF(E2751="MA",5,(IF(E2751="PT",6,(IF(E2751="AE",1,(IF(E2751="CM",2,(IF(E2751="DP",3,(IF(E2751="AN",1,(IF(E2751="CO",2,(IF(E2751="IM",3,(IF(E2751="MI",4,(IF(E2751="RP",5,(IF(E2751="SC",6,0)))))))))))))))))))))))))))))))))))))))</f>
        <v>4</v>
      </c>
      <c r="G2751" s="52">
        <v>4</v>
      </c>
      <c r="H2751" s="99">
        <v>1</v>
      </c>
      <c r="I2751" s="94" t="s">
        <v>41</v>
      </c>
      <c r="J2751" s="86">
        <v>10.199999999999999</v>
      </c>
      <c r="K2751" s="103" t="s">
        <v>3528</v>
      </c>
      <c r="L2751" s="117">
        <f>IF(O2751="","",N2751*O2751*M2751)</f>
        <v>0</v>
      </c>
      <c r="M2751" s="108">
        <v>1</v>
      </c>
      <c r="N2751" s="95">
        <v>1</v>
      </c>
      <c r="O2751" s="109">
        <f>IF(Key!D$1="ON",P2751,IF(SUM(Q2751:DL2751)&lt;1,"",SUM(Q2751:DL2751)/COUNTIF(Q2751:DL2751,"&gt;0")))</f>
        <v>0</v>
      </c>
      <c r="P2751" s="109">
        <f>SUMIFS(Q2751:DK2751,Q$1:DK$1,Dashboard!$K$31)</f>
        <v>0</v>
      </c>
      <c r="U2751" s="95">
        <v>33</v>
      </c>
    </row>
    <row r="2752" spans="1:34" x14ac:dyDescent="0.3">
      <c r="A2752" s="89" t="str">
        <f>CONCATENATE(D2752,".",F2752,"-",G2752,".",H2752,"")</f>
        <v>2.4-4.1</v>
      </c>
      <c r="B2752" s="89" t="str">
        <f>IF(CONCATENATE(I2752,Key!F$2)=CONCATENATE(INDEX(Dashboard!J:J,MATCH(I2752,Dashboard!J:J,0),1),INDEX(Dashboard!J:K,MATCH(I2752,Dashboard!J:J,0),2)),"ON",IF(Dashboard!K$32="ALL","ON","-"))</f>
        <v>-</v>
      </c>
      <c r="C2752" s="88" t="s">
        <v>152</v>
      </c>
      <c r="D2752" s="89">
        <f>IF(C2752="ID",1,(IF(C2752="PR",2,(IF(C2752="DE",3,(IF(C2752="RS",4,(IF(C2752="RC",5,0)))))))))</f>
        <v>2</v>
      </c>
      <c r="E2752" s="89" t="s">
        <v>228</v>
      </c>
      <c r="F2752" s="89">
        <f>IF(E2752="AM",1,(IF(E2752="BE",2,(IF(E2752="GV",3,(IF(E2752="RA",4,(IF(E2752="RM",5,(IF(E2752="AC",1,(IF(E2752="AT",2,(IF(E2752="DS",3,(IF(E2752="IP",4,(IF(E2752="MA",5,(IF(E2752="PT",6,(IF(E2752="AE",1,(IF(E2752="CM",2,(IF(E2752="DP",3,(IF(E2752="AN",1,(IF(E2752="CO",2,(IF(E2752="IM",3,(IF(E2752="MI",4,(IF(E2752="RP",5,(IF(E2752="SC",6,0)))))))))))))))))))))))))))))))))))))))</f>
        <v>4</v>
      </c>
      <c r="G2752" s="52">
        <v>4</v>
      </c>
      <c r="H2752" s="99">
        <v>1</v>
      </c>
      <c r="I2752" s="94" t="s">
        <v>41</v>
      </c>
      <c r="J2752" s="86">
        <v>10.3</v>
      </c>
      <c r="K2752" s="103" t="s">
        <v>3529</v>
      </c>
      <c r="L2752" s="117">
        <f>IF(O2752="","",N2752*O2752*M2752)</f>
        <v>0</v>
      </c>
      <c r="M2752" s="108">
        <v>1</v>
      </c>
      <c r="N2752" s="95">
        <v>1</v>
      </c>
      <c r="O2752" s="109">
        <f>IF(Key!D$1="ON",P2752,IF(SUM(Q2752:DL2752)&lt;1,"",SUM(Q2752:DL2752)/COUNTIF(Q2752:DL2752,"&gt;0")))</f>
        <v>0</v>
      </c>
      <c r="P2752" s="109">
        <f>SUMIFS(Q2752:DK2752,Q$1:DK$1,Dashboard!$K$31)</f>
        <v>0</v>
      </c>
      <c r="U2752" s="95">
        <v>33</v>
      </c>
    </row>
    <row r="2753" spans="1:34" x14ac:dyDescent="0.3">
      <c r="A2753" s="89" t="str">
        <f>CONCATENATE(D2753,".",F2753,"-",G2753,".",H2753,"")</f>
        <v>2.4-4.1</v>
      </c>
      <c r="B2753" s="89" t="str">
        <f>IF(CONCATENATE(I2753,Key!F$2)=CONCATENATE(INDEX(Dashboard!J:J,MATCH(I2753,Dashboard!J:J,0),1),INDEX(Dashboard!J:K,MATCH(I2753,Dashboard!J:J,0),2)),"ON",IF(Dashboard!K$32="ALL","ON","-"))</f>
        <v>-</v>
      </c>
      <c r="C2753" s="88" t="s">
        <v>152</v>
      </c>
      <c r="D2753" s="89">
        <f>IF(C2753="ID",1,(IF(C2753="PR",2,(IF(C2753="DE",3,(IF(C2753="RS",4,(IF(C2753="RC",5,0)))))))))</f>
        <v>2</v>
      </c>
      <c r="E2753" s="89" t="s">
        <v>228</v>
      </c>
      <c r="F2753" s="89">
        <f>IF(E2753="AM",1,(IF(E2753="BE",2,(IF(E2753="GV",3,(IF(E2753="RA",4,(IF(E2753="RM",5,(IF(E2753="AC",1,(IF(E2753="AT",2,(IF(E2753="DS",3,(IF(E2753="IP",4,(IF(E2753="MA",5,(IF(E2753="PT",6,(IF(E2753="AE",1,(IF(E2753="CM",2,(IF(E2753="DP",3,(IF(E2753="AN",1,(IF(E2753="CO",2,(IF(E2753="IM",3,(IF(E2753="MI",4,(IF(E2753="RP",5,(IF(E2753="SC",6,0)))))))))))))))))))))))))))))))))))))))</f>
        <v>4</v>
      </c>
      <c r="G2753" s="52">
        <v>4</v>
      </c>
      <c r="H2753" s="99">
        <v>1</v>
      </c>
      <c r="I2753" s="94" t="s">
        <v>41</v>
      </c>
      <c r="J2753" s="86">
        <v>10.4</v>
      </c>
      <c r="K2753" s="103" t="s">
        <v>3530</v>
      </c>
      <c r="L2753" s="117">
        <f>IF(O2753="","",N2753*O2753*M2753)</f>
        <v>0</v>
      </c>
      <c r="M2753" s="108">
        <v>1</v>
      </c>
      <c r="N2753" s="95">
        <v>1</v>
      </c>
      <c r="O2753" s="109">
        <f>IF(Key!D$1="ON",P2753,IF(SUM(Q2753:DL2753)&lt;1,"",SUM(Q2753:DL2753)/COUNTIF(Q2753:DL2753,"&gt;0")))</f>
        <v>0</v>
      </c>
      <c r="P2753" s="109">
        <f>SUMIFS(Q2753:DK2753,Q$1:DK$1,Dashboard!$K$31)</f>
        <v>0</v>
      </c>
      <c r="U2753" s="95">
        <v>33</v>
      </c>
    </row>
    <row r="2754" spans="1:34" x14ac:dyDescent="0.3">
      <c r="A2754" s="89" t="str">
        <f>CONCATENATE(D2754,".",F2754,"-",G2754,".",H2754,"")</f>
        <v>2.4-4.1</v>
      </c>
      <c r="B2754" s="89" t="str">
        <f>IF(CONCATENATE(I2754,Key!F$2)=CONCATENATE(INDEX(Dashboard!J:J,MATCH(I2754,Dashboard!J:J,0),1),INDEX(Dashboard!J:K,MATCH(I2754,Dashboard!J:J,0),2)),"ON",IF(Dashboard!K$32="ALL","ON","-"))</f>
        <v>-</v>
      </c>
      <c r="C2754" s="88" t="s">
        <v>152</v>
      </c>
      <c r="D2754" s="89">
        <f>IF(C2754="ID",1,(IF(C2754="PR",2,(IF(C2754="DE",3,(IF(C2754="RS",4,(IF(C2754="RC",5,0)))))))))</f>
        <v>2</v>
      </c>
      <c r="E2754" s="89" t="s">
        <v>228</v>
      </c>
      <c r="F2754" s="89">
        <f>IF(E2754="AM",1,(IF(E2754="BE",2,(IF(E2754="GV",3,(IF(E2754="RA",4,(IF(E2754="RM",5,(IF(E2754="AC",1,(IF(E2754="AT",2,(IF(E2754="DS",3,(IF(E2754="IP",4,(IF(E2754="MA",5,(IF(E2754="PT",6,(IF(E2754="AE",1,(IF(E2754="CM",2,(IF(E2754="DP",3,(IF(E2754="AN",1,(IF(E2754="CO",2,(IF(E2754="IM",3,(IF(E2754="MI",4,(IF(E2754="RP",5,(IF(E2754="SC",6,0)))))))))))))))))))))))))))))))))))))))</f>
        <v>4</v>
      </c>
      <c r="G2754" s="52">
        <v>4</v>
      </c>
      <c r="H2754" s="99">
        <v>1</v>
      </c>
      <c r="I2754" s="94" t="s">
        <v>41</v>
      </c>
      <c r="J2754" s="86">
        <v>10.5</v>
      </c>
      <c r="K2754" s="103" t="s">
        <v>3531</v>
      </c>
      <c r="L2754" s="117">
        <f>IF(O2754="","",N2754*O2754*M2754)</f>
        <v>0</v>
      </c>
      <c r="M2754" s="108">
        <v>1</v>
      </c>
      <c r="N2754" s="95">
        <v>1</v>
      </c>
      <c r="O2754" s="109">
        <f>IF(Key!D$1="ON",P2754,IF(SUM(Q2754:DL2754)&lt;1,"",SUM(Q2754:DL2754)/COUNTIF(Q2754:DL2754,"&gt;0")))</f>
        <v>0</v>
      </c>
      <c r="P2754" s="109">
        <f>SUMIFS(Q2754:DK2754,Q$1:DK$1,Dashboard!$K$31)</f>
        <v>0</v>
      </c>
      <c r="U2754" s="95">
        <v>33</v>
      </c>
    </row>
    <row r="2755" spans="1:34" x14ac:dyDescent="0.3">
      <c r="A2755" s="89" t="str">
        <f>CONCATENATE(D2755,".",F2755,"-",G2755,".",H2755,"")</f>
        <v>2.4-4.1</v>
      </c>
      <c r="B2755" s="89" t="str">
        <f>IF(CONCATENATE(I2755,Key!F$2)=CONCATENATE(INDEX(Dashboard!J:J,MATCH(I2755,Dashboard!J:J,0),1),INDEX(Dashboard!J:K,MATCH(I2755,Dashboard!J:J,0),2)),"ON",IF(Dashboard!K$32="ALL","ON","-"))</f>
        <v>-</v>
      </c>
      <c r="C2755" s="88" t="s">
        <v>152</v>
      </c>
      <c r="D2755" s="89">
        <f>IF(C2755="ID",1,(IF(C2755="PR",2,(IF(C2755="DE",3,(IF(C2755="RS",4,(IF(C2755="RC",5,0)))))))))</f>
        <v>2</v>
      </c>
      <c r="E2755" s="89" t="s">
        <v>228</v>
      </c>
      <c r="F2755" s="89">
        <f>IF(E2755="AM",1,(IF(E2755="BE",2,(IF(E2755="GV",3,(IF(E2755="RA",4,(IF(E2755="RM",5,(IF(E2755="AC",1,(IF(E2755="AT",2,(IF(E2755="DS",3,(IF(E2755="IP",4,(IF(E2755="MA",5,(IF(E2755="PT",6,(IF(E2755="AE",1,(IF(E2755="CM",2,(IF(E2755="DP",3,(IF(E2755="AN",1,(IF(E2755="CO",2,(IF(E2755="IM",3,(IF(E2755="MI",4,(IF(E2755="RP",5,(IF(E2755="SC",6,0)))))))))))))))))))))))))))))))))))))))</f>
        <v>4</v>
      </c>
      <c r="G2755" s="52">
        <v>4</v>
      </c>
      <c r="H2755" s="99">
        <v>1</v>
      </c>
      <c r="I2755" s="94" t="s">
        <v>41</v>
      </c>
      <c r="J2755" s="86">
        <v>11.1</v>
      </c>
      <c r="K2755" s="103" t="s">
        <v>3533</v>
      </c>
      <c r="L2755" s="117">
        <f>IF(O2755="","",N2755*O2755*M2755)</f>
        <v>0</v>
      </c>
      <c r="M2755" s="108">
        <v>1</v>
      </c>
      <c r="N2755" s="95">
        <v>1</v>
      </c>
      <c r="O2755" s="109">
        <f>IF(Key!D$1="ON",P2755,IF(SUM(Q2755:DL2755)&lt;1,"",SUM(Q2755:DL2755)/COUNTIF(Q2755:DL2755,"&gt;0")))</f>
        <v>0</v>
      </c>
      <c r="P2755" s="109">
        <f>SUMIFS(Q2755:DK2755,Q$1:DK$1,Dashboard!$K$31)</f>
        <v>0</v>
      </c>
      <c r="U2755" s="95">
        <v>33</v>
      </c>
    </row>
    <row r="2756" spans="1:34" x14ac:dyDescent="0.3">
      <c r="A2756" s="89" t="str">
        <f>CONCATENATE(D2756,".",F2756,"-",G2756,".",H2756,"")</f>
        <v>2.4-4.1</v>
      </c>
      <c r="B2756" s="89" t="str">
        <f>IF(CONCATENATE(I2756,Key!F$2)=CONCATENATE(INDEX(Dashboard!J:J,MATCH(I2756,Dashboard!J:J,0),1),INDEX(Dashboard!J:K,MATCH(I2756,Dashboard!J:J,0),2)),"ON",IF(Dashboard!K$32="ALL","ON","-"))</f>
        <v>-</v>
      </c>
      <c r="C2756" s="96" t="s">
        <v>152</v>
      </c>
      <c r="D2756" s="89">
        <f>IF(C2756="ID",1,(IF(C2756="PR",2,(IF(C2756="DE",3,(IF(C2756="RS",4,(IF(C2756="RC",5,0)))))))))</f>
        <v>2</v>
      </c>
      <c r="E2756" s="89" t="s">
        <v>228</v>
      </c>
      <c r="F2756" s="89">
        <f>IF(E2756="AM",1,(IF(E2756="BE",2,(IF(E2756="GV",3,(IF(E2756="RA",4,(IF(E2756="RM",5,(IF(E2756="AC",1,(IF(E2756="AT",2,(IF(E2756="DS",3,(IF(E2756="IP",4,(IF(E2756="MA",5,(IF(E2756="PT",6,(IF(E2756="AE",1,(IF(E2756="CM",2,(IF(E2756="DP",3,(IF(E2756="AN",1,(IF(E2756="CO",2,(IF(E2756="IM",3,(IF(E2756="MI",4,(IF(E2756="RP",5,(IF(E2756="SC",6,0)))))))))))))))))))))))))))))))))))))))</f>
        <v>4</v>
      </c>
      <c r="G2756" s="98">
        <v>4</v>
      </c>
      <c r="H2756" s="90" t="s">
        <v>115</v>
      </c>
      <c r="I2756" s="94" t="s">
        <v>52</v>
      </c>
      <c r="J2756" s="88" t="s">
        <v>3367</v>
      </c>
      <c r="K2756" s="103" t="s">
        <v>3368</v>
      </c>
      <c r="L2756" s="117">
        <f>IF(O2756="","",N2756*O2756*M2756)</f>
        <v>0</v>
      </c>
      <c r="M2756" s="108">
        <v>1</v>
      </c>
      <c r="N2756" s="95">
        <v>1</v>
      </c>
      <c r="O2756" s="109">
        <f>IF(Key!D$1="ON",P2756,IF(SUM(Q2756:DL2756)&lt;1,"",SUM(Q2756:DL2756)/COUNTIF(Q2756:DL2756,"&gt;0")))</f>
        <v>0</v>
      </c>
      <c r="P2756" s="109">
        <f>SUMIFS(Q2756:DK2756,Q$1:DK$1,Dashboard!$K$31)</f>
        <v>0</v>
      </c>
      <c r="U2756" s="95">
        <v>33</v>
      </c>
      <c r="AA2756" s="95">
        <v>25</v>
      </c>
      <c r="AH2756" s="95">
        <v>75</v>
      </c>
    </row>
    <row r="2757" spans="1:34" x14ac:dyDescent="0.3">
      <c r="A2757" s="89" t="str">
        <f>CONCATENATE(D2757,".",F2757,"-",G2757,".",H2757,"")</f>
        <v>2.4-4.1</v>
      </c>
      <c r="B2757" s="89" t="str">
        <f>IF(CONCATENATE(I2757,Key!F$2)=CONCATENATE(INDEX(Dashboard!J:J,MATCH(I2757,Dashboard!J:J,0),1),INDEX(Dashboard!J:K,MATCH(I2757,Dashboard!J:J,0),2)),"ON",IF(Dashboard!K$32="ALL","ON","-"))</f>
        <v>-</v>
      </c>
      <c r="C2757" s="96" t="s">
        <v>152</v>
      </c>
      <c r="D2757" s="89">
        <f>IF(C2757="ID",1,(IF(C2757="PR",2,(IF(C2757="DE",3,(IF(C2757="RS",4,(IF(C2757="RC",5,0)))))))))</f>
        <v>2</v>
      </c>
      <c r="E2757" s="89" t="s">
        <v>228</v>
      </c>
      <c r="F2757" s="89">
        <f>IF(E2757="AM",1,(IF(E2757="BE",2,(IF(E2757="GV",3,(IF(E2757="RA",4,(IF(E2757="RM",5,(IF(E2757="AC",1,(IF(E2757="AT",2,(IF(E2757="DS",3,(IF(E2757="IP",4,(IF(E2757="MA",5,(IF(E2757="PT",6,(IF(E2757="AE",1,(IF(E2757="CM",2,(IF(E2757="DP",3,(IF(E2757="AN",1,(IF(E2757="CO",2,(IF(E2757="IM",3,(IF(E2757="MI",4,(IF(E2757="RP",5,(IF(E2757="SC",6,0)))))))))))))))))))))))))))))))))))))))</f>
        <v>4</v>
      </c>
      <c r="G2757" s="98">
        <v>4</v>
      </c>
      <c r="H2757" s="90" t="s">
        <v>115</v>
      </c>
      <c r="I2757" s="94" t="s">
        <v>52</v>
      </c>
      <c r="J2757" s="88" t="s">
        <v>3299</v>
      </c>
      <c r="K2757" s="103" t="s">
        <v>3300</v>
      </c>
      <c r="L2757" s="117">
        <f>IF(O2757="","",N2757*O2757*M2757)</f>
        <v>0</v>
      </c>
      <c r="M2757" s="108">
        <v>1</v>
      </c>
      <c r="N2757" s="95">
        <v>1</v>
      </c>
      <c r="O2757" s="109">
        <f>IF(Key!D$1="ON",P2757,IF(SUM(Q2757:DL2757)&lt;1,"",SUM(Q2757:DL2757)/COUNTIF(Q2757:DL2757,"&gt;0")))</f>
        <v>0</v>
      </c>
      <c r="P2757" s="109">
        <f>SUMIFS(Q2757:DK2757,Q$1:DK$1,Dashboard!$K$31)</f>
        <v>0</v>
      </c>
      <c r="U2757" s="95">
        <v>33</v>
      </c>
      <c r="AA2757" s="95">
        <v>25</v>
      </c>
      <c r="AH2757" s="95">
        <v>75</v>
      </c>
    </row>
    <row r="2758" spans="1:34" x14ac:dyDescent="0.3">
      <c r="A2758" s="89" t="str">
        <f>CONCATENATE(D2758,".",F2758,"-",G2758,".",H2758,"")</f>
        <v>2.4-4.1</v>
      </c>
      <c r="B2758" s="89" t="str">
        <f>IF(CONCATENATE(I2758,Key!F$2)=CONCATENATE(INDEX(Dashboard!J:J,MATCH(I2758,Dashboard!J:J,0),1),INDEX(Dashboard!J:K,MATCH(I2758,Dashboard!J:J,0),2)),"ON",IF(Dashboard!K$32="ALL","ON","-"))</f>
        <v>-</v>
      </c>
      <c r="C2758" s="96" t="s">
        <v>152</v>
      </c>
      <c r="D2758" s="89">
        <f>IF(C2758="ID",1,(IF(C2758="PR",2,(IF(C2758="DE",3,(IF(C2758="RS",4,(IF(C2758="RC",5,0)))))))))</f>
        <v>2</v>
      </c>
      <c r="E2758" s="89" t="s">
        <v>228</v>
      </c>
      <c r="F2758" s="89">
        <f>IF(E2758="AM",1,(IF(E2758="BE",2,(IF(E2758="GV",3,(IF(E2758="RA",4,(IF(E2758="RM",5,(IF(E2758="AC",1,(IF(E2758="AT",2,(IF(E2758="DS",3,(IF(E2758="IP",4,(IF(E2758="MA",5,(IF(E2758="PT",6,(IF(E2758="AE",1,(IF(E2758="CM",2,(IF(E2758="DP",3,(IF(E2758="AN",1,(IF(E2758="CO",2,(IF(E2758="IM",3,(IF(E2758="MI",4,(IF(E2758="RP",5,(IF(E2758="SC",6,0)))))))))))))))))))))))))))))))))))))))</f>
        <v>4</v>
      </c>
      <c r="G2758" s="98">
        <v>4</v>
      </c>
      <c r="H2758" s="90" t="s">
        <v>115</v>
      </c>
      <c r="I2758" s="94" t="s">
        <v>52</v>
      </c>
      <c r="J2758" s="88" t="s">
        <v>3329</v>
      </c>
      <c r="K2758" s="103" t="s">
        <v>3330</v>
      </c>
      <c r="L2758" s="117">
        <f>IF(O2758="","",N2758*O2758*M2758)</f>
        <v>0</v>
      </c>
      <c r="M2758" s="108">
        <v>1</v>
      </c>
      <c r="N2758" s="95">
        <v>1</v>
      </c>
      <c r="O2758" s="109">
        <f>IF(Key!D$1="ON",P2758,IF(SUM(Q2758:DL2758)&lt;1,"",SUM(Q2758:DL2758)/COUNTIF(Q2758:DL2758,"&gt;0")))</f>
        <v>0</v>
      </c>
      <c r="P2758" s="109">
        <f>SUMIFS(Q2758:DK2758,Q$1:DK$1,Dashboard!$K$31)</f>
        <v>0</v>
      </c>
      <c r="U2758" s="95">
        <v>33</v>
      </c>
      <c r="AA2758" s="95">
        <v>25</v>
      </c>
      <c r="AH2758" s="95">
        <v>75</v>
      </c>
    </row>
    <row r="2759" spans="1:34" x14ac:dyDescent="0.3">
      <c r="A2759" s="89" t="str">
        <f>CONCATENATE(D2759,".",F2759,"-",G2759,".",H2759,"")</f>
        <v>2.4-4.1</v>
      </c>
      <c r="B2759" s="89" t="str">
        <f>IF(CONCATENATE(I2759,Key!F$2)=CONCATENATE(INDEX(Dashboard!J:J,MATCH(I2759,Dashboard!J:J,0),1),INDEX(Dashboard!J:K,MATCH(I2759,Dashboard!J:J,0),2)),"ON",IF(Dashboard!K$32="ALL","ON","-"))</f>
        <v>-</v>
      </c>
      <c r="C2759" s="96" t="s">
        <v>152</v>
      </c>
      <c r="D2759" s="89">
        <f>IF(C2759="ID",1,(IF(C2759="PR",2,(IF(C2759="DE",3,(IF(C2759="RS",4,(IF(C2759="RC",5,0)))))))))</f>
        <v>2</v>
      </c>
      <c r="E2759" s="89" t="s">
        <v>228</v>
      </c>
      <c r="F2759" s="89">
        <f>IF(E2759="AM",1,(IF(E2759="BE",2,(IF(E2759="GV",3,(IF(E2759="RA",4,(IF(E2759="RM",5,(IF(E2759="AC",1,(IF(E2759="AT",2,(IF(E2759="DS",3,(IF(E2759="IP",4,(IF(E2759="MA",5,(IF(E2759="PT",6,(IF(E2759="AE",1,(IF(E2759="CM",2,(IF(E2759="DP",3,(IF(E2759="AN",1,(IF(E2759="CO",2,(IF(E2759="IM",3,(IF(E2759="MI",4,(IF(E2759="RP",5,(IF(E2759="SC",6,0)))))))))))))))))))))))))))))))))))))))</f>
        <v>4</v>
      </c>
      <c r="G2759" s="98">
        <v>4</v>
      </c>
      <c r="H2759" s="90" t="s">
        <v>115</v>
      </c>
      <c r="I2759" s="94" t="s">
        <v>52</v>
      </c>
      <c r="J2759" s="88" t="s">
        <v>3307</v>
      </c>
      <c r="K2759" s="103" t="s">
        <v>3308</v>
      </c>
      <c r="L2759" s="117">
        <f>IF(O2759="","",N2759*O2759*M2759)</f>
        <v>0</v>
      </c>
      <c r="M2759" s="108">
        <v>1</v>
      </c>
      <c r="N2759" s="95">
        <v>1</v>
      </c>
      <c r="O2759" s="109">
        <f>IF(Key!D$1="ON",P2759,IF(SUM(Q2759:DL2759)&lt;1,"",SUM(Q2759:DL2759)/COUNTIF(Q2759:DL2759,"&gt;0")))</f>
        <v>0</v>
      </c>
      <c r="P2759" s="109">
        <f>SUMIFS(Q2759:DK2759,Q$1:DK$1,Dashboard!$K$31)</f>
        <v>0</v>
      </c>
      <c r="U2759" s="95">
        <v>33</v>
      </c>
      <c r="AA2759" s="95">
        <v>25</v>
      </c>
      <c r="AH2759" s="95">
        <v>75</v>
      </c>
    </row>
    <row r="2760" spans="1:34" x14ac:dyDescent="0.3">
      <c r="A2760" s="89" t="str">
        <f>CONCATENATE(D2760,".",F2760,"-",G2760,".",H2760,"")</f>
        <v>2.4-4.1</v>
      </c>
      <c r="B2760" s="89" t="str">
        <f>IF(CONCATENATE(I2760,Key!F$2)=CONCATENATE(INDEX(Dashboard!J:J,MATCH(I2760,Dashboard!J:J,0),1),INDEX(Dashboard!J:K,MATCH(I2760,Dashboard!J:J,0),2)),"ON",IF(Dashboard!K$32="ALL","ON","-"))</f>
        <v>-</v>
      </c>
      <c r="C2760" s="96" t="s">
        <v>152</v>
      </c>
      <c r="D2760" s="89">
        <f>IF(C2760="ID",1,(IF(C2760="PR",2,(IF(C2760="DE",3,(IF(C2760="RS",4,(IF(C2760="RC",5,0)))))))))</f>
        <v>2</v>
      </c>
      <c r="E2760" s="89" t="s">
        <v>228</v>
      </c>
      <c r="F2760" s="89">
        <f>IF(E2760="AM",1,(IF(E2760="BE",2,(IF(E2760="GV",3,(IF(E2760="RA",4,(IF(E2760="RM",5,(IF(E2760="AC",1,(IF(E2760="AT",2,(IF(E2760="DS",3,(IF(E2760="IP",4,(IF(E2760="MA",5,(IF(E2760="PT",6,(IF(E2760="AE",1,(IF(E2760="CM",2,(IF(E2760="DP",3,(IF(E2760="AN",1,(IF(E2760="CO",2,(IF(E2760="IM",3,(IF(E2760="MI",4,(IF(E2760="RP",5,(IF(E2760="SC",6,0)))))))))))))))))))))))))))))))))))))))</f>
        <v>4</v>
      </c>
      <c r="G2760" s="98">
        <v>4</v>
      </c>
      <c r="H2760" s="90" t="s">
        <v>115</v>
      </c>
      <c r="I2760" s="94" t="s">
        <v>52</v>
      </c>
      <c r="J2760" s="88" t="s">
        <v>3416</v>
      </c>
      <c r="K2760" s="103" t="s">
        <v>3417</v>
      </c>
      <c r="L2760" s="117">
        <f>IF(O2760="","",N2760*O2760*M2760)</f>
        <v>0</v>
      </c>
      <c r="M2760" s="108">
        <v>1</v>
      </c>
      <c r="N2760" s="95">
        <v>1</v>
      </c>
      <c r="O2760" s="109">
        <f>IF(Key!D$1="ON",P2760,IF(SUM(Q2760:DL2760)&lt;1,"",SUM(Q2760:DL2760)/COUNTIF(Q2760:DL2760,"&gt;0")))</f>
        <v>0</v>
      </c>
      <c r="P2760" s="109">
        <f>SUMIFS(Q2760:DK2760,Q$1:DK$1,Dashboard!$K$31)</f>
        <v>0</v>
      </c>
      <c r="U2760" s="95">
        <v>33</v>
      </c>
      <c r="AA2760" s="95">
        <v>25</v>
      </c>
      <c r="AH2760" s="95">
        <v>75</v>
      </c>
    </row>
    <row r="2761" spans="1:34" x14ac:dyDescent="0.3">
      <c r="A2761" s="89" t="str">
        <f>CONCATENATE(D2761,".",F2761,"-",G2761,".",H2761,"")</f>
        <v>2.4-4.1</v>
      </c>
      <c r="B2761" s="89" t="str">
        <f>IF(CONCATENATE(I2761,Key!F$2)=CONCATENATE(INDEX(Dashboard!J:J,MATCH(I2761,Dashboard!J:J,0),1),INDEX(Dashboard!J:K,MATCH(I2761,Dashboard!J:J,0),2)),"ON",IF(Dashboard!K$32="ALL","ON","-"))</f>
        <v>-</v>
      </c>
      <c r="C2761" s="96" t="s">
        <v>152</v>
      </c>
      <c r="D2761" s="89">
        <f>IF(C2761="ID",1,(IF(C2761="PR",2,(IF(C2761="DE",3,(IF(C2761="RS",4,(IF(C2761="RC",5,0)))))))))</f>
        <v>2</v>
      </c>
      <c r="E2761" s="89" t="s">
        <v>228</v>
      </c>
      <c r="F2761" s="89">
        <f>IF(E2761="AM",1,(IF(E2761="BE",2,(IF(E2761="GV",3,(IF(E2761="RA",4,(IF(E2761="RM",5,(IF(E2761="AC",1,(IF(E2761="AT",2,(IF(E2761="DS",3,(IF(E2761="IP",4,(IF(E2761="MA",5,(IF(E2761="PT",6,(IF(E2761="AE",1,(IF(E2761="CM",2,(IF(E2761="DP",3,(IF(E2761="AN",1,(IF(E2761="CO",2,(IF(E2761="IM",3,(IF(E2761="MI",4,(IF(E2761="RP",5,(IF(E2761="SC",6,0)))))))))))))))))))))))))))))))))))))))</f>
        <v>4</v>
      </c>
      <c r="G2761" s="98">
        <v>4</v>
      </c>
      <c r="H2761" s="90" t="s">
        <v>115</v>
      </c>
      <c r="I2761" s="94" t="s">
        <v>52</v>
      </c>
      <c r="J2761" s="88" t="s">
        <v>3303</v>
      </c>
      <c r="K2761" s="103" t="s">
        <v>3304</v>
      </c>
      <c r="L2761" s="117">
        <f>IF(O2761="","",N2761*O2761*M2761)</f>
        <v>0</v>
      </c>
      <c r="M2761" s="108">
        <v>1</v>
      </c>
      <c r="N2761" s="95">
        <v>1</v>
      </c>
      <c r="O2761" s="109">
        <f>IF(Key!D$1="ON",P2761,IF(SUM(Q2761:DL2761)&lt;1,"",SUM(Q2761:DL2761)/COUNTIF(Q2761:DL2761,"&gt;0")))</f>
        <v>0</v>
      </c>
      <c r="P2761" s="109">
        <f>SUMIFS(Q2761:DK2761,Q$1:DK$1,Dashboard!$K$31)</f>
        <v>0</v>
      </c>
      <c r="U2761" s="95">
        <v>33</v>
      </c>
      <c r="AA2761" s="95">
        <v>25</v>
      </c>
      <c r="AH2761" s="95">
        <v>75</v>
      </c>
    </row>
    <row r="2762" spans="1:34" x14ac:dyDescent="0.3">
      <c r="A2762" s="89" t="str">
        <f>CONCATENATE(D2762,".",F2762,"-",G2762,".",H2762,"")</f>
        <v>2.4-4.1</v>
      </c>
      <c r="B2762" s="89" t="str">
        <f>IF(CONCATENATE(I2762,Key!F$2)=CONCATENATE(INDEX(Dashboard!J:J,MATCH(I2762,Dashboard!J:J,0),1),INDEX(Dashboard!J:K,MATCH(I2762,Dashboard!J:J,0),2)),"ON",IF(Dashboard!K$32="ALL","ON","-"))</f>
        <v>-</v>
      </c>
      <c r="C2762" s="88" t="s">
        <v>152</v>
      </c>
      <c r="D2762" s="89">
        <f>IF(C2762="ID",1,(IF(C2762="PR",2,(IF(C2762="DE",3,(IF(C2762="RS",4,(IF(C2762="RC",5,0)))))))))</f>
        <v>2</v>
      </c>
      <c r="E2762" s="89" t="s">
        <v>228</v>
      </c>
      <c r="F2762" s="89">
        <f>IF(E2762="AM",1,(IF(E2762="BE",2,(IF(E2762="GV",3,(IF(E2762="RA",4,(IF(E2762="RM",5,(IF(E2762="AC",1,(IF(E2762="AT",2,(IF(E2762="DS",3,(IF(E2762="IP",4,(IF(E2762="MA",5,(IF(E2762="PT",6,(IF(E2762="AE",1,(IF(E2762="CM",2,(IF(E2762="DP",3,(IF(E2762="AN",1,(IF(E2762="CO",2,(IF(E2762="IM",3,(IF(E2762="MI",4,(IF(E2762="RP",5,(IF(E2762="SC",6,0)))))))))))))))))))))))))))))))))))))))</f>
        <v>4</v>
      </c>
      <c r="G2762" s="52">
        <v>4</v>
      </c>
      <c r="H2762" s="90" t="s">
        <v>115</v>
      </c>
      <c r="I2762" s="94" t="s">
        <v>60</v>
      </c>
      <c r="J2762" s="87" t="s">
        <v>3218</v>
      </c>
      <c r="K2762" s="51" t="s">
        <v>5331</v>
      </c>
      <c r="L2762" s="117">
        <f>IF(O2762="","",N2762*O2762*M2762)</f>
        <v>0</v>
      </c>
      <c r="M2762" s="108">
        <v>1</v>
      </c>
      <c r="N2762" s="95">
        <v>1</v>
      </c>
      <c r="O2762" s="109">
        <f>IF(Key!D$1="ON",P2762,IF(SUM(Q2762:DL2762)&lt;1,"",SUM(Q2762:DL2762)/COUNTIF(Q2762:DL2762,"&gt;0")))</f>
        <v>0</v>
      </c>
      <c r="P2762" s="109">
        <f>SUMIFS(Q2762:DK2762,Q$1:DK$1,Dashboard!$K$31)</f>
        <v>0</v>
      </c>
      <c r="U2762" s="95">
        <v>33</v>
      </c>
      <c r="AA2762" s="95">
        <v>25</v>
      </c>
      <c r="AH2762" s="95">
        <v>75</v>
      </c>
    </row>
    <row r="2763" spans="1:34" ht="15.6" x14ac:dyDescent="0.3">
      <c r="A2763" s="89" t="str">
        <f>CONCATENATE(D2763,".",F2763,"-",G2763,".",H2763,"")</f>
        <v>2.4-4.1</v>
      </c>
      <c r="B2763" s="89" t="str">
        <f>IF(CONCATENATE(I2763,Key!F$2)=CONCATENATE(INDEX(Dashboard!J:J,MATCH(I2763,Dashboard!J:J,0),1),INDEX(Dashboard!J:K,MATCH(I2763,Dashboard!J:J,0),2)),"ON",IF(Dashboard!K$32="ALL","ON","-"))</f>
        <v>-</v>
      </c>
      <c r="C2763" s="88" t="s">
        <v>152</v>
      </c>
      <c r="D2763" s="89">
        <f>IF(C2763="ID",1,(IF(C2763="PR",2,(IF(C2763="DE",3,(IF(C2763="RS",4,(IF(C2763="RC",5,0)))))))))</f>
        <v>2</v>
      </c>
      <c r="E2763" s="89" t="s">
        <v>228</v>
      </c>
      <c r="F2763" s="89">
        <f>IF(E2763="AM",1,(IF(E2763="BE",2,(IF(E2763="GV",3,(IF(E2763="RA",4,(IF(E2763="RM",5,(IF(E2763="AC",1,(IF(E2763="AT",2,(IF(E2763="DS",3,(IF(E2763="IP",4,(IF(E2763="MA",5,(IF(E2763="PT",6,(IF(E2763="AE",1,(IF(E2763="CM",2,(IF(E2763="DP",3,(IF(E2763="AN",1,(IF(E2763="CO",2,(IF(E2763="IM",3,(IF(E2763="MI",4,(IF(E2763="RP",5,(IF(E2763="SC",6,0)))))))))))))))))))))))))))))))))))))))</f>
        <v>4</v>
      </c>
      <c r="G2763" s="52">
        <v>4</v>
      </c>
      <c r="H2763" s="90" t="s">
        <v>115</v>
      </c>
      <c r="I2763" s="94" t="s">
        <v>60</v>
      </c>
      <c r="J2763" s="87" t="s">
        <v>3247</v>
      </c>
      <c r="K2763" s="51" t="s">
        <v>5360</v>
      </c>
      <c r="L2763" s="117">
        <f>IF(O2763="","",N2763*O2763*M2763)</f>
        <v>0</v>
      </c>
      <c r="M2763" s="108">
        <v>1</v>
      </c>
      <c r="N2763" s="95">
        <v>1</v>
      </c>
      <c r="O2763" s="109">
        <f>IF(Key!D$1="ON",P2763,IF(SUM(Q2763:DL2763)&lt;1,"",SUM(Q2763:DL2763)/COUNTIF(Q2763:DL2763,"&gt;0")))</f>
        <v>0</v>
      </c>
      <c r="P2763" s="109">
        <f>SUMIFS(Q2763:DK2763,Q$1:DK$1,Dashboard!$K$31)</f>
        <v>0</v>
      </c>
      <c r="U2763" s="95">
        <v>33</v>
      </c>
      <c r="AA2763" s="95">
        <v>25</v>
      </c>
      <c r="AH2763" s="95">
        <v>75</v>
      </c>
    </row>
    <row r="2764" spans="1:34" ht="15.6" x14ac:dyDescent="0.3">
      <c r="A2764" s="89" t="str">
        <f>CONCATENATE(D2764,".",F2764,"-",G2764,".",H2764,"")</f>
        <v>2.4-4.1</v>
      </c>
      <c r="B2764" s="89" t="str">
        <f>IF(CONCATENATE(I2764,Key!F$2)=CONCATENATE(INDEX(Dashboard!J:J,MATCH(I2764,Dashboard!J:J,0),1),INDEX(Dashboard!J:K,MATCH(I2764,Dashboard!J:J,0),2)),"ON",IF(Dashboard!K$32="ALL","ON","-"))</f>
        <v>-</v>
      </c>
      <c r="C2764" s="88" t="s">
        <v>152</v>
      </c>
      <c r="D2764" s="89">
        <f>IF(C2764="ID",1,(IF(C2764="PR",2,(IF(C2764="DE",3,(IF(C2764="RS",4,(IF(C2764="RC",5,0)))))))))</f>
        <v>2</v>
      </c>
      <c r="E2764" s="89" t="s">
        <v>228</v>
      </c>
      <c r="F2764" s="89">
        <f>IF(E2764="AM",1,(IF(E2764="BE",2,(IF(E2764="GV",3,(IF(E2764="RA",4,(IF(E2764="RM",5,(IF(E2764="AC",1,(IF(E2764="AT",2,(IF(E2764="DS",3,(IF(E2764="IP",4,(IF(E2764="MA",5,(IF(E2764="PT",6,(IF(E2764="AE",1,(IF(E2764="CM",2,(IF(E2764="DP",3,(IF(E2764="AN",1,(IF(E2764="CO",2,(IF(E2764="IM",3,(IF(E2764="MI",4,(IF(E2764="RP",5,(IF(E2764="SC",6,0)))))))))))))))))))))))))))))))))))))))</f>
        <v>4</v>
      </c>
      <c r="G2764" s="52">
        <v>4</v>
      </c>
      <c r="H2764" s="90" t="s">
        <v>115</v>
      </c>
      <c r="I2764" s="94" t="s">
        <v>60</v>
      </c>
      <c r="J2764" s="87" t="s">
        <v>3234</v>
      </c>
      <c r="K2764" s="51" t="s">
        <v>5347</v>
      </c>
      <c r="L2764" s="117">
        <f>IF(O2764="","",N2764*O2764*M2764)</f>
        <v>0</v>
      </c>
      <c r="M2764" s="108">
        <v>1</v>
      </c>
      <c r="N2764" s="95">
        <v>1</v>
      </c>
      <c r="O2764" s="109">
        <f>IF(Key!D$1="ON",P2764,IF(SUM(Q2764:DL2764)&lt;1,"",SUM(Q2764:DL2764)/COUNTIF(Q2764:DL2764,"&gt;0")))</f>
        <v>0</v>
      </c>
      <c r="P2764" s="109">
        <f>SUMIFS(Q2764:DK2764,Q$1:DK$1,Dashboard!$K$31)</f>
        <v>0</v>
      </c>
      <c r="U2764" s="95">
        <v>33</v>
      </c>
      <c r="AA2764" s="95">
        <v>25</v>
      </c>
      <c r="AH2764" s="95">
        <v>75</v>
      </c>
    </row>
    <row r="2765" spans="1:34" ht="15.6" x14ac:dyDescent="0.3">
      <c r="A2765" s="89" t="str">
        <f>CONCATENATE(D2765,".",F2765,"-",G2765,".",H2765,"")</f>
        <v>2.4-4.1</v>
      </c>
      <c r="B2765" s="89" t="str">
        <f>IF(CONCATENATE(I2765,Key!F$2)=CONCATENATE(INDEX(Dashboard!J:J,MATCH(I2765,Dashboard!J:J,0),1),INDEX(Dashboard!J:K,MATCH(I2765,Dashboard!J:J,0),2)),"ON",IF(Dashboard!K$32="ALL","ON","-"))</f>
        <v>-</v>
      </c>
      <c r="C2765" s="88" t="s">
        <v>152</v>
      </c>
      <c r="D2765" s="89">
        <f>IF(C2765="ID",1,(IF(C2765="PR",2,(IF(C2765="DE",3,(IF(C2765="RS",4,(IF(C2765="RC",5,0)))))))))</f>
        <v>2</v>
      </c>
      <c r="E2765" s="89" t="s">
        <v>228</v>
      </c>
      <c r="F2765" s="89">
        <f>IF(E2765="AM",1,(IF(E2765="BE",2,(IF(E2765="GV",3,(IF(E2765="RA",4,(IF(E2765="RM",5,(IF(E2765="AC",1,(IF(E2765="AT",2,(IF(E2765="DS",3,(IF(E2765="IP",4,(IF(E2765="MA",5,(IF(E2765="PT",6,(IF(E2765="AE",1,(IF(E2765="CM",2,(IF(E2765="DP",3,(IF(E2765="AN",1,(IF(E2765="CO",2,(IF(E2765="IM",3,(IF(E2765="MI",4,(IF(E2765="RP",5,(IF(E2765="SC",6,0)))))))))))))))))))))))))))))))))))))))</f>
        <v>4</v>
      </c>
      <c r="G2765" s="52">
        <v>4</v>
      </c>
      <c r="H2765" s="90" t="s">
        <v>115</v>
      </c>
      <c r="I2765" s="94" t="s">
        <v>60</v>
      </c>
      <c r="J2765" s="87" t="s">
        <v>3147</v>
      </c>
      <c r="K2765" s="51" t="s">
        <v>5260</v>
      </c>
      <c r="L2765" s="117">
        <f>IF(O2765="","",N2765*O2765*M2765)</f>
        <v>0</v>
      </c>
      <c r="M2765" s="108">
        <v>1</v>
      </c>
      <c r="N2765" s="95">
        <v>1</v>
      </c>
      <c r="O2765" s="109">
        <f>IF(Key!D$1="ON",P2765,IF(SUM(Q2765:DL2765)&lt;1,"",SUM(Q2765:DL2765)/COUNTIF(Q2765:DL2765,"&gt;0")))</f>
        <v>0</v>
      </c>
      <c r="P2765" s="109">
        <f>SUMIFS(Q2765:DK2765,Q$1:DK$1,Dashboard!$K$31)</f>
        <v>0</v>
      </c>
      <c r="U2765" s="95">
        <v>33</v>
      </c>
      <c r="AA2765" s="95">
        <v>25</v>
      </c>
      <c r="AH2765" s="95">
        <v>75</v>
      </c>
    </row>
    <row r="2766" spans="1:34" ht="15.6" x14ac:dyDescent="0.3">
      <c r="A2766" s="89" t="str">
        <f>CONCATENATE(D2766,".",F2766,"-",G2766,".",H2766,"")</f>
        <v>2.4-4.1</v>
      </c>
      <c r="B2766" s="89" t="str">
        <f>IF(CONCATENATE(I2766,Key!F$2)=CONCATENATE(INDEX(Dashboard!J:J,MATCH(I2766,Dashboard!J:J,0),1),INDEX(Dashboard!J:K,MATCH(I2766,Dashboard!J:J,0),2)),"ON",IF(Dashboard!K$32="ALL","ON","-"))</f>
        <v>-</v>
      </c>
      <c r="C2766" s="88" t="s">
        <v>152</v>
      </c>
      <c r="D2766" s="89">
        <f>IF(C2766="ID",1,(IF(C2766="PR",2,(IF(C2766="DE",3,(IF(C2766="RS",4,(IF(C2766="RC",5,0)))))))))</f>
        <v>2</v>
      </c>
      <c r="E2766" s="89" t="s">
        <v>228</v>
      </c>
      <c r="F2766" s="89">
        <f>IF(E2766="AM",1,(IF(E2766="BE",2,(IF(E2766="GV",3,(IF(E2766="RA",4,(IF(E2766="RM",5,(IF(E2766="AC",1,(IF(E2766="AT",2,(IF(E2766="DS",3,(IF(E2766="IP",4,(IF(E2766="MA",5,(IF(E2766="PT",6,(IF(E2766="AE",1,(IF(E2766="CM",2,(IF(E2766="DP",3,(IF(E2766="AN",1,(IF(E2766="CO",2,(IF(E2766="IM",3,(IF(E2766="MI",4,(IF(E2766="RP",5,(IF(E2766="SC",6,0)))))))))))))))))))))))))))))))))))))))</f>
        <v>4</v>
      </c>
      <c r="G2766" s="52">
        <v>4</v>
      </c>
      <c r="H2766" s="90" t="s">
        <v>115</v>
      </c>
      <c r="I2766" s="94" t="s">
        <v>64</v>
      </c>
      <c r="J2766" s="87" t="s">
        <v>1617</v>
      </c>
      <c r="K2766" s="102" t="s">
        <v>2567</v>
      </c>
      <c r="L2766" s="117">
        <f>IF(O2766="","",N2766*O2766*M2766)</f>
        <v>0</v>
      </c>
      <c r="M2766" s="108">
        <v>1</v>
      </c>
      <c r="N2766" s="95">
        <v>1</v>
      </c>
      <c r="O2766" s="109">
        <f>IF(Key!D$1="ON",P2766,IF(SUM(Q2766:DL2766)&lt;1,"",SUM(Q2766:DL2766)/COUNTIF(Q2766:DL2766,"&gt;0")))</f>
        <v>0</v>
      </c>
      <c r="P2766" s="109">
        <f>SUMIFS(Q2766:DK2766,Q$1:DK$1,Dashboard!$K$31)</f>
        <v>0</v>
      </c>
      <c r="U2766" s="95">
        <v>33</v>
      </c>
      <c r="AA2766" s="95">
        <v>25</v>
      </c>
      <c r="AH2766" s="95">
        <v>75</v>
      </c>
    </row>
    <row r="2767" spans="1:34" x14ac:dyDescent="0.3">
      <c r="A2767" s="89" t="str">
        <f>CONCATENATE(D2767,".",F2767,"-",G2767,".",H2767,"")</f>
        <v>2.4-4.1</v>
      </c>
      <c r="B2767" s="89" t="str">
        <f>IF(CONCATENATE(I2767,Key!F$2)=CONCATENATE(INDEX(Dashboard!J:J,MATCH(I2767,Dashboard!J:J,0),1),INDEX(Dashboard!J:K,MATCH(I2767,Dashboard!J:J,0),2)),"ON",IF(Dashboard!K$32="ALL","ON","-"))</f>
        <v>-</v>
      </c>
      <c r="C2767" s="88" t="s">
        <v>152</v>
      </c>
      <c r="D2767" s="89">
        <f>IF(C2767="ID",1,(IF(C2767="PR",2,(IF(C2767="DE",3,(IF(C2767="RS",4,(IF(C2767="RC",5,0)))))))))</f>
        <v>2</v>
      </c>
      <c r="E2767" s="89" t="s">
        <v>228</v>
      </c>
      <c r="F2767" s="89">
        <f>IF(E2767="AM",1,(IF(E2767="BE",2,(IF(E2767="GV",3,(IF(E2767="RA",4,(IF(E2767="RM",5,(IF(E2767="AC",1,(IF(E2767="AT",2,(IF(E2767="DS",3,(IF(E2767="IP",4,(IF(E2767="MA",5,(IF(E2767="PT",6,(IF(E2767="AE",1,(IF(E2767="CM",2,(IF(E2767="DP",3,(IF(E2767="AN",1,(IF(E2767="CO",2,(IF(E2767="IM",3,(IF(E2767="MI",4,(IF(E2767="RP",5,(IF(E2767="SC",6,0)))))))))))))))))))))))))))))))))))))))</f>
        <v>4</v>
      </c>
      <c r="G2767" s="52">
        <v>4</v>
      </c>
      <c r="H2767" s="90" t="s">
        <v>115</v>
      </c>
      <c r="I2767" s="94" t="s">
        <v>64</v>
      </c>
      <c r="J2767" s="87" t="s">
        <v>1618</v>
      </c>
      <c r="K2767" s="102" t="s">
        <v>2568</v>
      </c>
      <c r="L2767" s="117">
        <f>IF(O2767="","",N2767*O2767*M2767)</f>
        <v>0</v>
      </c>
      <c r="M2767" s="108">
        <v>1</v>
      </c>
      <c r="N2767" s="95">
        <v>1</v>
      </c>
      <c r="O2767" s="109">
        <f>IF(Key!D$1="ON",P2767,IF(SUM(Q2767:DL2767)&lt;1,"",SUM(Q2767:DL2767)/COUNTIF(Q2767:DL2767,"&gt;0")))</f>
        <v>0</v>
      </c>
      <c r="P2767" s="109">
        <f>SUMIFS(Q2767:DK2767,Q$1:DK$1,Dashboard!$K$31)</f>
        <v>0</v>
      </c>
      <c r="U2767" s="95">
        <v>33</v>
      </c>
      <c r="AA2767" s="95">
        <v>25</v>
      </c>
      <c r="AH2767" s="95">
        <v>75</v>
      </c>
    </row>
    <row r="2768" spans="1:34" ht="15.6" x14ac:dyDescent="0.3">
      <c r="A2768" s="89" t="str">
        <f>CONCATENATE(D2768,".",F2768,"-",G2768,".",H2768,"")</f>
        <v>2.4-4.1</v>
      </c>
      <c r="B2768" s="89" t="str">
        <f>IF(CONCATENATE(I2768,Key!F$2)=CONCATENATE(INDEX(Dashboard!J:J,MATCH(I2768,Dashboard!J:J,0),1),INDEX(Dashboard!J:K,MATCH(I2768,Dashboard!J:J,0),2)),"ON",IF(Dashboard!K$32="ALL","ON","-"))</f>
        <v>-</v>
      </c>
      <c r="C2768" s="88" t="s">
        <v>152</v>
      </c>
      <c r="D2768" s="89">
        <f>IF(C2768="ID",1,(IF(C2768="PR",2,(IF(C2768="DE",3,(IF(C2768="RS",4,(IF(C2768="RC",5,0)))))))))</f>
        <v>2</v>
      </c>
      <c r="E2768" s="89" t="s">
        <v>228</v>
      </c>
      <c r="F2768" s="89">
        <f>IF(E2768="AM",1,(IF(E2768="BE",2,(IF(E2768="GV",3,(IF(E2768="RA",4,(IF(E2768="RM",5,(IF(E2768="AC",1,(IF(E2768="AT",2,(IF(E2768="DS",3,(IF(E2768="IP",4,(IF(E2768="MA",5,(IF(E2768="PT",6,(IF(E2768="AE",1,(IF(E2768="CM",2,(IF(E2768="DP",3,(IF(E2768="AN",1,(IF(E2768="CO",2,(IF(E2768="IM",3,(IF(E2768="MI",4,(IF(E2768="RP",5,(IF(E2768="SC",6,0)))))))))))))))))))))))))))))))))))))))</f>
        <v>4</v>
      </c>
      <c r="G2768" s="52">
        <v>4</v>
      </c>
      <c r="H2768" s="90" t="s">
        <v>115</v>
      </c>
      <c r="I2768" s="94" t="s">
        <v>64</v>
      </c>
      <c r="J2768" s="87" t="s">
        <v>1619</v>
      </c>
      <c r="K2768" s="102" t="s">
        <v>2569</v>
      </c>
      <c r="L2768" s="117">
        <f>IF(O2768="","",N2768*O2768*M2768)</f>
        <v>0</v>
      </c>
      <c r="M2768" s="108">
        <v>1</v>
      </c>
      <c r="N2768" s="95">
        <v>1</v>
      </c>
      <c r="O2768" s="109">
        <f>IF(Key!D$1="ON",P2768,IF(SUM(Q2768:DL2768)&lt;1,"",SUM(Q2768:DL2768)/COUNTIF(Q2768:DL2768,"&gt;0")))</f>
        <v>0</v>
      </c>
      <c r="P2768" s="109">
        <f>SUMIFS(Q2768:DK2768,Q$1:DK$1,Dashboard!$K$31)</f>
        <v>0</v>
      </c>
      <c r="U2768" s="95">
        <v>33</v>
      </c>
      <c r="AA2768" s="95">
        <v>25</v>
      </c>
      <c r="AH2768" s="95">
        <v>75</v>
      </c>
    </row>
    <row r="2769" spans="1:34" ht="15.6" x14ac:dyDescent="0.3">
      <c r="A2769" s="89" t="str">
        <f>CONCATENATE(D2769,".",F2769,"-",G2769,".",H2769,"")</f>
        <v>2.4-4.1</v>
      </c>
      <c r="B2769" s="89" t="str">
        <f>IF(CONCATENATE(I2769,Key!F$2)=CONCATENATE(INDEX(Dashboard!J:J,MATCH(I2769,Dashboard!J:J,0),1),INDEX(Dashboard!J:K,MATCH(I2769,Dashboard!J:J,0),2)),"ON",IF(Dashboard!K$32="ALL","ON","-"))</f>
        <v>-</v>
      </c>
      <c r="C2769" s="88" t="s">
        <v>152</v>
      </c>
      <c r="D2769" s="89">
        <f>IF(C2769="ID",1,(IF(C2769="PR",2,(IF(C2769="DE",3,(IF(C2769="RS",4,(IF(C2769="RC",5,0)))))))))</f>
        <v>2</v>
      </c>
      <c r="E2769" s="89" t="s">
        <v>228</v>
      </c>
      <c r="F2769" s="89">
        <f>IF(E2769="AM",1,(IF(E2769="BE",2,(IF(E2769="GV",3,(IF(E2769="RA",4,(IF(E2769="RM",5,(IF(E2769="AC",1,(IF(E2769="AT",2,(IF(E2769="DS",3,(IF(E2769="IP",4,(IF(E2769="MA",5,(IF(E2769="PT",6,(IF(E2769="AE",1,(IF(E2769="CM",2,(IF(E2769="DP",3,(IF(E2769="AN",1,(IF(E2769="CO",2,(IF(E2769="IM",3,(IF(E2769="MI",4,(IF(E2769="RP",5,(IF(E2769="SC",6,0)))))))))))))))))))))))))))))))))))))))</f>
        <v>4</v>
      </c>
      <c r="G2769" s="52">
        <v>4</v>
      </c>
      <c r="H2769" s="90" t="s">
        <v>115</v>
      </c>
      <c r="I2769" s="94" t="s">
        <v>64</v>
      </c>
      <c r="J2769" s="87" t="s">
        <v>1620</v>
      </c>
      <c r="K2769" s="102" t="s">
        <v>2570</v>
      </c>
      <c r="L2769" s="117">
        <f>IF(O2769="","",N2769*O2769*M2769)</f>
        <v>0</v>
      </c>
      <c r="M2769" s="108">
        <v>1</v>
      </c>
      <c r="N2769" s="95">
        <v>1</v>
      </c>
      <c r="O2769" s="109">
        <f>IF(Key!D$1="ON",P2769,IF(SUM(Q2769:DL2769)&lt;1,"",SUM(Q2769:DL2769)/COUNTIF(Q2769:DL2769,"&gt;0")))</f>
        <v>0</v>
      </c>
      <c r="P2769" s="109">
        <f>SUMIFS(Q2769:DK2769,Q$1:DK$1,Dashboard!$K$31)</f>
        <v>0</v>
      </c>
      <c r="U2769" s="95">
        <v>33</v>
      </c>
      <c r="AA2769" s="95">
        <v>25</v>
      </c>
      <c r="AH2769" s="95">
        <v>75</v>
      </c>
    </row>
    <row r="2770" spans="1:34" x14ac:dyDescent="0.3">
      <c r="A2770" s="89" t="str">
        <f>CONCATENATE(D2770,".",F2770,"-",G2770,".",H2770,"")</f>
        <v>2.4-4.1</v>
      </c>
      <c r="B2770" s="89" t="str">
        <f>IF(CONCATENATE(I2770,Key!F$2)=CONCATENATE(INDEX(Dashboard!J:J,MATCH(I2770,Dashboard!J:J,0),1),INDEX(Dashboard!J:K,MATCH(I2770,Dashboard!J:J,0),2)),"ON",IF(Dashboard!K$32="ALL","ON","-"))</f>
        <v>-</v>
      </c>
      <c r="C2770" s="88" t="s">
        <v>152</v>
      </c>
      <c r="D2770" s="89">
        <f>IF(C2770="ID",1,(IF(C2770="PR",2,(IF(C2770="DE",3,(IF(C2770="RS",4,(IF(C2770="RC",5,0)))))))))</f>
        <v>2</v>
      </c>
      <c r="E2770" s="89" t="s">
        <v>228</v>
      </c>
      <c r="F2770" s="89">
        <f>IF(E2770="AM",1,(IF(E2770="BE",2,(IF(E2770="GV",3,(IF(E2770="RA",4,(IF(E2770="RM",5,(IF(E2770="AC",1,(IF(E2770="AT",2,(IF(E2770="DS",3,(IF(E2770="IP",4,(IF(E2770="MA",5,(IF(E2770="PT",6,(IF(E2770="AE",1,(IF(E2770="CM",2,(IF(E2770="DP",3,(IF(E2770="AN",1,(IF(E2770="CO",2,(IF(E2770="IM",3,(IF(E2770="MI",4,(IF(E2770="RP",5,(IF(E2770="SC",6,0)))))))))))))))))))))))))))))))))))))))</f>
        <v>4</v>
      </c>
      <c r="G2770" s="52">
        <v>4</v>
      </c>
      <c r="H2770" s="90" t="s">
        <v>115</v>
      </c>
      <c r="I2770" s="94" t="s">
        <v>64</v>
      </c>
      <c r="J2770" s="87" t="s">
        <v>1621</v>
      </c>
      <c r="K2770" s="102" t="s">
        <v>2571</v>
      </c>
      <c r="L2770" s="117">
        <f>IF(O2770="","",N2770*O2770*M2770)</f>
        <v>0</v>
      </c>
      <c r="M2770" s="108">
        <v>1</v>
      </c>
      <c r="N2770" s="95">
        <v>1</v>
      </c>
      <c r="O2770" s="109">
        <f>IF(Key!D$1="ON",P2770,IF(SUM(Q2770:DL2770)&lt;1,"",SUM(Q2770:DL2770)/COUNTIF(Q2770:DL2770,"&gt;0")))</f>
        <v>0</v>
      </c>
      <c r="P2770" s="109">
        <f>SUMIFS(Q2770:DK2770,Q$1:DK$1,Dashboard!$K$31)</f>
        <v>0</v>
      </c>
      <c r="U2770" s="95">
        <v>33</v>
      </c>
      <c r="AA2770" s="95">
        <v>25</v>
      </c>
      <c r="AH2770" s="95">
        <v>75</v>
      </c>
    </row>
    <row r="2771" spans="1:34" ht="15.6" x14ac:dyDescent="0.3">
      <c r="A2771" s="89" t="str">
        <f>CONCATENATE(D2771,".",F2771,"-",G2771,".",H2771,"")</f>
        <v>2.4-4.1</v>
      </c>
      <c r="B2771" s="89" t="str">
        <f>IF(CONCATENATE(I2771,Key!F$2)=CONCATENATE(INDEX(Dashboard!J:J,MATCH(I2771,Dashboard!J:J,0),1),INDEX(Dashboard!J:K,MATCH(I2771,Dashboard!J:J,0),2)),"ON",IF(Dashboard!K$32="ALL","ON","-"))</f>
        <v>-</v>
      </c>
      <c r="C2771" s="88" t="s">
        <v>152</v>
      </c>
      <c r="D2771" s="89">
        <f>IF(C2771="ID",1,(IF(C2771="PR",2,(IF(C2771="DE",3,(IF(C2771="RS",4,(IF(C2771="RC",5,0)))))))))</f>
        <v>2</v>
      </c>
      <c r="E2771" s="89" t="s">
        <v>228</v>
      </c>
      <c r="F2771" s="89">
        <f>IF(E2771="AM",1,(IF(E2771="BE",2,(IF(E2771="GV",3,(IF(E2771="RA",4,(IF(E2771="RM",5,(IF(E2771="AC",1,(IF(E2771="AT",2,(IF(E2771="DS",3,(IF(E2771="IP",4,(IF(E2771="MA",5,(IF(E2771="PT",6,(IF(E2771="AE",1,(IF(E2771="CM",2,(IF(E2771="DP",3,(IF(E2771="AN",1,(IF(E2771="CO",2,(IF(E2771="IM",3,(IF(E2771="MI",4,(IF(E2771="RP",5,(IF(E2771="SC",6,0)))))))))))))))))))))))))))))))))))))))</f>
        <v>4</v>
      </c>
      <c r="G2771" s="52">
        <v>4</v>
      </c>
      <c r="H2771" s="90" t="s">
        <v>115</v>
      </c>
      <c r="I2771" s="94" t="s">
        <v>64</v>
      </c>
      <c r="J2771" s="87" t="s">
        <v>1622</v>
      </c>
      <c r="K2771" s="102" t="s">
        <v>2572</v>
      </c>
      <c r="L2771" s="117">
        <f>IF(O2771="","",N2771*O2771*M2771)</f>
        <v>0</v>
      </c>
      <c r="M2771" s="108">
        <v>1</v>
      </c>
      <c r="N2771" s="95">
        <v>1</v>
      </c>
      <c r="O2771" s="109">
        <f>IF(Key!D$1="ON",P2771,IF(SUM(Q2771:DL2771)&lt;1,"",SUM(Q2771:DL2771)/COUNTIF(Q2771:DL2771,"&gt;0")))</f>
        <v>0</v>
      </c>
      <c r="P2771" s="109">
        <f>SUMIFS(Q2771:DK2771,Q$1:DK$1,Dashboard!$K$31)</f>
        <v>0</v>
      </c>
      <c r="U2771" s="95">
        <v>33</v>
      </c>
      <c r="AA2771" s="95">
        <v>25</v>
      </c>
      <c r="AH2771" s="95">
        <v>75</v>
      </c>
    </row>
    <row r="2772" spans="1:34" x14ac:dyDescent="0.3">
      <c r="A2772" s="89" t="str">
        <f>CONCATENATE(D2772,".",F2772,"-",G2772,".",H2772,"")</f>
        <v>2.4-4.1</v>
      </c>
      <c r="B2772" s="89" t="str">
        <f>IF(CONCATENATE(I2772,Key!F$2)=CONCATENATE(INDEX(Dashboard!J:J,MATCH(I2772,Dashboard!J:J,0),1),INDEX(Dashboard!J:K,MATCH(I2772,Dashboard!J:J,0),2)),"ON",IF(Dashboard!K$32="ALL","ON","-"))</f>
        <v>-</v>
      </c>
      <c r="C2772" s="88" t="s">
        <v>152</v>
      </c>
      <c r="D2772" s="89">
        <f>IF(C2772="ID",1,(IF(C2772="PR",2,(IF(C2772="DE",3,(IF(C2772="RS",4,(IF(C2772="RC",5,0)))))))))</f>
        <v>2</v>
      </c>
      <c r="E2772" s="89" t="s">
        <v>228</v>
      </c>
      <c r="F2772" s="89">
        <f>IF(E2772="AM",1,(IF(E2772="BE",2,(IF(E2772="GV",3,(IF(E2772="RA",4,(IF(E2772="RM",5,(IF(E2772="AC",1,(IF(E2772="AT",2,(IF(E2772="DS",3,(IF(E2772="IP",4,(IF(E2772="MA",5,(IF(E2772="PT",6,(IF(E2772="AE",1,(IF(E2772="CM",2,(IF(E2772="DP",3,(IF(E2772="AN",1,(IF(E2772="CO",2,(IF(E2772="IM",3,(IF(E2772="MI",4,(IF(E2772="RP",5,(IF(E2772="SC",6,0)))))))))))))))))))))))))))))))))))))))</f>
        <v>4</v>
      </c>
      <c r="G2772" s="52">
        <v>4</v>
      </c>
      <c r="H2772" s="90" t="s">
        <v>115</v>
      </c>
      <c r="I2772" s="94" t="s">
        <v>77</v>
      </c>
      <c r="J2772" s="87" t="s">
        <v>1608</v>
      </c>
      <c r="K2772" s="102" t="s">
        <v>2560</v>
      </c>
      <c r="L2772" s="117">
        <f>IF(O2772="","",N2772*O2772*M2772)</f>
        <v>0</v>
      </c>
      <c r="M2772" s="108">
        <v>1</v>
      </c>
      <c r="N2772" s="95">
        <v>1</v>
      </c>
      <c r="O2772" s="109">
        <f>IF(Key!D$1="ON",P2772,IF(SUM(Q2772:DL2772)&lt;1,"",SUM(Q2772:DL2772)/COUNTIF(Q2772:DL2772,"&gt;0")))</f>
        <v>0</v>
      </c>
      <c r="P2772" s="109">
        <f>SUMIFS(Q2772:DK2772,Q$1:DK$1,Dashboard!$K$31)</f>
        <v>0</v>
      </c>
      <c r="U2772" s="95">
        <v>33</v>
      </c>
      <c r="AA2772" s="95">
        <v>25</v>
      </c>
      <c r="AH2772" s="95">
        <v>75</v>
      </c>
    </row>
    <row r="2773" spans="1:34" ht="15.6" x14ac:dyDescent="0.3">
      <c r="A2773" s="89" t="str">
        <f>CONCATENATE(D2773,".",F2773,"-",G2773,".",H2773,"")</f>
        <v>2.4-4.1</v>
      </c>
      <c r="B2773" s="89" t="str">
        <f>IF(CONCATENATE(I2773,Key!F$2)=CONCATENATE(INDEX(Dashboard!J:J,MATCH(I2773,Dashboard!J:J,0),1),INDEX(Dashboard!J:K,MATCH(I2773,Dashboard!J:J,0),2)),"ON",IF(Dashboard!K$32="ALL","ON","-"))</f>
        <v>-</v>
      </c>
      <c r="C2773" s="88" t="s">
        <v>152</v>
      </c>
      <c r="D2773" s="89">
        <f>IF(C2773="ID",1,(IF(C2773="PR",2,(IF(C2773="DE",3,(IF(C2773="RS",4,(IF(C2773="RC",5,0)))))))))</f>
        <v>2</v>
      </c>
      <c r="E2773" s="89" t="s">
        <v>228</v>
      </c>
      <c r="F2773" s="89">
        <f>IF(E2773="AM",1,(IF(E2773="BE",2,(IF(E2773="GV",3,(IF(E2773="RA",4,(IF(E2773="RM",5,(IF(E2773="AC",1,(IF(E2773="AT",2,(IF(E2773="DS",3,(IF(E2773="IP",4,(IF(E2773="MA",5,(IF(E2773="PT",6,(IF(E2773="AE",1,(IF(E2773="CM",2,(IF(E2773="DP",3,(IF(E2773="AN",1,(IF(E2773="CO",2,(IF(E2773="IM",3,(IF(E2773="MI",4,(IF(E2773="RP",5,(IF(E2773="SC",6,0)))))))))))))))))))))))))))))))))))))))</f>
        <v>4</v>
      </c>
      <c r="G2773" s="52">
        <v>4</v>
      </c>
      <c r="H2773" s="90" t="s">
        <v>115</v>
      </c>
      <c r="I2773" s="94" t="s">
        <v>77</v>
      </c>
      <c r="J2773" s="87" t="s">
        <v>1609</v>
      </c>
      <c r="K2773" s="102" t="s">
        <v>2561</v>
      </c>
      <c r="L2773" s="117">
        <f>IF(O2773="","",N2773*O2773*M2773)</f>
        <v>0</v>
      </c>
      <c r="M2773" s="108">
        <v>1</v>
      </c>
      <c r="N2773" s="95">
        <v>1</v>
      </c>
      <c r="O2773" s="109">
        <f>IF(Key!D$1="ON",P2773,IF(SUM(Q2773:DL2773)&lt;1,"",SUM(Q2773:DL2773)/COUNTIF(Q2773:DL2773,"&gt;0")))</f>
        <v>0</v>
      </c>
      <c r="P2773" s="109">
        <f>SUMIFS(Q2773:DK2773,Q$1:DK$1,Dashboard!$K$31)</f>
        <v>0</v>
      </c>
      <c r="U2773" s="95">
        <v>33</v>
      </c>
      <c r="AA2773" s="95">
        <v>25</v>
      </c>
      <c r="AH2773" s="95">
        <v>75</v>
      </c>
    </row>
    <row r="2774" spans="1:34" x14ac:dyDescent="0.3">
      <c r="A2774" s="89" t="str">
        <f>CONCATENATE(D2774,".",F2774,"-",G2774,".",H2774,"")</f>
        <v>2.4-4.1</v>
      </c>
      <c r="B2774" s="89" t="str">
        <f>IF(CONCATENATE(I2774,Key!F$2)=CONCATENATE(INDEX(Dashboard!J:J,MATCH(I2774,Dashboard!J:J,0),1),INDEX(Dashboard!J:K,MATCH(I2774,Dashboard!J:J,0),2)),"ON",IF(Dashboard!K$32="ALL","ON","-"))</f>
        <v>-</v>
      </c>
      <c r="C2774" s="96" t="s">
        <v>152</v>
      </c>
      <c r="D2774" s="89">
        <f>IF(C2774="ID",1,(IF(C2774="PR",2,(IF(C2774="DE",3,(IF(C2774="RS",4,(IF(C2774="RC",5,0)))))))))</f>
        <v>2</v>
      </c>
      <c r="E2774" s="89" t="s">
        <v>228</v>
      </c>
      <c r="F2774" s="89">
        <f>IF(E2774="AM",1,(IF(E2774="BE",2,(IF(E2774="GV",3,(IF(E2774="RA",4,(IF(E2774="RM",5,(IF(E2774="AC",1,(IF(E2774="AT",2,(IF(E2774="DS",3,(IF(E2774="IP",4,(IF(E2774="MA",5,(IF(E2774="PT",6,(IF(E2774="AE",1,(IF(E2774="CM",2,(IF(E2774="DP",3,(IF(E2774="AN",1,(IF(E2774="CO",2,(IF(E2774="IM",3,(IF(E2774="MI",4,(IF(E2774="RP",5,(IF(E2774="SC",6,0)))))))))))))))))))))))))))))))))))))))</f>
        <v>4</v>
      </c>
      <c r="G2774" s="98">
        <v>4</v>
      </c>
      <c r="H2774" s="90" t="s">
        <v>115</v>
      </c>
      <c r="I2774" s="94" t="s">
        <v>77</v>
      </c>
      <c r="J2774" s="87" t="s">
        <v>1610</v>
      </c>
      <c r="K2774" s="102" t="s">
        <v>2562</v>
      </c>
      <c r="L2774" s="117">
        <f>IF(O2774="","",N2774*O2774*M2774)</f>
        <v>0</v>
      </c>
      <c r="M2774" s="108">
        <v>1</v>
      </c>
      <c r="N2774" s="95">
        <v>1</v>
      </c>
      <c r="O2774" s="109">
        <f>IF(Key!D$1="ON",P2774,IF(SUM(Q2774:DL2774)&lt;1,"",SUM(Q2774:DL2774)/COUNTIF(Q2774:DL2774,"&gt;0")))</f>
        <v>0</v>
      </c>
      <c r="P2774" s="109">
        <f>SUMIFS(Q2774:DK2774,Q$1:DK$1,Dashboard!$K$31)</f>
        <v>0</v>
      </c>
      <c r="U2774" s="95">
        <v>33</v>
      </c>
      <c r="AA2774" s="95">
        <v>25</v>
      </c>
      <c r="AH2774" s="95">
        <v>75</v>
      </c>
    </row>
    <row r="2775" spans="1:34" x14ac:dyDescent="0.3">
      <c r="A2775" s="89" t="str">
        <f>CONCATENATE(D2775,".",F2775,"-",G2775,".",H2775,"")</f>
        <v>2.4-4.1</v>
      </c>
      <c r="B2775" s="89" t="str">
        <f>IF(CONCATENATE(I2775,Key!F$2)=CONCATENATE(INDEX(Dashboard!J:J,MATCH(I2775,Dashboard!J:J,0),1),INDEX(Dashboard!J:K,MATCH(I2775,Dashboard!J:J,0),2)),"ON",IF(Dashboard!K$32="ALL","ON","-"))</f>
        <v>-</v>
      </c>
      <c r="C2775" s="88" t="s">
        <v>152</v>
      </c>
      <c r="D2775" s="89">
        <f>IF(C2775="ID",1,(IF(C2775="PR",2,(IF(C2775="DE",3,(IF(C2775="RS",4,(IF(C2775="RC",5,0)))))))))</f>
        <v>2</v>
      </c>
      <c r="E2775" s="89" t="s">
        <v>228</v>
      </c>
      <c r="F2775" s="89">
        <f>IF(E2775="AM",1,(IF(E2775="BE",2,(IF(E2775="GV",3,(IF(E2775="RA",4,(IF(E2775="RM",5,(IF(E2775="AC",1,(IF(E2775="AT",2,(IF(E2775="DS",3,(IF(E2775="IP",4,(IF(E2775="MA",5,(IF(E2775="PT",6,(IF(E2775="AE",1,(IF(E2775="CM",2,(IF(E2775="DP",3,(IF(E2775="AN",1,(IF(E2775="CO",2,(IF(E2775="IM",3,(IF(E2775="MI",4,(IF(E2775="RP",5,(IF(E2775="SC",6,0)))))))))))))))))))))))))))))))))))))))</f>
        <v>4</v>
      </c>
      <c r="G2775" s="52">
        <v>4</v>
      </c>
      <c r="H2775" s="90" t="s">
        <v>115</v>
      </c>
      <c r="I2775" s="94" t="s">
        <v>77</v>
      </c>
      <c r="J2775" s="87" t="s">
        <v>1612</v>
      </c>
      <c r="K2775" s="102" t="s">
        <v>2563</v>
      </c>
      <c r="L2775" s="117">
        <f>IF(O2775="","",N2775*O2775*M2775)</f>
        <v>0</v>
      </c>
      <c r="M2775" s="108">
        <v>1</v>
      </c>
      <c r="N2775" s="95">
        <v>1</v>
      </c>
      <c r="O2775" s="109">
        <f>IF(Key!D$1="ON",P2775,IF(SUM(Q2775:DL2775)&lt;1,"",SUM(Q2775:DL2775)/COUNTIF(Q2775:DL2775,"&gt;0")))</f>
        <v>0</v>
      </c>
      <c r="P2775" s="109">
        <f>SUMIFS(Q2775:DK2775,Q$1:DK$1,Dashboard!$K$31)</f>
        <v>0</v>
      </c>
      <c r="U2775" s="95">
        <v>33</v>
      </c>
      <c r="AA2775" s="95">
        <v>25</v>
      </c>
      <c r="AH2775" s="95">
        <v>75</v>
      </c>
    </row>
    <row r="2776" spans="1:34" x14ac:dyDescent="0.3">
      <c r="A2776" s="89" t="str">
        <f>CONCATENATE(D2776,".",F2776,"-",G2776,".",H2776,"")</f>
        <v>2.4-4.1</v>
      </c>
      <c r="B2776" s="89" t="str">
        <f>IF(CONCATENATE(I2776,Key!F$2)=CONCATENATE(INDEX(Dashboard!J:J,MATCH(I2776,Dashboard!J:J,0),1),INDEX(Dashboard!J:K,MATCH(I2776,Dashboard!J:J,0),2)),"ON",IF(Dashboard!K$32="ALL","ON","-"))</f>
        <v>-</v>
      </c>
      <c r="C2776" s="88" t="s">
        <v>152</v>
      </c>
      <c r="D2776" s="89">
        <f>IF(C2776="ID",1,(IF(C2776="PR",2,(IF(C2776="DE",3,(IF(C2776="RS",4,(IF(C2776="RC",5,0)))))))))</f>
        <v>2</v>
      </c>
      <c r="E2776" s="89" t="s">
        <v>228</v>
      </c>
      <c r="F2776" s="89">
        <f>IF(E2776="AM",1,(IF(E2776="BE",2,(IF(E2776="GV",3,(IF(E2776="RA",4,(IF(E2776="RM",5,(IF(E2776="AC",1,(IF(E2776="AT",2,(IF(E2776="DS",3,(IF(E2776="IP",4,(IF(E2776="MA",5,(IF(E2776="PT",6,(IF(E2776="AE",1,(IF(E2776="CM",2,(IF(E2776="DP",3,(IF(E2776="AN",1,(IF(E2776="CO",2,(IF(E2776="IM",3,(IF(E2776="MI",4,(IF(E2776="RP",5,(IF(E2776="SC",6,0)))))))))))))))))))))))))))))))))))))))</f>
        <v>4</v>
      </c>
      <c r="G2776" s="52">
        <v>4</v>
      </c>
      <c r="H2776" s="90" t="s">
        <v>115</v>
      </c>
      <c r="I2776" s="94" t="s">
        <v>77</v>
      </c>
      <c r="J2776" s="87" t="s">
        <v>1613</v>
      </c>
      <c r="K2776" s="102" t="s">
        <v>2564</v>
      </c>
      <c r="L2776" s="117">
        <f>IF(O2776="","",N2776*O2776*M2776)</f>
        <v>0</v>
      </c>
      <c r="M2776" s="108">
        <v>1</v>
      </c>
      <c r="N2776" s="95">
        <v>1</v>
      </c>
      <c r="O2776" s="109">
        <f>IF(Key!D$1="ON",P2776,IF(SUM(Q2776:DL2776)&lt;1,"",SUM(Q2776:DL2776)/COUNTIF(Q2776:DL2776,"&gt;0")))</f>
        <v>0</v>
      </c>
      <c r="P2776" s="109">
        <f>SUMIFS(Q2776:DK2776,Q$1:DK$1,Dashboard!$K$31)</f>
        <v>0</v>
      </c>
      <c r="U2776" s="95">
        <v>33</v>
      </c>
      <c r="AA2776" s="95">
        <v>25</v>
      </c>
      <c r="AH2776" s="95">
        <v>75</v>
      </c>
    </row>
    <row r="2777" spans="1:34" x14ac:dyDescent="0.3">
      <c r="A2777" s="89" t="str">
        <f>CONCATENATE(D2777,".",F2777,"-",G2777,".",H2777,"")</f>
        <v>2.4-4.1</v>
      </c>
      <c r="B2777" s="89" t="str">
        <f>IF(CONCATENATE(I2777,Key!F$2)=CONCATENATE(INDEX(Dashboard!J:J,MATCH(I2777,Dashboard!J:J,0),1),INDEX(Dashboard!J:K,MATCH(I2777,Dashboard!J:J,0),2)),"ON",IF(Dashboard!K$32="ALL","ON","-"))</f>
        <v>-</v>
      </c>
      <c r="C2777" s="88" t="s">
        <v>152</v>
      </c>
      <c r="D2777" s="89">
        <f>IF(C2777="ID",1,(IF(C2777="PR",2,(IF(C2777="DE",3,(IF(C2777="RS",4,(IF(C2777="RC",5,0)))))))))</f>
        <v>2</v>
      </c>
      <c r="E2777" s="89" t="s">
        <v>228</v>
      </c>
      <c r="F2777" s="89">
        <f>IF(E2777="AM",1,(IF(E2777="BE",2,(IF(E2777="GV",3,(IF(E2777="RA",4,(IF(E2777="RM",5,(IF(E2777="AC",1,(IF(E2777="AT",2,(IF(E2777="DS",3,(IF(E2777="IP",4,(IF(E2777="MA",5,(IF(E2777="PT",6,(IF(E2777="AE",1,(IF(E2777="CM",2,(IF(E2777="DP",3,(IF(E2777="AN",1,(IF(E2777="CO",2,(IF(E2777="IM",3,(IF(E2777="MI",4,(IF(E2777="RP",5,(IF(E2777="SC",6,0)))))))))))))))))))))))))))))))))))))))</f>
        <v>4</v>
      </c>
      <c r="G2777" s="52">
        <v>4</v>
      </c>
      <c r="H2777" s="90" t="s">
        <v>115</v>
      </c>
      <c r="I2777" s="94" t="s">
        <v>77</v>
      </c>
      <c r="J2777" s="87" t="s">
        <v>1614</v>
      </c>
      <c r="K2777" s="102" t="s">
        <v>2565</v>
      </c>
      <c r="L2777" s="117">
        <f>IF(O2777="","",N2777*O2777*M2777)</f>
        <v>0</v>
      </c>
      <c r="M2777" s="108">
        <v>1</v>
      </c>
      <c r="N2777" s="95">
        <v>1</v>
      </c>
      <c r="O2777" s="109">
        <f>IF(Key!D$1="ON",P2777,IF(SUM(Q2777:DL2777)&lt;1,"",SUM(Q2777:DL2777)/COUNTIF(Q2777:DL2777,"&gt;0")))</f>
        <v>0</v>
      </c>
      <c r="P2777" s="109">
        <f>SUMIFS(Q2777:DK2777,Q$1:DK$1,Dashboard!$K$31)</f>
        <v>0</v>
      </c>
      <c r="U2777" s="95">
        <v>33</v>
      </c>
      <c r="AA2777" s="95">
        <v>25</v>
      </c>
      <c r="AH2777" s="95">
        <v>75</v>
      </c>
    </row>
    <row r="2778" spans="1:34" x14ac:dyDescent="0.3">
      <c r="A2778" s="89" t="str">
        <f>CONCATENATE(D2778,".",F2778,"-",G2778,".",H2778,"")</f>
        <v>2.4-4.1</v>
      </c>
      <c r="B2778" s="89" t="str">
        <f>IF(CONCATENATE(I2778,Key!F$2)=CONCATENATE(INDEX(Dashboard!J:J,MATCH(I2778,Dashboard!J:J,0),1),INDEX(Dashboard!J:K,MATCH(I2778,Dashboard!J:J,0),2)),"ON",IF(Dashboard!K$32="ALL","ON","-"))</f>
        <v>-</v>
      </c>
      <c r="C2778" s="96" t="s">
        <v>152</v>
      </c>
      <c r="D2778" s="89">
        <f>IF(C2778="ID",1,(IF(C2778="PR",2,(IF(C2778="DE",3,(IF(C2778="RS",4,(IF(C2778="RC",5,0)))))))))</f>
        <v>2</v>
      </c>
      <c r="E2778" s="89" t="s">
        <v>228</v>
      </c>
      <c r="F2778" s="89">
        <f>IF(E2778="AM",1,(IF(E2778="BE",2,(IF(E2778="GV",3,(IF(E2778="RA",4,(IF(E2778="RM",5,(IF(E2778="AC",1,(IF(E2778="AT",2,(IF(E2778="DS",3,(IF(E2778="IP",4,(IF(E2778="MA",5,(IF(E2778="PT",6,(IF(E2778="AE",1,(IF(E2778="CM",2,(IF(E2778="DP",3,(IF(E2778="AN",1,(IF(E2778="CO",2,(IF(E2778="IM",3,(IF(E2778="MI",4,(IF(E2778="RP",5,(IF(E2778="SC",6,0)))))))))))))))))))))))))))))))))))))))</f>
        <v>4</v>
      </c>
      <c r="G2778" s="98">
        <v>4</v>
      </c>
      <c r="H2778" s="90" t="s">
        <v>115</v>
      </c>
      <c r="I2778" s="94" t="s">
        <v>77</v>
      </c>
      <c r="J2778" s="87" t="s">
        <v>1615</v>
      </c>
      <c r="K2778" s="102" t="s">
        <v>2566</v>
      </c>
      <c r="L2778" s="117">
        <f>IF(O2778="","",N2778*O2778*M2778)</f>
        <v>0</v>
      </c>
      <c r="M2778" s="108">
        <v>1</v>
      </c>
      <c r="N2778" s="95">
        <v>1</v>
      </c>
      <c r="O2778" s="109">
        <f>IF(Key!D$1="ON",P2778,IF(SUM(Q2778:DL2778)&lt;1,"",SUM(Q2778:DL2778)/COUNTIF(Q2778:DL2778,"&gt;0")))</f>
        <v>0</v>
      </c>
      <c r="P2778" s="109">
        <f>SUMIFS(Q2778:DK2778,Q$1:DK$1,Dashboard!$K$31)</f>
        <v>0</v>
      </c>
      <c r="U2778" s="95">
        <v>33</v>
      </c>
      <c r="AA2778" s="95">
        <v>25</v>
      </c>
      <c r="AH2778" s="95">
        <v>75</v>
      </c>
    </row>
    <row r="2779" spans="1:34" x14ac:dyDescent="0.3">
      <c r="A2779" s="89" t="str">
        <f>CONCATENATE(D2779,".",F2779,"-",G2779,".",H2779,"")</f>
        <v>2.4-4.1</v>
      </c>
      <c r="B2779" s="89" t="str">
        <f>IF(CONCATENATE(I2779,Key!F$2)=CONCATENATE(INDEX(Dashboard!J:J,MATCH(I2779,Dashboard!J:J,0),1),INDEX(Dashboard!J:K,MATCH(I2779,Dashboard!J:J,0),2)),"ON",IF(Dashboard!K$32="ALL","ON","-"))</f>
        <v>-</v>
      </c>
      <c r="C2779" s="88" t="s">
        <v>152</v>
      </c>
      <c r="D2779" s="89">
        <f>IF(C2779="ID",1,(IF(C2779="PR",2,(IF(C2779="DE",3,(IF(C2779="RS",4,(IF(C2779="RC",5,0)))))))))</f>
        <v>2</v>
      </c>
      <c r="E2779" s="89" t="s">
        <v>228</v>
      </c>
      <c r="F2779" s="89">
        <f>IF(E2779="AM",1,(IF(E2779="BE",2,(IF(E2779="GV",3,(IF(E2779="RA",4,(IF(E2779="RM",5,(IF(E2779="AC",1,(IF(E2779="AT",2,(IF(E2779="DS",3,(IF(E2779="IP",4,(IF(E2779="MA",5,(IF(E2779="PT",6,(IF(E2779="AE",1,(IF(E2779="CM",2,(IF(E2779="DP",3,(IF(E2779="AN",1,(IF(E2779="CO",2,(IF(E2779="IM",3,(IF(E2779="MI",4,(IF(E2779="RP",5,(IF(E2779="SC",6,0)))))))))))))))))))))))))))))))))))))))</f>
        <v>4</v>
      </c>
      <c r="G2779" s="52">
        <v>4</v>
      </c>
      <c r="H2779" s="90" t="s">
        <v>115</v>
      </c>
      <c r="I2779" s="94" t="s">
        <v>77</v>
      </c>
      <c r="J2779" s="87" t="s">
        <v>1617</v>
      </c>
      <c r="K2779" s="102" t="s">
        <v>2567</v>
      </c>
      <c r="L2779" s="117">
        <f>IF(O2779="","",N2779*O2779*M2779)</f>
        <v>0</v>
      </c>
      <c r="M2779" s="108">
        <v>1</v>
      </c>
      <c r="N2779" s="95">
        <v>1</v>
      </c>
      <c r="O2779" s="109">
        <f>IF(Key!D$1="ON",P2779,IF(SUM(Q2779:DL2779)&lt;1,"",SUM(Q2779:DL2779)/COUNTIF(Q2779:DL2779,"&gt;0")))</f>
        <v>0</v>
      </c>
      <c r="P2779" s="109">
        <f>SUMIFS(Q2779:DK2779,Q$1:DK$1,Dashboard!$K$31)</f>
        <v>0</v>
      </c>
      <c r="U2779" s="95">
        <v>33</v>
      </c>
      <c r="AA2779" s="95">
        <v>25</v>
      </c>
      <c r="AH2779" s="95">
        <v>75</v>
      </c>
    </row>
    <row r="2780" spans="1:34" x14ac:dyDescent="0.3">
      <c r="A2780" s="89" t="str">
        <f>CONCATENATE(D2780,".",F2780,"-",G2780,".",H2780,"")</f>
        <v>2.4-4.1</v>
      </c>
      <c r="B2780" s="89" t="str">
        <f>IF(CONCATENATE(I2780,Key!F$2)=CONCATENATE(INDEX(Dashboard!J:J,MATCH(I2780,Dashboard!J:J,0),1),INDEX(Dashboard!J:K,MATCH(I2780,Dashboard!J:J,0),2)),"ON",IF(Dashboard!K$32="ALL","ON","-"))</f>
        <v>-</v>
      </c>
      <c r="C2780" s="88" t="s">
        <v>152</v>
      </c>
      <c r="D2780" s="89">
        <f>IF(C2780="ID",1,(IF(C2780="PR",2,(IF(C2780="DE",3,(IF(C2780="RS",4,(IF(C2780="RC",5,0)))))))))</f>
        <v>2</v>
      </c>
      <c r="E2780" s="89" t="s">
        <v>228</v>
      </c>
      <c r="F2780" s="89">
        <f>IF(E2780="AM",1,(IF(E2780="BE",2,(IF(E2780="GV",3,(IF(E2780="RA",4,(IF(E2780="RM",5,(IF(E2780="AC",1,(IF(E2780="AT",2,(IF(E2780="DS",3,(IF(E2780="IP",4,(IF(E2780="MA",5,(IF(E2780="PT",6,(IF(E2780="AE",1,(IF(E2780="CM",2,(IF(E2780="DP",3,(IF(E2780="AN",1,(IF(E2780="CO",2,(IF(E2780="IM",3,(IF(E2780="MI",4,(IF(E2780="RP",5,(IF(E2780="SC",6,0)))))))))))))))))))))))))))))))))))))))</f>
        <v>4</v>
      </c>
      <c r="G2780" s="52">
        <v>4</v>
      </c>
      <c r="H2780" s="90" t="s">
        <v>115</v>
      </c>
      <c r="I2780" s="94" t="s">
        <v>77</v>
      </c>
      <c r="J2780" s="87" t="s">
        <v>1618</v>
      </c>
      <c r="K2780" s="102" t="s">
        <v>2568</v>
      </c>
      <c r="L2780" s="117">
        <f>IF(O2780="","",N2780*O2780*M2780)</f>
        <v>0</v>
      </c>
      <c r="M2780" s="108">
        <v>1</v>
      </c>
      <c r="N2780" s="95">
        <v>1</v>
      </c>
      <c r="O2780" s="109">
        <f>IF(Key!D$1="ON",P2780,IF(SUM(Q2780:DL2780)&lt;1,"",SUM(Q2780:DL2780)/COUNTIF(Q2780:DL2780,"&gt;0")))</f>
        <v>0</v>
      </c>
      <c r="P2780" s="109">
        <f>SUMIFS(Q2780:DK2780,Q$1:DK$1,Dashboard!$K$31)</f>
        <v>0</v>
      </c>
      <c r="U2780" s="95">
        <v>33</v>
      </c>
      <c r="AA2780" s="95">
        <v>25</v>
      </c>
      <c r="AH2780" s="95">
        <v>75</v>
      </c>
    </row>
    <row r="2781" spans="1:34" x14ac:dyDescent="0.3">
      <c r="A2781" s="89" t="str">
        <f>CONCATENATE(D2781,".",F2781,"-",G2781,".",H2781,"")</f>
        <v>2.4-4.1</v>
      </c>
      <c r="B2781" s="89" t="str">
        <f>IF(CONCATENATE(I2781,Key!F$2)=CONCATENATE(INDEX(Dashboard!J:J,MATCH(I2781,Dashboard!J:J,0),1),INDEX(Dashboard!J:K,MATCH(I2781,Dashboard!J:J,0),2)),"ON",IF(Dashboard!K$32="ALL","ON","-"))</f>
        <v>-</v>
      </c>
      <c r="C2781" s="88" t="s">
        <v>152</v>
      </c>
      <c r="D2781" s="89">
        <f>IF(C2781="ID",1,(IF(C2781="PR",2,(IF(C2781="DE",3,(IF(C2781="RS",4,(IF(C2781="RC",5,0)))))))))</f>
        <v>2</v>
      </c>
      <c r="E2781" s="89" t="s">
        <v>228</v>
      </c>
      <c r="F2781" s="89">
        <f>IF(E2781="AM",1,(IF(E2781="BE",2,(IF(E2781="GV",3,(IF(E2781="RA",4,(IF(E2781="RM",5,(IF(E2781="AC",1,(IF(E2781="AT",2,(IF(E2781="DS",3,(IF(E2781="IP",4,(IF(E2781="MA",5,(IF(E2781="PT",6,(IF(E2781="AE",1,(IF(E2781="CM",2,(IF(E2781="DP",3,(IF(E2781="AN",1,(IF(E2781="CO",2,(IF(E2781="IM",3,(IF(E2781="MI",4,(IF(E2781="RP",5,(IF(E2781="SC",6,0)))))))))))))))))))))))))))))))))))))))</f>
        <v>4</v>
      </c>
      <c r="G2781" s="52">
        <v>4</v>
      </c>
      <c r="H2781" s="90" t="s">
        <v>115</v>
      </c>
      <c r="I2781" s="94" t="s">
        <v>77</v>
      </c>
      <c r="J2781" s="87" t="s">
        <v>1619</v>
      </c>
      <c r="K2781" s="102" t="s">
        <v>2569</v>
      </c>
      <c r="L2781" s="117">
        <f>IF(O2781="","",N2781*O2781*M2781)</f>
        <v>0</v>
      </c>
      <c r="M2781" s="108">
        <v>1</v>
      </c>
      <c r="N2781" s="95">
        <v>1</v>
      </c>
      <c r="O2781" s="109">
        <f>IF(Key!D$1="ON",P2781,IF(SUM(Q2781:DL2781)&lt;1,"",SUM(Q2781:DL2781)/COUNTIF(Q2781:DL2781,"&gt;0")))</f>
        <v>0</v>
      </c>
      <c r="P2781" s="109">
        <f>SUMIFS(Q2781:DK2781,Q$1:DK$1,Dashboard!$K$31)</f>
        <v>0</v>
      </c>
      <c r="U2781" s="95">
        <v>33</v>
      </c>
      <c r="AA2781" s="95">
        <v>25</v>
      </c>
      <c r="AH2781" s="95">
        <v>75</v>
      </c>
    </row>
    <row r="2782" spans="1:34" x14ac:dyDescent="0.3">
      <c r="A2782" s="89" t="str">
        <f>CONCATENATE(D2782,".",F2782,"-",G2782,".",H2782,"")</f>
        <v>2.4-4.1</v>
      </c>
      <c r="B2782" s="89" t="str">
        <f>IF(CONCATENATE(I2782,Key!F$2)=CONCATENATE(INDEX(Dashboard!J:J,MATCH(I2782,Dashboard!J:J,0),1),INDEX(Dashboard!J:K,MATCH(I2782,Dashboard!J:J,0),2)),"ON",IF(Dashboard!K$32="ALL","ON","-"))</f>
        <v>-</v>
      </c>
      <c r="C2782" s="88" t="s">
        <v>152</v>
      </c>
      <c r="D2782" s="89">
        <f>IF(C2782="ID",1,(IF(C2782="PR",2,(IF(C2782="DE",3,(IF(C2782="RS",4,(IF(C2782="RC",5,0)))))))))</f>
        <v>2</v>
      </c>
      <c r="E2782" s="89" t="s">
        <v>228</v>
      </c>
      <c r="F2782" s="89">
        <f>IF(E2782="AM",1,(IF(E2782="BE",2,(IF(E2782="GV",3,(IF(E2782="RA",4,(IF(E2782="RM",5,(IF(E2782="AC",1,(IF(E2782="AT",2,(IF(E2782="DS",3,(IF(E2782="IP",4,(IF(E2782="MA",5,(IF(E2782="PT",6,(IF(E2782="AE",1,(IF(E2782="CM",2,(IF(E2782="DP",3,(IF(E2782="AN",1,(IF(E2782="CO",2,(IF(E2782="IM",3,(IF(E2782="MI",4,(IF(E2782="RP",5,(IF(E2782="SC",6,0)))))))))))))))))))))))))))))))))))))))</f>
        <v>4</v>
      </c>
      <c r="G2782" s="52">
        <v>4</v>
      </c>
      <c r="H2782" s="90" t="s">
        <v>115</v>
      </c>
      <c r="I2782" s="94" t="s">
        <v>77</v>
      </c>
      <c r="J2782" s="87" t="s">
        <v>1620</v>
      </c>
      <c r="K2782" s="102" t="s">
        <v>2570</v>
      </c>
      <c r="L2782" s="117">
        <f>IF(O2782="","",N2782*O2782*M2782)</f>
        <v>0</v>
      </c>
      <c r="M2782" s="108">
        <v>1</v>
      </c>
      <c r="N2782" s="95">
        <v>1</v>
      </c>
      <c r="O2782" s="109">
        <f>IF(Key!D$1="ON",P2782,IF(SUM(Q2782:DL2782)&lt;1,"",SUM(Q2782:DL2782)/COUNTIF(Q2782:DL2782,"&gt;0")))</f>
        <v>0</v>
      </c>
      <c r="P2782" s="109">
        <f>SUMIFS(Q2782:DK2782,Q$1:DK$1,Dashboard!$K$31)</f>
        <v>0</v>
      </c>
      <c r="U2782" s="95">
        <v>33</v>
      </c>
      <c r="AA2782" s="95">
        <v>25</v>
      </c>
      <c r="AH2782" s="95">
        <v>75</v>
      </c>
    </row>
    <row r="2783" spans="1:34" x14ac:dyDescent="0.3">
      <c r="A2783" s="89" t="str">
        <f>CONCATENATE(D2783,".",F2783,"-",G2783,".",H2783,"")</f>
        <v>2.4-4.1</v>
      </c>
      <c r="B2783" s="89" t="str">
        <f>IF(CONCATENATE(I2783,Key!F$2)=CONCATENATE(INDEX(Dashboard!J:J,MATCH(I2783,Dashboard!J:J,0),1),INDEX(Dashboard!J:K,MATCH(I2783,Dashboard!J:J,0),2)),"ON",IF(Dashboard!K$32="ALL","ON","-"))</f>
        <v>-</v>
      </c>
      <c r="C2783" s="88" t="s">
        <v>152</v>
      </c>
      <c r="D2783" s="89">
        <f>IF(C2783="ID",1,(IF(C2783="PR",2,(IF(C2783="DE",3,(IF(C2783="RS",4,(IF(C2783="RC",5,0)))))))))</f>
        <v>2</v>
      </c>
      <c r="E2783" s="89" t="s">
        <v>228</v>
      </c>
      <c r="F2783" s="89">
        <f>IF(E2783="AM",1,(IF(E2783="BE",2,(IF(E2783="GV",3,(IF(E2783="RA",4,(IF(E2783="RM",5,(IF(E2783="AC",1,(IF(E2783="AT",2,(IF(E2783="DS",3,(IF(E2783="IP",4,(IF(E2783="MA",5,(IF(E2783="PT",6,(IF(E2783="AE",1,(IF(E2783="CM",2,(IF(E2783="DP",3,(IF(E2783="AN",1,(IF(E2783="CO",2,(IF(E2783="IM",3,(IF(E2783="MI",4,(IF(E2783="RP",5,(IF(E2783="SC",6,0)))))))))))))))))))))))))))))))))))))))</f>
        <v>4</v>
      </c>
      <c r="G2783" s="52">
        <v>4</v>
      </c>
      <c r="H2783" s="90" t="s">
        <v>115</v>
      </c>
      <c r="I2783" s="94" t="s">
        <v>77</v>
      </c>
      <c r="J2783" s="87" t="s">
        <v>1621</v>
      </c>
      <c r="K2783" s="102" t="s">
        <v>2571</v>
      </c>
      <c r="L2783" s="117">
        <f>IF(O2783="","",N2783*O2783*M2783)</f>
        <v>0</v>
      </c>
      <c r="M2783" s="108">
        <v>1</v>
      </c>
      <c r="N2783" s="95">
        <v>1</v>
      </c>
      <c r="O2783" s="109">
        <f>IF(Key!D$1="ON",P2783,IF(SUM(Q2783:DL2783)&lt;1,"",SUM(Q2783:DL2783)/COUNTIF(Q2783:DL2783,"&gt;0")))</f>
        <v>0</v>
      </c>
      <c r="P2783" s="109">
        <f>SUMIFS(Q2783:DK2783,Q$1:DK$1,Dashboard!$K$31)</f>
        <v>0</v>
      </c>
      <c r="U2783" s="95">
        <v>33</v>
      </c>
      <c r="AA2783" s="95">
        <v>25</v>
      </c>
      <c r="AH2783" s="95">
        <v>75</v>
      </c>
    </row>
    <row r="2784" spans="1:34" x14ac:dyDescent="0.3">
      <c r="A2784" s="89" t="str">
        <f>CONCATENATE(D2784,".",F2784,"-",G2784,".",H2784,"")</f>
        <v>2.4-4.1</v>
      </c>
      <c r="B2784" s="89" t="str">
        <f>IF(CONCATENATE(I2784,Key!F$2)=CONCATENATE(INDEX(Dashboard!J:J,MATCH(I2784,Dashboard!J:J,0),1),INDEX(Dashboard!J:K,MATCH(I2784,Dashboard!J:J,0),2)),"ON",IF(Dashboard!K$32="ALL","ON","-"))</f>
        <v>-</v>
      </c>
      <c r="C2784" s="88" t="s">
        <v>152</v>
      </c>
      <c r="D2784" s="89">
        <f>IF(C2784="ID",1,(IF(C2784="PR",2,(IF(C2784="DE",3,(IF(C2784="RS",4,(IF(C2784="RC",5,0)))))))))</f>
        <v>2</v>
      </c>
      <c r="E2784" s="89" t="s">
        <v>228</v>
      </c>
      <c r="F2784" s="89">
        <f>IF(E2784="AM",1,(IF(E2784="BE",2,(IF(E2784="GV",3,(IF(E2784="RA",4,(IF(E2784="RM",5,(IF(E2784="AC",1,(IF(E2784="AT",2,(IF(E2784="DS",3,(IF(E2784="IP",4,(IF(E2784="MA",5,(IF(E2784="PT",6,(IF(E2784="AE",1,(IF(E2784="CM",2,(IF(E2784="DP",3,(IF(E2784="AN",1,(IF(E2784="CO",2,(IF(E2784="IM",3,(IF(E2784="MI",4,(IF(E2784="RP",5,(IF(E2784="SC",6,0)))))))))))))))))))))))))))))))))))))))</f>
        <v>4</v>
      </c>
      <c r="G2784" s="52">
        <v>4</v>
      </c>
      <c r="H2784" s="90" t="s">
        <v>115</v>
      </c>
      <c r="I2784" s="94" t="s">
        <v>77</v>
      </c>
      <c r="J2784" s="87" t="s">
        <v>1622</v>
      </c>
      <c r="K2784" s="102" t="s">
        <v>2572</v>
      </c>
      <c r="L2784" s="117">
        <f>IF(O2784="","",N2784*O2784*M2784)</f>
        <v>0</v>
      </c>
      <c r="M2784" s="108">
        <v>1</v>
      </c>
      <c r="N2784" s="95">
        <v>1</v>
      </c>
      <c r="O2784" s="109">
        <f>IF(Key!D$1="ON",P2784,IF(SUM(Q2784:DL2784)&lt;1,"",SUM(Q2784:DL2784)/COUNTIF(Q2784:DL2784,"&gt;0")))</f>
        <v>0</v>
      </c>
      <c r="P2784" s="109">
        <f>SUMIFS(Q2784:DK2784,Q$1:DK$1,Dashboard!$K$31)</f>
        <v>0</v>
      </c>
      <c r="U2784" s="95">
        <v>33</v>
      </c>
      <c r="AA2784" s="95">
        <v>25</v>
      </c>
      <c r="AH2784" s="95">
        <v>75</v>
      </c>
    </row>
    <row r="2785" spans="1:34" ht="15.6" x14ac:dyDescent="0.3">
      <c r="A2785" s="89" t="str">
        <f>CONCATENATE(D2785,".",F2785,"-",G2785,".",H2785,"")</f>
        <v>2.4-4.1</v>
      </c>
      <c r="B2785" s="89" t="str">
        <f>IF(CONCATENATE(I2785,Key!F$2)=CONCATENATE(INDEX(Dashboard!J:J,MATCH(I2785,Dashboard!J:J,0),1),INDEX(Dashboard!J:K,MATCH(I2785,Dashboard!J:J,0),2)),"ON",IF(Dashboard!K$32="ALL","ON","-"))</f>
        <v>-</v>
      </c>
      <c r="C2785" s="88" t="s">
        <v>152</v>
      </c>
      <c r="D2785" s="89">
        <f>IF(C2785="ID",1,(IF(C2785="PR",2,(IF(C2785="DE",3,(IF(C2785="RS",4,(IF(C2785="RC",5,0)))))))))</f>
        <v>2</v>
      </c>
      <c r="E2785" s="89" t="s">
        <v>228</v>
      </c>
      <c r="F2785" s="89">
        <f>IF(E2785="AM",1,(IF(E2785="BE",2,(IF(E2785="GV",3,(IF(E2785="RA",4,(IF(E2785="RM",5,(IF(E2785="AC",1,(IF(E2785="AT",2,(IF(E2785="DS",3,(IF(E2785="IP",4,(IF(E2785="MA",5,(IF(E2785="PT",6,(IF(E2785="AE",1,(IF(E2785="CM",2,(IF(E2785="DP",3,(IF(E2785="AN",1,(IF(E2785="CO",2,(IF(E2785="IM",3,(IF(E2785="MI",4,(IF(E2785="RP",5,(IF(E2785="SC",6,0)))))))))))))))))))))))))))))))))))))))</f>
        <v>4</v>
      </c>
      <c r="G2785" s="52">
        <v>4</v>
      </c>
      <c r="H2785" s="90" t="s">
        <v>115</v>
      </c>
      <c r="I2785" s="94" t="s">
        <v>85</v>
      </c>
      <c r="J2785" s="87" t="s">
        <v>1614</v>
      </c>
      <c r="K2785" s="119" t="s">
        <v>4723</v>
      </c>
      <c r="L2785" s="117">
        <f>IF(O2785="","",N2785*O2785*M2785)</f>
        <v>0</v>
      </c>
      <c r="M2785" s="108">
        <v>1</v>
      </c>
      <c r="N2785" s="95">
        <v>1</v>
      </c>
      <c r="O2785" s="109">
        <f>IF(Key!D$1="ON",P2785,IF(SUM(Q2785:DL2785)&lt;1,"",SUM(Q2785:DL2785)/COUNTIF(Q2785:DL2785,"&gt;0")))</f>
        <v>0</v>
      </c>
      <c r="P2785" s="109">
        <f>SUMIFS(Q2785:DK2785,Q$1:DK$1,Dashboard!$K$31)</f>
        <v>0</v>
      </c>
      <c r="U2785" s="95">
        <v>33</v>
      </c>
      <c r="AA2785" s="95">
        <v>25</v>
      </c>
      <c r="AH2785" s="95">
        <v>75</v>
      </c>
    </row>
    <row r="2786" spans="1:34" x14ac:dyDescent="0.3">
      <c r="A2786" s="89" t="str">
        <f>CONCATENATE(D2786,".",F2786,"-",G2786,".",H2786,"")</f>
        <v>2.4-4.1</v>
      </c>
      <c r="B2786" s="89" t="str">
        <f>IF(CONCATENATE(I2786,Key!F$2)=CONCATENATE(INDEX(Dashboard!J:J,MATCH(I2786,Dashboard!J:J,0),1),INDEX(Dashboard!J:K,MATCH(I2786,Dashboard!J:J,0),2)),"ON",IF(Dashboard!K$32="ALL","ON","-"))</f>
        <v>-</v>
      </c>
      <c r="C2786" s="96" t="s">
        <v>152</v>
      </c>
      <c r="D2786" s="89">
        <f>IF(C2786="ID",1,(IF(C2786="PR",2,(IF(C2786="DE",3,(IF(C2786="RS",4,(IF(C2786="RC",5,0)))))))))</f>
        <v>2</v>
      </c>
      <c r="E2786" s="89" t="s">
        <v>228</v>
      </c>
      <c r="F2786" s="89">
        <f>IF(E2786="AM",1,(IF(E2786="BE",2,(IF(E2786="GV",3,(IF(E2786="RA",4,(IF(E2786="RM",5,(IF(E2786="AC",1,(IF(E2786="AT",2,(IF(E2786="DS",3,(IF(E2786="IP",4,(IF(E2786="MA",5,(IF(E2786="PT",6,(IF(E2786="AE",1,(IF(E2786="CM",2,(IF(E2786="DP",3,(IF(E2786="AN",1,(IF(E2786="CO",2,(IF(E2786="IM",3,(IF(E2786="MI",4,(IF(E2786="RP",5,(IF(E2786="SC",6,0)))))))))))))))))))))))))))))))))))))))</f>
        <v>4</v>
      </c>
      <c r="G2786" s="98">
        <v>4</v>
      </c>
      <c r="H2786" s="90" t="s">
        <v>115</v>
      </c>
      <c r="I2786" s="94" t="s">
        <v>85</v>
      </c>
      <c r="J2786" s="87" t="s">
        <v>1610</v>
      </c>
      <c r="K2786" s="119" t="s">
        <v>1611</v>
      </c>
      <c r="L2786" s="117">
        <f>IF(O2786="","",N2786*O2786*M2786)</f>
        <v>0</v>
      </c>
      <c r="M2786" s="108">
        <v>1</v>
      </c>
      <c r="N2786" s="95">
        <v>1</v>
      </c>
      <c r="O2786" s="109">
        <f>IF(Key!D$1="ON",P2786,IF(SUM(Q2786:DL2786)&lt;1,"",SUM(Q2786:DL2786)/COUNTIF(Q2786:DL2786,"&gt;0")))</f>
        <v>0</v>
      </c>
      <c r="P2786" s="109">
        <f>SUMIFS(Q2786:DK2786,Q$1:DK$1,Dashboard!$K$31)</f>
        <v>0</v>
      </c>
      <c r="U2786" s="95">
        <v>33</v>
      </c>
      <c r="AA2786" s="95">
        <v>25</v>
      </c>
      <c r="AH2786" s="95">
        <v>75</v>
      </c>
    </row>
    <row r="2787" spans="1:34" x14ac:dyDescent="0.3">
      <c r="A2787" s="89" t="str">
        <f>CONCATENATE(D2787,".",F2787,"-",G2787,".",H2787,"")</f>
        <v>2.4-4.1</v>
      </c>
      <c r="B2787" s="89" t="str">
        <f>IF(CONCATENATE(I2787,Key!F$2)=CONCATENATE(INDEX(Dashboard!J:J,MATCH(I2787,Dashboard!J:J,0),1),INDEX(Dashboard!J:K,MATCH(I2787,Dashboard!J:J,0),2)),"ON",IF(Dashboard!K$32="ALL","ON","-"))</f>
        <v>-</v>
      </c>
      <c r="C2787" s="88" t="s">
        <v>152</v>
      </c>
      <c r="D2787" s="89">
        <f>IF(C2787="ID",1,(IF(C2787="PR",2,(IF(C2787="DE",3,(IF(C2787="RS",4,(IF(C2787="RC",5,0)))))))))</f>
        <v>2</v>
      </c>
      <c r="E2787" s="89" t="s">
        <v>228</v>
      </c>
      <c r="F2787" s="89">
        <f>IF(E2787="AM",1,(IF(E2787="BE",2,(IF(E2787="GV",3,(IF(E2787="RA",4,(IF(E2787="RM",5,(IF(E2787="AC",1,(IF(E2787="AT",2,(IF(E2787="DS",3,(IF(E2787="IP",4,(IF(E2787="MA",5,(IF(E2787="PT",6,(IF(E2787="AE",1,(IF(E2787="CM",2,(IF(E2787="DP",3,(IF(E2787="AN",1,(IF(E2787="CO",2,(IF(E2787="IM",3,(IF(E2787="MI",4,(IF(E2787="RP",5,(IF(E2787="SC",6,0)))))))))))))))))))))))))))))))))))))))</f>
        <v>4</v>
      </c>
      <c r="G2787" s="52">
        <v>4</v>
      </c>
      <c r="H2787" s="90" t="s">
        <v>115</v>
      </c>
      <c r="I2787" s="94" t="s">
        <v>85</v>
      </c>
      <c r="J2787" s="87" t="s">
        <v>1622</v>
      </c>
      <c r="K2787" s="119" t="s">
        <v>4500</v>
      </c>
      <c r="L2787" s="117">
        <f>IF(O2787="","",N2787*O2787*M2787)</f>
        <v>0</v>
      </c>
      <c r="M2787" s="108">
        <v>1</v>
      </c>
      <c r="N2787" s="95">
        <v>1</v>
      </c>
      <c r="O2787" s="109">
        <f>IF(Key!D$1="ON",P2787,IF(SUM(Q2787:DL2787)&lt;1,"",SUM(Q2787:DL2787)/COUNTIF(Q2787:DL2787,"&gt;0")))</f>
        <v>0</v>
      </c>
      <c r="P2787" s="109">
        <f>SUMIFS(Q2787:DK2787,Q$1:DK$1,Dashboard!$K$31)</f>
        <v>0</v>
      </c>
      <c r="U2787" s="95">
        <v>33</v>
      </c>
      <c r="AA2787" s="95">
        <v>25</v>
      </c>
      <c r="AH2787" s="95">
        <v>75</v>
      </c>
    </row>
    <row r="2788" spans="1:34" ht="15.6" x14ac:dyDescent="0.3">
      <c r="A2788" s="89" t="str">
        <f>CONCATENATE(D2788,".",F2788,"-",G2788,".",H2788,"")</f>
        <v>2.4-4.1</v>
      </c>
      <c r="B2788" s="89" t="str">
        <f>IF(CONCATENATE(I2788,Key!F$2)=CONCATENATE(INDEX(Dashboard!J:J,MATCH(I2788,Dashboard!J:J,0),1),INDEX(Dashboard!J:K,MATCH(I2788,Dashboard!J:J,0),2)),"ON",IF(Dashboard!K$32="ALL","ON","-"))</f>
        <v>-</v>
      </c>
      <c r="C2788" s="88" t="s">
        <v>152</v>
      </c>
      <c r="D2788" s="89">
        <f>IF(C2788="ID",1,(IF(C2788="PR",2,(IF(C2788="DE",3,(IF(C2788="RS",4,(IF(C2788="RC",5,0)))))))))</f>
        <v>2</v>
      </c>
      <c r="E2788" s="89" t="s">
        <v>228</v>
      </c>
      <c r="F2788" s="89">
        <f>IF(E2788="AM",1,(IF(E2788="BE",2,(IF(E2788="GV",3,(IF(E2788="RA",4,(IF(E2788="RM",5,(IF(E2788="AC",1,(IF(E2788="AT",2,(IF(E2788="DS",3,(IF(E2788="IP",4,(IF(E2788="MA",5,(IF(E2788="PT",6,(IF(E2788="AE",1,(IF(E2788="CM",2,(IF(E2788="DP",3,(IF(E2788="AN",1,(IF(E2788="CO",2,(IF(E2788="IM",3,(IF(E2788="MI",4,(IF(E2788="RP",5,(IF(E2788="SC",6,0)))))))))))))))))))))))))))))))))))))))</f>
        <v>4</v>
      </c>
      <c r="G2788" s="52">
        <v>4</v>
      </c>
      <c r="H2788" s="90" t="s">
        <v>115</v>
      </c>
      <c r="I2788" s="94" t="s">
        <v>85</v>
      </c>
      <c r="J2788" s="87" t="s">
        <v>1608</v>
      </c>
      <c r="K2788" s="119" t="s">
        <v>4634</v>
      </c>
      <c r="L2788" s="117">
        <f>IF(O2788="","",N2788*O2788*M2788)</f>
        <v>0</v>
      </c>
      <c r="M2788" s="108">
        <v>1</v>
      </c>
      <c r="N2788" s="95">
        <v>1</v>
      </c>
      <c r="O2788" s="109">
        <f>IF(Key!D$1="ON",P2788,IF(SUM(Q2788:DL2788)&lt;1,"",SUM(Q2788:DL2788)/COUNTIF(Q2788:DL2788,"&gt;0")))</f>
        <v>0</v>
      </c>
      <c r="P2788" s="109">
        <f>SUMIFS(Q2788:DK2788,Q$1:DK$1,Dashboard!$K$31)</f>
        <v>0</v>
      </c>
      <c r="U2788" s="95">
        <v>33</v>
      </c>
      <c r="AA2788" s="95">
        <v>25</v>
      </c>
      <c r="AH2788" s="95">
        <v>75</v>
      </c>
    </row>
    <row r="2789" spans="1:34" x14ac:dyDescent="0.3">
      <c r="A2789" s="89" t="str">
        <f>CONCATENATE(D2789,".",F2789,"-",G2789,".",H2789,"")</f>
        <v>2.4-4.1</v>
      </c>
      <c r="B2789" s="89" t="str">
        <f>IF(CONCATENATE(I2789,Key!F$2)=CONCATENATE(INDEX(Dashboard!J:J,MATCH(I2789,Dashboard!J:J,0),1),INDEX(Dashboard!J:K,MATCH(I2789,Dashboard!J:J,0),2)),"ON",IF(Dashboard!K$32="ALL","ON","-"))</f>
        <v>-</v>
      </c>
      <c r="C2789" s="88" t="s">
        <v>152</v>
      </c>
      <c r="D2789" s="89">
        <f>IF(C2789="ID",1,(IF(C2789="PR",2,(IF(C2789="DE",3,(IF(C2789="RS",4,(IF(C2789="RC",5,0)))))))))</f>
        <v>2</v>
      </c>
      <c r="E2789" s="89" t="s">
        <v>228</v>
      </c>
      <c r="F2789" s="89">
        <f>IF(E2789="AM",1,(IF(E2789="BE",2,(IF(E2789="GV",3,(IF(E2789="RA",4,(IF(E2789="RM",5,(IF(E2789="AC",1,(IF(E2789="AT",2,(IF(E2789="DS",3,(IF(E2789="IP",4,(IF(E2789="MA",5,(IF(E2789="PT",6,(IF(E2789="AE",1,(IF(E2789="CM",2,(IF(E2789="DP",3,(IF(E2789="AN",1,(IF(E2789="CO",2,(IF(E2789="IM",3,(IF(E2789="MI",4,(IF(E2789="RP",5,(IF(E2789="SC",6,0)))))))))))))))))))))))))))))))))))))))</f>
        <v>4</v>
      </c>
      <c r="G2789" s="52">
        <v>4</v>
      </c>
      <c r="H2789" s="90" t="s">
        <v>115</v>
      </c>
      <c r="I2789" s="94" t="s">
        <v>85</v>
      </c>
      <c r="J2789" s="87" t="s">
        <v>1613</v>
      </c>
      <c r="K2789" s="119" t="s">
        <v>4722</v>
      </c>
      <c r="L2789" s="117">
        <f>IF(O2789="","",N2789*O2789*M2789)</f>
        <v>0</v>
      </c>
      <c r="M2789" s="108">
        <v>1</v>
      </c>
      <c r="N2789" s="95">
        <v>1</v>
      </c>
      <c r="O2789" s="109">
        <f>IF(Key!D$1="ON",P2789,IF(SUM(Q2789:DL2789)&lt;1,"",SUM(Q2789:DL2789)/COUNTIF(Q2789:DL2789,"&gt;0")))</f>
        <v>0</v>
      </c>
      <c r="P2789" s="109">
        <f>SUMIFS(Q2789:DK2789,Q$1:DK$1,Dashboard!$K$31)</f>
        <v>0</v>
      </c>
      <c r="U2789" s="95">
        <v>33</v>
      </c>
      <c r="AA2789" s="95">
        <v>25</v>
      </c>
      <c r="AH2789" s="95">
        <v>75</v>
      </c>
    </row>
    <row r="2790" spans="1:34" x14ac:dyDescent="0.3">
      <c r="A2790" s="89" t="str">
        <f>CONCATENATE(D2790,".",F2790,"-",G2790,".",H2790,"")</f>
        <v>2.4-4.1</v>
      </c>
      <c r="B2790" s="89" t="str">
        <f>IF(CONCATENATE(I2790,Key!F$2)=CONCATENATE(INDEX(Dashboard!J:J,MATCH(I2790,Dashboard!J:J,0),1),INDEX(Dashboard!J:K,MATCH(I2790,Dashboard!J:J,0),2)),"ON",IF(Dashboard!K$32="ALL","ON","-"))</f>
        <v>-</v>
      </c>
      <c r="C2790" s="88" t="s">
        <v>152</v>
      </c>
      <c r="D2790" s="89">
        <f>IF(C2790="ID",1,(IF(C2790="PR",2,(IF(C2790="DE",3,(IF(C2790="RS",4,(IF(C2790="RC",5,0)))))))))</f>
        <v>2</v>
      </c>
      <c r="E2790" s="89" t="s">
        <v>228</v>
      </c>
      <c r="F2790" s="89">
        <f>IF(E2790="AM",1,(IF(E2790="BE",2,(IF(E2790="GV",3,(IF(E2790="RA",4,(IF(E2790="RM",5,(IF(E2790="AC",1,(IF(E2790="AT",2,(IF(E2790="DS",3,(IF(E2790="IP",4,(IF(E2790="MA",5,(IF(E2790="PT",6,(IF(E2790="AE",1,(IF(E2790="CM",2,(IF(E2790="DP",3,(IF(E2790="AN",1,(IF(E2790="CO",2,(IF(E2790="IM",3,(IF(E2790="MI",4,(IF(E2790="RP",5,(IF(E2790="SC",6,0)))))))))))))))))))))))))))))))))))))))</f>
        <v>4</v>
      </c>
      <c r="G2790" s="52">
        <v>4</v>
      </c>
      <c r="H2790" s="90" t="s">
        <v>115</v>
      </c>
      <c r="I2790" s="94" t="s">
        <v>85</v>
      </c>
      <c r="J2790" s="87" t="s">
        <v>1621</v>
      </c>
      <c r="K2790" s="119" t="s">
        <v>4736</v>
      </c>
      <c r="L2790" s="117">
        <f>IF(O2790="","",N2790*O2790*M2790)</f>
        <v>0</v>
      </c>
      <c r="M2790" s="108">
        <v>1</v>
      </c>
      <c r="N2790" s="95">
        <v>1</v>
      </c>
      <c r="O2790" s="109">
        <f>IF(Key!D$1="ON",P2790,IF(SUM(Q2790:DL2790)&lt;1,"",SUM(Q2790:DL2790)/COUNTIF(Q2790:DL2790,"&gt;0")))</f>
        <v>0</v>
      </c>
      <c r="P2790" s="109">
        <f>SUMIFS(Q2790:DK2790,Q$1:DK$1,Dashboard!$K$31)</f>
        <v>0</v>
      </c>
      <c r="U2790" s="95">
        <v>33</v>
      </c>
      <c r="AA2790" s="95">
        <v>25</v>
      </c>
      <c r="AH2790" s="95">
        <v>75</v>
      </c>
    </row>
    <row r="2791" spans="1:34" x14ac:dyDescent="0.3">
      <c r="A2791" s="89" t="str">
        <f>CONCATENATE(D2791,".",F2791,"-",G2791,".",H2791,"")</f>
        <v>2.4-4.1</v>
      </c>
      <c r="B2791" s="89" t="str">
        <f>IF(CONCATENATE(I2791,Key!F$2)=CONCATENATE(INDEX(Dashboard!J:J,MATCH(I2791,Dashboard!J:J,0),1),INDEX(Dashboard!J:K,MATCH(I2791,Dashboard!J:J,0),2)),"ON",IF(Dashboard!K$32="ALL","ON","-"))</f>
        <v>-</v>
      </c>
      <c r="C2791" s="88" t="s">
        <v>152</v>
      </c>
      <c r="D2791" s="89">
        <f>IF(C2791="ID",1,(IF(C2791="PR",2,(IF(C2791="DE",3,(IF(C2791="RS",4,(IF(C2791="RC",5,0)))))))))</f>
        <v>2</v>
      </c>
      <c r="E2791" s="89" t="s">
        <v>228</v>
      </c>
      <c r="F2791" s="89">
        <f>IF(E2791="AM",1,(IF(E2791="BE",2,(IF(E2791="GV",3,(IF(E2791="RA",4,(IF(E2791="RM",5,(IF(E2791="AC",1,(IF(E2791="AT",2,(IF(E2791="DS",3,(IF(E2791="IP",4,(IF(E2791="MA",5,(IF(E2791="PT",6,(IF(E2791="AE",1,(IF(E2791="CM",2,(IF(E2791="DP",3,(IF(E2791="AN",1,(IF(E2791="CO",2,(IF(E2791="IM",3,(IF(E2791="MI",4,(IF(E2791="RP",5,(IF(E2791="SC",6,0)))))))))))))))))))))))))))))))))))))))</f>
        <v>4</v>
      </c>
      <c r="G2791" s="52">
        <v>4</v>
      </c>
      <c r="H2791" s="90" t="s">
        <v>115</v>
      </c>
      <c r="I2791" s="94" t="s">
        <v>85</v>
      </c>
      <c r="J2791" s="87" t="s">
        <v>1619</v>
      </c>
      <c r="K2791" s="119" t="s">
        <v>4734</v>
      </c>
      <c r="L2791" s="117">
        <f>IF(O2791="","",N2791*O2791*M2791)</f>
        <v>0</v>
      </c>
      <c r="M2791" s="108">
        <v>1</v>
      </c>
      <c r="N2791" s="95">
        <v>1</v>
      </c>
      <c r="O2791" s="109">
        <f>IF(Key!D$1="ON",P2791,IF(SUM(Q2791:DL2791)&lt;1,"",SUM(Q2791:DL2791)/COUNTIF(Q2791:DL2791,"&gt;0")))</f>
        <v>0</v>
      </c>
      <c r="P2791" s="109">
        <f>SUMIFS(Q2791:DK2791,Q$1:DK$1,Dashboard!$K$31)</f>
        <v>0</v>
      </c>
      <c r="U2791" s="95">
        <v>33</v>
      </c>
      <c r="AA2791" s="95">
        <v>25</v>
      </c>
      <c r="AH2791" s="95">
        <v>75</v>
      </c>
    </row>
    <row r="2792" spans="1:34" x14ac:dyDescent="0.3">
      <c r="A2792" s="89" t="str">
        <f>CONCATENATE(D2792,".",F2792,"-",G2792,".",H2792,"")</f>
        <v>2.4-4.1</v>
      </c>
      <c r="B2792" s="89" t="str">
        <f>IF(CONCATENATE(I2792,Key!F$2)=CONCATENATE(INDEX(Dashboard!J:J,MATCH(I2792,Dashboard!J:J,0),1),INDEX(Dashboard!J:K,MATCH(I2792,Dashboard!J:J,0),2)),"ON",IF(Dashboard!K$32="ALL","ON","-"))</f>
        <v>-</v>
      </c>
      <c r="C2792" s="88" t="s">
        <v>152</v>
      </c>
      <c r="D2792" s="89">
        <f>IF(C2792="ID",1,(IF(C2792="PR",2,(IF(C2792="DE",3,(IF(C2792="RS",4,(IF(C2792="RC",5,0)))))))))</f>
        <v>2</v>
      </c>
      <c r="E2792" s="89" t="s">
        <v>228</v>
      </c>
      <c r="F2792" s="89">
        <f>IF(E2792="AM",1,(IF(E2792="BE",2,(IF(E2792="GV",3,(IF(E2792="RA",4,(IF(E2792="RM",5,(IF(E2792="AC",1,(IF(E2792="AT",2,(IF(E2792="DS",3,(IF(E2792="IP",4,(IF(E2792="MA",5,(IF(E2792="PT",6,(IF(E2792="AE",1,(IF(E2792="CM",2,(IF(E2792="DP",3,(IF(E2792="AN",1,(IF(E2792="CO",2,(IF(E2792="IM",3,(IF(E2792="MI",4,(IF(E2792="RP",5,(IF(E2792="SC",6,0)))))))))))))))))))))))))))))))))))))))</f>
        <v>4</v>
      </c>
      <c r="G2792" s="52">
        <v>4</v>
      </c>
      <c r="H2792" s="90" t="s">
        <v>115</v>
      </c>
      <c r="I2792" s="94" t="s">
        <v>85</v>
      </c>
      <c r="J2792" s="87" t="s">
        <v>1612</v>
      </c>
      <c r="K2792" s="119" t="s">
        <v>4721</v>
      </c>
      <c r="L2792" s="117">
        <f>IF(O2792="","",N2792*O2792*M2792)</f>
        <v>0</v>
      </c>
      <c r="M2792" s="108">
        <v>1</v>
      </c>
      <c r="N2792" s="95">
        <v>1</v>
      </c>
      <c r="O2792" s="109">
        <f>IF(Key!D$1="ON",P2792,IF(SUM(Q2792:DL2792)&lt;1,"",SUM(Q2792:DL2792)/COUNTIF(Q2792:DL2792,"&gt;0")))</f>
        <v>0</v>
      </c>
      <c r="P2792" s="109">
        <f>SUMIFS(Q2792:DK2792,Q$1:DK$1,Dashboard!$K$31)</f>
        <v>0</v>
      </c>
      <c r="U2792" s="95">
        <v>33</v>
      </c>
      <c r="AA2792" s="95">
        <v>25</v>
      </c>
      <c r="AH2792" s="95">
        <v>75</v>
      </c>
    </row>
    <row r="2793" spans="1:34" x14ac:dyDescent="0.3">
      <c r="A2793" s="89" t="str">
        <f>CONCATENATE(D2793,".",F2793,"-",G2793,".",H2793,"")</f>
        <v>2.4-4.1</v>
      </c>
      <c r="B2793" s="89" t="str">
        <f>IF(CONCATENATE(I2793,Key!F$2)=CONCATENATE(INDEX(Dashboard!J:J,MATCH(I2793,Dashboard!J:J,0),1),INDEX(Dashboard!J:K,MATCH(I2793,Dashboard!J:J,0),2)),"ON",IF(Dashboard!K$32="ALL","ON","-"))</f>
        <v>-</v>
      </c>
      <c r="C2793" s="88" t="s">
        <v>152</v>
      </c>
      <c r="D2793" s="89">
        <f>IF(C2793="ID",1,(IF(C2793="PR",2,(IF(C2793="DE",3,(IF(C2793="RS",4,(IF(C2793="RC",5,0)))))))))</f>
        <v>2</v>
      </c>
      <c r="E2793" s="89" t="s">
        <v>228</v>
      </c>
      <c r="F2793" s="89">
        <f>IF(E2793="AM",1,(IF(E2793="BE",2,(IF(E2793="GV",3,(IF(E2793="RA",4,(IF(E2793="RM",5,(IF(E2793="AC",1,(IF(E2793="AT",2,(IF(E2793="DS",3,(IF(E2793="IP",4,(IF(E2793="MA",5,(IF(E2793="PT",6,(IF(E2793="AE",1,(IF(E2793="CM",2,(IF(E2793="DP",3,(IF(E2793="AN",1,(IF(E2793="CO",2,(IF(E2793="IM",3,(IF(E2793="MI",4,(IF(E2793="RP",5,(IF(E2793="SC",6,0)))))))))))))))))))))))))))))))))))))))</f>
        <v>4</v>
      </c>
      <c r="G2793" s="52">
        <v>4</v>
      </c>
      <c r="H2793" s="90" t="s">
        <v>115</v>
      </c>
      <c r="I2793" s="94" t="s">
        <v>85</v>
      </c>
      <c r="J2793" s="87" t="s">
        <v>1609</v>
      </c>
      <c r="K2793" s="119" t="s">
        <v>4626</v>
      </c>
      <c r="L2793" s="117">
        <f>IF(O2793="","",N2793*O2793*M2793)</f>
        <v>0</v>
      </c>
      <c r="M2793" s="108">
        <v>1</v>
      </c>
      <c r="N2793" s="95">
        <v>1</v>
      </c>
      <c r="O2793" s="109">
        <f>IF(Key!D$1="ON",P2793,IF(SUM(Q2793:DL2793)&lt;1,"",SUM(Q2793:DL2793)/COUNTIF(Q2793:DL2793,"&gt;0")))</f>
        <v>0</v>
      </c>
      <c r="P2793" s="109">
        <f>SUMIFS(Q2793:DK2793,Q$1:DK$1,Dashboard!$K$31)</f>
        <v>0</v>
      </c>
      <c r="U2793" s="95">
        <v>33</v>
      </c>
      <c r="AA2793" s="95">
        <v>25</v>
      </c>
      <c r="AH2793" s="95">
        <v>75</v>
      </c>
    </row>
    <row r="2794" spans="1:34" x14ac:dyDescent="0.3">
      <c r="A2794" s="89" t="str">
        <f>CONCATENATE(D2794,".",F2794,"-",G2794,".",H2794,"")</f>
        <v>2.4-4.1</v>
      </c>
      <c r="B2794" s="89" t="str">
        <f>IF(CONCATENATE(I2794,Key!F$2)=CONCATENATE(INDEX(Dashboard!J:J,MATCH(I2794,Dashboard!J:J,0),1),INDEX(Dashboard!J:K,MATCH(I2794,Dashboard!J:J,0),2)),"ON",IF(Dashboard!K$32="ALL","ON","-"))</f>
        <v>-</v>
      </c>
      <c r="C2794" s="96" t="s">
        <v>152</v>
      </c>
      <c r="D2794" s="89">
        <f>IF(C2794="ID",1,(IF(C2794="PR",2,(IF(C2794="DE",3,(IF(C2794="RS",4,(IF(C2794="RC",5,0)))))))))</f>
        <v>2</v>
      </c>
      <c r="E2794" s="89" t="s">
        <v>228</v>
      </c>
      <c r="F2794" s="89">
        <f>IF(E2794="AM",1,(IF(E2794="BE",2,(IF(E2794="GV",3,(IF(E2794="RA",4,(IF(E2794="RM",5,(IF(E2794="AC",1,(IF(E2794="AT",2,(IF(E2794="DS",3,(IF(E2794="IP",4,(IF(E2794="MA",5,(IF(E2794="PT",6,(IF(E2794="AE",1,(IF(E2794="CM",2,(IF(E2794="DP",3,(IF(E2794="AN",1,(IF(E2794="CO",2,(IF(E2794="IM",3,(IF(E2794="MI",4,(IF(E2794="RP",5,(IF(E2794="SC",6,0)))))))))))))))))))))))))))))))))))))))</f>
        <v>4</v>
      </c>
      <c r="G2794" s="98">
        <v>4</v>
      </c>
      <c r="H2794" s="90" t="s">
        <v>115</v>
      </c>
      <c r="I2794" s="94" t="s">
        <v>85</v>
      </c>
      <c r="J2794" s="87" t="s">
        <v>1615</v>
      </c>
      <c r="K2794" s="119" t="s">
        <v>1616</v>
      </c>
      <c r="L2794" s="117">
        <f>IF(O2794="","",N2794*O2794*M2794)</f>
        <v>0</v>
      </c>
      <c r="M2794" s="108">
        <v>1</v>
      </c>
      <c r="N2794" s="95">
        <v>1</v>
      </c>
      <c r="O2794" s="109">
        <f>IF(Key!D$1="ON",P2794,IF(SUM(Q2794:DL2794)&lt;1,"",SUM(Q2794:DL2794)/COUNTIF(Q2794:DL2794,"&gt;0")))</f>
        <v>0</v>
      </c>
      <c r="P2794" s="109">
        <f>SUMIFS(Q2794:DK2794,Q$1:DK$1,Dashboard!$K$31)</f>
        <v>0</v>
      </c>
      <c r="U2794" s="95">
        <v>33</v>
      </c>
      <c r="AA2794" s="95">
        <v>25</v>
      </c>
      <c r="AH2794" s="95">
        <v>75</v>
      </c>
    </row>
    <row r="2795" spans="1:34" ht="15.6" x14ac:dyDescent="0.3">
      <c r="A2795" s="89" t="str">
        <f>CONCATENATE(D2795,".",F2795,"-",G2795,".",H2795,"")</f>
        <v>2.4-4.1</v>
      </c>
      <c r="B2795" s="89" t="str">
        <f>IF(CONCATENATE(I2795,Key!F$2)=CONCATENATE(INDEX(Dashboard!J:J,MATCH(I2795,Dashboard!J:J,0),1),INDEX(Dashboard!J:K,MATCH(I2795,Dashboard!J:J,0),2)),"ON",IF(Dashboard!K$32="ALL","ON","-"))</f>
        <v>-</v>
      </c>
      <c r="C2795" s="88" t="s">
        <v>152</v>
      </c>
      <c r="D2795" s="89">
        <f>IF(C2795="ID",1,(IF(C2795="PR",2,(IF(C2795="DE",3,(IF(C2795="RS",4,(IF(C2795="RC",5,0)))))))))</f>
        <v>2</v>
      </c>
      <c r="E2795" s="89" t="s">
        <v>228</v>
      </c>
      <c r="F2795" s="89">
        <f>IF(E2795="AM",1,(IF(E2795="BE",2,(IF(E2795="GV",3,(IF(E2795="RA",4,(IF(E2795="RM",5,(IF(E2795="AC",1,(IF(E2795="AT",2,(IF(E2795="DS",3,(IF(E2795="IP",4,(IF(E2795="MA",5,(IF(E2795="PT",6,(IF(E2795="AE",1,(IF(E2795="CM",2,(IF(E2795="DP",3,(IF(E2795="AN",1,(IF(E2795="CO",2,(IF(E2795="IM",3,(IF(E2795="MI",4,(IF(E2795="RP",5,(IF(E2795="SC",6,0)))))))))))))))))))))))))))))))))))))))</f>
        <v>4</v>
      </c>
      <c r="G2795" s="52">
        <v>4</v>
      </c>
      <c r="H2795" s="90" t="s">
        <v>115</v>
      </c>
      <c r="I2795" s="94" t="s">
        <v>85</v>
      </c>
      <c r="J2795" s="87" t="s">
        <v>1618</v>
      </c>
      <c r="K2795" s="119" t="s">
        <v>4733</v>
      </c>
      <c r="L2795" s="117">
        <f>IF(O2795="","",N2795*O2795*M2795)</f>
        <v>0</v>
      </c>
      <c r="M2795" s="108">
        <v>1</v>
      </c>
      <c r="N2795" s="95">
        <v>1</v>
      </c>
      <c r="O2795" s="109">
        <f>IF(Key!D$1="ON",P2795,IF(SUM(Q2795:DL2795)&lt;1,"",SUM(Q2795:DL2795)/COUNTIF(Q2795:DL2795,"&gt;0")))</f>
        <v>0</v>
      </c>
      <c r="P2795" s="109">
        <f>SUMIFS(Q2795:DK2795,Q$1:DK$1,Dashboard!$K$31)</f>
        <v>0</v>
      </c>
      <c r="U2795" s="95">
        <v>33</v>
      </c>
      <c r="AA2795" s="95">
        <v>25</v>
      </c>
      <c r="AH2795" s="95">
        <v>75</v>
      </c>
    </row>
    <row r="2796" spans="1:34" ht="15.6" x14ac:dyDescent="0.3">
      <c r="A2796" s="89" t="str">
        <f>CONCATENATE(D2796,".",F2796,"-",G2796,".",H2796,"")</f>
        <v>2.4-4.1</v>
      </c>
      <c r="B2796" s="89" t="str">
        <f>IF(CONCATENATE(I2796,Key!F$2)=CONCATENATE(INDEX(Dashboard!J:J,MATCH(I2796,Dashboard!J:J,0),1),INDEX(Dashboard!J:K,MATCH(I2796,Dashboard!J:J,0),2)),"ON",IF(Dashboard!K$32="ALL","ON","-"))</f>
        <v>-</v>
      </c>
      <c r="C2796" s="88" t="s">
        <v>152</v>
      </c>
      <c r="D2796" s="89">
        <f>IF(C2796="ID",1,(IF(C2796="PR",2,(IF(C2796="DE",3,(IF(C2796="RS",4,(IF(C2796="RC",5,0)))))))))</f>
        <v>2</v>
      </c>
      <c r="E2796" s="89" t="s">
        <v>228</v>
      </c>
      <c r="F2796" s="89">
        <f>IF(E2796="AM",1,(IF(E2796="BE",2,(IF(E2796="GV",3,(IF(E2796="RA",4,(IF(E2796="RM",5,(IF(E2796="AC",1,(IF(E2796="AT",2,(IF(E2796="DS",3,(IF(E2796="IP",4,(IF(E2796="MA",5,(IF(E2796="PT",6,(IF(E2796="AE",1,(IF(E2796="CM",2,(IF(E2796="DP",3,(IF(E2796="AN",1,(IF(E2796="CO",2,(IF(E2796="IM",3,(IF(E2796="MI",4,(IF(E2796="RP",5,(IF(E2796="SC",6,0)))))))))))))))))))))))))))))))))))))))</f>
        <v>4</v>
      </c>
      <c r="G2796" s="52">
        <v>4</v>
      </c>
      <c r="H2796" s="90" t="s">
        <v>115</v>
      </c>
      <c r="I2796" s="94" t="s">
        <v>85</v>
      </c>
      <c r="J2796" s="87" t="s">
        <v>1617</v>
      </c>
      <c r="K2796" s="119" t="s">
        <v>4732</v>
      </c>
      <c r="L2796" s="117">
        <f>IF(O2796="","",N2796*O2796*M2796)</f>
        <v>0</v>
      </c>
      <c r="M2796" s="108">
        <v>1</v>
      </c>
      <c r="N2796" s="95">
        <v>1</v>
      </c>
      <c r="O2796" s="109">
        <f>IF(Key!D$1="ON",P2796,IF(SUM(Q2796:DL2796)&lt;1,"",SUM(Q2796:DL2796)/COUNTIF(Q2796:DL2796,"&gt;0")))</f>
        <v>0</v>
      </c>
      <c r="P2796" s="109">
        <f>SUMIFS(Q2796:DK2796,Q$1:DK$1,Dashboard!$K$31)</f>
        <v>0</v>
      </c>
      <c r="U2796" s="95">
        <v>33</v>
      </c>
      <c r="AA2796" s="95">
        <v>25</v>
      </c>
      <c r="AH2796" s="95">
        <v>75</v>
      </c>
    </row>
    <row r="2797" spans="1:34" ht="15.6" x14ac:dyDescent="0.3">
      <c r="A2797" s="89" t="str">
        <f>CONCATENATE(D2797,".",F2797,"-",G2797,".",H2797,"")</f>
        <v>2.4-4.1</v>
      </c>
      <c r="B2797" s="89" t="str">
        <f>IF(CONCATENATE(I2797,Key!F$2)=CONCATENATE(INDEX(Dashboard!J:J,MATCH(I2797,Dashboard!J:J,0),1),INDEX(Dashboard!J:K,MATCH(I2797,Dashboard!J:J,0),2)),"ON",IF(Dashboard!K$32="ALL","ON","-"))</f>
        <v>-</v>
      </c>
      <c r="C2797" s="88" t="s">
        <v>152</v>
      </c>
      <c r="D2797" s="89">
        <f>IF(C2797="ID",1,(IF(C2797="PR",2,(IF(C2797="DE",3,(IF(C2797="RS",4,(IF(C2797="RC",5,0)))))))))</f>
        <v>2</v>
      </c>
      <c r="E2797" s="89" t="s">
        <v>228</v>
      </c>
      <c r="F2797" s="89">
        <f>IF(E2797="AM",1,(IF(E2797="BE",2,(IF(E2797="GV",3,(IF(E2797="RA",4,(IF(E2797="RM",5,(IF(E2797="AC",1,(IF(E2797="AT",2,(IF(E2797="DS",3,(IF(E2797="IP",4,(IF(E2797="MA",5,(IF(E2797="PT",6,(IF(E2797="AE",1,(IF(E2797="CM",2,(IF(E2797="DP",3,(IF(E2797="AN",1,(IF(E2797="CO",2,(IF(E2797="IM",3,(IF(E2797="MI",4,(IF(E2797="RP",5,(IF(E2797="SC",6,0)))))))))))))))))))))))))))))))))))))))</f>
        <v>4</v>
      </c>
      <c r="G2797" s="52">
        <v>4</v>
      </c>
      <c r="H2797" s="90" t="s">
        <v>115</v>
      </c>
      <c r="I2797" s="94" t="s">
        <v>85</v>
      </c>
      <c r="J2797" s="87" t="s">
        <v>1620</v>
      </c>
      <c r="K2797" s="119" t="s">
        <v>4735</v>
      </c>
      <c r="L2797" s="117">
        <f>IF(O2797="","",N2797*O2797*M2797)</f>
        <v>0</v>
      </c>
      <c r="M2797" s="108">
        <v>1</v>
      </c>
      <c r="N2797" s="95">
        <v>1</v>
      </c>
      <c r="O2797" s="109">
        <f>IF(Key!D$1="ON",P2797,IF(SUM(Q2797:DL2797)&lt;1,"",SUM(Q2797:DL2797)/COUNTIF(Q2797:DL2797,"&gt;0")))</f>
        <v>0</v>
      </c>
      <c r="P2797" s="109">
        <f>SUMIFS(Q2797:DK2797,Q$1:DK$1,Dashboard!$K$31)</f>
        <v>0</v>
      </c>
      <c r="U2797" s="95">
        <v>33</v>
      </c>
      <c r="AA2797" s="95">
        <v>25</v>
      </c>
      <c r="AH2797" s="95">
        <v>75</v>
      </c>
    </row>
    <row r="2798" spans="1:34" ht="15.6" x14ac:dyDescent="0.3">
      <c r="A2798" s="89" t="str">
        <f>CONCATENATE(D2798,".",F2798,"-",G2798,".",H2798,"")</f>
        <v>2.4-4.1</v>
      </c>
      <c r="B2798" s="89" t="str">
        <f>IF(CONCATENATE(I2798,Key!F$2)=CONCATENATE(INDEX(Dashboard!J:J,MATCH(I2798,Dashboard!J:J,0),1),INDEX(Dashboard!J:K,MATCH(I2798,Dashboard!J:J,0),2)),"ON",IF(Dashboard!K$32="ALL","ON","-"))</f>
        <v>-</v>
      </c>
      <c r="C2798" s="88" t="s">
        <v>152</v>
      </c>
      <c r="D2798" s="89">
        <f>IF(C2798="ID",1,(IF(C2798="PR",2,(IF(C2798="DE",3,(IF(C2798="RS",4,(IF(C2798="RC",5,0)))))))))</f>
        <v>2</v>
      </c>
      <c r="E2798" s="89" t="s">
        <v>228</v>
      </c>
      <c r="F2798" s="89">
        <f>IF(E2798="AM",1,(IF(E2798="BE",2,(IF(E2798="GV",3,(IF(E2798="RA",4,(IF(E2798="RM",5,(IF(E2798="AC",1,(IF(E2798="AT",2,(IF(E2798="DS",3,(IF(E2798="IP",4,(IF(E2798="MA",5,(IF(E2798="PT",6,(IF(E2798="AE",1,(IF(E2798="CM",2,(IF(E2798="DP",3,(IF(E2798="AN",1,(IF(E2798="CO",2,(IF(E2798="IM",3,(IF(E2798="MI",4,(IF(E2798="RP",5,(IF(E2798="SC",6,0)))))))))))))))))))))))))))))))))))))))</f>
        <v>4</v>
      </c>
      <c r="G2798" s="52">
        <v>4</v>
      </c>
      <c r="H2798" s="90" t="s">
        <v>115</v>
      </c>
      <c r="I2798" s="94" t="s">
        <v>92</v>
      </c>
      <c r="J2798" s="88" t="s">
        <v>252</v>
      </c>
      <c r="K2798" s="102" t="s">
        <v>5226</v>
      </c>
      <c r="L2798" s="117">
        <f>IF(O2798="","",N2798*O2798*M2798)</f>
        <v>0</v>
      </c>
      <c r="M2798" s="108">
        <v>1</v>
      </c>
      <c r="N2798" s="95">
        <v>1</v>
      </c>
      <c r="O2798" s="109">
        <f>IF(Key!D$1="ON",P2798,IF(SUM(Q2798:DL2798)&lt;1,"",SUM(Q2798:DL2798)/COUNTIF(Q2798:DL2798,"&gt;0")))</f>
        <v>0</v>
      </c>
      <c r="P2798" s="109">
        <f>SUMIFS(Q2798:DK2798,Q$1:DK$1,Dashboard!$K$31)</f>
        <v>0</v>
      </c>
      <c r="U2798" s="95">
        <v>33</v>
      </c>
      <c r="AA2798" s="95">
        <v>25</v>
      </c>
      <c r="AH2798" s="95">
        <v>75</v>
      </c>
    </row>
    <row r="2799" spans="1:34" ht="15.6" x14ac:dyDescent="0.3">
      <c r="A2799" s="89" t="str">
        <f>CONCATENATE(D2799,".",F2799,"-",G2799,".",H2799,"")</f>
        <v>2.4-4.1</v>
      </c>
      <c r="B2799" s="89" t="str">
        <f>IF(CONCATENATE(I2799,Key!F$2)=CONCATENATE(INDEX(Dashboard!J:J,MATCH(I2799,Dashboard!J:J,0),1),INDEX(Dashboard!J:K,MATCH(I2799,Dashboard!J:J,0),2)),"ON",IF(Dashboard!K$32="ALL","ON","-"))</f>
        <v>-</v>
      </c>
      <c r="C2799" s="88" t="s">
        <v>152</v>
      </c>
      <c r="D2799" s="89">
        <f>IF(C2799="ID",1,(IF(C2799="PR",2,(IF(C2799="DE",3,(IF(C2799="RS",4,(IF(C2799="RC",5,0)))))))))</f>
        <v>2</v>
      </c>
      <c r="E2799" s="89" t="s">
        <v>228</v>
      </c>
      <c r="F2799" s="89">
        <f>IF(E2799="AM",1,(IF(E2799="BE",2,(IF(E2799="GV",3,(IF(E2799="RA",4,(IF(E2799="RM",5,(IF(E2799="AC",1,(IF(E2799="AT",2,(IF(E2799="DS",3,(IF(E2799="IP",4,(IF(E2799="MA",5,(IF(E2799="PT",6,(IF(E2799="AE",1,(IF(E2799="CM",2,(IF(E2799="DP",3,(IF(E2799="AN",1,(IF(E2799="CO",2,(IF(E2799="IM",3,(IF(E2799="MI",4,(IF(E2799="RP",5,(IF(E2799="SC",6,0)))))))))))))))))))))))))))))))))))))))</f>
        <v>4</v>
      </c>
      <c r="G2799" s="52">
        <v>4</v>
      </c>
      <c r="H2799" s="90" t="s">
        <v>115</v>
      </c>
      <c r="I2799" s="94" t="s">
        <v>92</v>
      </c>
      <c r="J2799" s="88" t="s">
        <v>253</v>
      </c>
      <c r="K2799" s="102" t="s">
        <v>5226</v>
      </c>
      <c r="L2799" s="117">
        <f>IF(O2799="","",N2799*O2799*M2799)</f>
        <v>0</v>
      </c>
      <c r="M2799" s="108">
        <v>1</v>
      </c>
      <c r="N2799" s="95">
        <v>1</v>
      </c>
      <c r="O2799" s="109">
        <f>IF(Key!D$1="ON",P2799,IF(SUM(Q2799:DL2799)&lt;1,"",SUM(Q2799:DL2799)/COUNTIF(Q2799:DL2799,"&gt;0")))</f>
        <v>0</v>
      </c>
      <c r="P2799" s="109">
        <f>SUMIFS(Q2799:DK2799,Q$1:DK$1,Dashboard!$K$31)</f>
        <v>0</v>
      </c>
      <c r="U2799" s="95">
        <v>33</v>
      </c>
      <c r="AA2799" s="95">
        <v>25</v>
      </c>
      <c r="AH2799" s="95">
        <v>75</v>
      </c>
    </row>
    <row r="2800" spans="1:34" ht="15.6" x14ac:dyDescent="0.3">
      <c r="A2800" s="89" t="str">
        <f>CONCATENATE(D2800,".",F2800,"-",G2800,".",H2800,"")</f>
        <v>2.4-4.2</v>
      </c>
      <c r="B2800" s="89" t="str">
        <f>IF(CONCATENATE(I2800,Key!F$2)=CONCATENATE(INDEX(Dashboard!J:J,MATCH(I2800,Dashboard!J:J,0),1),INDEX(Dashboard!J:K,MATCH(I2800,Dashboard!J:J,0),2)),"ON",IF(Dashboard!K$32="ALL","ON","-"))</f>
        <v>-</v>
      </c>
      <c r="C2800" s="96" t="s">
        <v>152</v>
      </c>
      <c r="D2800" s="89">
        <f>IF(C2800="ID",1,(IF(C2800="PR",2,(IF(C2800="DE",3,(IF(C2800="RS",4,(IF(C2800="RC",5,0)))))))))</f>
        <v>2</v>
      </c>
      <c r="E2800" s="89" t="s">
        <v>228</v>
      </c>
      <c r="F2800" s="89">
        <f>IF(E2800="AM",1,(IF(E2800="BE",2,(IF(E2800="GV",3,(IF(E2800="RA",4,(IF(E2800="RM",5,(IF(E2800="AC",1,(IF(E2800="AT",2,(IF(E2800="DS",3,(IF(E2800="IP",4,(IF(E2800="MA",5,(IF(E2800="PT",6,(IF(E2800="AE",1,(IF(E2800="CM",2,(IF(E2800="DP",3,(IF(E2800="AN",1,(IF(E2800="CO",2,(IF(E2800="IM",3,(IF(E2800="MI",4,(IF(E2800="RP",5,(IF(E2800="SC",6,0)))))))))))))))))))))))))))))))))))))))</f>
        <v>4</v>
      </c>
      <c r="G2800" s="52">
        <v>4</v>
      </c>
      <c r="H2800" s="90" t="s">
        <v>112</v>
      </c>
      <c r="I2800" s="94" t="s">
        <v>60</v>
      </c>
      <c r="J2800" s="87" t="s">
        <v>3221</v>
      </c>
      <c r="K2800" s="51" t="s">
        <v>5334</v>
      </c>
      <c r="L2800" s="117">
        <f>IF(O2800="","",N2800*O2800*M2800)</f>
        <v>0</v>
      </c>
      <c r="M2800" s="108">
        <v>1</v>
      </c>
      <c r="N2800" s="95">
        <v>1</v>
      </c>
      <c r="O2800" s="109">
        <f>IF(Key!D$1="ON",P2800,IF(SUM(Q2800:DL2800)&lt;1,"",SUM(Q2800:DL2800)/COUNTIF(Q2800:DL2800,"&gt;0")))</f>
        <v>0</v>
      </c>
      <c r="P2800" s="109">
        <f>SUMIFS(Q2800:DK2800,Q$1:DK$1,Dashboard!$K$31)</f>
        <v>0</v>
      </c>
      <c r="U2800" s="95">
        <v>33</v>
      </c>
      <c r="AA2800" s="95">
        <v>25</v>
      </c>
      <c r="AH2800" s="95">
        <v>75</v>
      </c>
    </row>
    <row r="2801" spans="1:34" x14ac:dyDescent="0.3">
      <c r="A2801" s="89" t="str">
        <f>CONCATENATE(D2801,".",F2801,"-",G2801,".",H2801,"")</f>
        <v>2.4-5.0</v>
      </c>
      <c r="B2801" s="89" t="str">
        <f>IF(CONCATENATE(I2801,Key!F$2)=CONCATENATE(INDEX(Dashboard!J:J,MATCH(I2801,Dashboard!J:J,0),1),INDEX(Dashboard!J:K,MATCH(I2801,Dashboard!J:J,0),2)),"ON",IF(Dashboard!K$32="ALL","ON","-"))</f>
        <v>-</v>
      </c>
      <c r="C2801" s="88" t="s">
        <v>152</v>
      </c>
      <c r="D2801" s="89">
        <f>IF(C2801="ID",1,(IF(C2801="PR",2,(IF(C2801="DE",3,(IF(C2801="RS",4,(IF(C2801="RC",5,0)))))))))</f>
        <v>2</v>
      </c>
      <c r="E2801" s="89" t="s">
        <v>228</v>
      </c>
      <c r="F2801" s="89">
        <f>IF(E2801="AM",1,(IF(E2801="BE",2,(IF(E2801="GV",3,(IF(E2801="RA",4,(IF(E2801="RM",5,(IF(E2801="AC",1,(IF(E2801="AT",2,(IF(E2801="DS",3,(IF(E2801="IP",4,(IF(E2801="MA",5,(IF(E2801="PT",6,(IF(E2801="AE",1,(IF(E2801="CM",2,(IF(E2801="DP",3,(IF(E2801="AN",1,(IF(E2801="CO",2,(IF(E2801="IM",3,(IF(E2801="MI",4,(IF(E2801="RP",5,(IF(E2801="SC",6,0)))))))))))))))))))))))))))))))))))))))</f>
        <v>4</v>
      </c>
      <c r="G2801" s="52">
        <v>5</v>
      </c>
      <c r="H2801" s="90" t="s">
        <v>347</v>
      </c>
      <c r="I2801" s="94" t="s">
        <v>2835</v>
      </c>
      <c r="J2801" s="53" t="s">
        <v>2976</v>
      </c>
      <c r="K2801" s="150" t="s">
        <v>2977</v>
      </c>
      <c r="L2801" s="117">
        <f>IF(O2801="","",N2801*O2801*M2801)</f>
        <v>0</v>
      </c>
      <c r="M2801" s="108">
        <v>1</v>
      </c>
      <c r="N2801" s="95">
        <v>1</v>
      </c>
      <c r="O2801" s="109">
        <f>IF(Key!D$1="ON",P2801,IF(SUM(Q2801:DL2801)&lt;1,"",SUM(Q2801:DL2801)/COUNTIF(Q2801:DL2801,"&gt;0")))</f>
        <v>0</v>
      </c>
      <c r="P2801" s="109">
        <f>SUMIFS(Q2801:DK2801,Q$1:DK$1,Dashboard!$K$31)</f>
        <v>0</v>
      </c>
      <c r="U2801" s="95">
        <v>33</v>
      </c>
    </row>
    <row r="2802" spans="1:34" x14ac:dyDescent="0.3">
      <c r="A2802" s="89" t="str">
        <f>CONCATENATE(D2802,".",F2802,"-",G2802,".",H2802,"")</f>
        <v>2.4-5.1</v>
      </c>
      <c r="B2802" s="89" t="str">
        <f>IF(CONCATENATE(I2802,Key!F$2)=CONCATENATE(INDEX(Dashboard!J:J,MATCH(I2802,Dashboard!J:J,0),1),INDEX(Dashboard!J:K,MATCH(I2802,Dashboard!J:J,0),2)),"ON",IF(Dashboard!K$32="ALL","ON","-"))</f>
        <v>-</v>
      </c>
      <c r="C2802" s="88" t="s">
        <v>152</v>
      </c>
      <c r="D2802" s="89">
        <f>IF(C2802="ID",1,(IF(C2802="PR",2,(IF(C2802="DE",3,(IF(C2802="RS",4,(IF(C2802="RC",5,0)))))))))</f>
        <v>2</v>
      </c>
      <c r="E2802" s="89" t="s">
        <v>228</v>
      </c>
      <c r="F2802" s="89">
        <f>IF(E2802="AM",1,(IF(E2802="BE",2,(IF(E2802="GV",3,(IF(E2802="RA",4,(IF(E2802="RM",5,(IF(E2802="AC",1,(IF(E2802="AT",2,(IF(E2802="DS",3,(IF(E2802="IP",4,(IF(E2802="MA",5,(IF(E2802="PT",6,(IF(E2802="AE",1,(IF(E2802="CM",2,(IF(E2802="DP",3,(IF(E2802="AN",1,(IF(E2802="CO",2,(IF(E2802="IM",3,(IF(E2802="MI",4,(IF(E2802="RP",5,(IF(E2802="SC",6,0)))))))))))))))))))))))))))))))))))))))</f>
        <v>4</v>
      </c>
      <c r="G2802" s="52">
        <v>5</v>
      </c>
      <c r="H2802" s="99">
        <v>1</v>
      </c>
      <c r="I2802" s="94" t="s">
        <v>37</v>
      </c>
      <c r="J2802" s="86">
        <v>11.7</v>
      </c>
      <c r="K2802" s="102" t="s">
        <v>3784</v>
      </c>
      <c r="L2802" s="117">
        <f>IF(O2802="","",N2802*O2802*M2802)</f>
        <v>0</v>
      </c>
      <c r="M2802" s="108">
        <v>1</v>
      </c>
      <c r="N2802" s="95">
        <v>1</v>
      </c>
      <c r="O2802" s="109">
        <f>IF(Key!D$1="ON",P2802,IF(SUM(Q2802:DL2802)&lt;1,"",SUM(Q2802:DL2802)/COUNTIF(Q2802:DL2802,"&gt;0")))</f>
        <v>0</v>
      </c>
      <c r="P2802" s="109">
        <f>SUMIFS(Q2802:DK2802,Q$1:DK$1,Dashboard!$K$31)</f>
        <v>0</v>
      </c>
      <c r="U2802" s="95">
        <v>33</v>
      </c>
      <c r="AA2802" s="95">
        <v>25</v>
      </c>
      <c r="AH2802" s="95">
        <v>75</v>
      </c>
    </row>
    <row r="2803" spans="1:34" x14ac:dyDescent="0.3">
      <c r="A2803" s="89" t="str">
        <f>CONCATENATE(D2803,".",F2803,"-",G2803,".",H2803,"")</f>
        <v>2.4-5.1</v>
      </c>
      <c r="B2803" s="89" t="str">
        <f>IF(CONCATENATE(I2803,Key!F$2)=CONCATENATE(INDEX(Dashboard!J:J,MATCH(I2803,Dashboard!J:J,0),1),INDEX(Dashboard!J:K,MATCH(I2803,Dashboard!J:J,0),2)),"ON",IF(Dashboard!K$32="ALL","ON","-"))</f>
        <v>-</v>
      </c>
      <c r="C2803" s="88" t="s">
        <v>152</v>
      </c>
      <c r="D2803" s="89">
        <f>IF(C2803="ID",1,(IF(C2803="PR",2,(IF(C2803="DE",3,(IF(C2803="RS",4,(IF(C2803="RC",5,0)))))))))</f>
        <v>2</v>
      </c>
      <c r="E2803" s="89" t="s">
        <v>228</v>
      </c>
      <c r="F2803" s="89">
        <f>IF(E2803="AM",1,(IF(E2803="BE",2,(IF(E2803="GV",3,(IF(E2803="RA",4,(IF(E2803="RM",5,(IF(E2803="AC",1,(IF(E2803="AT",2,(IF(E2803="DS",3,(IF(E2803="IP",4,(IF(E2803="MA",5,(IF(E2803="PT",6,(IF(E2803="AE",1,(IF(E2803="CM",2,(IF(E2803="DP",3,(IF(E2803="AN",1,(IF(E2803="CO",2,(IF(E2803="IM",3,(IF(E2803="MI",4,(IF(E2803="RP",5,(IF(E2803="SC",6,0)))))))))))))))))))))))))))))))))))))))</f>
        <v>4</v>
      </c>
      <c r="G2803" s="52">
        <v>5</v>
      </c>
      <c r="H2803" s="99">
        <v>1</v>
      </c>
      <c r="I2803" s="94" t="s">
        <v>41</v>
      </c>
      <c r="J2803" s="86">
        <v>11.7</v>
      </c>
      <c r="K2803" s="103" t="s">
        <v>3539</v>
      </c>
      <c r="L2803" s="117">
        <f>IF(O2803="","",N2803*O2803*M2803)</f>
        <v>0</v>
      </c>
      <c r="M2803" s="108">
        <v>1</v>
      </c>
      <c r="N2803" s="95">
        <v>1</v>
      </c>
      <c r="O2803" s="109">
        <f>IF(Key!D$1="ON",P2803,IF(SUM(Q2803:DL2803)&lt;1,"",SUM(Q2803:DL2803)/COUNTIF(Q2803:DL2803,"&gt;0")))</f>
        <v>0</v>
      </c>
      <c r="P2803" s="109">
        <f>SUMIFS(Q2803:DK2803,Q$1:DK$1,Dashboard!$K$31)</f>
        <v>0</v>
      </c>
      <c r="U2803" s="95">
        <v>33</v>
      </c>
    </row>
    <row r="2804" spans="1:34" x14ac:dyDescent="0.3">
      <c r="A2804" s="89" t="str">
        <f>CONCATENATE(D2804,".",F2804,"-",G2804,".",H2804,"")</f>
        <v>2.4-5.1</v>
      </c>
      <c r="B2804" s="89" t="str">
        <f>IF(CONCATENATE(I2804,Key!F$2)=CONCATENATE(INDEX(Dashboard!J:J,MATCH(I2804,Dashboard!J:J,0),1),INDEX(Dashboard!J:K,MATCH(I2804,Dashboard!J:J,0),2)),"ON",IF(Dashboard!K$32="ALL","ON","-"))</f>
        <v>-</v>
      </c>
      <c r="C2804" s="96" t="s">
        <v>152</v>
      </c>
      <c r="D2804" s="89">
        <f>IF(C2804="ID",1,(IF(C2804="PR",2,(IF(C2804="DE",3,(IF(C2804="RS",4,(IF(C2804="RC",5,0)))))))))</f>
        <v>2</v>
      </c>
      <c r="E2804" s="89" t="s">
        <v>228</v>
      </c>
      <c r="F2804" s="89">
        <f>IF(E2804="AM",1,(IF(E2804="BE",2,(IF(E2804="GV",3,(IF(E2804="RA",4,(IF(E2804="RM",5,(IF(E2804="AC",1,(IF(E2804="AT",2,(IF(E2804="DS",3,(IF(E2804="IP",4,(IF(E2804="MA",5,(IF(E2804="PT",6,(IF(E2804="AE",1,(IF(E2804="CM",2,(IF(E2804="DP",3,(IF(E2804="AN",1,(IF(E2804="CO",2,(IF(E2804="IM",3,(IF(E2804="MI",4,(IF(E2804="RP",5,(IF(E2804="SC",6,0)))))))))))))))))))))))))))))))))))))))</f>
        <v>4</v>
      </c>
      <c r="G2804" s="98">
        <v>5</v>
      </c>
      <c r="H2804" s="90" t="s">
        <v>115</v>
      </c>
      <c r="I2804" s="94" t="s">
        <v>52</v>
      </c>
      <c r="J2804" s="88" t="s">
        <v>3301</v>
      </c>
      <c r="K2804" s="103" t="s">
        <v>3302</v>
      </c>
      <c r="L2804" s="117">
        <f>IF(O2804="","",N2804*O2804*M2804)</f>
        <v>0</v>
      </c>
      <c r="M2804" s="108">
        <v>1</v>
      </c>
      <c r="N2804" s="95">
        <v>1</v>
      </c>
      <c r="O2804" s="109">
        <f>IF(Key!D$1="ON",P2804,IF(SUM(Q2804:DL2804)&lt;1,"",SUM(Q2804:DL2804)/COUNTIF(Q2804:DL2804,"&gt;0")))</f>
        <v>0</v>
      </c>
      <c r="P2804" s="109">
        <f>SUMIFS(Q2804:DK2804,Q$1:DK$1,Dashboard!$K$31)</f>
        <v>0</v>
      </c>
      <c r="U2804" s="95">
        <v>33</v>
      </c>
      <c r="AA2804" s="95">
        <v>25</v>
      </c>
      <c r="AH2804" s="95">
        <v>75</v>
      </c>
    </row>
    <row r="2805" spans="1:34" x14ac:dyDescent="0.3">
      <c r="A2805" s="89" t="str">
        <f>CONCATENATE(D2805,".",F2805,"-",G2805,".",H2805,"")</f>
        <v>2.4-5.1</v>
      </c>
      <c r="B2805" s="89" t="str">
        <f>IF(CONCATENATE(I2805,Key!F$2)=CONCATENATE(INDEX(Dashboard!J:J,MATCH(I2805,Dashboard!J:J,0),1),INDEX(Dashboard!J:K,MATCH(I2805,Dashboard!J:J,0),2)),"ON",IF(Dashboard!K$32="ALL","ON","-"))</f>
        <v>-</v>
      </c>
      <c r="C2805" s="96" t="s">
        <v>152</v>
      </c>
      <c r="D2805" s="89">
        <f>IF(C2805="ID",1,(IF(C2805="PR",2,(IF(C2805="DE",3,(IF(C2805="RS",4,(IF(C2805="RC",5,0)))))))))</f>
        <v>2</v>
      </c>
      <c r="E2805" s="89" t="s">
        <v>228</v>
      </c>
      <c r="F2805" s="89">
        <f>IF(E2805="AM",1,(IF(E2805="BE",2,(IF(E2805="GV",3,(IF(E2805="RA",4,(IF(E2805="RM",5,(IF(E2805="AC",1,(IF(E2805="AT",2,(IF(E2805="DS",3,(IF(E2805="IP",4,(IF(E2805="MA",5,(IF(E2805="PT",6,(IF(E2805="AE",1,(IF(E2805="CM",2,(IF(E2805="DP",3,(IF(E2805="AN",1,(IF(E2805="CO",2,(IF(E2805="IM",3,(IF(E2805="MI",4,(IF(E2805="RP",5,(IF(E2805="SC",6,0)))))))))))))))))))))))))))))))))))))))</f>
        <v>4</v>
      </c>
      <c r="G2805" s="98">
        <v>5</v>
      </c>
      <c r="H2805" s="90" t="s">
        <v>115</v>
      </c>
      <c r="I2805" s="94" t="s">
        <v>52</v>
      </c>
      <c r="J2805" s="88" t="s">
        <v>3290</v>
      </c>
      <c r="K2805" s="103" t="s">
        <v>3291</v>
      </c>
      <c r="L2805" s="117">
        <f>IF(O2805="","",N2805*O2805*M2805)</f>
        <v>0</v>
      </c>
      <c r="M2805" s="108">
        <v>1</v>
      </c>
      <c r="N2805" s="95">
        <v>1</v>
      </c>
      <c r="O2805" s="109">
        <f>IF(Key!D$1="ON",P2805,IF(SUM(Q2805:DL2805)&lt;1,"",SUM(Q2805:DL2805)/COUNTIF(Q2805:DL2805,"&gt;0")))</f>
        <v>0</v>
      </c>
      <c r="P2805" s="109">
        <f>SUMIFS(Q2805:DK2805,Q$1:DK$1,Dashboard!$K$31)</f>
        <v>0</v>
      </c>
      <c r="U2805" s="95">
        <v>33</v>
      </c>
      <c r="AA2805" s="95">
        <v>25</v>
      </c>
      <c r="AH2805" s="95">
        <v>75</v>
      </c>
    </row>
    <row r="2806" spans="1:34" x14ac:dyDescent="0.3">
      <c r="A2806" s="89" t="str">
        <f>CONCATENATE(D2806,".",F2806,"-",G2806,".",H2806,"")</f>
        <v>2.4-5.1</v>
      </c>
      <c r="B2806" s="89" t="str">
        <f>IF(CONCATENATE(I2806,Key!F$2)=CONCATENATE(INDEX(Dashboard!J:J,MATCH(I2806,Dashboard!J:J,0),1),INDEX(Dashboard!J:K,MATCH(I2806,Dashboard!J:J,0),2)),"ON",IF(Dashboard!K$32="ALL","ON","-"))</f>
        <v>-</v>
      </c>
      <c r="C2806" s="96" t="s">
        <v>152</v>
      </c>
      <c r="D2806" s="89">
        <f>IF(C2806="ID",1,(IF(C2806="PR",2,(IF(C2806="DE",3,(IF(C2806="RS",4,(IF(C2806="RC",5,0)))))))))</f>
        <v>2</v>
      </c>
      <c r="E2806" s="89" t="s">
        <v>228</v>
      </c>
      <c r="F2806" s="89">
        <f>IF(E2806="AM",1,(IF(E2806="BE",2,(IF(E2806="GV",3,(IF(E2806="RA",4,(IF(E2806="RM",5,(IF(E2806="AC",1,(IF(E2806="AT",2,(IF(E2806="DS",3,(IF(E2806="IP",4,(IF(E2806="MA",5,(IF(E2806="PT",6,(IF(E2806="AE",1,(IF(E2806="CM",2,(IF(E2806="DP",3,(IF(E2806="AN",1,(IF(E2806="CO",2,(IF(E2806="IM",3,(IF(E2806="MI",4,(IF(E2806="RP",5,(IF(E2806="SC",6,0)))))))))))))))))))))))))))))))))))))))</f>
        <v>4</v>
      </c>
      <c r="G2806" s="98">
        <v>5</v>
      </c>
      <c r="H2806" s="90" t="s">
        <v>115</v>
      </c>
      <c r="I2806" s="94" t="s">
        <v>52</v>
      </c>
      <c r="J2806" s="88" t="s">
        <v>3369</v>
      </c>
      <c r="K2806" s="103" t="s">
        <v>3370</v>
      </c>
      <c r="L2806" s="117">
        <f>IF(O2806="","",N2806*O2806*M2806)</f>
        <v>0</v>
      </c>
      <c r="M2806" s="108">
        <v>1</v>
      </c>
      <c r="N2806" s="95">
        <v>1</v>
      </c>
      <c r="O2806" s="109">
        <f>IF(Key!D$1="ON",P2806,IF(SUM(Q2806:DL2806)&lt;1,"",SUM(Q2806:DL2806)/COUNTIF(Q2806:DL2806,"&gt;0")))</f>
        <v>0</v>
      </c>
      <c r="P2806" s="109">
        <f>SUMIFS(Q2806:DK2806,Q$1:DK$1,Dashboard!$K$31)</f>
        <v>0</v>
      </c>
      <c r="U2806" s="95">
        <v>33</v>
      </c>
      <c r="AA2806" s="95">
        <v>25</v>
      </c>
      <c r="AH2806" s="95">
        <v>75</v>
      </c>
    </row>
    <row r="2807" spans="1:34" x14ac:dyDescent="0.3">
      <c r="A2807" s="89" t="str">
        <f>CONCATENATE(D2807,".",F2807,"-",G2807,".",H2807,"")</f>
        <v>2.4-5.1</v>
      </c>
      <c r="B2807" s="89" t="str">
        <f>IF(CONCATENATE(I2807,Key!F$2)=CONCATENATE(INDEX(Dashboard!J:J,MATCH(I2807,Dashboard!J:J,0),1),INDEX(Dashboard!J:K,MATCH(I2807,Dashboard!J:J,0),2)),"ON",IF(Dashboard!K$32="ALL","ON","-"))</f>
        <v>-</v>
      </c>
      <c r="C2807" s="96" t="s">
        <v>152</v>
      </c>
      <c r="D2807" s="89">
        <f>IF(C2807="ID",1,(IF(C2807="PR",2,(IF(C2807="DE",3,(IF(C2807="RS",4,(IF(C2807="RC",5,0)))))))))</f>
        <v>2</v>
      </c>
      <c r="E2807" s="89" t="s">
        <v>228</v>
      </c>
      <c r="F2807" s="89">
        <f>IF(E2807="AM",1,(IF(E2807="BE",2,(IF(E2807="GV",3,(IF(E2807="RA",4,(IF(E2807="RM",5,(IF(E2807="AC",1,(IF(E2807="AT",2,(IF(E2807="DS",3,(IF(E2807="IP",4,(IF(E2807="MA",5,(IF(E2807="PT",6,(IF(E2807="AE",1,(IF(E2807="CM",2,(IF(E2807="DP",3,(IF(E2807="AN",1,(IF(E2807="CO",2,(IF(E2807="IM",3,(IF(E2807="MI",4,(IF(E2807="RP",5,(IF(E2807="SC",6,0)))))))))))))))))))))))))))))))))))))))</f>
        <v>4</v>
      </c>
      <c r="G2807" s="98">
        <v>5</v>
      </c>
      <c r="H2807" s="90" t="s">
        <v>115</v>
      </c>
      <c r="I2807" s="94" t="s">
        <v>52</v>
      </c>
      <c r="J2807" s="88" t="s">
        <v>3371</v>
      </c>
      <c r="K2807" s="103" t="s">
        <v>3372</v>
      </c>
      <c r="L2807" s="117">
        <f>IF(O2807="","",N2807*O2807*M2807)</f>
        <v>0</v>
      </c>
      <c r="M2807" s="108">
        <v>1</v>
      </c>
      <c r="N2807" s="95">
        <v>1</v>
      </c>
      <c r="O2807" s="109">
        <f>IF(Key!D$1="ON",P2807,IF(SUM(Q2807:DL2807)&lt;1,"",SUM(Q2807:DL2807)/COUNTIF(Q2807:DL2807,"&gt;0")))</f>
        <v>0</v>
      </c>
      <c r="P2807" s="109">
        <f>SUMIFS(Q2807:DK2807,Q$1:DK$1,Dashboard!$K$31)</f>
        <v>0</v>
      </c>
      <c r="U2807" s="95">
        <v>33</v>
      </c>
      <c r="AA2807" s="95">
        <v>25</v>
      </c>
      <c r="AH2807" s="95">
        <v>75</v>
      </c>
    </row>
    <row r="2808" spans="1:34" x14ac:dyDescent="0.3">
      <c r="A2808" s="89" t="str">
        <f>CONCATENATE(D2808,".",F2808,"-",G2808,".",H2808,"")</f>
        <v>2.4-5.1</v>
      </c>
      <c r="B2808" s="89" t="str">
        <f>IF(CONCATENATE(I2808,Key!F$2)=CONCATENATE(INDEX(Dashboard!J:J,MATCH(I2808,Dashboard!J:J,0),1),INDEX(Dashboard!J:K,MATCH(I2808,Dashboard!J:J,0),2)),"ON",IF(Dashboard!K$32="ALL","ON","-"))</f>
        <v>-</v>
      </c>
      <c r="C2808" s="96" t="s">
        <v>152</v>
      </c>
      <c r="D2808" s="89">
        <f>IF(C2808="ID",1,(IF(C2808="PR",2,(IF(C2808="DE",3,(IF(C2808="RS",4,(IF(C2808="RC",5,0)))))))))</f>
        <v>2</v>
      </c>
      <c r="E2808" s="89" t="s">
        <v>228</v>
      </c>
      <c r="F2808" s="89">
        <f>IF(E2808="AM",1,(IF(E2808="BE",2,(IF(E2808="GV",3,(IF(E2808="RA",4,(IF(E2808="RM",5,(IF(E2808="AC",1,(IF(E2808="AT",2,(IF(E2808="DS",3,(IF(E2808="IP",4,(IF(E2808="MA",5,(IF(E2808="PT",6,(IF(E2808="AE",1,(IF(E2808="CM",2,(IF(E2808="DP",3,(IF(E2808="AN",1,(IF(E2808="CO",2,(IF(E2808="IM",3,(IF(E2808="MI",4,(IF(E2808="RP",5,(IF(E2808="SC",6,0)))))))))))))))))))))))))))))))))))))))</f>
        <v>4</v>
      </c>
      <c r="G2808" s="98">
        <v>5</v>
      </c>
      <c r="H2808" s="90" t="s">
        <v>115</v>
      </c>
      <c r="I2808" s="94" t="s">
        <v>52</v>
      </c>
      <c r="J2808" s="88" t="s">
        <v>3425</v>
      </c>
      <c r="K2808" s="103" t="s">
        <v>3426</v>
      </c>
      <c r="L2808" s="117">
        <f>IF(O2808="","",N2808*O2808*M2808)</f>
        <v>0</v>
      </c>
      <c r="M2808" s="108">
        <v>1</v>
      </c>
      <c r="N2808" s="95">
        <v>1</v>
      </c>
      <c r="O2808" s="109">
        <f>IF(Key!D$1="ON",P2808,IF(SUM(Q2808:DL2808)&lt;1,"",SUM(Q2808:DL2808)/COUNTIF(Q2808:DL2808,"&gt;0")))</f>
        <v>0</v>
      </c>
      <c r="P2808" s="109">
        <f>SUMIFS(Q2808:DK2808,Q$1:DK$1,Dashboard!$K$31)</f>
        <v>0</v>
      </c>
      <c r="U2808" s="95">
        <v>33</v>
      </c>
      <c r="AA2808" s="95">
        <v>25</v>
      </c>
      <c r="AH2808" s="95">
        <v>75</v>
      </c>
    </row>
    <row r="2809" spans="1:34" x14ac:dyDescent="0.3">
      <c r="A2809" s="89" t="str">
        <f>CONCATENATE(D2809,".",F2809,"-",G2809,".",H2809,"")</f>
        <v>2.4-5.1</v>
      </c>
      <c r="B2809" s="89" t="str">
        <f>IF(CONCATENATE(I2809,Key!F$2)=CONCATENATE(INDEX(Dashboard!J:J,MATCH(I2809,Dashboard!J:J,0),1),INDEX(Dashboard!J:K,MATCH(I2809,Dashboard!J:J,0),2)),"ON",IF(Dashboard!K$32="ALL","ON","-"))</f>
        <v>-</v>
      </c>
      <c r="C2809" s="88" t="s">
        <v>152</v>
      </c>
      <c r="D2809" s="89">
        <f>IF(C2809="ID",1,(IF(C2809="PR",2,(IF(C2809="DE",3,(IF(C2809="RS",4,(IF(C2809="RC",5,0)))))))))</f>
        <v>2</v>
      </c>
      <c r="E2809" s="89" t="s">
        <v>228</v>
      </c>
      <c r="F2809" s="89">
        <f>IF(E2809="AM",1,(IF(E2809="BE",2,(IF(E2809="GV",3,(IF(E2809="RA",4,(IF(E2809="RM",5,(IF(E2809="AC",1,(IF(E2809="AT",2,(IF(E2809="DS",3,(IF(E2809="IP",4,(IF(E2809="MA",5,(IF(E2809="PT",6,(IF(E2809="AE",1,(IF(E2809="CM",2,(IF(E2809="DP",3,(IF(E2809="AN",1,(IF(E2809="CO",2,(IF(E2809="IM",3,(IF(E2809="MI",4,(IF(E2809="RP",5,(IF(E2809="SC",6,0)))))))))))))))))))))))))))))))))))))))</f>
        <v>4</v>
      </c>
      <c r="G2809" s="52">
        <v>5</v>
      </c>
      <c r="H2809" s="90" t="s">
        <v>115</v>
      </c>
      <c r="I2809" s="94" t="s">
        <v>60</v>
      </c>
      <c r="J2809" s="87" t="s">
        <v>3248</v>
      </c>
      <c r="K2809" s="51" t="s">
        <v>5361</v>
      </c>
      <c r="L2809" s="117">
        <f>IF(O2809="","",N2809*O2809*M2809)</f>
        <v>0</v>
      </c>
      <c r="M2809" s="108">
        <v>1</v>
      </c>
      <c r="N2809" s="95">
        <v>1</v>
      </c>
      <c r="O2809" s="109">
        <f>IF(Key!D$1="ON",P2809,IF(SUM(Q2809:DL2809)&lt;1,"",SUM(Q2809:DL2809)/COUNTIF(Q2809:DL2809,"&gt;0")))</f>
        <v>0</v>
      </c>
      <c r="P2809" s="109">
        <f>SUMIFS(Q2809:DK2809,Q$1:DK$1,Dashboard!$K$31)</f>
        <v>0</v>
      </c>
      <c r="U2809" s="95">
        <v>33</v>
      </c>
      <c r="AA2809" s="95">
        <v>25</v>
      </c>
      <c r="AH2809" s="95">
        <v>75</v>
      </c>
    </row>
    <row r="2810" spans="1:34" x14ac:dyDescent="0.3">
      <c r="A2810" s="89" t="str">
        <f>CONCATENATE(D2810,".",F2810,"-",G2810,".",H2810,"")</f>
        <v>2.4-5.1</v>
      </c>
      <c r="B2810" s="89" t="str">
        <f>IF(CONCATENATE(I2810,Key!F$2)=CONCATENATE(INDEX(Dashboard!J:J,MATCH(I2810,Dashboard!J:J,0),1),INDEX(Dashboard!J:K,MATCH(I2810,Dashboard!J:J,0),2)),"ON",IF(Dashboard!K$32="ALL","ON","-"))</f>
        <v>-</v>
      </c>
      <c r="C2810" s="88" t="s">
        <v>152</v>
      </c>
      <c r="D2810" s="89">
        <f>IF(C2810="ID",1,(IF(C2810="PR",2,(IF(C2810="DE",3,(IF(C2810="RS",4,(IF(C2810="RC",5,0)))))))))</f>
        <v>2</v>
      </c>
      <c r="E2810" s="89" t="s">
        <v>228</v>
      </c>
      <c r="F2810" s="89">
        <f>IF(E2810="AM",1,(IF(E2810="BE",2,(IF(E2810="GV",3,(IF(E2810="RA",4,(IF(E2810="RM",5,(IF(E2810="AC",1,(IF(E2810="AT",2,(IF(E2810="DS",3,(IF(E2810="IP",4,(IF(E2810="MA",5,(IF(E2810="PT",6,(IF(E2810="AE",1,(IF(E2810="CM",2,(IF(E2810="DP",3,(IF(E2810="AN",1,(IF(E2810="CO",2,(IF(E2810="IM",3,(IF(E2810="MI",4,(IF(E2810="RP",5,(IF(E2810="SC",6,0)))))))))))))))))))))))))))))))))))))))</f>
        <v>4</v>
      </c>
      <c r="G2810" s="52">
        <v>5</v>
      </c>
      <c r="H2810" s="90" t="s">
        <v>115</v>
      </c>
      <c r="I2810" s="94" t="s">
        <v>60</v>
      </c>
      <c r="J2810" s="87" t="s">
        <v>3249</v>
      </c>
      <c r="K2810" s="51" t="s">
        <v>5362</v>
      </c>
      <c r="L2810" s="117">
        <f>IF(O2810="","",N2810*O2810*M2810)</f>
        <v>0</v>
      </c>
      <c r="M2810" s="108">
        <v>1</v>
      </c>
      <c r="N2810" s="95">
        <v>1</v>
      </c>
      <c r="O2810" s="109">
        <f>IF(Key!D$1="ON",P2810,IF(SUM(Q2810:DL2810)&lt;1,"",SUM(Q2810:DL2810)/COUNTIF(Q2810:DL2810,"&gt;0")))</f>
        <v>0</v>
      </c>
      <c r="P2810" s="109">
        <f>SUMIFS(Q2810:DK2810,Q$1:DK$1,Dashboard!$K$31)</f>
        <v>0</v>
      </c>
      <c r="U2810" s="95">
        <v>33</v>
      </c>
      <c r="AA2810" s="95">
        <v>25</v>
      </c>
      <c r="AH2810" s="95">
        <v>75</v>
      </c>
    </row>
    <row r="2811" spans="1:34" x14ac:dyDescent="0.3">
      <c r="A2811" s="89" t="str">
        <f>CONCATENATE(D2811,".",F2811,"-",G2811,".",H2811,"")</f>
        <v>2.4-5.1</v>
      </c>
      <c r="B2811" s="89" t="str">
        <f>IF(CONCATENATE(I2811,Key!F$2)=CONCATENATE(INDEX(Dashboard!J:J,MATCH(I2811,Dashboard!J:J,0),1),INDEX(Dashboard!J:K,MATCH(I2811,Dashboard!J:J,0),2)),"ON",IF(Dashboard!K$32="ALL","ON","-"))</f>
        <v>-</v>
      </c>
      <c r="C2811" s="88" t="s">
        <v>152</v>
      </c>
      <c r="D2811" s="89">
        <f>IF(C2811="ID",1,(IF(C2811="PR",2,(IF(C2811="DE",3,(IF(C2811="RS",4,(IF(C2811="RC",5,0)))))))))</f>
        <v>2</v>
      </c>
      <c r="E2811" s="89" t="s">
        <v>228</v>
      </c>
      <c r="F2811" s="89">
        <f>IF(E2811="AM",1,(IF(E2811="BE",2,(IF(E2811="GV",3,(IF(E2811="RA",4,(IF(E2811="RM",5,(IF(E2811="AC",1,(IF(E2811="AT",2,(IF(E2811="DS",3,(IF(E2811="IP",4,(IF(E2811="MA",5,(IF(E2811="PT",6,(IF(E2811="AE",1,(IF(E2811="CM",2,(IF(E2811="DP",3,(IF(E2811="AN",1,(IF(E2811="CO",2,(IF(E2811="IM",3,(IF(E2811="MI",4,(IF(E2811="RP",5,(IF(E2811="SC",6,0)))))))))))))))))))))))))))))))))))))))</f>
        <v>4</v>
      </c>
      <c r="G2811" s="52">
        <v>5</v>
      </c>
      <c r="H2811" s="90" t="s">
        <v>115</v>
      </c>
      <c r="I2811" s="94" t="s">
        <v>60</v>
      </c>
      <c r="J2811" s="87" t="s">
        <v>3178</v>
      </c>
      <c r="K2811" s="51" t="s">
        <v>5291</v>
      </c>
      <c r="L2811" s="117">
        <f>IF(O2811="","",N2811*O2811*M2811)</f>
        <v>0</v>
      </c>
      <c r="M2811" s="108">
        <v>1</v>
      </c>
      <c r="N2811" s="95">
        <v>1</v>
      </c>
      <c r="O2811" s="109">
        <f>IF(Key!D$1="ON",P2811,IF(SUM(Q2811:DL2811)&lt;1,"",SUM(Q2811:DL2811)/COUNTIF(Q2811:DL2811,"&gt;0")))</f>
        <v>0</v>
      </c>
      <c r="P2811" s="109">
        <f>SUMIFS(Q2811:DK2811,Q$1:DK$1,Dashboard!$K$31)</f>
        <v>0</v>
      </c>
      <c r="U2811" s="95">
        <v>33</v>
      </c>
      <c r="AA2811" s="95">
        <v>25</v>
      </c>
      <c r="AH2811" s="95">
        <v>75</v>
      </c>
    </row>
    <row r="2812" spans="1:34" x14ac:dyDescent="0.3">
      <c r="A2812" s="89" t="str">
        <f>CONCATENATE(D2812,".",F2812,"-",G2812,".",H2812,"")</f>
        <v>2.4-5.1</v>
      </c>
      <c r="B2812" s="89" t="str">
        <f>IF(CONCATENATE(I2812,Key!F$2)=CONCATENATE(INDEX(Dashboard!J:J,MATCH(I2812,Dashboard!J:J,0),1),INDEX(Dashboard!J:K,MATCH(I2812,Dashboard!J:J,0),2)),"ON",IF(Dashboard!K$32="ALL","ON","-"))</f>
        <v>-</v>
      </c>
      <c r="C2812" s="88" t="s">
        <v>152</v>
      </c>
      <c r="D2812" s="89">
        <f>IF(C2812="ID",1,(IF(C2812="PR",2,(IF(C2812="DE",3,(IF(C2812="RS",4,(IF(C2812="RC",5,0)))))))))</f>
        <v>2</v>
      </c>
      <c r="E2812" s="89" t="s">
        <v>228</v>
      </c>
      <c r="F2812" s="89">
        <f>IF(E2812="AM",1,(IF(E2812="BE",2,(IF(E2812="GV",3,(IF(E2812="RA",4,(IF(E2812="RM",5,(IF(E2812="AC",1,(IF(E2812="AT",2,(IF(E2812="DS",3,(IF(E2812="IP",4,(IF(E2812="MA",5,(IF(E2812="PT",6,(IF(E2812="AE",1,(IF(E2812="CM",2,(IF(E2812="DP",3,(IF(E2812="AN",1,(IF(E2812="CO",2,(IF(E2812="IM",3,(IF(E2812="MI",4,(IF(E2812="RP",5,(IF(E2812="SC",6,0)))))))))))))))))))))))))))))))))))))))</f>
        <v>4</v>
      </c>
      <c r="G2812" s="52">
        <v>5</v>
      </c>
      <c r="H2812" s="89">
        <v>1</v>
      </c>
      <c r="I2812" s="94" t="s">
        <v>60</v>
      </c>
      <c r="J2812" s="88" t="s">
        <v>3124</v>
      </c>
      <c r="K2812" s="51" t="s">
        <v>5237</v>
      </c>
      <c r="L2812" s="117">
        <f>IF(O2812="","",N2812*O2812*M2812)</f>
        <v>0</v>
      </c>
      <c r="M2812" s="108">
        <v>1</v>
      </c>
      <c r="N2812" s="95">
        <v>1</v>
      </c>
      <c r="O2812" s="109">
        <f>IF(Key!D$1="ON",P2812,IF(SUM(Q2812:DL2812)&lt;1,"",SUM(Q2812:DL2812)/COUNTIF(Q2812:DL2812,"&gt;0")))</f>
        <v>0</v>
      </c>
      <c r="P2812" s="109">
        <f>SUMIFS(Q2812:DK2812,Q$1:DK$1,Dashboard!$K$31)</f>
        <v>0</v>
      </c>
      <c r="U2812" s="95">
        <v>33</v>
      </c>
      <c r="AA2812" s="95">
        <v>25</v>
      </c>
      <c r="AH2812" s="95">
        <v>75</v>
      </c>
    </row>
    <row r="2813" spans="1:34" ht="15.6" x14ac:dyDescent="0.3">
      <c r="A2813" s="89" t="str">
        <f>CONCATENATE(D2813,".",F2813,"-",G2813,".",H2813,"")</f>
        <v>2.4-5.1</v>
      </c>
      <c r="B2813" s="89" t="str">
        <f>IF(CONCATENATE(I2813,Key!F$2)=CONCATENATE(INDEX(Dashboard!J:J,MATCH(I2813,Dashboard!J:J,0),1),INDEX(Dashboard!J:K,MATCH(I2813,Dashboard!J:J,0),2)),"ON",IF(Dashboard!K$32="ALL","ON","-"))</f>
        <v>-</v>
      </c>
      <c r="C2813" s="88" t="s">
        <v>152</v>
      </c>
      <c r="D2813" s="89">
        <f>IF(C2813="ID",1,(IF(C2813="PR",2,(IF(C2813="DE",3,(IF(C2813="RS",4,(IF(C2813="RC",5,0)))))))))</f>
        <v>2</v>
      </c>
      <c r="E2813" s="89" t="s">
        <v>228</v>
      </c>
      <c r="F2813" s="89">
        <f>IF(E2813="AM",1,(IF(E2813="BE",2,(IF(E2813="GV",3,(IF(E2813="RA",4,(IF(E2813="RM",5,(IF(E2813="AC",1,(IF(E2813="AT",2,(IF(E2813="DS",3,(IF(E2813="IP",4,(IF(E2813="MA",5,(IF(E2813="PT",6,(IF(E2813="AE",1,(IF(E2813="CM",2,(IF(E2813="DP",3,(IF(E2813="AN",1,(IF(E2813="CO",2,(IF(E2813="IM",3,(IF(E2813="MI",4,(IF(E2813="RP",5,(IF(E2813="SC",6,0)))))))))))))))))))))))))))))))))))))))</f>
        <v>4</v>
      </c>
      <c r="G2813" s="52">
        <v>5</v>
      </c>
      <c r="H2813" s="89">
        <v>1</v>
      </c>
      <c r="I2813" s="94" t="s">
        <v>60</v>
      </c>
      <c r="J2813" s="88" t="s">
        <v>3199</v>
      </c>
      <c r="K2813" s="51" t="s">
        <v>5312</v>
      </c>
      <c r="L2813" s="117">
        <f>IF(O2813="","",N2813*O2813*M2813)</f>
        <v>0</v>
      </c>
      <c r="M2813" s="108">
        <v>1</v>
      </c>
      <c r="N2813" s="95">
        <v>1</v>
      </c>
      <c r="O2813" s="109">
        <f>IF(Key!D$1="ON",P2813,IF(SUM(Q2813:DL2813)&lt;1,"",SUM(Q2813:DL2813)/COUNTIF(Q2813:DL2813,"&gt;0")))</f>
        <v>0</v>
      </c>
      <c r="P2813" s="109">
        <f>SUMIFS(Q2813:DK2813,Q$1:DK$1,Dashboard!$K$31)</f>
        <v>0</v>
      </c>
      <c r="U2813" s="95">
        <v>33</v>
      </c>
      <c r="AA2813" s="95">
        <v>25</v>
      </c>
      <c r="AH2813" s="95">
        <v>75</v>
      </c>
    </row>
    <row r="2814" spans="1:34" ht="15.6" x14ac:dyDescent="0.3">
      <c r="A2814" s="89" t="str">
        <f>CONCATENATE(D2814,".",F2814,"-",G2814,".",H2814,"")</f>
        <v>2.4-5.1</v>
      </c>
      <c r="B2814" s="89" t="str">
        <f>IF(CONCATENATE(I2814,Key!F$2)=CONCATENATE(INDEX(Dashboard!J:J,MATCH(I2814,Dashboard!J:J,0),1),INDEX(Dashboard!J:K,MATCH(I2814,Dashboard!J:J,0),2)),"ON",IF(Dashboard!K$32="ALL","ON","-"))</f>
        <v>-</v>
      </c>
      <c r="C2814" s="88" t="s">
        <v>152</v>
      </c>
      <c r="D2814" s="89">
        <f>IF(C2814="ID",1,(IF(C2814="PR",2,(IF(C2814="DE",3,(IF(C2814="RS",4,(IF(C2814="RC",5,0)))))))))</f>
        <v>2</v>
      </c>
      <c r="E2814" s="89" t="s">
        <v>228</v>
      </c>
      <c r="F2814" s="89">
        <f>IF(E2814="AM",1,(IF(E2814="BE",2,(IF(E2814="GV",3,(IF(E2814="RA",4,(IF(E2814="RM",5,(IF(E2814="AC",1,(IF(E2814="AT",2,(IF(E2814="DS",3,(IF(E2814="IP",4,(IF(E2814="MA",5,(IF(E2814="PT",6,(IF(E2814="AE",1,(IF(E2814="CM",2,(IF(E2814="DP",3,(IF(E2814="AN",1,(IF(E2814="CO",2,(IF(E2814="IM",3,(IF(E2814="MI",4,(IF(E2814="RP",5,(IF(E2814="SC",6,0)))))))))))))))))))))))))))))))))))))))</f>
        <v>4</v>
      </c>
      <c r="G2814" s="52">
        <v>5</v>
      </c>
      <c r="H2814" s="90" t="s">
        <v>115</v>
      </c>
      <c r="I2814" s="94" t="s">
        <v>64</v>
      </c>
      <c r="J2814" s="87" t="s">
        <v>1234</v>
      </c>
      <c r="K2814" s="102" t="s">
        <v>2254</v>
      </c>
      <c r="L2814" s="117">
        <f>IF(O2814="","",N2814*O2814*M2814)</f>
        <v>0</v>
      </c>
      <c r="M2814" s="108">
        <v>1</v>
      </c>
      <c r="N2814" s="95">
        <v>1</v>
      </c>
      <c r="O2814" s="109">
        <f>IF(Key!D$1="ON",P2814,IF(SUM(Q2814:DL2814)&lt;1,"",SUM(Q2814:DL2814)/COUNTIF(Q2814:DL2814,"&gt;0")))</f>
        <v>0</v>
      </c>
      <c r="P2814" s="109">
        <f>SUMIFS(Q2814:DK2814,Q$1:DK$1,Dashboard!$K$31)</f>
        <v>0</v>
      </c>
      <c r="U2814" s="95">
        <v>33</v>
      </c>
      <c r="AA2814" s="95">
        <v>25</v>
      </c>
      <c r="AH2814" s="95">
        <v>75</v>
      </c>
    </row>
    <row r="2815" spans="1:34" x14ac:dyDescent="0.3">
      <c r="A2815" s="89" t="str">
        <f>CONCATENATE(D2815,".",F2815,"-",G2815,".",H2815,"")</f>
        <v>2.4-5.1</v>
      </c>
      <c r="B2815" s="89" t="str">
        <f>IF(CONCATENATE(I2815,Key!F$2)=CONCATENATE(INDEX(Dashboard!J:J,MATCH(I2815,Dashboard!J:J,0),1),INDEX(Dashboard!J:K,MATCH(I2815,Dashboard!J:J,0),2)),"ON",IF(Dashboard!K$32="ALL","ON","-"))</f>
        <v>-</v>
      </c>
      <c r="C2815" s="88" t="s">
        <v>152</v>
      </c>
      <c r="D2815" s="89">
        <f>IF(C2815="ID",1,(IF(C2815="PR",2,(IF(C2815="DE",3,(IF(C2815="RS",4,(IF(C2815="RC",5,0)))))))))</f>
        <v>2</v>
      </c>
      <c r="E2815" s="89" t="s">
        <v>228</v>
      </c>
      <c r="F2815" s="89">
        <f>IF(E2815="AM",1,(IF(E2815="BE",2,(IF(E2815="GV",3,(IF(E2815="RA",4,(IF(E2815="RM",5,(IF(E2815="AC",1,(IF(E2815="AT",2,(IF(E2815="DS",3,(IF(E2815="IP",4,(IF(E2815="MA",5,(IF(E2815="PT",6,(IF(E2815="AE",1,(IF(E2815="CM",2,(IF(E2815="DP",3,(IF(E2815="AN",1,(IF(E2815="CO",2,(IF(E2815="IM",3,(IF(E2815="MI",4,(IF(E2815="RP",5,(IF(E2815="SC",6,0)))))))))))))))))))))))))))))))))))))))</f>
        <v>4</v>
      </c>
      <c r="G2815" s="52">
        <v>5</v>
      </c>
      <c r="H2815" s="90" t="s">
        <v>115</v>
      </c>
      <c r="I2815" s="94" t="s">
        <v>77</v>
      </c>
      <c r="J2815" s="87" t="s">
        <v>1234</v>
      </c>
      <c r="K2815" s="102" t="s">
        <v>2254</v>
      </c>
      <c r="L2815" s="117">
        <f>IF(O2815="","",N2815*O2815*M2815)</f>
        <v>0</v>
      </c>
      <c r="M2815" s="108">
        <v>1</v>
      </c>
      <c r="N2815" s="95">
        <v>1</v>
      </c>
      <c r="O2815" s="109">
        <f>IF(Key!D$1="ON",P2815,IF(SUM(Q2815:DL2815)&lt;1,"",SUM(Q2815:DL2815)/COUNTIF(Q2815:DL2815,"&gt;0")))</f>
        <v>0</v>
      </c>
      <c r="P2815" s="109">
        <f>SUMIFS(Q2815:DK2815,Q$1:DK$1,Dashboard!$K$31)</f>
        <v>0</v>
      </c>
      <c r="U2815" s="95">
        <v>33</v>
      </c>
      <c r="AA2815" s="95">
        <v>25</v>
      </c>
      <c r="AH2815" s="95">
        <v>75</v>
      </c>
    </row>
    <row r="2816" spans="1:34" x14ac:dyDescent="0.3">
      <c r="A2816" s="89" t="str">
        <f>CONCATENATE(D2816,".",F2816,"-",G2816,".",H2816,"")</f>
        <v>2.4-5.1</v>
      </c>
      <c r="B2816" s="89" t="str">
        <f>IF(CONCATENATE(I2816,Key!F$2)=CONCATENATE(INDEX(Dashboard!J:J,MATCH(I2816,Dashboard!J:J,0),1),INDEX(Dashboard!J:K,MATCH(I2816,Dashboard!J:J,0),2)),"ON",IF(Dashboard!K$32="ALL","ON","-"))</f>
        <v>-</v>
      </c>
      <c r="C2816" s="96" t="s">
        <v>152</v>
      </c>
      <c r="D2816" s="89">
        <f>IF(C2816="ID",1,(IF(C2816="PR",2,(IF(C2816="DE",3,(IF(C2816="RS",4,(IF(C2816="RC",5,0)))))))))</f>
        <v>2</v>
      </c>
      <c r="E2816" s="89" t="s">
        <v>228</v>
      </c>
      <c r="F2816" s="89">
        <f>IF(E2816="AM",1,(IF(E2816="BE",2,(IF(E2816="GV",3,(IF(E2816="RA",4,(IF(E2816="RM",5,(IF(E2816="AC",1,(IF(E2816="AT",2,(IF(E2816="DS",3,(IF(E2816="IP",4,(IF(E2816="MA",5,(IF(E2816="PT",6,(IF(E2816="AE",1,(IF(E2816="CM",2,(IF(E2816="DP",3,(IF(E2816="AN",1,(IF(E2816="CO",2,(IF(E2816="IM",3,(IF(E2816="MI",4,(IF(E2816="RP",5,(IF(E2816="SC",6,0)))))))))))))))))))))))))))))))))))))))</f>
        <v>4</v>
      </c>
      <c r="G2816" s="98">
        <v>5</v>
      </c>
      <c r="H2816" s="90" t="s">
        <v>115</v>
      </c>
      <c r="I2816" s="94" t="s">
        <v>77</v>
      </c>
      <c r="J2816" s="87" t="s">
        <v>1623</v>
      </c>
      <c r="K2816" s="102" t="s">
        <v>2573</v>
      </c>
      <c r="L2816" s="117">
        <f>IF(O2816="","",N2816*O2816*M2816)</f>
        <v>0</v>
      </c>
      <c r="M2816" s="108">
        <v>1</v>
      </c>
      <c r="N2816" s="95">
        <v>1</v>
      </c>
      <c r="O2816" s="109">
        <f>IF(Key!D$1="ON",P2816,IF(SUM(Q2816:DL2816)&lt;1,"",SUM(Q2816:DL2816)/COUNTIF(Q2816:DL2816,"&gt;0")))</f>
        <v>0</v>
      </c>
      <c r="P2816" s="109">
        <f>SUMIFS(Q2816:DK2816,Q$1:DK$1,Dashboard!$K$31)</f>
        <v>0</v>
      </c>
      <c r="U2816" s="95">
        <v>33</v>
      </c>
      <c r="AA2816" s="95">
        <v>25</v>
      </c>
      <c r="AH2816" s="95">
        <v>75</v>
      </c>
    </row>
    <row r="2817" spans="1:34" x14ac:dyDescent="0.3">
      <c r="A2817" s="89" t="str">
        <f>CONCATENATE(D2817,".",F2817,"-",G2817,".",H2817,"")</f>
        <v>2.4-5.1</v>
      </c>
      <c r="B2817" s="89" t="str">
        <f>IF(CONCATENATE(I2817,Key!F$2)=CONCATENATE(INDEX(Dashboard!J:J,MATCH(I2817,Dashboard!J:J,0),1),INDEX(Dashboard!J:K,MATCH(I2817,Dashboard!J:J,0),2)),"ON",IF(Dashboard!K$32="ALL","ON","-"))</f>
        <v>-</v>
      </c>
      <c r="C2817" s="96" t="s">
        <v>152</v>
      </c>
      <c r="D2817" s="89">
        <f>IF(C2817="ID",1,(IF(C2817="PR",2,(IF(C2817="DE",3,(IF(C2817="RS",4,(IF(C2817="RC",5,0)))))))))</f>
        <v>2</v>
      </c>
      <c r="E2817" s="89" t="s">
        <v>228</v>
      </c>
      <c r="F2817" s="89">
        <f>IF(E2817="AM",1,(IF(E2817="BE",2,(IF(E2817="GV",3,(IF(E2817="RA",4,(IF(E2817="RM",5,(IF(E2817="AC",1,(IF(E2817="AT",2,(IF(E2817="DS",3,(IF(E2817="IP",4,(IF(E2817="MA",5,(IF(E2817="PT",6,(IF(E2817="AE",1,(IF(E2817="CM",2,(IF(E2817="DP",3,(IF(E2817="AN",1,(IF(E2817="CO",2,(IF(E2817="IM",3,(IF(E2817="MI",4,(IF(E2817="RP",5,(IF(E2817="SC",6,0)))))))))))))))))))))))))))))))))))))))</f>
        <v>4</v>
      </c>
      <c r="G2817" s="98">
        <v>5</v>
      </c>
      <c r="H2817" s="90" t="s">
        <v>115</v>
      </c>
      <c r="I2817" s="94" t="s">
        <v>77</v>
      </c>
      <c r="J2817" s="87" t="s">
        <v>1625</v>
      </c>
      <c r="K2817" s="102" t="s">
        <v>2574</v>
      </c>
      <c r="L2817" s="117">
        <f>IF(O2817="","",N2817*O2817*M2817)</f>
        <v>0</v>
      </c>
      <c r="M2817" s="108">
        <v>1</v>
      </c>
      <c r="N2817" s="95">
        <v>1</v>
      </c>
      <c r="O2817" s="109">
        <f>IF(Key!D$1="ON",P2817,IF(SUM(Q2817:DL2817)&lt;1,"",SUM(Q2817:DL2817)/COUNTIF(Q2817:DL2817,"&gt;0")))</f>
        <v>0</v>
      </c>
      <c r="P2817" s="109">
        <f>SUMIFS(Q2817:DK2817,Q$1:DK$1,Dashboard!$K$31)</f>
        <v>0</v>
      </c>
      <c r="U2817" s="95">
        <v>33</v>
      </c>
      <c r="AA2817" s="95">
        <v>25</v>
      </c>
      <c r="AH2817" s="95">
        <v>75</v>
      </c>
    </row>
    <row r="2818" spans="1:34" x14ac:dyDescent="0.3">
      <c r="A2818" s="89" t="str">
        <f>CONCATENATE(D2818,".",F2818,"-",G2818,".",H2818,"")</f>
        <v>2.4-5.1</v>
      </c>
      <c r="B2818" s="89" t="str">
        <f>IF(CONCATENATE(I2818,Key!F$2)=CONCATENATE(INDEX(Dashboard!J:J,MATCH(I2818,Dashboard!J:J,0),1),INDEX(Dashboard!J:K,MATCH(I2818,Dashboard!J:J,0),2)),"ON",IF(Dashboard!K$32="ALL","ON","-"))</f>
        <v>-</v>
      </c>
      <c r="C2818" s="88" t="s">
        <v>152</v>
      </c>
      <c r="D2818" s="89">
        <f>IF(C2818="ID",1,(IF(C2818="PR",2,(IF(C2818="DE",3,(IF(C2818="RS",4,(IF(C2818="RC",5,0)))))))))</f>
        <v>2</v>
      </c>
      <c r="E2818" s="89" t="s">
        <v>228</v>
      </c>
      <c r="F2818" s="89">
        <f>IF(E2818="AM",1,(IF(E2818="BE",2,(IF(E2818="GV",3,(IF(E2818="RA",4,(IF(E2818="RM",5,(IF(E2818="AC",1,(IF(E2818="AT",2,(IF(E2818="DS",3,(IF(E2818="IP",4,(IF(E2818="MA",5,(IF(E2818="PT",6,(IF(E2818="AE",1,(IF(E2818="CM",2,(IF(E2818="DP",3,(IF(E2818="AN",1,(IF(E2818="CO",2,(IF(E2818="IM",3,(IF(E2818="MI",4,(IF(E2818="RP",5,(IF(E2818="SC",6,0)))))))))))))))))))))))))))))))))))))))</f>
        <v>4</v>
      </c>
      <c r="G2818" s="52">
        <v>5</v>
      </c>
      <c r="H2818" s="90" t="s">
        <v>115</v>
      </c>
      <c r="I2818" s="94" t="s">
        <v>77</v>
      </c>
      <c r="J2818" s="87" t="s">
        <v>1627</v>
      </c>
      <c r="K2818" s="102" t="s">
        <v>2575</v>
      </c>
      <c r="L2818" s="117">
        <f>IF(O2818="","",N2818*O2818*M2818)</f>
        <v>0</v>
      </c>
      <c r="M2818" s="108">
        <v>1</v>
      </c>
      <c r="N2818" s="95">
        <v>1</v>
      </c>
      <c r="O2818" s="109">
        <f>IF(Key!D$1="ON",P2818,IF(SUM(Q2818:DL2818)&lt;1,"",SUM(Q2818:DL2818)/COUNTIF(Q2818:DL2818,"&gt;0")))</f>
        <v>0</v>
      </c>
      <c r="P2818" s="109">
        <f>SUMIFS(Q2818:DK2818,Q$1:DK$1,Dashboard!$K$31)</f>
        <v>0</v>
      </c>
      <c r="U2818" s="95">
        <v>33</v>
      </c>
      <c r="AA2818" s="95">
        <v>25</v>
      </c>
      <c r="AH2818" s="95">
        <v>75</v>
      </c>
    </row>
    <row r="2819" spans="1:34" ht="15.6" x14ac:dyDescent="0.3">
      <c r="A2819" s="89" t="str">
        <f>CONCATENATE(D2819,".",F2819,"-",G2819,".",H2819,"")</f>
        <v>2.4-5.1</v>
      </c>
      <c r="B2819" s="89" t="str">
        <f>IF(CONCATENATE(I2819,Key!F$2)=CONCATENATE(INDEX(Dashboard!J:J,MATCH(I2819,Dashboard!J:J,0),1),INDEX(Dashboard!J:K,MATCH(I2819,Dashboard!J:J,0),2)),"ON",IF(Dashboard!K$32="ALL","ON","-"))</f>
        <v>-</v>
      </c>
      <c r="C2819" s="96" t="s">
        <v>152</v>
      </c>
      <c r="D2819" s="89">
        <f>IF(C2819="ID",1,(IF(C2819="PR",2,(IF(C2819="DE",3,(IF(C2819="RS",4,(IF(C2819="RC",5,0)))))))))</f>
        <v>2</v>
      </c>
      <c r="E2819" s="89" t="s">
        <v>228</v>
      </c>
      <c r="F2819" s="89">
        <f>IF(E2819="AM",1,(IF(E2819="BE",2,(IF(E2819="GV",3,(IF(E2819="RA",4,(IF(E2819="RM",5,(IF(E2819="AC",1,(IF(E2819="AT",2,(IF(E2819="DS",3,(IF(E2819="IP",4,(IF(E2819="MA",5,(IF(E2819="PT",6,(IF(E2819="AE",1,(IF(E2819="CM",2,(IF(E2819="DP",3,(IF(E2819="AN",1,(IF(E2819="CO",2,(IF(E2819="IM",3,(IF(E2819="MI",4,(IF(E2819="RP",5,(IF(E2819="SC",6,0)))))))))))))))))))))))))))))))))))))))</f>
        <v>4</v>
      </c>
      <c r="G2819" s="98">
        <v>5</v>
      </c>
      <c r="H2819" s="90" t="s">
        <v>115</v>
      </c>
      <c r="I2819" s="94" t="s">
        <v>77</v>
      </c>
      <c r="J2819" s="87" t="s">
        <v>1628</v>
      </c>
      <c r="K2819" s="102" t="s">
        <v>2576</v>
      </c>
      <c r="L2819" s="117">
        <f>IF(O2819="","",N2819*O2819*M2819)</f>
        <v>0</v>
      </c>
      <c r="M2819" s="108">
        <v>1</v>
      </c>
      <c r="N2819" s="95">
        <v>1</v>
      </c>
      <c r="O2819" s="109">
        <f>IF(Key!D$1="ON",P2819,IF(SUM(Q2819:DL2819)&lt;1,"",SUM(Q2819:DL2819)/COUNTIF(Q2819:DL2819,"&gt;0")))</f>
        <v>0</v>
      </c>
      <c r="P2819" s="109">
        <f>SUMIFS(Q2819:DK2819,Q$1:DK$1,Dashboard!$K$31)</f>
        <v>0</v>
      </c>
      <c r="U2819" s="95">
        <v>33</v>
      </c>
      <c r="AA2819" s="95">
        <v>25</v>
      </c>
      <c r="AH2819" s="95">
        <v>75</v>
      </c>
    </row>
    <row r="2820" spans="1:34" ht="15.6" x14ac:dyDescent="0.3">
      <c r="A2820" s="89" t="str">
        <f>CONCATENATE(D2820,".",F2820,"-",G2820,".",H2820,"")</f>
        <v>2.4-5.1</v>
      </c>
      <c r="B2820" s="89" t="str">
        <f>IF(CONCATENATE(I2820,Key!F$2)=CONCATENATE(INDEX(Dashboard!J:J,MATCH(I2820,Dashboard!J:J,0),1),INDEX(Dashboard!J:K,MATCH(I2820,Dashboard!J:J,0),2)),"ON",IF(Dashboard!K$32="ALL","ON","-"))</f>
        <v>-</v>
      </c>
      <c r="C2820" s="88" t="s">
        <v>152</v>
      </c>
      <c r="D2820" s="89">
        <f>IF(C2820="ID",1,(IF(C2820="PR",2,(IF(C2820="DE",3,(IF(C2820="RS",4,(IF(C2820="RC",5,0)))))))))</f>
        <v>2</v>
      </c>
      <c r="E2820" s="89" t="s">
        <v>228</v>
      </c>
      <c r="F2820" s="89">
        <f>IF(E2820="AM",1,(IF(E2820="BE",2,(IF(E2820="GV",3,(IF(E2820="RA",4,(IF(E2820="RM",5,(IF(E2820="AC",1,(IF(E2820="AT",2,(IF(E2820="DS",3,(IF(E2820="IP",4,(IF(E2820="MA",5,(IF(E2820="PT",6,(IF(E2820="AE",1,(IF(E2820="CM",2,(IF(E2820="DP",3,(IF(E2820="AN",1,(IF(E2820="CO",2,(IF(E2820="IM",3,(IF(E2820="MI",4,(IF(E2820="RP",5,(IF(E2820="SC",6,0)))))))))))))))))))))))))))))))))))))))</f>
        <v>4</v>
      </c>
      <c r="G2820" s="52">
        <v>5</v>
      </c>
      <c r="H2820" s="90" t="s">
        <v>115</v>
      </c>
      <c r="I2820" s="94" t="s">
        <v>77</v>
      </c>
      <c r="J2820" s="87" t="s">
        <v>1630</v>
      </c>
      <c r="K2820" s="102" t="s">
        <v>2577</v>
      </c>
      <c r="L2820" s="117">
        <f>IF(O2820="","",N2820*O2820*M2820)</f>
        <v>0</v>
      </c>
      <c r="M2820" s="108">
        <v>1</v>
      </c>
      <c r="N2820" s="95">
        <v>1</v>
      </c>
      <c r="O2820" s="109">
        <f>IF(Key!D$1="ON",P2820,IF(SUM(Q2820:DL2820)&lt;1,"",SUM(Q2820:DL2820)/COUNTIF(Q2820:DL2820,"&gt;0")))</f>
        <v>0</v>
      </c>
      <c r="P2820" s="109">
        <f>SUMIFS(Q2820:DK2820,Q$1:DK$1,Dashboard!$K$31)</f>
        <v>0</v>
      </c>
      <c r="U2820" s="95">
        <v>33</v>
      </c>
      <c r="AA2820" s="95">
        <v>25</v>
      </c>
      <c r="AH2820" s="95">
        <v>75</v>
      </c>
    </row>
    <row r="2821" spans="1:34" ht="15.6" x14ac:dyDescent="0.3">
      <c r="A2821" s="89" t="str">
        <f>CONCATENATE(D2821,".",F2821,"-",G2821,".",H2821,"")</f>
        <v>2.4-5.1</v>
      </c>
      <c r="B2821" s="89" t="str">
        <f>IF(CONCATENATE(I2821,Key!F$2)=CONCATENATE(INDEX(Dashboard!J:J,MATCH(I2821,Dashboard!J:J,0),1),INDEX(Dashboard!J:K,MATCH(I2821,Dashboard!J:J,0),2)),"ON",IF(Dashboard!K$32="ALL","ON","-"))</f>
        <v>-</v>
      </c>
      <c r="C2821" s="88" t="s">
        <v>152</v>
      </c>
      <c r="D2821" s="89">
        <f>IF(C2821="ID",1,(IF(C2821="PR",2,(IF(C2821="DE",3,(IF(C2821="RS",4,(IF(C2821="RC",5,0)))))))))</f>
        <v>2</v>
      </c>
      <c r="E2821" s="89" t="s">
        <v>228</v>
      </c>
      <c r="F2821" s="89">
        <f>IF(E2821="AM",1,(IF(E2821="BE",2,(IF(E2821="GV",3,(IF(E2821="RA",4,(IF(E2821="RM",5,(IF(E2821="AC",1,(IF(E2821="AT",2,(IF(E2821="DS",3,(IF(E2821="IP",4,(IF(E2821="MA",5,(IF(E2821="PT",6,(IF(E2821="AE",1,(IF(E2821="CM",2,(IF(E2821="DP",3,(IF(E2821="AN",1,(IF(E2821="CO",2,(IF(E2821="IM",3,(IF(E2821="MI",4,(IF(E2821="RP",5,(IF(E2821="SC",6,0)))))))))))))))))))))))))))))))))))))))</f>
        <v>4</v>
      </c>
      <c r="G2821" s="52">
        <v>5</v>
      </c>
      <c r="H2821" s="90" t="s">
        <v>115</v>
      </c>
      <c r="I2821" s="94" t="s">
        <v>77</v>
      </c>
      <c r="J2821" s="87" t="s">
        <v>1631</v>
      </c>
      <c r="K2821" s="102" t="s">
        <v>2578</v>
      </c>
      <c r="L2821" s="117">
        <f>IF(O2821="","",N2821*O2821*M2821)</f>
        <v>0</v>
      </c>
      <c r="M2821" s="108">
        <v>1</v>
      </c>
      <c r="N2821" s="95">
        <v>1</v>
      </c>
      <c r="O2821" s="109">
        <f>IF(Key!D$1="ON",P2821,IF(SUM(Q2821:DL2821)&lt;1,"",SUM(Q2821:DL2821)/COUNTIF(Q2821:DL2821,"&gt;0")))</f>
        <v>0</v>
      </c>
      <c r="P2821" s="109">
        <f>SUMIFS(Q2821:DK2821,Q$1:DK$1,Dashboard!$K$31)</f>
        <v>0</v>
      </c>
      <c r="U2821" s="95">
        <v>33</v>
      </c>
      <c r="AA2821" s="95">
        <v>25</v>
      </c>
      <c r="AH2821" s="95">
        <v>75</v>
      </c>
    </row>
    <row r="2822" spans="1:34" ht="15.6" x14ac:dyDescent="0.3">
      <c r="A2822" s="89" t="str">
        <f>CONCATENATE(D2822,".",F2822,"-",G2822,".",H2822,"")</f>
        <v>2.4-5.1</v>
      </c>
      <c r="B2822" s="89" t="str">
        <f>IF(CONCATENATE(I2822,Key!F$2)=CONCATENATE(INDEX(Dashboard!J:J,MATCH(I2822,Dashboard!J:J,0),1),INDEX(Dashboard!J:K,MATCH(I2822,Dashboard!J:J,0),2)),"ON",IF(Dashboard!K$32="ALL","ON","-"))</f>
        <v>-</v>
      </c>
      <c r="C2822" s="88" t="s">
        <v>152</v>
      </c>
      <c r="D2822" s="89">
        <f>IF(C2822="ID",1,(IF(C2822="PR",2,(IF(C2822="DE",3,(IF(C2822="RS",4,(IF(C2822="RC",5,0)))))))))</f>
        <v>2</v>
      </c>
      <c r="E2822" s="89" t="s">
        <v>228</v>
      </c>
      <c r="F2822" s="89">
        <f>IF(E2822="AM",1,(IF(E2822="BE",2,(IF(E2822="GV",3,(IF(E2822="RA",4,(IF(E2822="RM",5,(IF(E2822="AC",1,(IF(E2822="AT",2,(IF(E2822="DS",3,(IF(E2822="IP",4,(IF(E2822="MA",5,(IF(E2822="PT",6,(IF(E2822="AE",1,(IF(E2822="CM",2,(IF(E2822="DP",3,(IF(E2822="AN",1,(IF(E2822="CO",2,(IF(E2822="IM",3,(IF(E2822="MI",4,(IF(E2822="RP",5,(IF(E2822="SC",6,0)))))))))))))))))))))))))))))))))))))))</f>
        <v>4</v>
      </c>
      <c r="G2822" s="52">
        <v>5</v>
      </c>
      <c r="H2822" s="90" t="s">
        <v>115</v>
      </c>
      <c r="I2822" s="94" t="s">
        <v>77</v>
      </c>
      <c r="J2822" s="87" t="s">
        <v>1632</v>
      </c>
      <c r="K2822" s="102" t="s">
        <v>2579</v>
      </c>
      <c r="L2822" s="117">
        <f>IF(O2822="","",N2822*O2822*M2822)</f>
        <v>0</v>
      </c>
      <c r="M2822" s="108">
        <v>1</v>
      </c>
      <c r="N2822" s="95">
        <v>1</v>
      </c>
      <c r="O2822" s="109">
        <f>IF(Key!D$1="ON",P2822,IF(SUM(Q2822:DL2822)&lt;1,"",SUM(Q2822:DL2822)/COUNTIF(Q2822:DL2822,"&gt;0")))</f>
        <v>0</v>
      </c>
      <c r="P2822" s="109">
        <f>SUMIFS(Q2822:DK2822,Q$1:DK$1,Dashboard!$K$31)</f>
        <v>0</v>
      </c>
      <c r="U2822" s="95">
        <v>33</v>
      </c>
      <c r="AA2822" s="95">
        <v>25</v>
      </c>
      <c r="AH2822" s="95">
        <v>75</v>
      </c>
    </row>
    <row r="2823" spans="1:34" ht="15.6" x14ac:dyDescent="0.3">
      <c r="A2823" s="89" t="str">
        <f>CONCATENATE(D2823,".",F2823,"-",G2823,".",H2823,"")</f>
        <v>2.4-5.1</v>
      </c>
      <c r="B2823" s="89" t="str">
        <f>IF(CONCATENATE(I2823,Key!F$2)=CONCATENATE(INDEX(Dashboard!J:J,MATCH(I2823,Dashboard!J:J,0),1),INDEX(Dashboard!J:K,MATCH(I2823,Dashboard!J:J,0),2)),"ON",IF(Dashboard!K$32="ALL","ON","-"))</f>
        <v>-</v>
      </c>
      <c r="C2823" s="88" t="s">
        <v>152</v>
      </c>
      <c r="D2823" s="89">
        <f>IF(C2823="ID",1,(IF(C2823="PR",2,(IF(C2823="DE",3,(IF(C2823="RS",4,(IF(C2823="RC",5,0)))))))))</f>
        <v>2</v>
      </c>
      <c r="E2823" s="89" t="s">
        <v>228</v>
      </c>
      <c r="F2823" s="89">
        <f>IF(E2823="AM",1,(IF(E2823="BE",2,(IF(E2823="GV",3,(IF(E2823="RA",4,(IF(E2823="RM",5,(IF(E2823="AC",1,(IF(E2823="AT",2,(IF(E2823="DS",3,(IF(E2823="IP",4,(IF(E2823="MA",5,(IF(E2823="PT",6,(IF(E2823="AE",1,(IF(E2823="CM",2,(IF(E2823="DP",3,(IF(E2823="AN",1,(IF(E2823="CO",2,(IF(E2823="IM",3,(IF(E2823="MI",4,(IF(E2823="RP",5,(IF(E2823="SC",6,0)))))))))))))))))))))))))))))))))))))))</f>
        <v>4</v>
      </c>
      <c r="G2823" s="52">
        <v>5</v>
      </c>
      <c r="H2823" s="90" t="s">
        <v>115</v>
      </c>
      <c r="I2823" s="94" t="s">
        <v>77</v>
      </c>
      <c r="J2823" s="87" t="s">
        <v>1633</v>
      </c>
      <c r="K2823" s="102" t="s">
        <v>2580</v>
      </c>
      <c r="L2823" s="117">
        <f>IF(O2823="","",N2823*O2823*M2823)</f>
        <v>0</v>
      </c>
      <c r="M2823" s="108">
        <v>1</v>
      </c>
      <c r="N2823" s="95">
        <v>1</v>
      </c>
      <c r="O2823" s="109">
        <f>IF(Key!D$1="ON",P2823,IF(SUM(Q2823:DL2823)&lt;1,"",SUM(Q2823:DL2823)/COUNTIF(Q2823:DL2823,"&gt;0")))</f>
        <v>0</v>
      </c>
      <c r="P2823" s="109">
        <f>SUMIFS(Q2823:DK2823,Q$1:DK$1,Dashboard!$K$31)</f>
        <v>0</v>
      </c>
      <c r="U2823" s="95">
        <v>33</v>
      </c>
      <c r="AA2823" s="95">
        <v>25</v>
      </c>
      <c r="AH2823" s="95">
        <v>75</v>
      </c>
    </row>
    <row r="2824" spans="1:34" ht="15.6" x14ac:dyDescent="0.3">
      <c r="A2824" s="89" t="str">
        <f>CONCATENATE(D2824,".",F2824,"-",G2824,".",H2824,"")</f>
        <v>2.4-5.1</v>
      </c>
      <c r="B2824" s="89" t="str">
        <f>IF(CONCATENATE(I2824,Key!F$2)=CONCATENATE(INDEX(Dashboard!J:J,MATCH(I2824,Dashboard!J:J,0),1),INDEX(Dashboard!J:K,MATCH(I2824,Dashboard!J:J,0),2)),"ON",IF(Dashboard!K$32="ALL","ON","-"))</f>
        <v>-</v>
      </c>
      <c r="C2824" s="96" t="s">
        <v>152</v>
      </c>
      <c r="D2824" s="89">
        <f>IF(C2824="ID",1,(IF(C2824="PR",2,(IF(C2824="DE",3,(IF(C2824="RS",4,(IF(C2824="RC",5,0)))))))))</f>
        <v>2</v>
      </c>
      <c r="E2824" s="89" t="s">
        <v>228</v>
      </c>
      <c r="F2824" s="89">
        <f>IF(E2824="AM",1,(IF(E2824="BE",2,(IF(E2824="GV",3,(IF(E2824="RA",4,(IF(E2824="RM",5,(IF(E2824="AC",1,(IF(E2824="AT",2,(IF(E2824="DS",3,(IF(E2824="IP",4,(IF(E2824="MA",5,(IF(E2824="PT",6,(IF(E2824="AE",1,(IF(E2824="CM",2,(IF(E2824="DP",3,(IF(E2824="AN",1,(IF(E2824="CO",2,(IF(E2824="IM",3,(IF(E2824="MI",4,(IF(E2824="RP",5,(IF(E2824="SC",6,0)))))))))))))))))))))))))))))))))))))))</f>
        <v>4</v>
      </c>
      <c r="G2824" s="98">
        <v>5</v>
      </c>
      <c r="H2824" s="90" t="s">
        <v>115</v>
      </c>
      <c r="I2824" s="94" t="s">
        <v>77</v>
      </c>
      <c r="J2824" s="87" t="s">
        <v>1634</v>
      </c>
      <c r="K2824" s="102" t="s">
        <v>2581</v>
      </c>
      <c r="L2824" s="117">
        <f>IF(O2824="","",N2824*O2824*M2824)</f>
        <v>0</v>
      </c>
      <c r="M2824" s="108">
        <v>1</v>
      </c>
      <c r="N2824" s="95">
        <v>1</v>
      </c>
      <c r="O2824" s="109">
        <f>IF(Key!D$1="ON",P2824,IF(SUM(Q2824:DL2824)&lt;1,"",SUM(Q2824:DL2824)/COUNTIF(Q2824:DL2824,"&gt;0")))</f>
        <v>0</v>
      </c>
      <c r="P2824" s="109">
        <f>SUMIFS(Q2824:DK2824,Q$1:DK$1,Dashboard!$K$31)</f>
        <v>0</v>
      </c>
      <c r="U2824" s="95">
        <v>33</v>
      </c>
      <c r="AA2824" s="95">
        <v>25</v>
      </c>
      <c r="AH2824" s="95">
        <v>75</v>
      </c>
    </row>
    <row r="2825" spans="1:34" ht="15.6" x14ac:dyDescent="0.3">
      <c r="A2825" s="89" t="str">
        <f>CONCATENATE(D2825,".",F2825,"-",G2825,".",H2825,"")</f>
        <v>2.4-5.1</v>
      </c>
      <c r="B2825" s="89" t="str">
        <f>IF(CONCATENATE(I2825,Key!F$2)=CONCATENATE(INDEX(Dashboard!J:J,MATCH(I2825,Dashboard!J:J,0),1),INDEX(Dashboard!J:K,MATCH(I2825,Dashboard!J:J,0),2)),"ON",IF(Dashboard!K$32="ALL","ON","-"))</f>
        <v>-</v>
      </c>
      <c r="C2825" s="88" t="s">
        <v>152</v>
      </c>
      <c r="D2825" s="89">
        <f>IF(C2825="ID",1,(IF(C2825="PR",2,(IF(C2825="DE",3,(IF(C2825="RS",4,(IF(C2825="RC",5,0)))))))))</f>
        <v>2</v>
      </c>
      <c r="E2825" s="89" t="s">
        <v>228</v>
      </c>
      <c r="F2825" s="89">
        <f>IF(E2825="AM",1,(IF(E2825="BE",2,(IF(E2825="GV",3,(IF(E2825="RA",4,(IF(E2825="RM",5,(IF(E2825="AC",1,(IF(E2825="AT",2,(IF(E2825="DS",3,(IF(E2825="IP",4,(IF(E2825="MA",5,(IF(E2825="PT",6,(IF(E2825="AE",1,(IF(E2825="CM",2,(IF(E2825="DP",3,(IF(E2825="AN",1,(IF(E2825="CO",2,(IF(E2825="IM",3,(IF(E2825="MI",4,(IF(E2825="RP",5,(IF(E2825="SC",6,0)))))))))))))))))))))))))))))))))))))))</f>
        <v>4</v>
      </c>
      <c r="G2825" s="52">
        <v>5</v>
      </c>
      <c r="H2825" s="90" t="s">
        <v>115</v>
      </c>
      <c r="I2825" s="94" t="s">
        <v>77</v>
      </c>
      <c r="J2825" s="87" t="s">
        <v>1636</v>
      </c>
      <c r="K2825" s="102" t="s">
        <v>2582</v>
      </c>
      <c r="L2825" s="117">
        <f>IF(O2825="","",N2825*O2825*M2825)</f>
        <v>0</v>
      </c>
      <c r="M2825" s="108">
        <v>1</v>
      </c>
      <c r="N2825" s="95">
        <v>1</v>
      </c>
      <c r="O2825" s="109">
        <f>IF(Key!D$1="ON",P2825,IF(SUM(Q2825:DL2825)&lt;1,"",SUM(Q2825:DL2825)/COUNTIF(Q2825:DL2825,"&gt;0")))</f>
        <v>0</v>
      </c>
      <c r="P2825" s="109">
        <f>SUMIFS(Q2825:DK2825,Q$1:DK$1,Dashboard!$K$31)</f>
        <v>0</v>
      </c>
      <c r="U2825" s="95">
        <v>33</v>
      </c>
      <c r="AA2825" s="95">
        <v>25</v>
      </c>
      <c r="AH2825" s="95">
        <v>75</v>
      </c>
    </row>
    <row r="2826" spans="1:34" ht="15.6" x14ac:dyDescent="0.3">
      <c r="A2826" s="89" t="str">
        <f>CONCATENATE(D2826,".",F2826,"-",G2826,".",H2826,"")</f>
        <v>2.4-5.1</v>
      </c>
      <c r="B2826" s="89" t="str">
        <f>IF(CONCATENATE(I2826,Key!F$2)=CONCATENATE(INDEX(Dashboard!J:J,MATCH(I2826,Dashboard!J:J,0),1),INDEX(Dashboard!J:K,MATCH(I2826,Dashboard!J:J,0),2)),"ON",IF(Dashboard!K$32="ALL","ON","-"))</f>
        <v>-</v>
      </c>
      <c r="C2826" s="88" t="s">
        <v>152</v>
      </c>
      <c r="D2826" s="89">
        <f>IF(C2826="ID",1,(IF(C2826="PR",2,(IF(C2826="DE",3,(IF(C2826="RS",4,(IF(C2826="RC",5,0)))))))))</f>
        <v>2</v>
      </c>
      <c r="E2826" s="89" t="s">
        <v>228</v>
      </c>
      <c r="F2826" s="89">
        <f>IF(E2826="AM",1,(IF(E2826="BE",2,(IF(E2826="GV",3,(IF(E2826="RA",4,(IF(E2826="RM",5,(IF(E2826="AC",1,(IF(E2826="AT",2,(IF(E2826="DS",3,(IF(E2826="IP",4,(IF(E2826="MA",5,(IF(E2826="PT",6,(IF(E2826="AE",1,(IF(E2826="CM",2,(IF(E2826="DP",3,(IF(E2826="AN",1,(IF(E2826="CO",2,(IF(E2826="IM",3,(IF(E2826="MI",4,(IF(E2826="RP",5,(IF(E2826="SC",6,0)))))))))))))))))))))))))))))))))))))))</f>
        <v>4</v>
      </c>
      <c r="G2826" s="52">
        <v>5</v>
      </c>
      <c r="H2826" s="90" t="s">
        <v>115</v>
      </c>
      <c r="I2826" s="94" t="s">
        <v>77</v>
      </c>
      <c r="J2826" s="87" t="s">
        <v>1637</v>
      </c>
      <c r="K2826" s="102" t="s">
        <v>2583</v>
      </c>
      <c r="L2826" s="117">
        <f>IF(O2826="","",N2826*O2826*M2826)</f>
        <v>0</v>
      </c>
      <c r="M2826" s="108">
        <v>1</v>
      </c>
      <c r="N2826" s="95">
        <v>1</v>
      </c>
      <c r="O2826" s="109">
        <f>IF(Key!D$1="ON",P2826,IF(SUM(Q2826:DL2826)&lt;1,"",SUM(Q2826:DL2826)/COUNTIF(Q2826:DL2826,"&gt;0")))</f>
        <v>0</v>
      </c>
      <c r="P2826" s="109">
        <f>SUMIFS(Q2826:DK2826,Q$1:DK$1,Dashboard!$K$31)</f>
        <v>0</v>
      </c>
      <c r="U2826" s="95">
        <v>33</v>
      </c>
      <c r="AA2826" s="95">
        <v>25</v>
      </c>
      <c r="AH2826" s="95">
        <v>75</v>
      </c>
    </row>
    <row r="2827" spans="1:34" ht="15.6" x14ac:dyDescent="0.3">
      <c r="A2827" s="89" t="str">
        <f>CONCATENATE(D2827,".",F2827,"-",G2827,".",H2827,"")</f>
        <v>2.4-5.1</v>
      </c>
      <c r="B2827" s="89" t="str">
        <f>IF(CONCATENATE(I2827,Key!F$2)=CONCATENATE(INDEX(Dashboard!J:J,MATCH(I2827,Dashboard!J:J,0),1),INDEX(Dashboard!J:K,MATCH(I2827,Dashboard!J:J,0),2)),"ON",IF(Dashboard!K$32="ALL","ON","-"))</f>
        <v>-</v>
      </c>
      <c r="C2827" s="96" t="s">
        <v>152</v>
      </c>
      <c r="D2827" s="89">
        <f>IF(C2827="ID",1,(IF(C2827="PR",2,(IF(C2827="DE",3,(IF(C2827="RS",4,(IF(C2827="RC",5,0)))))))))</f>
        <v>2</v>
      </c>
      <c r="E2827" s="89" t="s">
        <v>228</v>
      </c>
      <c r="F2827" s="89">
        <f>IF(E2827="AM",1,(IF(E2827="BE",2,(IF(E2827="GV",3,(IF(E2827="RA",4,(IF(E2827="RM",5,(IF(E2827="AC",1,(IF(E2827="AT",2,(IF(E2827="DS",3,(IF(E2827="IP",4,(IF(E2827="MA",5,(IF(E2827="PT",6,(IF(E2827="AE",1,(IF(E2827="CM",2,(IF(E2827="DP",3,(IF(E2827="AN",1,(IF(E2827="CO",2,(IF(E2827="IM",3,(IF(E2827="MI",4,(IF(E2827="RP",5,(IF(E2827="SC",6,0)))))))))))))))))))))))))))))))))))))))</f>
        <v>4</v>
      </c>
      <c r="G2827" s="98">
        <v>5</v>
      </c>
      <c r="H2827" s="90" t="s">
        <v>115</v>
      </c>
      <c r="I2827" s="94" t="s">
        <v>77</v>
      </c>
      <c r="J2827" s="87" t="s">
        <v>1638</v>
      </c>
      <c r="K2827" s="102" t="s">
        <v>2584</v>
      </c>
      <c r="L2827" s="117">
        <f>IF(O2827="","",N2827*O2827*M2827)</f>
        <v>0</v>
      </c>
      <c r="M2827" s="108">
        <v>1</v>
      </c>
      <c r="N2827" s="95">
        <v>1</v>
      </c>
      <c r="O2827" s="109">
        <f>IF(Key!D$1="ON",P2827,IF(SUM(Q2827:DL2827)&lt;1,"",SUM(Q2827:DL2827)/COUNTIF(Q2827:DL2827,"&gt;0")))</f>
        <v>0</v>
      </c>
      <c r="P2827" s="109">
        <f>SUMIFS(Q2827:DK2827,Q$1:DK$1,Dashboard!$K$31)</f>
        <v>0</v>
      </c>
      <c r="U2827" s="95">
        <v>33</v>
      </c>
      <c r="AA2827" s="95">
        <v>25</v>
      </c>
      <c r="AH2827" s="95">
        <v>75</v>
      </c>
    </row>
    <row r="2828" spans="1:34" ht="15.6" x14ac:dyDescent="0.3">
      <c r="A2828" s="89" t="str">
        <f>CONCATENATE(D2828,".",F2828,"-",G2828,".",H2828,"")</f>
        <v>2.4-5.1</v>
      </c>
      <c r="B2828" s="89" t="str">
        <f>IF(CONCATENATE(I2828,Key!F$2)=CONCATENATE(INDEX(Dashboard!J:J,MATCH(I2828,Dashboard!J:J,0),1),INDEX(Dashboard!J:K,MATCH(I2828,Dashboard!J:J,0),2)),"ON",IF(Dashboard!K$32="ALL","ON","-"))</f>
        <v>-</v>
      </c>
      <c r="C2828" s="88" t="s">
        <v>152</v>
      </c>
      <c r="D2828" s="89">
        <f>IF(C2828="ID",1,(IF(C2828="PR",2,(IF(C2828="DE",3,(IF(C2828="RS",4,(IF(C2828="RC",5,0)))))))))</f>
        <v>2</v>
      </c>
      <c r="E2828" s="89" t="s">
        <v>228</v>
      </c>
      <c r="F2828" s="89">
        <f>IF(E2828="AM",1,(IF(E2828="BE",2,(IF(E2828="GV",3,(IF(E2828="RA",4,(IF(E2828="RM",5,(IF(E2828="AC",1,(IF(E2828="AT",2,(IF(E2828="DS",3,(IF(E2828="IP",4,(IF(E2828="MA",5,(IF(E2828="PT",6,(IF(E2828="AE",1,(IF(E2828="CM",2,(IF(E2828="DP",3,(IF(E2828="AN",1,(IF(E2828="CO",2,(IF(E2828="IM",3,(IF(E2828="MI",4,(IF(E2828="RP",5,(IF(E2828="SC",6,0)))))))))))))))))))))))))))))))))))))))</f>
        <v>4</v>
      </c>
      <c r="G2828" s="52">
        <v>5</v>
      </c>
      <c r="H2828" s="90" t="s">
        <v>115</v>
      </c>
      <c r="I2828" s="94" t="s">
        <v>77</v>
      </c>
      <c r="J2828" s="87" t="s">
        <v>1640</v>
      </c>
      <c r="K2828" s="102" t="s">
        <v>2585</v>
      </c>
      <c r="L2828" s="117">
        <f>IF(O2828="","",N2828*O2828*M2828)</f>
        <v>0</v>
      </c>
      <c r="M2828" s="108">
        <v>1</v>
      </c>
      <c r="N2828" s="95">
        <v>1</v>
      </c>
      <c r="O2828" s="109">
        <f>IF(Key!D$1="ON",P2828,IF(SUM(Q2828:DL2828)&lt;1,"",SUM(Q2828:DL2828)/COUNTIF(Q2828:DL2828,"&gt;0")))</f>
        <v>0</v>
      </c>
      <c r="P2828" s="109">
        <f>SUMIFS(Q2828:DK2828,Q$1:DK$1,Dashboard!$K$31)</f>
        <v>0</v>
      </c>
      <c r="U2828" s="95">
        <v>33</v>
      </c>
      <c r="AA2828" s="95">
        <v>25</v>
      </c>
      <c r="AH2828" s="95">
        <v>75</v>
      </c>
    </row>
    <row r="2829" spans="1:34" ht="15.6" x14ac:dyDescent="0.3">
      <c r="A2829" s="89" t="str">
        <f>CONCATENATE(D2829,".",F2829,"-",G2829,".",H2829,"")</f>
        <v>2.4-5.1</v>
      </c>
      <c r="B2829" s="89" t="str">
        <f>IF(CONCATENATE(I2829,Key!F$2)=CONCATENATE(INDEX(Dashboard!J:J,MATCH(I2829,Dashboard!J:J,0),1),INDEX(Dashboard!J:K,MATCH(I2829,Dashboard!J:J,0),2)),"ON",IF(Dashboard!K$32="ALL","ON","-"))</f>
        <v>-</v>
      </c>
      <c r="C2829" s="96" t="s">
        <v>152</v>
      </c>
      <c r="D2829" s="89">
        <f>IF(C2829="ID",1,(IF(C2829="PR",2,(IF(C2829="DE",3,(IF(C2829="RS",4,(IF(C2829="RC",5,0)))))))))</f>
        <v>2</v>
      </c>
      <c r="E2829" s="89" t="s">
        <v>228</v>
      </c>
      <c r="F2829" s="89">
        <f>IF(E2829="AM",1,(IF(E2829="BE",2,(IF(E2829="GV",3,(IF(E2829="RA",4,(IF(E2829="RM",5,(IF(E2829="AC",1,(IF(E2829="AT",2,(IF(E2829="DS",3,(IF(E2829="IP",4,(IF(E2829="MA",5,(IF(E2829="PT",6,(IF(E2829="AE",1,(IF(E2829="CM",2,(IF(E2829="DP",3,(IF(E2829="AN",1,(IF(E2829="CO",2,(IF(E2829="IM",3,(IF(E2829="MI",4,(IF(E2829="RP",5,(IF(E2829="SC",6,0)))))))))))))))))))))))))))))))))))))))</f>
        <v>4</v>
      </c>
      <c r="G2829" s="98">
        <v>5</v>
      </c>
      <c r="H2829" s="90" t="s">
        <v>115</v>
      </c>
      <c r="I2829" s="95" t="s">
        <v>77</v>
      </c>
      <c r="J2829" s="87" t="s">
        <v>1641</v>
      </c>
      <c r="K2829" s="102" t="s">
        <v>2586</v>
      </c>
      <c r="L2829" s="117">
        <f>IF(O2829="","",N2829*O2829*M2829)</f>
        <v>0</v>
      </c>
      <c r="M2829" s="108">
        <v>1</v>
      </c>
      <c r="N2829" s="95">
        <v>1</v>
      </c>
      <c r="O2829" s="109">
        <f>IF(Key!D$1="ON",P2829,IF(SUM(Q2829:DL2829)&lt;1,"",SUM(Q2829:DL2829)/COUNTIF(Q2829:DL2829,"&gt;0")))</f>
        <v>0</v>
      </c>
      <c r="P2829" s="109">
        <f>SUMIFS(Q2829:DK2829,Q$1:DK$1,Dashboard!$K$31)</f>
        <v>0</v>
      </c>
      <c r="U2829" s="95">
        <v>33</v>
      </c>
      <c r="AA2829" s="95">
        <v>25</v>
      </c>
      <c r="AH2829" s="95">
        <v>75</v>
      </c>
    </row>
    <row r="2830" spans="1:34" ht="15.6" x14ac:dyDescent="0.3">
      <c r="A2830" s="89" t="str">
        <f>CONCATENATE(D2830,".",F2830,"-",G2830,".",H2830,"")</f>
        <v>2.4-5.1</v>
      </c>
      <c r="B2830" s="89" t="str">
        <f>IF(CONCATENATE(I2830,Key!F$2)=CONCATENATE(INDEX(Dashboard!J:J,MATCH(I2830,Dashboard!J:J,0),1),INDEX(Dashboard!J:K,MATCH(I2830,Dashboard!J:J,0),2)),"ON",IF(Dashboard!K$32="ALL","ON","-"))</f>
        <v>-</v>
      </c>
      <c r="C2830" s="88" t="s">
        <v>152</v>
      </c>
      <c r="D2830" s="89">
        <f>IF(C2830="ID",1,(IF(C2830="PR",2,(IF(C2830="DE",3,(IF(C2830="RS",4,(IF(C2830="RC",5,0)))))))))</f>
        <v>2</v>
      </c>
      <c r="E2830" s="89" t="s">
        <v>228</v>
      </c>
      <c r="F2830" s="89">
        <f>IF(E2830="AM",1,(IF(E2830="BE",2,(IF(E2830="GV",3,(IF(E2830="RA",4,(IF(E2830="RM",5,(IF(E2830="AC",1,(IF(E2830="AT",2,(IF(E2830="DS",3,(IF(E2830="IP",4,(IF(E2830="MA",5,(IF(E2830="PT",6,(IF(E2830="AE",1,(IF(E2830="CM",2,(IF(E2830="DP",3,(IF(E2830="AN",1,(IF(E2830="CO",2,(IF(E2830="IM",3,(IF(E2830="MI",4,(IF(E2830="RP",5,(IF(E2830="SC",6,0)))))))))))))))))))))))))))))))))))))))</f>
        <v>4</v>
      </c>
      <c r="G2830" s="52">
        <v>5</v>
      </c>
      <c r="H2830" s="90" t="s">
        <v>115</v>
      </c>
      <c r="I2830" s="95" t="s">
        <v>77</v>
      </c>
      <c r="J2830" s="87" t="s">
        <v>1643</v>
      </c>
      <c r="K2830" s="102" t="s">
        <v>2587</v>
      </c>
      <c r="L2830" s="117">
        <f>IF(O2830="","",N2830*O2830*M2830)</f>
        <v>0</v>
      </c>
      <c r="M2830" s="108">
        <v>1</v>
      </c>
      <c r="N2830" s="95">
        <v>1</v>
      </c>
      <c r="O2830" s="109">
        <f>IF(Key!D$1="ON",P2830,IF(SUM(Q2830:DL2830)&lt;1,"",SUM(Q2830:DL2830)/COUNTIF(Q2830:DL2830,"&gt;0")))</f>
        <v>0</v>
      </c>
      <c r="P2830" s="109">
        <f>SUMIFS(Q2830:DK2830,Q$1:DK$1,Dashboard!$K$31)</f>
        <v>0</v>
      </c>
      <c r="U2830" s="95">
        <v>33</v>
      </c>
      <c r="AA2830" s="95">
        <v>25</v>
      </c>
      <c r="AH2830" s="95">
        <v>75</v>
      </c>
    </row>
    <row r="2831" spans="1:34" ht="15.6" x14ac:dyDescent="0.3">
      <c r="A2831" s="89" t="str">
        <f>CONCATENATE(D2831,".",F2831,"-",G2831,".",H2831,"")</f>
        <v>2.4-5.1</v>
      </c>
      <c r="B2831" s="89" t="str">
        <f>IF(CONCATENATE(I2831,Key!F$2)=CONCATENATE(INDEX(Dashboard!J:J,MATCH(I2831,Dashboard!J:J,0),1),INDEX(Dashboard!J:K,MATCH(I2831,Dashboard!J:J,0),2)),"ON",IF(Dashboard!K$32="ALL","ON","-"))</f>
        <v>-</v>
      </c>
      <c r="C2831" s="88" t="s">
        <v>152</v>
      </c>
      <c r="D2831" s="89">
        <f>IF(C2831="ID",1,(IF(C2831="PR",2,(IF(C2831="DE",3,(IF(C2831="RS",4,(IF(C2831="RC",5,0)))))))))</f>
        <v>2</v>
      </c>
      <c r="E2831" s="89" t="s">
        <v>228</v>
      </c>
      <c r="F2831" s="89">
        <f>IF(E2831="AM",1,(IF(E2831="BE",2,(IF(E2831="GV",3,(IF(E2831="RA",4,(IF(E2831="RM",5,(IF(E2831="AC",1,(IF(E2831="AT",2,(IF(E2831="DS",3,(IF(E2831="IP",4,(IF(E2831="MA",5,(IF(E2831="PT",6,(IF(E2831="AE",1,(IF(E2831="CM",2,(IF(E2831="DP",3,(IF(E2831="AN",1,(IF(E2831="CO",2,(IF(E2831="IM",3,(IF(E2831="MI",4,(IF(E2831="RP",5,(IF(E2831="SC",6,0)))))))))))))))))))))))))))))))))))))))</f>
        <v>4</v>
      </c>
      <c r="G2831" s="52">
        <v>5</v>
      </c>
      <c r="H2831" s="89">
        <v>1</v>
      </c>
      <c r="I2831" s="94" t="s">
        <v>85</v>
      </c>
      <c r="J2831" s="135" t="s">
        <v>672</v>
      </c>
      <c r="K2831" s="143" t="s">
        <v>673</v>
      </c>
      <c r="L2831" s="117">
        <f>IF(O2831="","",N2831*O2831*M2831)</f>
        <v>0</v>
      </c>
      <c r="M2831" s="108">
        <v>1</v>
      </c>
      <c r="N2831" s="95">
        <v>1</v>
      </c>
      <c r="O2831" s="109">
        <f>IF(Key!D$1="ON",P2831,IF(SUM(Q2831:DL2831)&lt;1,"",SUM(Q2831:DL2831)/COUNTIF(Q2831:DL2831,"&gt;0")))</f>
        <v>0</v>
      </c>
      <c r="P2831" s="109">
        <f>SUMIFS(Q2831:DK2831,Q$1:DK$1,Dashboard!$K$31)</f>
        <v>0</v>
      </c>
      <c r="U2831" s="95">
        <v>33</v>
      </c>
      <c r="AA2831" s="95">
        <v>25</v>
      </c>
      <c r="AH2831" s="95">
        <v>75</v>
      </c>
    </row>
    <row r="2832" spans="1:34" ht="15.6" x14ac:dyDescent="0.3">
      <c r="A2832" s="89" t="str">
        <f>CONCATENATE(D2832,".",F2832,"-",G2832,".",H2832,"")</f>
        <v>2.4-5.1</v>
      </c>
      <c r="B2832" s="89" t="str">
        <f>IF(CONCATENATE(I2832,Key!F$2)=CONCATENATE(INDEX(Dashboard!J:J,MATCH(I2832,Dashboard!J:J,0),1),INDEX(Dashboard!J:K,MATCH(I2832,Dashboard!J:J,0),2)),"ON",IF(Dashboard!K$32="ALL","ON","-"))</f>
        <v>-</v>
      </c>
      <c r="C2832" s="88" t="s">
        <v>152</v>
      </c>
      <c r="D2832" s="89">
        <f>IF(C2832="ID",1,(IF(C2832="PR",2,(IF(C2832="DE",3,(IF(C2832="RS",4,(IF(C2832="RC",5,0)))))))))</f>
        <v>2</v>
      </c>
      <c r="E2832" s="89" t="s">
        <v>228</v>
      </c>
      <c r="F2832" s="89">
        <f>IF(E2832="AM",1,(IF(E2832="BE",2,(IF(E2832="GV",3,(IF(E2832="RA",4,(IF(E2832="RM",5,(IF(E2832="AC",1,(IF(E2832="AT",2,(IF(E2832="DS",3,(IF(E2832="IP",4,(IF(E2832="MA",5,(IF(E2832="PT",6,(IF(E2832="AE",1,(IF(E2832="CM",2,(IF(E2832="DP",3,(IF(E2832="AN",1,(IF(E2832="CO",2,(IF(E2832="IM",3,(IF(E2832="MI",4,(IF(E2832="RP",5,(IF(E2832="SC",6,0)))))))))))))))))))))))))))))))))))))))</f>
        <v>4</v>
      </c>
      <c r="G2832" s="52">
        <v>5</v>
      </c>
      <c r="H2832" s="89">
        <v>1</v>
      </c>
      <c r="I2832" s="94" t="s">
        <v>85</v>
      </c>
      <c r="J2832" s="135" t="s">
        <v>674</v>
      </c>
      <c r="K2832" s="143" t="s">
        <v>4708</v>
      </c>
      <c r="L2832" s="117">
        <f>IF(O2832="","",N2832*O2832*M2832)</f>
        <v>0</v>
      </c>
      <c r="M2832" s="108">
        <v>1</v>
      </c>
      <c r="N2832" s="95">
        <v>1</v>
      </c>
      <c r="O2832" s="109">
        <f>IF(Key!D$1="ON",P2832,IF(SUM(Q2832:DL2832)&lt;1,"",SUM(Q2832:DL2832)/COUNTIF(Q2832:DL2832,"&gt;0")))</f>
        <v>0</v>
      </c>
      <c r="P2832" s="109">
        <f>SUMIFS(Q2832:DK2832,Q$1:DK$1,Dashboard!$K$31)</f>
        <v>0</v>
      </c>
      <c r="U2832" s="95">
        <v>33</v>
      </c>
      <c r="AA2832" s="95">
        <v>25</v>
      </c>
      <c r="AH2832" s="95">
        <v>75</v>
      </c>
    </row>
    <row r="2833" spans="1:34" ht="15.6" x14ac:dyDescent="0.3">
      <c r="A2833" s="89" t="str">
        <f>CONCATENATE(D2833,".",F2833,"-",G2833,".",H2833,"")</f>
        <v>2.4-5.1</v>
      </c>
      <c r="B2833" s="89" t="str">
        <f>IF(CONCATENATE(I2833,Key!F$2)=CONCATENATE(INDEX(Dashboard!J:J,MATCH(I2833,Dashboard!J:J,0),1),INDEX(Dashboard!J:K,MATCH(I2833,Dashboard!J:J,0),2)),"ON",IF(Dashboard!K$32="ALL","ON","-"))</f>
        <v>-</v>
      </c>
      <c r="C2833" s="88" t="s">
        <v>152</v>
      </c>
      <c r="D2833" s="89">
        <f>IF(C2833="ID",1,(IF(C2833="PR",2,(IF(C2833="DE",3,(IF(C2833="RS",4,(IF(C2833="RC",5,0)))))))))</f>
        <v>2</v>
      </c>
      <c r="E2833" s="89" t="s">
        <v>228</v>
      </c>
      <c r="F2833" s="89">
        <f>IF(E2833="AM",1,(IF(E2833="BE",2,(IF(E2833="GV",3,(IF(E2833="RA",4,(IF(E2833="RM",5,(IF(E2833="AC",1,(IF(E2833="AT",2,(IF(E2833="DS",3,(IF(E2833="IP",4,(IF(E2833="MA",5,(IF(E2833="PT",6,(IF(E2833="AE",1,(IF(E2833="CM",2,(IF(E2833="DP",3,(IF(E2833="AN",1,(IF(E2833="CO",2,(IF(E2833="IM",3,(IF(E2833="MI",4,(IF(E2833="RP",5,(IF(E2833="SC",6,0)))))))))))))))))))))))))))))))))))))))</f>
        <v>4</v>
      </c>
      <c r="G2833" s="52">
        <v>5</v>
      </c>
      <c r="H2833" s="90" t="s">
        <v>115</v>
      </c>
      <c r="I2833" s="94" t="s">
        <v>85</v>
      </c>
      <c r="J2833" s="87" t="s">
        <v>1636</v>
      </c>
      <c r="K2833" s="119" t="s">
        <v>4868</v>
      </c>
      <c r="L2833" s="117">
        <f>IF(O2833="","",N2833*O2833*M2833)</f>
        <v>0</v>
      </c>
      <c r="M2833" s="108">
        <v>1</v>
      </c>
      <c r="N2833" s="95">
        <v>1</v>
      </c>
      <c r="O2833" s="109">
        <f>IF(Key!D$1="ON",P2833,IF(SUM(Q2833:DL2833)&lt;1,"",SUM(Q2833:DL2833)/COUNTIF(Q2833:DL2833,"&gt;0")))</f>
        <v>0</v>
      </c>
      <c r="P2833" s="109">
        <f>SUMIFS(Q2833:DK2833,Q$1:DK$1,Dashboard!$K$31)</f>
        <v>0</v>
      </c>
      <c r="U2833" s="95">
        <v>33</v>
      </c>
      <c r="AA2833" s="95">
        <v>25</v>
      </c>
      <c r="AH2833" s="95">
        <v>75</v>
      </c>
    </row>
    <row r="2834" spans="1:34" ht="15.6" x14ac:dyDescent="0.3">
      <c r="A2834" s="89" t="str">
        <f>CONCATENATE(D2834,".",F2834,"-",G2834,".",H2834,"")</f>
        <v>2.4-5.1</v>
      </c>
      <c r="B2834" s="89" t="str">
        <f>IF(CONCATENATE(I2834,Key!F$2)=CONCATENATE(INDEX(Dashboard!J:J,MATCH(I2834,Dashboard!J:J,0),1),INDEX(Dashboard!J:K,MATCH(I2834,Dashboard!J:J,0),2)),"ON",IF(Dashboard!K$32="ALL","ON","-"))</f>
        <v>-</v>
      </c>
      <c r="C2834" s="88" t="s">
        <v>152</v>
      </c>
      <c r="D2834" s="89">
        <f>IF(C2834="ID",1,(IF(C2834="PR",2,(IF(C2834="DE",3,(IF(C2834="RS",4,(IF(C2834="RC",5,0)))))))))</f>
        <v>2</v>
      </c>
      <c r="E2834" s="89" t="s">
        <v>228</v>
      </c>
      <c r="F2834" s="89">
        <f>IF(E2834="AM",1,(IF(E2834="BE",2,(IF(E2834="GV",3,(IF(E2834="RA",4,(IF(E2834="RM",5,(IF(E2834="AC",1,(IF(E2834="AT",2,(IF(E2834="DS",3,(IF(E2834="IP",4,(IF(E2834="MA",5,(IF(E2834="PT",6,(IF(E2834="AE",1,(IF(E2834="CM",2,(IF(E2834="DP",3,(IF(E2834="AN",1,(IF(E2834="CO",2,(IF(E2834="IM",3,(IF(E2834="MI",4,(IF(E2834="RP",5,(IF(E2834="SC",6,0)))))))))))))))))))))))))))))))))))))))</f>
        <v>4</v>
      </c>
      <c r="G2834" s="52">
        <v>5</v>
      </c>
      <c r="H2834" s="90" t="s">
        <v>115</v>
      </c>
      <c r="I2834" s="94" t="s">
        <v>85</v>
      </c>
      <c r="J2834" s="87" t="s">
        <v>1640</v>
      </c>
      <c r="K2834" s="119" t="s">
        <v>4870</v>
      </c>
      <c r="L2834" s="117">
        <f>IF(O2834="","",N2834*O2834*M2834)</f>
        <v>0</v>
      </c>
      <c r="M2834" s="108">
        <v>1</v>
      </c>
      <c r="N2834" s="95">
        <v>1</v>
      </c>
      <c r="O2834" s="109">
        <f>IF(Key!D$1="ON",P2834,IF(SUM(Q2834:DL2834)&lt;1,"",SUM(Q2834:DL2834)/COUNTIF(Q2834:DL2834,"&gt;0")))</f>
        <v>0</v>
      </c>
      <c r="P2834" s="109">
        <f>SUMIFS(Q2834:DK2834,Q$1:DK$1,Dashboard!$K$31)</f>
        <v>0</v>
      </c>
      <c r="U2834" s="95">
        <v>33</v>
      </c>
      <c r="AA2834" s="95">
        <v>25</v>
      </c>
      <c r="AH2834" s="95">
        <v>75</v>
      </c>
    </row>
    <row r="2835" spans="1:34" x14ac:dyDescent="0.3">
      <c r="A2835" s="89" t="str">
        <f>CONCATENATE(D2835,".",F2835,"-",G2835,".",H2835,"")</f>
        <v>2.4-5.1</v>
      </c>
      <c r="B2835" s="89" t="str">
        <f>IF(CONCATENATE(I2835,Key!F$2)=CONCATENATE(INDEX(Dashboard!J:J,MATCH(I2835,Dashboard!J:J,0),1),INDEX(Dashboard!J:K,MATCH(I2835,Dashboard!J:J,0),2)),"ON",IF(Dashboard!K$32="ALL","ON","-"))</f>
        <v>-</v>
      </c>
      <c r="C2835" s="88" t="s">
        <v>152</v>
      </c>
      <c r="D2835" s="89">
        <f>IF(C2835="ID",1,(IF(C2835="PR",2,(IF(C2835="DE",3,(IF(C2835="RS",4,(IF(C2835="RC",5,0)))))))))</f>
        <v>2</v>
      </c>
      <c r="E2835" s="89" t="s">
        <v>228</v>
      </c>
      <c r="F2835" s="89">
        <f>IF(E2835="AM",1,(IF(E2835="BE",2,(IF(E2835="GV",3,(IF(E2835="RA",4,(IF(E2835="RM",5,(IF(E2835="AC",1,(IF(E2835="AT",2,(IF(E2835="DS",3,(IF(E2835="IP",4,(IF(E2835="MA",5,(IF(E2835="PT",6,(IF(E2835="AE",1,(IF(E2835="CM",2,(IF(E2835="DP",3,(IF(E2835="AN",1,(IF(E2835="CO",2,(IF(E2835="IM",3,(IF(E2835="MI",4,(IF(E2835="RP",5,(IF(E2835="SC",6,0)))))))))))))))))))))))))))))))))))))))</f>
        <v>4</v>
      </c>
      <c r="G2835" s="52">
        <v>5</v>
      </c>
      <c r="H2835" s="90" t="s">
        <v>115</v>
      </c>
      <c r="I2835" s="94" t="s">
        <v>85</v>
      </c>
      <c r="J2835" s="87" t="s">
        <v>1630</v>
      </c>
      <c r="K2835" s="119" t="s">
        <v>4865</v>
      </c>
      <c r="L2835" s="117">
        <f>IF(O2835="","",N2835*O2835*M2835)</f>
        <v>0</v>
      </c>
      <c r="M2835" s="108">
        <v>1</v>
      </c>
      <c r="N2835" s="95">
        <v>1</v>
      </c>
      <c r="O2835" s="109">
        <f>IF(Key!D$1="ON",P2835,IF(SUM(Q2835:DL2835)&lt;1,"",SUM(Q2835:DL2835)/COUNTIF(Q2835:DL2835,"&gt;0")))</f>
        <v>0</v>
      </c>
      <c r="P2835" s="109">
        <f>SUMIFS(Q2835:DK2835,Q$1:DK$1,Dashboard!$K$31)</f>
        <v>0</v>
      </c>
      <c r="U2835" s="95">
        <v>33</v>
      </c>
      <c r="AA2835" s="95">
        <v>25</v>
      </c>
      <c r="AH2835" s="95">
        <v>75</v>
      </c>
    </row>
    <row r="2836" spans="1:34" ht="15.6" x14ac:dyDescent="0.3">
      <c r="A2836" s="89" t="str">
        <f>CONCATENATE(D2836,".",F2836,"-",G2836,".",H2836,"")</f>
        <v>2.4-5.1</v>
      </c>
      <c r="B2836" s="89" t="str">
        <f>IF(CONCATENATE(I2836,Key!F$2)=CONCATENATE(INDEX(Dashboard!J:J,MATCH(I2836,Dashboard!J:J,0),1),INDEX(Dashboard!J:K,MATCH(I2836,Dashboard!J:J,0),2)),"ON",IF(Dashboard!K$32="ALL","ON","-"))</f>
        <v>-</v>
      </c>
      <c r="C2836" s="96" t="s">
        <v>152</v>
      </c>
      <c r="D2836" s="89">
        <f>IF(C2836="ID",1,(IF(C2836="PR",2,(IF(C2836="DE",3,(IF(C2836="RS",4,(IF(C2836="RC",5,0)))))))))</f>
        <v>2</v>
      </c>
      <c r="E2836" s="89" t="s">
        <v>228</v>
      </c>
      <c r="F2836" s="89">
        <f>IF(E2836="AM",1,(IF(E2836="BE",2,(IF(E2836="GV",3,(IF(E2836="RA",4,(IF(E2836="RM",5,(IF(E2836="AC",1,(IF(E2836="AT",2,(IF(E2836="DS",3,(IF(E2836="IP",4,(IF(E2836="MA",5,(IF(E2836="PT",6,(IF(E2836="AE",1,(IF(E2836="CM",2,(IF(E2836="DP",3,(IF(E2836="AN",1,(IF(E2836="CO",2,(IF(E2836="IM",3,(IF(E2836="MI",4,(IF(E2836="RP",5,(IF(E2836="SC",6,0)))))))))))))))))))))))))))))))))))))))</f>
        <v>4</v>
      </c>
      <c r="G2836" s="98">
        <v>5</v>
      </c>
      <c r="H2836" s="90" t="s">
        <v>115</v>
      </c>
      <c r="I2836" s="94" t="s">
        <v>85</v>
      </c>
      <c r="J2836" s="87" t="s">
        <v>1625</v>
      </c>
      <c r="K2836" s="119" t="s">
        <v>1626</v>
      </c>
      <c r="L2836" s="117">
        <f>IF(O2836="","",N2836*O2836*M2836)</f>
        <v>0</v>
      </c>
      <c r="M2836" s="108">
        <v>1</v>
      </c>
      <c r="N2836" s="95">
        <v>1</v>
      </c>
      <c r="O2836" s="109">
        <f>IF(Key!D$1="ON",P2836,IF(SUM(Q2836:DL2836)&lt;1,"",SUM(Q2836:DL2836)/COUNTIF(Q2836:DL2836,"&gt;0")))</f>
        <v>0</v>
      </c>
      <c r="P2836" s="109">
        <f>SUMIFS(Q2836:DK2836,Q$1:DK$1,Dashboard!$K$31)</f>
        <v>0</v>
      </c>
      <c r="U2836" s="95">
        <v>33</v>
      </c>
      <c r="AA2836" s="95">
        <v>25</v>
      </c>
      <c r="AH2836" s="95">
        <v>75</v>
      </c>
    </row>
    <row r="2837" spans="1:34" ht="15.6" x14ac:dyDescent="0.3">
      <c r="A2837" s="89" t="str">
        <f>CONCATENATE(D2837,".",F2837,"-",G2837,".",H2837,"")</f>
        <v>2.4-5.1</v>
      </c>
      <c r="B2837" s="89" t="str">
        <f>IF(CONCATENATE(I2837,Key!F$2)=CONCATENATE(INDEX(Dashboard!J:J,MATCH(I2837,Dashboard!J:J,0),1),INDEX(Dashboard!J:K,MATCH(I2837,Dashboard!J:J,0),2)),"ON",IF(Dashboard!K$32="ALL","ON","-"))</f>
        <v>-</v>
      </c>
      <c r="C2837" s="96" t="s">
        <v>152</v>
      </c>
      <c r="D2837" s="89">
        <f>IF(C2837="ID",1,(IF(C2837="PR",2,(IF(C2837="DE",3,(IF(C2837="RS",4,(IF(C2837="RC",5,0)))))))))</f>
        <v>2</v>
      </c>
      <c r="E2837" s="89" t="s">
        <v>228</v>
      </c>
      <c r="F2837" s="89">
        <f>IF(E2837="AM",1,(IF(E2837="BE",2,(IF(E2837="GV",3,(IF(E2837="RA",4,(IF(E2837="RM",5,(IF(E2837="AC",1,(IF(E2837="AT",2,(IF(E2837="DS",3,(IF(E2837="IP",4,(IF(E2837="MA",5,(IF(E2837="PT",6,(IF(E2837="AE",1,(IF(E2837="CM",2,(IF(E2837="DP",3,(IF(E2837="AN",1,(IF(E2837="CO",2,(IF(E2837="IM",3,(IF(E2837="MI",4,(IF(E2837="RP",5,(IF(E2837="SC",6,0)))))))))))))))))))))))))))))))))))))))</f>
        <v>4</v>
      </c>
      <c r="G2837" s="98">
        <v>5</v>
      </c>
      <c r="H2837" s="90" t="s">
        <v>115</v>
      </c>
      <c r="I2837" s="94" t="s">
        <v>85</v>
      </c>
      <c r="J2837" s="87" t="s">
        <v>1623</v>
      </c>
      <c r="K2837" s="119" t="s">
        <v>1624</v>
      </c>
      <c r="L2837" s="117">
        <f>IF(O2837="","",N2837*O2837*M2837)</f>
        <v>0</v>
      </c>
      <c r="M2837" s="108">
        <v>1</v>
      </c>
      <c r="N2837" s="95">
        <v>1</v>
      </c>
      <c r="O2837" s="109">
        <f>IF(Key!D$1="ON",P2837,IF(SUM(Q2837:DL2837)&lt;1,"",SUM(Q2837:DL2837)/COUNTIF(Q2837:DL2837,"&gt;0")))</f>
        <v>0</v>
      </c>
      <c r="P2837" s="109">
        <f>SUMIFS(Q2837:DK2837,Q$1:DK$1,Dashboard!$K$31)</f>
        <v>0</v>
      </c>
      <c r="U2837" s="95">
        <v>33</v>
      </c>
      <c r="AA2837" s="95">
        <v>25</v>
      </c>
      <c r="AH2837" s="95">
        <v>75</v>
      </c>
    </row>
    <row r="2838" spans="1:34" ht="15.6" x14ac:dyDescent="0.3">
      <c r="A2838" s="89" t="str">
        <f>CONCATENATE(D2838,".",F2838,"-",G2838,".",H2838,"")</f>
        <v>2.4-5.1</v>
      </c>
      <c r="B2838" s="89" t="str">
        <f>IF(CONCATENATE(I2838,Key!F$2)=CONCATENATE(INDEX(Dashboard!J:J,MATCH(I2838,Dashboard!J:J,0),1),INDEX(Dashboard!J:K,MATCH(I2838,Dashboard!J:J,0),2)),"ON",IF(Dashboard!K$32="ALL","ON","-"))</f>
        <v>-</v>
      </c>
      <c r="C2838" s="96" t="s">
        <v>152</v>
      </c>
      <c r="D2838" s="89">
        <f>IF(C2838="ID",1,(IF(C2838="PR",2,(IF(C2838="DE",3,(IF(C2838="RS",4,(IF(C2838="RC",5,0)))))))))</f>
        <v>2</v>
      </c>
      <c r="E2838" s="89" t="s">
        <v>228</v>
      </c>
      <c r="F2838" s="89">
        <f>IF(E2838="AM",1,(IF(E2838="BE",2,(IF(E2838="GV",3,(IF(E2838="RA",4,(IF(E2838="RM",5,(IF(E2838="AC",1,(IF(E2838="AT",2,(IF(E2838="DS",3,(IF(E2838="IP",4,(IF(E2838="MA",5,(IF(E2838="PT",6,(IF(E2838="AE",1,(IF(E2838="CM",2,(IF(E2838="DP",3,(IF(E2838="AN",1,(IF(E2838="CO",2,(IF(E2838="IM",3,(IF(E2838="MI",4,(IF(E2838="RP",5,(IF(E2838="SC",6,0)))))))))))))))))))))))))))))))))))))))</f>
        <v>4</v>
      </c>
      <c r="G2838" s="98">
        <v>5</v>
      </c>
      <c r="H2838" s="90" t="s">
        <v>115</v>
      </c>
      <c r="I2838" s="94" t="s">
        <v>85</v>
      </c>
      <c r="J2838" s="87" t="s">
        <v>1634</v>
      </c>
      <c r="K2838" s="119" t="s">
        <v>1635</v>
      </c>
      <c r="L2838" s="117">
        <f>IF(O2838="","",N2838*O2838*M2838)</f>
        <v>0</v>
      </c>
      <c r="M2838" s="108">
        <v>1</v>
      </c>
      <c r="N2838" s="95">
        <v>1</v>
      </c>
      <c r="O2838" s="109">
        <f>IF(Key!D$1="ON",P2838,IF(SUM(Q2838:DL2838)&lt;1,"",SUM(Q2838:DL2838)/COUNTIF(Q2838:DL2838,"&gt;0")))</f>
        <v>0</v>
      </c>
      <c r="P2838" s="109">
        <f>SUMIFS(Q2838:DK2838,Q$1:DK$1,Dashboard!$K$31)</f>
        <v>0</v>
      </c>
      <c r="U2838" s="95">
        <v>33</v>
      </c>
      <c r="AA2838" s="95">
        <v>25</v>
      </c>
      <c r="AH2838" s="95">
        <v>75</v>
      </c>
    </row>
    <row r="2839" spans="1:34" x14ac:dyDescent="0.3">
      <c r="A2839" s="89" t="str">
        <f>CONCATENATE(D2839,".",F2839,"-",G2839,".",H2839,"")</f>
        <v>2.4-5.1</v>
      </c>
      <c r="B2839" s="89" t="str">
        <f>IF(CONCATENATE(I2839,Key!F$2)=CONCATENATE(INDEX(Dashboard!J:J,MATCH(I2839,Dashboard!J:J,0),1),INDEX(Dashboard!J:K,MATCH(I2839,Dashboard!J:J,0),2)),"ON",IF(Dashboard!K$32="ALL","ON","-"))</f>
        <v>-</v>
      </c>
      <c r="C2839" s="88" t="s">
        <v>152</v>
      </c>
      <c r="D2839" s="89">
        <f>IF(C2839="ID",1,(IF(C2839="PR",2,(IF(C2839="DE",3,(IF(C2839="RS",4,(IF(C2839="RC",5,0)))))))))</f>
        <v>2</v>
      </c>
      <c r="E2839" s="89" t="s">
        <v>228</v>
      </c>
      <c r="F2839" s="89">
        <f>IF(E2839="AM",1,(IF(E2839="BE",2,(IF(E2839="GV",3,(IF(E2839="RA",4,(IF(E2839="RM",5,(IF(E2839="AC",1,(IF(E2839="AT",2,(IF(E2839="DS",3,(IF(E2839="IP",4,(IF(E2839="MA",5,(IF(E2839="PT",6,(IF(E2839="AE",1,(IF(E2839="CM",2,(IF(E2839="DP",3,(IF(E2839="AN",1,(IF(E2839="CO",2,(IF(E2839="IM",3,(IF(E2839="MI",4,(IF(E2839="RP",5,(IF(E2839="SC",6,0)))))))))))))))))))))))))))))))))))))))</f>
        <v>4</v>
      </c>
      <c r="G2839" s="52">
        <v>5</v>
      </c>
      <c r="H2839" s="90" t="s">
        <v>115</v>
      </c>
      <c r="I2839" s="94" t="s">
        <v>85</v>
      </c>
      <c r="J2839" s="87" t="s">
        <v>1627</v>
      </c>
      <c r="K2839" s="119" t="s">
        <v>4864</v>
      </c>
      <c r="L2839" s="117">
        <f>IF(O2839="","",N2839*O2839*M2839)</f>
        <v>0</v>
      </c>
      <c r="M2839" s="108">
        <v>1</v>
      </c>
      <c r="N2839" s="95">
        <v>1</v>
      </c>
      <c r="O2839" s="109">
        <f>IF(Key!D$1="ON",P2839,IF(SUM(Q2839:DL2839)&lt;1,"",SUM(Q2839:DL2839)/COUNTIF(Q2839:DL2839,"&gt;0")))</f>
        <v>0</v>
      </c>
      <c r="P2839" s="109">
        <f>SUMIFS(Q2839:DK2839,Q$1:DK$1,Dashboard!$K$31)</f>
        <v>0</v>
      </c>
      <c r="U2839" s="95">
        <v>33</v>
      </c>
      <c r="AA2839" s="95">
        <v>25</v>
      </c>
      <c r="AH2839" s="95">
        <v>75</v>
      </c>
    </row>
    <row r="2840" spans="1:34" x14ac:dyDescent="0.3">
      <c r="A2840" s="89" t="str">
        <f>CONCATENATE(D2840,".",F2840,"-",G2840,".",H2840,"")</f>
        <v>2.4-5.1</v>
      </c>
      <c r="B2840" s="89" t="str">
        <f>IF(CONCATENATE(I2840,Key!F$2)=CONCATENATE(INDEX(Dashboard!J:J,MATCH(I2840,Dashboard!J:J,0),1),INDEX(Dashboard!J:K,MATCH(I2840,Dashboard!J:J,0),2)),"ON",IF(Dashboard!K$32="ALL","ON","-"))</f>
        <v>-</v>
      </c>
      <c r="C2840" s="96" t="s">
        <v>152</v>
      </c>
      <c r="D2840" s="89">
        <f>IF(C2840="ID",1,(IF(C2840="PR",2,(IF(C2840="DE",3,(IF(C2840="RS",4,(IF(C2840="RC",5,0)))))))))</f>
        <v>2</v>
      </c>
      <c r="E2840" s="89" t="s">
        <v>228</v>
      </c>
      <c r="F2840" s="89">
        <f>IF(E2840="AM",1,(IF(E2840="BE",2,(IF(E2840="GV",3,(IF(E2840="RA",4,(IF(E2840="RM",5,(IF(E2840="AC",1,(IF(E2840="AT",2,(IF(E2840="DS",3,(IF(E2840="IP",4,(IF(E2840="MA",5,(IF(E2840="PT",6,(IF(E2840="AE",1,(IF(E2840="CM",2,(IF(E2840="DP",3,(IF(E2840="AN",1,(IF(E2840="CO",2,(IF(E2840="IM",3,(IF(E2840="MI",4,(IF(E2840="RP",5,(IF(E2840="SC",6,0)))))))))))))))))))))))))))))))))))))))</f>
        <v>4</v>
      </c>
      <c r="G2840" s="98">
        <v>5</v>
      </c>
      <c r="H2840" s="90" t="s">
        <v>115</v>
      </c>
      <c r="I2840" s="94" t="s">
        <v>85</v>
      </c>
      <c r="J2840" s="87" t="s">
        <v>1628</v>
      </c>
      <c r="K2840" s="119" t="s">
        <v>1629</v>
      </c>
      <c r="L2840" s="117">
        <f>IF(O2840="","",N2840*O2840*M2840)</f>
        <v>0</v>
      </c>
      <c r="M2840" s="108">
        <v>1</v>
      </c>
      <c r="N2840" s="95">
        <v>1</v>
      </c>
      <c r="O2840" s="109">
        <f>IF(Key!D$1="ON",P2840,IF(SUM(Q2840:DL2840)&lt;1,"",SUM(Q2840:DL2840)/COUNTIF(Q2840:DL2840,"&gt;0")))</f>
        <v>0</v>
      </c>
      <c r="P2840" s="109">
        <f>SUMIFS(Q2840:DK2840,Q$1:DK$1,Dashboard!$K$31)</f>
        <v>0</v>
      </c>
      <c r="U2840" s="95">
        <v>33</v>
      </c>
      <c r="AA2840" s="95">
        <v>25</v>
      </c>
      <c r="AH2840" s="95">
        <v>75</v>
      </c>
    </row>
    <row r="2841" spans="1:34" x14ac:dyDescent="0.3">
      <c r="A2841" s="89" t="str">
        <f>CONCATENATE(D2841,".",F2841,"-",G2841,".",H2841,"")</f>
        <v>2.4-5.1</v>
      </c>
      <c r="B2841" s="89" t="str">
        <f>IF(CONCATENATE(I2841,Key!F$2)=CONCATENATE(INDEX(Dashboard!J:J,MATCH(I2841,Dashboard!J:J,0),1),INDEX(Dashboard!J:K,MATCH(I2841,Dashboard!J:J,0),2)),"ON",IF(Dashboard!K$32="ALL","ON","-"))</f>
        <v>-</v>
      </c>
      <c r="C2841" s="88" t="s">
        <v>152</v>
      </c>
      <c r="D2841" s="89">
        <f>IF(C2841="ID",1,(IF(C2841="PR",2,(IF(C2841="DE",3,(IF(C2841="RS",4,(IF(C2841="RC",5,0)))))))))</f>
        <v>2</v>
      </c>
      <c r="E2841" s="89" t="s">
        <v>228</v>
      </c>
      <c r="F2841" s="89">
        <f>IF(E2841="AM",1,(IF(E2841="BE",2,(IF(E2841="GV",3,(IF(E2841="RA",4,(IF(E2841="RM",5,(IF(E2841="AC",1,(IF(E2841="AT",2,(IF(E2841="DS",3,(IF(E2841="IP",4,(IF(E2841="MA",5,(IF(E2841="PT",6,(IF(E2841="AE",1,(IF(E2841="CM",2,(IF(E2841="DP",3,(IF(E2841="AN",1,(IF(E2841="CO",2,(IF(E2841="IM",3,(IF(E2841="MI",4,(IF(E2841="RP",5,(IF(E2841="SC",6,0)))))))))))))))))))))))))))))))))))))))</f>
        <v>4</v>
      </c>
      <c r="G2841" s="52">
        <v>5</v>
      </c>
      <c r="H2841" s="90" t="s">
        <v>115</v>
      </c>
      <c r="I2841" s="94" t="s">
        <v>85</v>
      </c>
      <c r="J2841" s="87" t="s">
        <v>1633</v>
      </c>
      <c r="K2841" s="119" t="s">
        <v>4867</v>
      </c>
      <c r="L2841" s="117">
        <f>IF(O2841="","",N2841*O2841*M2841)</f>
        <v>0</v>
      </c>
      <c r="M2841" s="108">
        <v>1</v>
      </c>
      <c r="N2841" s="95">
        <v>1</v>
      </c>
      <c r="O2841" s="109">
        <f>IF(Key!D$1="ON",P2841,IF(SUM(Q2841:DL2841)&lt;1,"",SUM(Q2841:DL2841)/COUNTIF(Q2841:DL2841,"&gt;0")))</f>
        <v>0</v>
      </c>
      <c r="P2841" s="109">
        <f>SUMIFS(Q2841:DK2841,Q$1:DK$1,Dashboard!$K$31)</f>
        <v>0</v>
      </c>
      <c r="U2841" s="95">
        <v>33</v>
      </c>
      <c r="AA2841" s="95">
        <v>25</v>
      </c>
      <c r="AH2841" s="95">
        <v>75</v>
      </c>
    </row>
    <row r="2842" spans="1:34" x14ac:dyDescent="0.3">
      <c r="A2842" s="89" t="str">
        <f>CONCATENATE(D2842,".",F2842,"-",G2842,".",H2842,"")</f>
        <v>2.4-5.1</v>
      </c>
      <c r="B2842" s="89" t="str">
        <f>IF(CONCATENATE(I2842,Key!F$2)=CONCATENATE(INDEX(Dashboard!J:J,MATCH(I2842,Dashboard!J:J,0),1),INDEX(Dashboard!J:K,MATCH(I2842,Dashboard!J:J,0),2)),"ON",IF(Dashboard!K$32="ALL","ON","-"))</f>
        <v>-</v>
      </c>
      <c r="C2842" s="96" t="s">
        <v>152</v>
      </c>
      <c r="D2842" s="89">
        <f>IF(C2842="ID",1,(IF(C2842="PR",2,(IF(C2842="DE",3,(IF(C2842="RS",4,(IF(C2842="RC",5,0)))))))))</f>
        <v>2</v>
      </c>
      <c r="E2842" s="89" t="s">
        <v>228</v>
      </c>
      <c r="F2842" s="89">
        <f>IF(E2842="AM",1,(IF(E2842="BE",2,(IF(E2842="GV",3,(IF(E2842="RA",4,(IF(E2842="RM",5,(IF(E2842="AC",1,(IF(E2842="AT",2,(IF(E2842="DS",3,(IF(E2842="IP",4,(IF(E2842="MA",5,(IF(E2842="PT",6,(IF(E2842="AE",1,(IF(E2842="CM",2,(IF(E2842="DP",3,(IF(E2842="AN",1,(IF(E2842="CO",2,(IF(E2842="IM",3,(IF(E2842="MI",4,(IF(E2842="RP",5,(IF(E2842="SC",6,0)))))))))))))))))))))))))))))))))))))))</f>
        <v>4</v>
      </c>
      <c r="G2842" s="98">
        <v>5</v>
      </c>
      <c r="H2842" s="90" t="s">
        <v>115</v>
      </c>
      <c r="I2842" s="94" t="s">
        <v>85</v>
      </c>
      <c r="J2842" s="87" t="s">
        <v>1641</v>
      </c>
      <c r="K2842" s="119" t="s">
        <v>1642</v>
      </c>
      <c r="L2842" s="117">
        <f>IF(O2842="","",N2842*O2842*M2842)</f>
        <v>0</v>
      </c>
      <c r="M2842" s="108">
        <v>1</v>
      </c>
      <c r="N2842" s="95">
        <v>1</v>
      </c>
      <c r="O2842" s="109">
        <f>IF(Key!D$1="ON",P2842,IF(SUM(Q2842:DL2842)&lt;1,"",SUM(Q2842:DL2842)/COUNTIF(Q2842:DL2842,"&gt;0")))</f>
        <v>0</v>
      </c>
      <c r="P2842" s="109">
        <f>SUMIFS(Q2842:DK2842,Q$1:DK$1,Dashboard!$K$31)</f>
        <v>0</v>
      </c>
      <c r="U2842" s="95">
        <v>33</v>
      </c>
      <c r="AA2842" s="95">
        <v>25</v>
      </c>
      <c r="AH2842" s="95">
        <v>75</v>
      </c>
    </row>
    <row r="2843" spans="1:34" x14ac:dyDescent="0.3">
      <c r="A2843" s="89" t="str">
        <f>CONCATENATE(D2843,".",F2843,"-",G2843,".",H2843,"")</f>
        <v>2.4-5.1</v>
      </c>
      <c r="B2843" s="89" t="str">
        <f>IF(CONCATENATE(I2843,Key!F$2)=CONCATENATE(INDEX(Dashboard!J:J,MATCH(I2843,Dashboard!J:J,0),1),INDEX(Dashboard!J:K,MATCH(I2843,Dashboard!J:J,0),2)),"ON",IF(Dashboard!K$32="ALL","ON","-"))</f>
        <v>-</v>
      </c>
      <c r="C2843" s="88" t="s">
        <v>152</v>
      </c>
      <c r="D2843" s="89">
        <f>IF(C2843="ID",1,(IF(C2843="PR",2,(IF(C2843="DE",3,(IF(C2843="RS",4,(IF(C2843="RC",5,0)))))))))</f>
        <v>2</v>
      </c>
      <c r="E2843" s="89" t="s">
        <v>228</v>
      </c>
      <c r="F2843" s="89">
        <f>IF(E2843="AM",1,(IF(E2843="BE",2,(IF(E2843="GV",3,(IF(E2843="RA",4,(IF(E2843="RM",5,(IF(E2843="AC",1,(IF(E2843="AT",2,(IF(E2843="DS",3,(IF(E2843="IP",4,(IF(E2843="MA",5,(IF(E2843="PT",6,(IF(E2843="AE",1,(IF(E2843="CM",2,(IF(E2843="DP",3,(IF(E2843="AN",1,(IF(E2843="CO",2,(IF(E2843="IM",3,(IF(E2843="MI",4,(IF(E2843="RP",5,(IF(E2843="SC",6,0)))))))))))))))))))))))))))))))))))))))</f>
        <v>4</v>
      </c>
      <c r="G2843" s="52">
        <v>5</v>
      </c>
      <c r="H2843" s="90" t="s">
        <v>115</v>
      </c>
      <c r="I2843" s="94" t="s">
        <v>85</v>
      </c>
      <c r="J2843" s="87" t="s">
        <v>1637</v>
      </c>
      <c r="K2843" s="119" t="s">
        <v>4869</v>
      </c>
      <c r="L2843" s="117">
        <f>IF(O2843="","",N2843*O2843*M2843)</f>
        <v>0</v>
      </c>
      <c r="M2843" s="108">
        <v>1</v>
      </c>
      <c r="N2843" s="95">
        <v>1</v>
      </c>
      <c r="O2843" s="109">
        <f>IF(Key!D$1="ON",P2843,IF(SUM(Q2843:DL2843)&lt;1,"",SUM(Q2843:DL2843)/COUNTIF(Q2843:DL2843,"&gt;0")))</f>
        <v>0</v>
      </c>
      <c r="P2843" s="109">
        <f>SUMIFS(Q2843:DK2843,Q$1:DK$1,Dashboard!$K$31)</f>
        <v>0</v>
      </c>
      <c r="U2843" s="95">
        <v>33</v>
      </c>
      <c r="AA2843" s="95">
        <v>25</v>
      </c>
      <c r="AH2843" s="95">
        <v>75</v>
      </c>
    </row>
    <row r="2844" spans="1:34" x14ac:dyDescent="0.3">
      <c r="A2844" s="89" t="str">
        <f>CONCATENATE(D2844,".",F2844,"-",G2844,".",H2844,"")</f>
        <v>2.4-5.1</v>
      </c>
      <c r="B2844" s="89" t="str">
        <f>IF(CONCATENATE(I2844,Key!F$2)=CONCATENATE(INDEX(Dashboard!J:J,MATCH(I2844,Dashboard!J:J,0),1),INDEX(Dashboard!J:K,MATCH(I2844,Dashboard!J:J,0),2)),"ON",IF(Dashboard!K$32="ALL","ON","-"))</f>
        <v>-</v>
      </c>
      <c r="C2844" s="88" t="s">
        <v>152</v>
      </c>
      <c r="D2844" s="89">
        <f>IF(C2844="ID",1,(IF(C2844="PR",2,(IF(C2844="DE",3,(IF(C2844="RS",4,(IF(C2844="RC",5,0)))))))))</f>
        <v>2</v>
      </c>
      <c r="E2844" s="89" t="s">
        <v>228</v>
      </c>
      <c r="F2844" s="89">
        <f>IF(E2844="AM",1,(IF(E2844="BE",2,(IF(E2844="GV",3,(IF(E2844="RA",4,(IF(E2844="RM",5,(IF(E2844="AC",1,(IF(E2844="AT",2,(IF(E2844="DS",3,(IF(E2844="IP",4,(IF(E2844="MA",5,(IF(E2844="PT",6,(IF(E2844="AE",1,(IF(E2844="CM",2,(IF(E2844="DP",3,(IF(E2844="AN",1,(IF(E2844="CO",2,(IF(E2844="IM",3,(IF(E2844="MI",4,(IF(E2844="RP",5,(IF(E2844="SC",6,0)))))))))))))))))))))))))))))))))))))))</f>
        <v>4</v>
      </c>
      <c r="G2844" s="52">
        <v>5</v>
      </c>
      <c r="H2844" s="90" t="s">
        <v>115</v>
      </c>
      <c r="I2844" s="94" t="s">
        <v>85</v>
      </c>
      <c r="J2844" s="87" t="s">
        <v>1234</v>
      </c>
      <c r="K2844" s="119" t="s">
        <v>4577</v>
      </c>
      <c r="L2844" s="117">
        <f>IF(O2844="","",N2844*O2844*M2844)</f>
        <v>0</v>
      </c>
      <c r="M2844" s="108">
        <v>1</v>
      </c>
      <c r="N2844" s="95">
        <v>1</v>
      </c>
      <c r="O2844" s="109">
        <f>IF(Key!D$1="ON",P2844,IF(SUM(Q2844:DL2844)&lt;1,"",SUM(Q2844:DL2844)/COUNTIF(Q2844:DL2844,"&gt;0")))</f>
        <v>0</v>
      </c>
      <c r="P2844" s="109">
        <f>SUMIFS(Q2844:DK2844,Q$1:DK$1,Dashboard!$K$31)</f>
        <v>0</v>
      </c>
      <c r="U2844" s="95">
        <v>33</v>
      </c>
      <c r="AA2844" s="95">
        <v>25</v>
      </c>
      <c r="AH2844" s="95">
        <v>75</v>
      </c>
    </row>
    <row r="2845" spans="1:34" x14ac:dyDescent="0.3">
      <c r="A2845" s="89" t="str">
        <f>CONCATENATE(D2845,".",F2845,"-",G2845,".",H2845,"")</f>
        <v>2.4-5.1</v>
      </c>
      <c r="B2845" s="89" t="str">
        <f>IF(CONCATENATE(I2845,Key!F$2)=CONCATENATE(INDEX(Dashboard!J:J,MATCH(I2845,Dashboard!J:J,0),1),INDEX(Dashboard!J:K,MATCH(I2845,Dashboard!J:J,0),2)),"ON",IF(Dashboard!K$32="ALL","ON","-"))</f>
        <v>-</v>
      </c>
      <c r="C2845" s="88" t="s">
        <v>152</v>
      </c>
      <c r="D2845" s="89">
        <f>IF(C2845="ID",1,(IF(C2845="PR",2,(IF(C2845="DE",3,(IF(C2845="RS",4,(IF(C2845="RC",5,0)))))))))</f>
        <v>2</v>
      </c>
      <c r="E2845" s="89" t="s">
        <v>228</v>
      </c>
      <c r="F2845" s="89">
        <f>IF(E2845="AM",1,(IF(E2845="BE",2,(IF(E2845="GV",3,(IF(E2845="RA",4,(IF(E2845="RM",5,(IF(E2845="AC",1,(IF(E2845="AT",2,(IF(E2845="DS",3,(IF(E2845="IP",4,(IF(E2845="MA",5,(IF(E2845="PT",6,(IF(E2845="AE",1,(IF(E2845="CM",2,(IF(E2845="DP",3,(IF(E2845="AN",1,(IF(E2845="CO",2,(IF(E2845="IM",3,(IF(E2845="MI",4,(IF(E2845="RP",5,(IF(E2845="SC",6,0)))))))))))))))))))))))))))))))))))))))</f>
        <v>4</v>
      </c>
      <c r="G2845" s="52">
        <v>5</v>
      </c>
      <c r="H2845" s="90" t="s">
        <v>115</v>
      </c>
      <c r="I2845" s="94" t="s">
        <v>85</v>
      </c>
      <c r="J2845" s="87" t="s">
        <v>1631</v>
      </c>
      <c r="K2845" s="119" t="s">
        <v>4866</v>
      </c>
      <c r="L2845" s="117">
        <f>IF(O2845="","",N2845*O2845*M2845)</f>
        <v>0</v>
      </c>
      <c r="M2845" s="108">
        <v>1</v>
      </c>
      <c r="N2845" s="95">
        <v>1</v>
      </c>
      <c r="O2845" s="109">
        <f>IF(Key!D$1="ON",P2845,IF(SUM(Q2845:DL2845)&lt;1,"",SUM(Q2845:DL2845)/COUNTIF(Q2845:DL2845,"&gt;0")))</f>
        <v>0</v>
      </c>
      <c r="P2845" s="109">
        <f>SUMIFS(Q2845:DK2845,Q$1:DK$1,Dashboard!$K$31)</f>
        <v>0</v>
      </c>
      <c r="U2845" s="95">
        <v>33</v>
      </c>
      <c r="AA2845" s="95">
        <v>25</v>
      </c>
      <c r="AH2845" s="95">
        <v>75</v>
      </c>
    </row>
    <row r="2846" spans="1:34" x14ac:dyDescent="0.3">
      <c r="A2846" s="89" t="str">
        <f>CONCATENATE(D2846,".",F2846,"-",G2846,".",H2846,"")</f>
        <v>2.4-5.1</v>
      </c>
      <c r="B2846" s="89" t="str">
        <f>IF(CONCATENATE(I2846,Key!F$2)=CONCATENATE(INDEX(Dashboard!J:J,MATCH(I2846,Dashboard!J:J,0),1),INDEX(Dashboard!J:K,MATCH(I2846,Dashboard!J:J,0),2)),"ON",IF(Dashboard!K$32="ALL","ON","-"))</f>
        <v>-</v>
      </c>
      <c r="C2846" s="96" t="s">
        <v>152</v>
      </c>
      <c r="D2846" s="89">
        <f>IF(C2846="ID",1,(IF(C2846="PR",2,(IF(C2846="DE",3,(IF(C2846="RS",4,(IF(C2846="RC",5,0)))))))))</f>
        <v>2</v>
      </c>
      <c r="E2846" s="89" t="s">
        <v>228</v>
      </c>
      <c r="F2846" s="89">
        <f>IF(E2846="AM",1,(IF(E2846="BE",2,(IF(E2846="GV",3,(IF(E2846="RA",4,(IF(E2846="RM",5,(IF(E2846="AC",1,(IF(E2846="AT",2,(IF(E2846="DS",3,(IF(E2846="IP",4,(IF(E2846="MA",5,(IF(E2846="PT",6,(IF(E2846="AE",1,(IF(E2846="CM",2,(IF(E2846="DP",3,(IF(E2846="AN",1,(IF(E2846="CO",2,(IF(E2846="IM",3,(IF(E2846="MI",4,(IF(E2846="RP",5,(IF(E2846="SC",6,0)))))))))))))))))))))))))))))))))))))))</f>
        <v>4</v>
      </c>
      <c r="G2846" s="98">
        <v>5</v>
      </c>
      <c r="H2846" s="90" t="s">
        <v>115</v>
      </c>
      <c r="I2846" s="94" t="s">
        <v>85</v>
      </c>
      <c r="J2846" s="87" t="s">
        <v>1638</v>
      </c>
      <c r="K2846" s="119" t="s">
        <v>1639</v>
      </c>
      <c r="L2846" s="117">
        <f>IF(O2846="","",N2846*O2846*M2846)</f>
        <v>0</v>
      </c>
      <c r="M2846" s="108">
        <v>1</v>
      </c>
      <c r="N2846" s="95">
        <v>1</v>
      </c>
      <c r="O2846" s="109">
        <f>IF(Key!D$1="ON",P2846,IF(SUM(Q2846:DL2846)&lt;1,"",SUM(Q2846:DL2846)/COUNTIF(Q2846:DL2846,"&gt;0")))</f>
        <v>0</v>
      </c>
      <c r="P2846" s="109">
        <f>SUMIFS(Q2846:DK2846,Q$1:DK$1,Dashboard!$K$31)</f>
        <v>0</v>
      </c>
      <c r="U2846" s="95">
        <v>33</v>
      </c>
      <c r="AA2846" s="95">
        <v>25</v>
      </c>
      <c r="AH2846" s="95">
        <v>75</v>
      </c>
    </row>
    <row r="2847" spans="1:34" x14ac:dyDescent="0.3">
      <c r="A2847" s="89" t="str">
        <f>CONCATENATE(D2847,".",F2847,"-",G2847,".",H2847,"")</f>
        <v>2.4-5.1</v>
      </c>
      <c r="B2847" s="89" t="str">
        <f>IF(CONCATENATE(I2847,Key!F$2)=CONCATENATE(INDEX(Dashboard!J:J,MATCH(I2847,Dashboard!J:J,0),1),INDEX(Dashboard!J:K,MATCH(I2847,Dashboard!J:J,0),2)),"ON",IF(Dashboard!K$32="ALL","ON","-"))</f>
        <v>-</v>
      </c>
      <c r="C2847" s="96" t="s">
        <v>152</v>
      </c>
      <c r="D2847" s="89">
        <f>IF(C2847="ID",1,(IF(C2847="PR",2,(IF(C2847="DE",3,(IF(C2847="RS",4,(IF(C2847="RC",5,0)))))))))</f>
        <v>2</v>
      </c>
      <c r="E2847" s="89" t="s">
        <v>228</v>
      </c>
      <c r="F2847" s="89">
        <f>IF(E2847="AM",1,(IF(E2847="BE",2,(IF(E2847="GV",3,(IF(E2847="RA",4,(IF(E2847="RM",5,(IF(E2847="AC",1,(IF(E2847="AT",2,(IF(E2847="DS",3,(IF(E2847="IP",4,(IF(E2847="MA",5,(IF(E2847="PT",6,(IF(E2847="AE",1,(IF(E2847="CM",2,(IF(E2847="DP",3,(IF(E2847="AN",1,(IF(E2847="CO",2,(IF(E2847="IM",3,(IF(E2847="MI",4,(IF(E2847="RP",5,(IF(E2847="SC",6,0)))))))))))))))))))))))))))))))))))))))</f>
        <v>4</v>
      </c>
      <c r="G2847" s="52">
        <v>5</v>
      </c>
      <c r="H2847" s="90" t="s">
        <v>115</v>
      </c>
      <c r="I2847" s="94" t="s">
        <v>85</v>
      </c>
      <c r="J2847" s="135" t="s">
        <v>801</v>
      </c>
      <c r="K2847" s="143" t="s">
        <v>4946</v>
      </c>
      <c r="L2847" s="117">
        <f>IF(O2847="","",N2847*O2847*M2847)</f>
        <v>0</v>
      </c>
      <c r="M2847" s="108">
        <v>1</v>
      </c>
      <c r="N2847" s="95">
        <v>1</v>
      </c>
      <c r="O2847" s="109">
        <f>IF(Key!D$1="ON",P2847,IF(SUM(Q2847:DL2847)&lt;1,"",SUM(Q2847:DL2847)/COUNTIF(Q2847:DL2847,"&gt;0")))</f>
        <v>0</v>
      </c>
      <c r="P2847" s="109">
        <f>SUMIFS(Q2847:DK2847,Q$1:DK$1,Dashboard!$K$31)</f>
        <v>0</v>
      </c>
      <c r="U2847" s="95">
        <v>33</v>
      </c>
      <c r="AA2847" s="95">
        <v>25</v>
      </c>
      <c r="AH2847" s="95">
        <v>75</v>
      </c>
    </row>
    <row r="2848" spans="1:34" x14ac:dyDescent="0.3">
      <c r="A2848" s="89" t="str">
        <f>CONCATENATE(D2848,".",F2848,"-",G2848,".",H2848,"")</f>
        <v>2.4-5.2</v>
      </c>
      <c r="B2848" s="89" t="str">
        <f>IF(CONCATENATE(I2848,Key!F$2)=CONCATENATE(INDEX(Dashboard!J:J,MATCH(I2848,Dashboard!J:J,0),1),INDEX(Dashboard!J:K,MATCH(I2848,Dashboard!J:J,0),2)),"ON",IF(Dashboard!K$32="ALL","ON","-"))</f>
        <v>-</v>
      </c>
      <c r="C2848" s="96" t="s">
        <v>152</v>
      </c>
      <c r="D2848" s="89">
        <f>IF(C2848="ID",1,(IF(C2848="PR",2,(IF(C2848="DE",3,(IF(C2848="RS",4,(IF(C2848="RC",5,0)))))))))</f>
        <v>2</v>
      </c>
      <c r="E2848" s="89" t="s">
        <v>228</v>
      </c>
      <c r="F2848" s="89">
        <f>IF(E2848="AM",1,(IF(E2848="BE",2,(IF(E2848="GV",3,(IF(E2848="RA",4,(IF(E2848="RM",5,(IF(E2848="AC",1,(IF(E2848="AT",2,(IF(E2848="DS",3,(IF(E2848="IP",4,(IF(E2848="MA",5,(IF(E2848="PT",6,(IF(E2848="AE",1,(IF(E2848="CM",2,(IF(E2848="DP",3,(IF(E2848="AN",1,(IF(E2848="CO",2,(IF(E2848="IM",3,(IF(E2848="MI",4,(IF(E2848="RP",5,(IF(E2848="SC",6,0)))))))))))))))))))))))))))))))))))))))</f>
        <v>4</v>
      </c>
      <c r="G2848" s="98">
        <v>5</v>
      </c>
      <c r="H2848" s="90" t="s">
        <v>112</v>
      </c>
      <c r="I2848" s="94" t="s">
        <v>64</v>
      </c>
      <c r="J2848" s="86" t="s">
        <v>1615</v>
      </c>
      <c r="K2848" s="103" t="s">
        <v>2566</v>
      </c>
      <c r="L2848" s="117">
        <f>IF(O2848="","",N2848*O2848*M2848)</f>
        <v>0</v>
      </c>
      <c r="M2848" s="108">
        <v>1</v>
      </c>
      <c r="N2848" s="95">
        <v>1</v>
      </c>
      <c r="O2848" s="109">
        <f>IF(Key!D$1="ON",P2848,IF(SUM(Q2848:DL2848)&lt;1,"",SUM(Q2848:DL2848)/COUNTIF(Q2848:DL2848,"&gt;0")))</f>
        <v>0</v>
      </c>
      <c r="P2848" s="109">
        <f>SUMIFS(Q2848:DK2848,Q$1:DK$1,Dashboard!$K$31)</f>
        <v>0</v>
      </c>
      <c r="U2848" s="95">
        <v>33</v>
      </c>
      <c r="AA2848" s="95">
        <v>25</v>
      </c>
      <c r="AH2848" s="95">
        <v>75</v>
      </c>
    </row>
    <row r="2849" spans="1:34" x14ac:dyDescent="0.3">
      <c r="A2849" s="89" t="str">
        <f>CONCATENATE(D2849,".",F2849,"-",G2849,".",H2849,"")</f>
        <v>2.4-6.0</v>
      </c>
      <c r="B2849" s="89" t="str">
        <f>IF(CONCATENATE(I2849,Key!F$2)=CONCATENATE(INDEX(Dashboard!J:J,MATCH(I2849,Dashboard!J:J,0),1),INDEX(Dashboard!J:K,MATCH(I2849,Dashboard!J:J,0),2)),"ON",IF(Dashboard!K$32="ALL","ON","-"))</f>
        <v>-</v>
      </c>
      <c r="C2849" s="88" t="s">
        <v>152</v>
      </c>
      <c r="D2849" s="89">
        <f>IF(C2849="ID",1,(IF(C2849="PR",2,(IF(C2849="DE",3,(IF(C2849="RS",4,(IF(C2849="RC",5,0)))))))))</f>
        <v>2</v>
      </c>
      <c r="E2849" s="89" t="s">
        <v>228</v>
      </c>
      <c r="F2849" s="89">
        <f>IF(E2849="AM",1,(IF(E2849="BE",2,(IF(E2849="GV",3,(IF(E2849="RA",4,(IF(E2849="RM",5,(IF(E2849="AC",1,(IF(E2849="AT",2,(IF(E2849="DS",3,(IF(E2849="IP",4,(IF(E2849="MA",5,(IF(E2849="PT",6,(IF(E2849="AE",1,(IF(E2849="CM",2,(IF(E2849="DP",3,(IF(E2849="AN",1,(IF(E2849="CO",2,(IF(E2849="IM",3,(IF(E2849="MI",4,(IF(E2849="RP",5,(IF(E2849="SC",6,0)))))))))))))))))))))))))))))))))))))))</f>
        <v>4</v>
      </c>
      <c r="G2849" s="52">
        <v>6</v>
      </c>
      <c r="H2849" s="90" t="s">
        <v>347</v>
      </c>
      <c r="I2849" s="94" t="s">
        <v>2835</v>
      </c>
      <c r="J2849" s="53" t="s">
        <v>2978</v>
      </c>
      <c r="K2849" s="150" t="s">
        <v>2979</v>
      </c>
      <c r="L2849" s="117">
        <f>IF(O2849="","",N2849*O2849*M2849)</f>
        <v>0</v>
      </c>
      <c r="M2849" s="108">
        <v>1</v>
      </c>
      <c r="N2849" s="95">
        <v>1</v>
      </c>
      <c r="O2849" s="109">
        <f>IF(Key!D$1="ON",P2849,IF(SUM(Q2849:DL2849)&lt;1,"",SUM(Q2849:DL2849)/COUNTIF(Q2849:DL2849,"&gt;0")))</f>
        <v>0</v>
      </c>
      <c r="P2849" s="109">
        <f>SUMIFS(Q2849:DK2849,Q$1:DK$1,Dashboard!$K$31)</f>
        <v>0</v>
      </c>
      <c r="U2849" s="95">
        <v>33</v>
      </c>
    </row>
    <row r="2850" spans="1:34" x14ac:dyDescent="0.3">
      <c r="A2850" s="89" t="str">
        <f>CONCATENATE(D2850,".",F2850,"-",G2850,".",H2850,"")</f>
        <v>2.4-6.1</v>
      </c>
      <c r="B2850" s="89" t="str">
        <f>IF(CONCATENATE(I2850,Key!F$2)=CONCATENATE(INDEX(Dashboard!J:J,MATCH(I2850,Dashboard!J:J,0),1),INDEX(Dashboard!J:K,MATCH(I2850,Dashboard!J:J,0),2)),"ON",IF(Dashboard!K$32="ALL","ON","-"))</f>
        <v>-</v>
      </c>
      <c r="C2850" s="96" t="s">
        <v>152</v>
      </c>
      <c r="D2850" s="89">
        <f>IF(C2850="ID",1,(IF(C2850="PR",2,(IF(C2850="DE",3,(IF(C2850="RS",4,(IF(C2850="RC",5,0)))))))))</f>
        <v>2</v>
      </c>
      <c r="E2850" s="89" t="s">
        <v>228</v>
      </c>
      <c r="F2850" s="89">
        <f>IF(E2850="AM",1,(IF(E2850="BE",2,(IF(E2850="GV",3,(IF(E2850="RA",4,(IF(E2850="RM",5,(IF(E2850="AC",1,(IF(E2850="AT",2,(IF(E2850="DS",3,(IF(E2850="IP",4,(IF(E2850="MA",5,(IF(E2850="PT",6,(IF(E2850="AE",1,(IF(E2850="CM",2,(IF(E2850="DP",3,(IF(E2850="AN",1,(IF(E2850="CO",2,(IF(E2850="IM",3,(IF(E2850="MI",4,(IF(E2850="RP",5,(IF(E2850="SC",6,0)))))))))))))))))))))))))))))))))))))))</f>
        <v>4</v>
      </c>
      <c r="G2850" s="98">
        <v>6</v>
      </c>
      <c r="H2850" s="90" t="s">
        <v>115</v>
      </c>
      <c r="I2850" s="94" t="s">
        <v>52</v>
      </c>
      <c r="J2850" s="88" t="s">
        <v>3427</v>
      </c>
      <c r="K2850" s="103" t="s">
        <v>3428</v>
      </c>
      <c r="L2850" s="117">
        <f>IF(O2850="","",N2850*O2850*M2850)</f>
        <v>0</v>
      </c>
      <c r="M2850" s="108">
        <v>1</v>
      </c>
      <c r="N2850" s="95">
        <v>1</v>
      </c>
      <c r="O2850" s="109">
        <f>IF(Key!D$1="ON",P2850,IF(SUM(Q2850:DL2850)&lt;1,"",SUM(Q2850:DL2850)/COUNTIF(Q2850:DL2850,"&gt;0")))</f>
        <v>0</v>
      </c>
      <c r="P2850" s="109">
        <f>SUMIFS(Q2850:DK2850,Q$1:DK$1,Dashboard!$K$31)</f>
        <v>0</v>
      </c>
      <c r="U2850" s="95">
        <v>33</v>
      </c>
      <c r="AA2850" s="95">
        <v>25</v>
      </c>
      <c r="AH2850" s="95">
        <v>75</v>
      </c>
    </row>
    <row r="2851" spans="1:34" x14ac:dyDescent="0.3">
      <c r="A2851" s="89" t="str">
        <f>CONCATENATE(D2851,".",F2851,"-",G2851,".",H2851,"")</f>
        <v>2.4-6.1</v>
      </c>
      <c r="B2851" s="89" t="str">
        <f>IF(CONCATENATE(I2851,Key!F$2)=CONCATENATE(INDEX(Dashboard!J:J,MATCH(I2851,Dashboard!J:J,0),1),INDEX(Dashboard!J:K,MATCH(I2851,Dashboard!J:J,0),2)),"ON",IF(Dashboard!K$32="ALL","ON","-"))</f>
        <v>-</v>
      </c>
      <c r="C2851" s="96" t="s">
        <v>152</v>
      </c>
      <c r="D2851" s="89">
        <f>IF(C2851="ID",1,(IF(C2851="PR",2,(IF(C2851="DE",3,(IF(C2851="RS",4,(IF(C2851="RC",5,0)))))))))</f>
        <v>2</v>
      </c>
      <c r="E2851" s="89" t="s">
        <v>228</v>
      </c>
      <c r="F2851" s="89">
        <f>IF(E2851="AM",1,(IF(E2851="BE",2,(IF(E2851="GV",3,(IF(E2851="RA",4,(IF(E2851="RM",5,(IF(E2851="AC",1,(IF(E2851="AT",2,(IF(E2851="DS",3,(IF(E2851="IP",4,(IF(E2851="MA",5,(IF(E2851="PT",6,(IF(E2851="AE",1,(IF(E2851="CM",2,(IF(E2851="DP",3,(IF(E2851="AN",1,(IF(E2851="CO",2,(IF(E2851="IM",3,(IF(E2851="MI",4,(IF(E2851="RP",5,(IF(E2851="SC",6,0)))))))))))))))))))))))))))))))))))))))</f>
        <v>4</v>
      </c>
      <c r="G2851" s="98">
        <v>6</v>
      </c>
      <c r="H2851" s="90" t="s">
        <v>115</v>
      </c>
      <c r="I2851" s="94" t="s">
        <v>52</v>
      </c>
      <c r="J2851" s="88" t="s">
        <v>3429</v>
      </c>
      <c r="K2851" s="103" t="s">
        <v>3430</v>
      </c>
      <c r="L2851" s="117">
        <f>IF(O2851="","",N2851*O2851*M2851)</f>
        <v>0</v>
      </c>
      <c r="M2851" s="108">
        <v>1</v>
      </c>
      <c r="N2851" s="95">
        <v>1</v>
      </c>
      <c r="O2851" s="109">
        <f>IF(Key!D$1="ON",P2851,IF(SUM(Q2851:DL2851)&lt;1,"",SUM(Q2851:DL2851)/COUNTIF(Q2851:DL2851,"&gt;0")))</f>
        <v>0</v>
      </c>
      <c r="P2851" s="109">
        <f>SUMIFS(Q2851:DK2851,Q$1:DK$1,Dashboard!$K$31)</f>
        <v>0</v>
      </c>
      <c r="U2851" s="95">
        <v>33</v>
      </c>
      <c r="AA2851" s="95">
        <v>25</v>
      </c>
      <c r="AH2851" s="95">
        <v>75</v>
      </c>
    </row>
    <row r="2852" spans="1:34" x14ac:dyDescent="0.3">
      <c r="A2852" s="89" t="str">
        <f>CONCATENATE(D2852,".",F2852,"-",G2852,".",H2852,"")</f>
        <v>2.4-6.1</v>
      </c>
      <c r="B2852" s="89" t="str">
        <f>IF(CONCATENATE(I2852,Key!F$2)=CONCATENATE(INDEX(Dashboard!J:J,MATCH(I2852,Dashboard!J:J,0),1),INDEX(Dashboard!J:K,MATCH(I2852,Dashboard!J:J,0),2)),"ON",IF(Dashboard!K$32="ALL","ON","-"))</f>
        <v>-</v>
      </c>
      <c r="C2852" s="88" t="s">
        <v>152</v>
      </c>
      <c r="D2852" s="89">
        <f>IF(C2852="ID",1,(IF(C2852="PR",2,(IF(C2852="DE",3,(IF(C2852="RS",4,(IF(C2852="RC",5,0)))))))))</f>
        <v>2</v>
      </c>
      <c r="E2852" s="89" t="s">
        <v>228</v>
      </c>
      <c r="F2852" s="89">
        <f>IF(E2852="AM",1,(IF(E2852="BE",2,(IF(E2852="GV",3,(IF(E2852="RA",4,(IF(E2852="RM",5,(IF(E2852="AC",1,(IF(E2852="AT",2,(IF(E2852="DS",3,(IF(E2852="IP",4,(IF(E2852="MA",5,(IF(E2852="PT",6,(IF(E2852="AE",1,(IF(E2852="CM",2,(IF(E2852="DP",3,(IF(E2852="AN",1,(IF(E2852="CO",2,(IF(E2852="IM",3,(IF(E2852="MI",4,(IF(E2852="RP",5,(IF(E2852="SC",6,0)))))))))))))))))))))))))))))))))))))))</f>
        <v>4</v>
      </c>
      <c r="G2852" s="52">
        <v>6</v>
      </c>
      <c r="H2852" s="90" t="s">
        <v>115</v>
      </c>
      <c r="I2852" s="94" t="s">
        <v>60</v>
      </c>
      <c r="J2852" s="87" t="s">
        <v>3211</v>
      </c>
      <c r="K2852" s="51" t="s">
        <v>5324</v>
      </c>
      <c r="L2852" s="117">
        <f>IF(O2852="","",N2852*O2852*M2852)</f>
        <v>0</v>
      </c>
      <c r="M2852" s="108">
        <v>1</v>
      </c>
      <c r="N2852" s="95">
        <v>1</v>
      </c>
      <c r="O2852" s="109">
        <f>IF(Key!D$1="ON",P2852,IF(SUM(Q2852:DL2852)&lt;1,"",SUM(Q2852:DL2852)/COUNTIF(Q2852:DL2852,"&gt;0")))</f>
        <v>0</v>
      </c>
      <c r="P2852" s="109">
        <f>SUMIFS(Q2852:DK2852,Q$1:DK$1,Dashboard!$K$31)</f>
        <v>0</v>
      </c>
      <c r="U2852" s="95">
        <v>33</v>
      </c>
      <c r="AA2852" s="95">
        <v>25</v>
      </c>
      <c r="AH2852" s="95">
        <v>75</v>
      </c>
    </row>
    <row r="2853" spans="1:34" x14ac:dyDescent="0.3">
      <c r="A2853" s="89" t="str">
        <f>CONCATENATE(D2853,".",F2853,"-",G2853,".",H2853,"")</f>
        <v>2.4-6.1</v>
      </c>
      <c r="B2853" s="89" t="str">
        <f>IF(CONCATENATE(I2853,Key!F$2)=CONCATENATE(INDEX(Dashboard!J:J,MATCH(I2853,Dashboard!J:J,0),1),INDEX(Dashboard!J:K,MATCH(I2853,Dashboard!J:J,0),2)),"ON",IF(Dashboard!K$32="ALL","ON","-"))</f>
        <v>-</v>
      </c>
      <c r="C2853" s="88" t="s">
        <v>152</v>
      </c>
      <c r="D2853" s="89">
        <f>IF(C2853="ID",1,(IF(C2853="PR",2,(IF(C2853="DE",3,(IF(C2853="RS",4,(IF(C2853="RC",5,0)))))))))</f>
        <v>2</v>
      </c>
      <c r="E2853" s="89" t="s">
        <v>228</v>
      </c>
      <c r="F2853" s="89">
        <f>IF(E2853="AM",1,(IF(E2853="BE",2,(IF(E2853="GV",3,(IF(E2853="RA",4,(IF(E2853="RM",5,(IF(E2853="AC",1,(IF(E2853="AT",2,(IF(E2853="DS",3,(IF(E2853="IP",4,(IF(E2853="MA",5,(IF(E2853="PT",6,(IF(E2853="AE",1,(IF(E2853="CM",2,(IF(E2853="DP",3,(IF(E2853="AN",1,(IF(E2853="CO",2,(IF(E2853="IM",3,(IF(E2853="MI",4,(IF(E2853="RP",5,(IF(E2853="SC",6,0)))))))))))))))))))))))))))))))))))))))</f>
        <v>4</v>
      </c>
      <c r="G2853" s="52">
        <v>6</v>
      </c>
      <c r="H2853" s="90" t="s">
        <v>115</v>
      </c>
      <c r="I2853" s="94" t="s">
        <v>60</v>
      </c>
      <c r="J2853" s="87" t="s">
        <v>3127</v>
      </c>
      <c r="K2853" s="51" t="s">
        <v>5240</v>
      </c>
      <c r="L2853" s="117">
        <f>IF(O2853="","",N2853*O2853*M2853)</f>
        <v>0</v>
      </c>
      <c r="M2853" s="108">
        <v>1</v>
      </c>
      <c r="N2853" s="95">
        <v>1</v>
      </c>
      <c r="O2853" s="109">
        <f>IF(Key!D$1="ON",P2853,IF(SUM(Q2853:DL2853)&lt;1,"",SUM(Q2853:DL2853)/COUNTIF(Q2853:DL2853,"&gt;0")))</f>
        <v>0</v>
      </c>
      <c r="P2853" s="109">
        <f>SUMIFS(Q2853:DK2853,Q$1:DK$1,Dashboard!$K$31)</f>
        <v>0</v>
      </c>
      <c r="U2853" s="95">
        <v>33</v>
      </c>
      <c r="AA2853" s="95">
        <v>25</v>
      </c>
      <c r="AH2853" s="95">
        <v>75</v>
      </c>
    </row>
    <row r="2854" spans="1:34" x14ac:dyDescent="0.3">
      <c r="A2854" s="89" t="str">
        <f>CONCATENATE(D2854,".",F2854,"-",G2854,".",H2854,"")</f>
        <v>2.4-6.1</v>
      </c>
      <c r="B2854" s="89" t="str">
        <f>IF(CONCATENATE(I2854,Key!F$2)=CONCATENATE(INDEX(Dashboard!J:J,MATCH(I2854,Dashboard!J:J,0),1),INDEX(Dashboard!J:K,MATCH(I2854,Dashboard!J:J,0),2)),"ON",IF(Dashboard!K$32="ALL","ON","-"))</f>
        <v>-</v>
      </c>
      <c r="C2854" s="88" t="s">
        <v>152</v>
      </c>
      <c r="D2854" s="89">
        <f>IF(C2854="ID",1,(IF(C2854="PR",2,(IF(C2854="DE",3,(IF(C2854="RS",4,(IF(C2854="RC",5,0)))))))))</f>
        <v>2</v>
      </c>
      <c r="E2854" s="89" t="s">
        <v>228</v>
      </c>
      <c r="F2854" s="89">
        <f>IF(E2854="AM",1,(IF(E2854="BE",2,(IF(E2854="GV",3,(IF(E2854="RA",4,(IF(E2854="RM",5,(IF(E2854="AC",1,(IF(E2854="AT",2,(IF(E2854="DS",3,(IF(E2854="IP",4,(IF(E2854="MA",5,(IF(E2854="PT",6,(IF(E2854="AE",1,(IF(E2854="CM",2,(IF(E2854="DP",3,(IF(E2854="AN",1,(IF(E2854="CO",2,(IF(E2854="IM",3,(IF(E2854="MI",4,(IF(E2854="RP",5,(IF(E2854="SC",6,0)))))))))))))))))))))))))))))))))))))))</f>
        <v>4</v>
      </c>
      <c r="G2854" s="52">
        <v>6</v>
      </c>
      <c r="H2854" s="90" t="s">
        <v>115</v>
      </c>
      <c r="I2854" s="94" t="s">
        <v>60</v>
      </c>
      <c r="J2854" s="87" t="s">
        <v>3213</v>
      </c>
      <c r="K2854" s="51" t="s">
        <v>5326</v>
      </c>
      <c r="L2854" s="117">
        <f>IF(O2854="","",N2854*O2854*M2854)</f>
        <v>0</v>
      </c>
      <c r="M2854" s="108">
        <v>1</v>
      </c>
      <c r="N2854" s="95">
        <v>1</v>
      </c>
      <c r="O2854" s="109">
        <f>IF(Key!D$1="ON",P2854,IF(SUM(Q2854:DL2854)&lt;1,"",SUM(Q2854:DL2854)/COUNTIF(Q2854:DL2854,"&gt;0")))</f>
        <v>0</v>
      </c>
      <c r="P2854" s="109">
        <f>SUMIFS(Q2854:DK2854,Q$1:DK$1,Dashboard!$K$31)</f>
        <v>0</v>
      </c>
      <c r="U2854" s="95">
        <v>33</v>
      </c>
      <c r="AA2854" s="95">
        <v>25</v>
      </c>
      <c r="AH2854" s="95">
        <v>75</v>
      </c>
    </row>
    <row r="2855" spans="1:34" x14ac:dyDescent="0.3">
      <c r="A2855" s="89" t="str">
        <f>CONCATENATE(D2855,".",F2855,"-",G2855,".",H2855,"")</f>
        <v>2.4-6.1</v>
      </c>
      <c r="B2855" s="89" t="str">
        <f>IF(CONCATENATE(I2855,Key!F$2)=CONCATENATE(INDEX(Dashboard!J:J,MATCH(I2855,Dashboard!J:J,0),1),INDEX(Dashboard!J:K,MATCH(I2855,Dashboard!J:J,0),2)),"ON",IF(Dashboard!K$32="ALL","ON","-"))</f>
        <v>-</v>
      </c>
      <c r="C2855" s="88" t="s">
        <v>152</v>
      </c>
      <c r="D2855" s="89">
        <f>IF(C2855="ID",1,(IF(C2855="PR",2,(IF(C2855="DE",3,(IF(C2855="RS",4,(IF(C2855="RC",5,0)))))))))</f>
        <v>2</v>
      </c>
      <c r="E2855" s="89" t="s">
        <v>228</v>
      </c>
      <c r="F2855" s="89">
        <f>IF(E2855="AM",1,(IF(E2855="BE",2,(IF(E2855="GV",3,(IF(E2855="RA",4,(IF(E2855="RM",5,(IF(E2855="AC",1,(IF(E2855="AT",2,(IF(E2855="DS",3,(IF(E2855="IP",4,(IF(E2855="MA",5,(IF(E2855="PT",6,(IF(E2855="AE",1,(IF(E2855="CM",2,(IF(E2855="DP",3,(IF(E2855="AN",1,(IF(E2855="CO",2,(IF(E2855="IM",3,(IF(E2855="MI",4,(IF(E2855="RP",5,(IF(E2855="SC",6,0)))))))))))))))))))))))))))))))))))))))</f>
        <v>4</v>
      </c>
      <c r="G2855" s="52">
        <v>6</v>
      </c>
      <c r="H2855" s="90" t="s">
        <v>115</v>
      </c>
      <c r="I2855" s="94" t="s">
        <v>60</v>
      </c>
      <c r="J2855" s="87" t="s">
        <v>3214</v>
      </c>
      <c r="K2855" s="51" t="s">
        <v>5327</v>
      </c>
      <c r="L2855" s="117">
        <f>IF(O2855="","",N2855*O2855*M2855)</f>
        <v>0</v>
      </c>
      <c r="M2855" s="108">
        <v>1</v>
      </c>
      <c r="N2855" s="95">
        <v>1</v>
      </c>
      <c r="O2855" s="109">
        <f>IF(Key!D$1="ON",P2855,IF(SUM(Q2855:DL2855)&lt;1,"",SUM(Q2855:DL2855)/COUNTIF(Q2855:DL2855,"&gt;0")))</f>
        <v>0</v>
      </c>
      <c r="P2855" s="109">
        <f>SUMIFS(Q2855:DK2855,Q$1:DK$1,Dashboard!$K$31)</f>
        <v>0</v>
      </c>
      <c r="U2855" s="95">
        <v>33</v>
      </c>
      <c r="AA2855" s="95">
        <v>25</v>
      </c>
      <c r="AH2855" s="95">
        <v>75</v>
      </c>
    </row>
    <row r="2856" spans="1:34" x14ac:dyDescent="0.3">
      <c r="A2856" s="89" t="str">
        <f>CONCATENATE(D2856,".",F2856,"-",G2856,".",H2856,"")</f>
        <v>2.4-6.1</v>
      </c>
      <c r="B2856" s="89" t="str">
        <f>IF(CONCATENATE(I2856,Key!F$2)=CONCATENATE(INDEX(Dashboard!J:J,MATCH(I2856,Dashboard!J:J,0),1),INDEX(Dashboard!J:K,MATCH(I2856,Dashboard!J:J,0),2)),"ON",IF(Dashboard!K$32="ALL","ON","-"))</f>
        <v>-</v>
      </c>
      <c r="C2856" s="88" t="s">
        <v>152</v>
      </c>
      <c r="D2856" s="89">
        <f>IF(C2856="ID",1,(IF(C2856="PR",2,(IF(C2856="DE",3,(IF(C2856="RS",4,(IF(C2856="RC",5,0)))))))))</f>
        <v>2</v>
      </c>
      <c r="E2856" s="89" t="s">
        <v>228</v>
      </c>
      <c r="F2856" s="89">
        <f>IF(E2856="AM",1,(IF(E2856="BE",2,(IF(E2856="GV",3,(IF(E2856="RA",4,(IF(E2856="RM",5,(IF(E2856="AC",1,(IF(E2856="AT",2,(IF(E2856="DS",3,(IF(E2856="IP",4,(IF(E2856="MA",5,(IF(E2856="PT",6,(IF(E2856="AE",1,(IF(E2856="CM",2,(IF(E2856="DP",3,(IF(E2856="AN",1,(IF(E2856="CO",2,(IF(E2856="IM",3,(IF(E2856="MI",4,(IF(E2856="RP",5,(IF(E2856="SC",6,0)))))))))))))))))))))))))))))))))))))))</f>
        <v>4</v>
      </c>
      <c r="G2856" s="52">
        <v>6</v>
      </c>
      <c r="H2856" s="90" t="s">
        <v>115</v>
      </c>
      <c r="I2856" s="94" t="s">
        <v>73</v>
      </c>
      <c r="J2856" s="86" t="s">
        <v>4187</v>
      </c>
      <c r="K2856" s="101" t="s">
        <v>5196</v>
      </c>
      <c r="L2856" s="117">
        <f>IF(O2856="","",N2856*O2856*M2856)</f>
        <v>0</v>
      </c>
      <c r="M2856" s="108">
        <v>1</v>
      </c>
      <c r="N2856" s="95">
        <v>1</v>
      </c>
      <c r="O2856" s="109">
        <f>IF(Key!D$1="ON",P2856,IF(SUM(Q2856:DL2856)&lt;1,"",SUM(Q2856:DL2856)/COUNTIF(Q2856:DL2856,"&gt;0")))</f>
        <v>0</v>
      </c>
      <c r="P2856" s="109">
        <f>SUMIFS(Q2856:DK2856,Q$1:DK$1,Dashboard!$K$31)</f>
        <v>0</v>
      </c>
      <c r="U2856" s="95">
        <v>33</v>
      </c>
      <c r="AA2856" s="95">
        <v>25</v>
      </c>
      <c r="AH2856" s="95">
        <v>75</v>
      </c>
    </row>
    <row r="2857" spans="1:34" ht="15.6" x14ac:dyDescent="0.3">
      <c r="A2857" s="89" t="str">
        <f>CONCATENATE(D2857,".",F2857,"-",G2857,".",H2857,"")</f>
        <v>2.4-6.1</v>
      </c>
      <c r="B2857" s="89" t="str">
        <f>IF(CONCATENATE(I2857,Key!F$2)=CONCATENATE(INDEX(Dashboard!J:J,MATCH(I2857,Dashboard!J:J,0),1),INDEX(Dashboard!J:K,MATCH(I2857,Dashboard!J:J,0),2)),"ON",IF(Dashboard!K$32="ALL","ON","-"))</f>
        <v>-</v>
      </c>
      <c r="C2857" s="88" t="s">
        <v>152</v>
      </c>
      <c r="D2857" s="89">
        <f>IF(C2857="ID",1,(IF(C2857="PR",2,(IF(C2857="DE",3,(IF(C2857="RS",4,(IF(C2857="RC",5,0)))))))))</f>
        <v>2</v>
      </c>
      <c r="E2857" s="89" t="s">
        <v>228</v>
      </c>
      <c r="F2857" s="89">
        <f>IF(E2857="AM",1,(IF(E2857="BE",2,(IF(E2857="GV",3,(IF(E2857="RA",4,(IF(E2857="RM",5,(IF(E2857="AC",1,(IF(E2857="AT",2,(IF(E2857="DS",3,(IF(E2857="IP",4,(IF(E2857="MA",5,(IF(E2857="PT",6,(IF(E2857="AE",1,(IF(E2857="CM",2,(IF(E2857="DP",3,(IF(E2857="AN",1,(IF(E2857="CO",2,(IF(E2857="IM",3,(IF(E2857="MI",4,(IF(E2857="RP",5,(IF(E2857="SC",6,0)))))))))))))))))))))))))))))))))))))))</f>
        <v>4</v>
      </c>
      <c r="G2857" s="52">
        <v>6</v>
      </c>
      <c r="H2857" s="90" t="s">
        <v>115</v>
      </c>
      <c r="I2857" s="94" t="s">
        <v>77</v>
      </c>
      <c r="J2857" s="87" t="s">
        <v>1644</v>
      </c>
      <c r="K2857" s="102" t="s">
        <v>2588</v>
      </c>
      <c r="L2857" s="117">
        <f>IF(O2857="","",N2857*O2857*M2857)</f>
        <v>0</v>
      </c>
      <c r="M2857" s="108">
        <v>1</v>
      </c>
      <c r="N2857" s="95">
        <v>1</v>
      </c>
      <c r="O2857" s="109">
        <f>IF(Key!D$1="ON",P2857,IF(SUM(Q2857:DL2857)&lt;1,"",SUM(Q2857:DL2857)/COUNTIF(Q2857:DL2857,"&gt;0")))</f>
        <v>0</v>
      </c>
      <c r="P2857" s="109">
        <f>SUMIFS(Q2857:DK2857,Q$1:DK$1,Dashboard!$K$31)</f>
        <v>0</v>
      </c>
      <c r="U2857" s="95">
        <v>33</v>
      </c>
      <c r="AA2857" s="95">
        <v>25</v>
      </c>
      <c r="AH2857" s="95">
        <v>75</v>
      </c>
    </row>
    <row r="2858" spans="1:34" x14ac:dyDescent="0.3">
      <c r="A2858" s="89" t="str">
        <f>CONCATENATE(D2858,".",F2858,"-",G2858,".",H2858,"")</f>
        <v>2.4-6.1</v>
      </c>
      <c r="B2858" s="89" t="str">
        <f>IF(CONCATENATE(I2858,Key!F$2)=CONCATENATE(INDEX(Dashboard!J:J,MATCH(I2858,Dashboard!J:J,0),1),INDEX(Dashboard!J:K,MATCH(I2858,Dashboard!J:J,0),2)),"ON",IF(Dashboard!K$32="ALL","ON","-"))</f>
        <v>-</v>
      </c>
      <c r="C2858" s="88" t="s">
        <v>152</v>
      </c>
      <c r="D2858" s="89">
        <f>IF(C2858="ID",1,(IF(C2858="PR",2,(IF(C2858="DE",3,(IF(C2858="RS",4,(IF(C2858="RC",5,0)))))))))</f>
        <v>2</v>
      </c>
      <c r="E2858" s="89" t="s">
        <v>228</v>
      </c>
      <c r="F2858" s="89">
        <f>IF(E2858="AM",1,(IF(E2858="BE",2,(IF(E2858="GV",3,(IF(E2858="RA",4,(IF(E2858="RM",5,(IF(E2858="AC",1,(IF(E2858="AT",2,(IF(E2858="DS",3,(IF(E2858="IP",4,(IF(E2858="MA",5,(IF(E2858="PT",6,(IF(E2858="AE",1,(IF(E2858="CM",2,(IF(E2858="DP",3,(IF(E2858="AN",1,(IF(E2858="CO",2,(IF(E2858="IM",3,(IF(E2858="MI",4,(IF(E2858="RP",5,(IF(E2858="SC",6,0)))))))))))))))))))))))))))))))))))))))</f>
        <v>4</v>
      </c>
      <c r="G2858" s="98">
        <v>6</v>
      </c>
      <c r="H2858" s="90" t="s">
        <v>115</v>
      </c>
      <c r="I2858" s="94" t="s">
        <v>77</v>
      </c>
      <c r="J2858" s="87" t="s">
        <v>1646</v>
      </c>
      <c r="K2858" s="102" t="s">
        <v>2589</v>
      </c>
      <c r="L2858" s="117">
        <f>IF(O2858="","",N2858*O2858*M2858)</f>
        <v>0</v>
      </c>
      <c r="M2858" s="108">
        <v>1</v>
      </c>
      <c r="N2858" s="95">
        <v>1</v>
      </c>
      <c r="O2858" s="109">
        <f>IF(Key!D$1="ON",P2858,IF(SUM(Q2858:DL2858)&lt;1,"",SUM(Q2858:DL2858)/COUNTIF(Q2858:DL2858,"&gt;0")))</f>
        <v>0</v>
      </c>
      <c r="P2858" s="109">
        <f>SUMIFS(Q2858:DK2858,Q$1:DK$1,Dashboard!$K$31)</f>
        <v>0</v>
      </c>
      <c r="U2858" s="95">
        <v>33</v>
      </c>
      <c r="AA2858" s="95">
        <v>25</v>
      </c>
      <c r="AH2858" s="95">
        <v>75</v>
      </c>
    </row>
    <row r="2859" spans="1:34" x14ac:dyDescent="0.3">
      <c r="A2859" s="89" t="str">
        <f>CONCATENATE(D2859,".",F2859,"-",G2859,".",H2859,"")</f>
        <v>2.4-6.1</v>
      </c>
      <c r="B2859" s="89" t="str">
        <f>IF(CONCATENATE(I2859,Key!F$2)=CONCATENATE(INDEX(Dashboard!J:J,MATCH(I2859,Dashboard!J:J,0),1),INDEX(Dashboard!J:K,MATCH(I2859,Dashboard!J:J,0),2)),"ON",IF(Dashboard!K$32="ALL","ON","-"))</f>
        <v>-</v>
      </c>
      <c r="C2859" s="88" t="s">
        <v>152</v>
      </c>
      <c r="D2859" s="89">
        <f>IF(C2859="ID",1,(IF(C2859="PR",2,(IF(C2859="DE",3,(IF(C2859="RS",4,(IF(C2859="RC",5,0)))))))))</f>
        <v>2</v>
      </c>
      <c r="E2859" s="89" t="s">
        <v>228</v>
      </c>
      <c r="F2859" s="89">
        <f>IF(E2859="AM",1,(IF(E2859="BE",2,(IF(E2859="GV",3,(IF(E2859="RA",4,(IF(E2859="RM",5,(IF(E2859="AC",1,(IF(E2859="AT",2,(IF(E2859="DS",3,(IF(E2859="IP",4,(IF(E2859="MA",5,(IF(E2859="PT",6,(IF(E2859="AE",1,(IF(E2859="CM",2,(IF(E2859="DP",3,(IF(E2859="AN",1,(IF(E2859="CO",2,(IF(E2859="IM",3,(IF(E2859="MI",4,(IF(E2859="RP",5,(IF(E2859="SC",6,0)))))))))))))))))))))))))))))))))))))))</f>
        <v>4</v>
      </c>
      <c r="G2859" s="52">
        <v>6</v>
      </c>
      <c r="H2859" s="90" t="s">
        <v>115</v>
      </c>
      <c r="I2859" s="94" t="s">
        <v>85</v>
      </c>
      <c r="J2859" s="87" t="s">
        <v>1644</v>
      </c>
      <c r="K2859" s="119" t="s">
        <v>1645</v>
      </c>
      <c r="L2859" s="117">
        <f>IF(O2859="","",N2859*O2859*M2859)</f>
        <v>0</v>
      </c>
      <c r="M2859" s="108">
        <v>1</v>
      </c>
      <c r="N2859" s="95">
        <v>1</v>
      </c>
      <c r="O2859" s="109">
        <f>IF(Key!D$1="ON",P2859,IF(SUM(Q2859:DL2859)&lt;1,"",SUM(Q2859:DL2859)/COUNTIF(Q2859:DL2859,"&gt;0")))</f>
        <v>0</v>
      </c>
      <c r="P2859" s="109">
        <f>SUMIFS(Q2859:DK2859,Q$1:DK$1,Dashboard!$K$31)</f>
        <v>0</v>
      </c>
      <c r="U2859" s="95">
        <v>33</v>
      </c>
      <c r="AA2859" s="95">
        <v>25</v>
      </c>
      <c r="AH2859" s="95">
        <v>75</v>
      </c>
    </row>
    <row r="2860" spans="1:34" x14ac:dyDescent="0.3">
      <c r="A2860" s="89" t="str">
        <f>CONCATENATE(D2860,".",F2860,"-",G2860,".",H2860,"")</f>
        <v>2.4-6.1</v>
      </c>
      <c r="B2860" s="89" t="str">
        <f>IF(CONCATENATE(I2860,Key!F$2)=CONCATENATE(INDEX(Dashboard!J:J,MATCH(I2860,Dashboard!J:J,0),1),INDEX(Dashboard!J:K,MATCH(I2860,Dashboard!J:J,0),2)),"ON",IF(Dashboard!K$32="ALL","ON","-"))</f>
        <v>-</v>
      </c>
      <c r="C2860" s="88" t="s">
        <v>152</v>
      </c>
      <c r="D2860" s="89">
        <f>IF(C2860="ID",1,(IF(C2860="PR",2,(IF(C2860="DE",3,(IF(C2860="RS",4,(IF(C2860="RC",5,0)))))))))</f>
        <v>2</v>
      </c>
      <c r="E2860" s="89" t="s">
        <v>228</v>
      </c>
      <c r="F2860" s="89">
        <f>IF(E2860="AM",1,(IF(E2860="BE",2,(IF(E2860="GV",3,(IF(E2860="RA",4,(IF(E2860="RM",5,(IF(E2860="AC",1,(IF(E2860="AT",2,(IF(E2860="DS",3,(IF(E2860="IP",4,(IF(E2860="MA",5,(IF(E2860="PT",6,(IF(E2860="AE",1,(IF(E2860="CM",2,(IF(E2860="DP",3,(IF(E2860="AN",1,(IF(E2860="CO",2,(IF(E2860="IM",3,(IF(E2860="MI",4,(IF(E2860="RP",5,(IF(E2860="SC",6,0)))))))))))))))))))))))))))))))))))))))</f>
        <v>4</v>
      </c>
      <c r="G2860" s="52">
        <v>6</v>
      </c>
      <c r="H2860" s="90" t="s">
        <v>115</v>
      </c>
      <c r="I2860" s="94" t="s">
        <v>85</v>
      </c>
      <c r="J2860" s="86" t="s">
        <v>640</v>
      </c>
      <c r="K2860" s="119" t="s">
        <v>4534</v>
      </c>
      <c r="L2860" s="117">
        <f>IF(O2860="","",N2860*O2860*M2860)</f>
        <v>0</v>
      </c>
      <c r="M2860" s="108">
        <v>1</v>
      </c>
      <c r="N2860" s="95">
        <v>1</v>
      </c>
      <c r="O2860" s="109">
        <f>IF(Key!D$1="ON",P2860,IF(SUM(Q2860:DL2860)&lt;1,"",SUM(Q2860:DL2860)/COUNTIF(Q2860:DL2860,"&gt;0")))</f>
        <v>0</v>
      </c>
      <c r="P2860" s="109">
        <f>SUMIFS(Q2860:DK2860,Q$1:DK$1,Dashboard!$K$31)</f>
        <v>0</v>
      </c>
      <c r="U2860" s="95">
        <v>33</v>
      </c>
      <c r="AA2860" s="95">
        <v>25</v>
      </c>
      <c r="AH2860" s="95">
        <v>75</v>
      </c>
    </row>
    <row r="2861" spans="1:34" x14ac:dyDescent="0.3">
      <c r="A2861" s="89" t="str">
        <f>CONCATENATE(D2861,".",F2861,"-",G2861,".",H2861,"")</f>
        <v>2.4-6.1</v>
      </c>
      <c r="B2861" s="89" t="str">
        <f>IF(CONCATENATE(I2861,Key!F$2)=CONCATENATE(INDEX(Dashboard!J:J,MATCH(I2861,Dashboard!J:J,0),1),INDEX(Dashboard!J:K,MATCH(I2861,Dashboard!J:J,0),2)),"ON",IF(Dashboard!K$32="ALL","ON","-"))</f>
        <v>-</v>
      </c>
      <c r="C2861" s="88" t="s">
        <v>152</v>
      </c>
      <c r="D2861" s="89">
        <f>IF(C2861="ID",1,(IF(C2861="PR",2,(IF(C2861="DE",3,(IF(C2861="RS",4,(IF(C2861="RC",5,0)))))))))</f>
        <v>2</v>
      </c>
      <c r="E2861" s="89" t="s">
        <v>228</v>
      </c>
      <c r="F2861" s="89">
        <f>IF(E2861="AM",1,(IF(E2861="BE",2,(IF(E2861="GV",3,(IF(E2861="RA",4,(IF(E2861="RM",5,(IF(E2861="AC",1,(IF(E2861="AT",2,(IF(E2861="DS",3,(IF(E2861="IP",4,(IF(E2861="MA",5,(IF(E2861="PT",6,(IF(E2861="AE",1,(IF(E2861="CM",2,(IF(E2861="DP",3,(IF(E2861="AN",1,(IF(E2861="CO",2,(IF(E2861="IM",3,(IF(E2861="MI",4,(IF(E2861="RP",5,(IF(E2861="SC",6,0)))))))))))))))))))))))))))))))))))))))</f>
        <v>4</v>
      </c>
      <c r="G2861" s="52">
        <v>6</v>
      </c>
      <c r="H2861" s="90" t="s">
        <v>115</v>
      </c>
      <c r="I2861" s="94" t="s">
        <v>89</v>
      </c>
      <c r="J2861" s="88">
        <v>500.13</v>
      </c>
      <c r="K2861" s="102" t="s">
        <v>565</v>
      </c>
      <c r="L2861" s="117">
        <f>IF(O2861="","",N2861*O2861*M2861)</f>
        <v>0</v>
      </c>
      <c r="M2861" s="108">
        <v>1</v>
      </c>
      <c r="N2861" s="95">
        <v>1</v>
      </c>
      <c r="O2861" s="109">
        <f>IF(Key!D$1="ON",P2861,IF(SUM(Q2861:DL2861)&lt;1,"",SUM(Q2861:DL2861)/COUNTIF(Q2861:DL2861,"&gt;0")))</f>
        <v>0</v>
      </c>
      <c r="P2861" s="109">
        <f>SUMIFS(Q2861:DK2861,Q$1:DK$1,Dashboard!$K$31)</f>
        <v>0</v>
      </c>
      <c r="U2861" s="95">
        <v>33</v>
      </c>
      <c r="AA2861" s="95">
        <v>25</v>
      </c>
      <c r="AH2861" s="95">
        <v>75</v>
      </c>
    </row>
    <row r="2862" spans="1:34" x14ac:dyDescent="0.3">
      <c r="A2862" s="89" t="str">
        <f>CONCATENATE(D2862,".",F2862,"-",G2862,".",H2862,"")</f>
        <v>2.4-7.0</v>
      </c>
      <c r="B2862" s="89" t="str">
        <f>IF(CONCATENATE(I2862,Key!F$2)=CONCATENATE(INDEX(Dashboard!J:J,MATCH(I2862,Dashboard!J:J,0),1),INDEX(Dashboard!J:K,MATCH(I2862,Dashboard!J:J,0),2)),"ON",IF(Dashboard!K$32="ALL","ON","-"))</f>
        <v>-</v>
      </c>
      <c r="C2862" s="88" t="s">
        <v>152</v>
      </c>
      <c r="D2862" s="89">
        <f>IF(C2862="ID",1,(IF(C2862="PR",2,(IF(C2862="DE",3,(IF(C2862="RS",4,(IF(C2862="RC",5,0)))))))))</f>
        <v>2</v>
      </c>
      <c r="E2862" s="89" t="s">
        <v>228</v>
      </c>
      <c r="F2862" s="89">
        <f>IF(E2862="AM",1,(IF(E2862="BE",2,(IF(E2862="GV",3,(IF(E2862="RA",4,(IF(E2862="RM",5,(IF(E2862="AC",1,(IF(E2862="AT",2,(IF(E2862="DS",3,(IF(E2862="IP",4,(IF(E2862="MA",5,(IF(E2862="PT",6,(IF(E2862="AE",1,(IF(E2862="CM",2,(IF(E2862="DP",3,(IF(E2862="AN",1,(IF(E2862="CO",2,(IF(E2862="IM",3,(IF(E2862="MI",4,(IF(E2862="RP",5,(IF(E2862="SC",6,0)))))))))))))))))))))))))))))))))))))))</f>
        <v>4</v>
      </c>
      <c r="G2862" s="52">
        <v>7</v>
      </c>
      <c r="H2862" s="90" t="s">
        <v>347</v>
      </c>
      <c r="I2862" s="94" t="s">
        <v>2835</v>
      </c>
      <c r="J2862" s="53" t="s">
        <v>2980</v>
      </c>
      <c r="K2862" s="150" t="s">
        <v>2981</v>
      </c>
      <c r="L2862" s="117">
        <f>IF(O2862="","",N2862*O2862*M2862)</f>
        <v>0</v>
      </c>
      <c r="M2862" s="108">
        <v>1</v>
      </c>
      <c r="N2862" s="95">
        <v>1</v>
      </c>
      <c r="O2862" s="109">
        <f>IF(Key!D$1="ON",P2862,IF(SUM(Q2862:DL2862)&lt;1,"",SUM(Q2862:DL2862)/COUNTIF(Q2862:DL2862,"&gt;0")))</f>
        <v>0</v>
      </c>
      <c r="P2862" s="109">
        <f>SUMIFS(Q2862:DK2862,Q$1:DK$1,Dashboard!$K$31)</f>
        <v>0</v>
      </c>
      <c r="U2862" s="95">
        <v>33</v>
      </c>
    </row>
    <row r="2863" spans="1:34" x14ac:dyDescent="0.3">
      <c r="A2863" s="89" t="str">
        <f>CONCATENATE(D2863,".",F2863,"-",G2863,".",H2863,"")</f>
        <v>2.4-7.1</v>
      </c>
      <c r="B2863" s="89" t="str">
        <f>IF(CONCATENATE(I2863,Key!F$2)=CONCATENATE(INDEX(Dashboard!J:J,MATCH(I2863,Dashboard!J:J,0),1),INDEX(Dashboard!J:K,MATCH(I2863,Dashboard!J:J,0),2)),"ON",IF(Dashboard!K$32="ALL","ON","-"))</f>
        <v>ON</v>
      </c>
      <c r="C2863" s="130" t="s">
        <v>152</v>
      </c>
      <c r="D2863" s="89">
        <f>IF(C2863="ID",1,(IF(C2863="PR",2,(IF(C2863="DE",3,(IF(C2863="RS",4,(IF(C2863="RC",5,0)))))))))</f>
        <v>2</v>
      </c>
      <c r="E2863" s="95" t="s">
        <v>228</v>
      </c>
      <c r="F2863" s="89">
        <f>IF(E2863="AM",1,(IF(E2863="BE",2,(IF(E2863="GV",3,(IF(E2863="RA",4,(IF(E2863="RM",5,(IF(E2863="AC",1,(IF(E2863="AT",2,(IF(E2863="DS",3,(IF(E2863="IP",4,(IF(E2863="MA",5,(IF(E2863="PT",6,(IF(E2863="AE",1,(IF(E2863="CM",2,(IF(E2863="DP",3,(IF(E2863="AN",1,(IF(E2863="CO",2,(IF(E2863="IM",3,(IF(E2863="MI",4,(IF(E2863="RP",5,(IF(E2863="SC",6,0)))))))))))))))))))))))))))))))))))))))</f>
        <v>4</v>
      </c>
      <c r="G2863" s="52">
        <v>7</v>
      </c>
      <c r="H2863" s="90" t="s">
        <v>115</v>
      </c>
      <c r="I2863" s="94" t="s">
        <v>4107</v>
      </c>
      <c r="J2863" s="86" t="s">
        <v>4056</v>
      </c>
      <c r="K2863" s="101" t="s">
        <v>4465</v>
      </c>
      <c r="L2863" s="117">
        <f>IF(O2863="","",N2863*O2863*M2863)</f>
        <v>0</v>
      </c>
      <c r="M2863" s="108">
        <v>1</v>
      </c>
      <c r="N2863" s="95">
        <v>1</v>
      </c>
      <c r="O2863" s="109">
        <f>IF(Key!D$1="ON",P2863,IF(SUM(Q2863:DL2863)&lt;1,"",SUM(Q2863:DL2863)/COUNTIF(Q2863:DL2863,"&gt;0")))</f>
        <v>0</v>
      </c>
      <c r="P2863" s="109">
        <f>SUMIFS(Q2863:DK2863,Q$1:DK$1,Dashboard!$K$31)</f>
        <v>0</v>
      </c>
      <c r="U2863" s="95">
        <v>33</v>
      </c>
      <c r="AA2863" s="95">
        <v>25</v>
      </c>
      <c r="AH2863" s="95">
        <v>75</v>
      </c>
    </row>
    <row r="2864" spans="1:34" x14ac:dyDescent="0.3">
      <c r="A2864" s="89" t="str">
        <f>CONCATENATE(D2864,".",F2864,"-",G2864,".",H2864,"")</f>
        <v>2.4-7.1</v>
      </c>
      <c r="B2864" s="89" t="str">
        <f>IF(CONCATENATE(I2864,Key!F$2)=CONCATENATE(INDEX(Dashboard!J:J,MATCH(I2864,Dashboard!J:J,0),1),INDEX(Dashboard!J:K,MATCH(I2864,Dashboard!J:J,0),2)),"ON",IF(Dashboard!K$32="ALL","ON","-"))</f>
        <v>ON</v>
      </c>
      <c r="C2864" s="88" t="s">
        <v>152</v>
      </c>
      <c r="D2864" s="89">
        <f>IF(C2864="ID",1,(IF(C2864="PR",2,(IF(C2864="DE",3,(IF(C2864="RS",4,(IF(C2864="RC",5,0)))))))))</f>
        <v>2</v>
      </c>
      <c r="E2864" s="89" t="s">
        <v>228</v>
      </c>
      <c r="F2864" s="89">
        <f>IF(E2864="AM",1,(IF(E2864="BE",2,(IF(E2864="GV",3,(IF(E2864="RA",4,(IF(E2864="RM",5,(IF(E2864="AC",1,(IF(E2864="AT",2,(IF(E2864="DS",3,(IF(E2864="IP",4,(IF(E2864="MA",5,(IF(E2864="PT",6,(IF(E2864="AE",1,(IF(E2864="CM",2,(IF(E2864="DP",3,(IF(E2864="AN",1,(IF(E2864="CO",2,(IF(E2864="IM",3,(IF(E2864="MI",4,(IF(E2864="RP",5,(IF(E2864="SC",6,0)))))))))))))))))))))))))))))))))))))))</f>
        <v>4</v>
      </c>
      <c r="G2864" s="52">
        <v>7</v>
      </c>
      <c r="H2864" s="90" t="s">
        <v>115</v>
      </c>
      <c r="I2864" s="94" t="s">
        <v>4107</v>
      </c>
      <c r="J2864" s="86" t="s">
        <v>4058</v>
      </c>
      <c r="K2864" s="101" t="s">
        <v>4401</v>
      </c>
      <c r="L2864" s="117">
        <f>IF(O2864="","",N2864*O2864*M2864)</f>
        <v>0</v>
      </c>
      <c r="M2864" s="108">
        <v>1</v>
      </c>
      <c r="N2864" s="95">
        <v>1</v>
      </c>
      <c r="O2864" s="109">
        <f>IF(Key!D$1="ON",P2864,IF(SUM(Q2864:DL2864)&lt;1,"",SUM(Q2864:DL2864)/COUNTIF(Q2864:DL2864,"&gt;0")))</f>
        <v>0</v>
      </c>
      <c r="P2864" s="109">
        <f>SUMIFS(Q2864:DK2864,Q$1:DK$1,Dashboard!$K$31)</f>
        <v>0</v>
      </c>
      <c r="U2864" s="95">
        <v>33</v>
      </c>
      <c r="AA2864" s="95">
        <v>25</v>
      </c>
      <c r="AH2864" s="95">
        <v>75</v>
      </c>
    </row>
    <row r="2865" spans="1:34" x14ac:dyDescent="0.3">
      <c r="A2865" s="89" t="str">
        <f>CONCATENATE(D2865,".",F2865,"-",G2865,".",H2865,"")</f>
        <v>2.4-7.1</v>
      </c>
      <c r="B2865" s="89" t="str">
        <f>IF(CONCATENATE(I2865,Key!F$2)=CONCATENATE(INDEX(Dashboard!J:J,MATCH(I2865,Dashboard!J:J,0),1),INDEX(Dashboard!J:K,MATCH(I2865,Dashboard!J:J,0),2)),"ON",IF(Dashboard!K$32="ALL","ON","-"))</f>
        <v>ON</v>
      </c>
      <c r="C2865" s="130" t="s">
        <v>152</v>
      </c>
      <c r="D2865" s="89">
        <f>IF(C2865="ID",1,(IF(C2865="PR",2,(IF(C2865="DE",3,(IF(C2865="RS",4,(IF(C2865="RC",5,0)))))))))</f>
        <v>2</v>
      </c>
      <c r="E2865" s="95" t="s">
        <v>228</v>
      </c>
      <c r="F2865" s="89">
        <f>IF(E2865="AM",1,(IF(E2865="BE",2,(IF(E2865="GV",3,(IF(E2865="RA",4,(IF(E2865="RM",5,(IF(E2865="AC",1,(IF(E2865="AT",2,(IF(E2865="DS",3,(IF(E2865="IP",4,(IF(E2865="MA",5,(IF(E2865="PT",6,(IF(E2865="AE",1,(IF(E2865="CM",2,(IF(E2865="DP",3,(IF(E2865="AN",1,(IF(E2865="CO",2,(IF(E2865="IM",3,(IF(E2865="MI",4,(IF(E2865="RP",5,(IF(E2865="SC",6,0)))))))))))))))))))))))))))))))))))))))</f>
        <v>4</v>
      </c>
      <c r="G2865" s="52">
        <v>7</v>
      </c>
      <c r="H2865" s="90" t="s">
        <v>115</v>
      </c>
      <c r="I2865" s="94" t="s">
        <v>4107</v>
      </c>
      <c r="J2865" s="86" t="s">
        <v>4059</v>
      </c>
      <c r="K2865" s="101" t="s">
        <v>4402</v>
      </c>
      <c r="L2865" s="117">
        <f>IF(O2865="","",N2865*O2865*M2865)</f>
        <v>0</v>
      </c>
      <c r="M2865" s="108">
        <v>1</v>
      </c>
      <c r="N2865" s="95">
        <v>1</v>
      </c>
      <c r="O2865" s="109">
        <f>IF(Key!D$1="ON",P2865,IF(SUM(Q2865:DL2865)&lt;1,"",SUM(Q2865:DL2865)/COUNTIF(Q2865:DL2865,"&gt;0")))</f>
        <v>0</v>
      </c>
      <c r="P2865" s="109">
        <f>SUMIFS(Q2865:DK2865,Q$1:DK$1,Dashboard!$K$31)</f>
        <v>0</v>
      </c>
      <c r="U2865" s="95">
        <v>33</v>
      </c>
      <c r="AA2865" s="95">
        <v>25</v>
      </c>
      <c r="AH2865" s="95">
        <v>75</v>
      </c>
    </row>
    <row r="2866" spans="1:34" x14ac:dyDescent="0.3">
      <c r="A2866" s="89" t="str">
        <f>CONCATENATE(D2866,".",F2866,"-",G2866,".",H2866,"")</f>
        <v>2.4-7.1</v>
      </c>
      <c r="B2866" s="89" t="str">
        <f>IF(CONCATENATE(I2866,Key!F$2)=CONCATENATE(INDEX(Dashboard!J:J,MATCH(I2866,Dashboard!J:J,0),1),INDEX(Dashboard!J:K,MATCH(I2866,Dashboard!J:J,0),2)),"ON",IF(Dashboard!K$32="ALL","ON","-"))</f>
        <v>-</v>
      </c>
      <c r="C2866" s="88" t="s">
        <v>152</v>
      </c>
      <c r="D2866" s="89">
        <f>IF(C2866="ID",1,(IF(C2866="PR",2,(IF(C2866="DE",3,(IF(C2866="RS",4,(IF(C2866="RC",5,0)))))))))</f>
        <v>2</v>
      </c>
      <c r="E2866" s="89" t="s">
        <v>228</v>
      </c>
      <c r="F2866" s="89">
        <f>IF(E2866="AM",1,(IF(E2866="BE",2,(IF(E2866="GV",3,(IF(E2866="RA",4,(IF(E2866="RM",5,(IF(E2866="AC",1,(IF(E2866="AT",2,(IF(E2866="DS",3,(IF(E2866="IP",4,(IF(E2866="MA",5,(IF(E2866="PT",6,(IF(E2866="AE",1,(IF(E2866="CM",2,(IF(E2866="DP",3,(IF(E2866="AN",1,(IF(E2866="CO",2,(IF(E2866="IM",3,(IF(E2866="MI",4,(IF(E2866="RP",5,(IF(E2866="SC",6,0)))))))))))))))))))))))))))))))))))))))</f>
        <v>4</v>
      </c>
      <c r="G2866" s="52">
        <v>7</v>
      </c>
      <c r="H2866" s="99">
        <v>1</v>
      </c>
      <c r="I2866" s="94" t="s">
        <v>37</v>
      </c>
      <c r="J2866" s="86">
        <v>4</v>
      </c>
      <c r="K2866" s="102" t="s">
        <v>3785</v>
      </c>
      <c r="L2866" s="117">
        <f>IF(O2866="","",N2866*O2866*M2866)</f>
        <v>0</v>
      </c>
      <c r="M2866" s="108">
        <v>1</v>
      </c>
      <c r="N2866" s="95">
        <v>1</v>
      </c>
      <c r="O2866" s="109">
        <f>IF(Key!D$1="ON",P2866,IF(SUM(Q2866:DL2866)&lt;1,"",SUM(Q2866:DL2866)/COUNTIF(Q2866:DL2866,"&gt;0")))</f>
        <v>0</v>
      </c>
      <c r="P2866" s="109">
        <f>SUMIFS(Q2866:DK2866,Q$1:DK$1,Dashboard!$K$31)</f>
        <v>0</v>
      </c>
      <c r="U2866" s="95">
        <v>33</v>
      </c>
      <c r="AA2866" s="95">
        <v>25</v>
      </c>
      <c r="AH2866" s="95">
        <v>75</v>
      </c>
    </row>
    <row r="2867" spans="1:34" x14ac:dyDescent="0.3">
      <c r="A2867" s="89" t="str">
        <f>CONCATENATE(D2867,".",F2867,"-",G2867,".",H2867,"")</f>
        <v>2.4-7.1</v>
      </c>
      <c r="B2867" s="89" t="str">
        <f>IF(CONCATENATE(I2867,Key!F$2)=CONCATENATE(INDEX(Dashboard!J:J,MATCH(I2867,Dashboard!J:J,0),1),INDEX(Dashboard!J:K,MATCH(I2867,Dashboard!J:J,0),2)),"ON",IF(Dashboard!K$32="ALL","ON","-"))</f>
        <v>-</v>
      </c>
      <c r="C2867" s="88" t="s">
        <v>152</v>
      </c>
      <c r="D2867" s="89">
        <f>IF(C2867="ID",1,(IF(C2867="PR",2,(IF(C2867="DE",3,(IF(C2867="RS",4,(IF(C2867="RC",5,0)))))))))</f>
        <v>2</v>
      </c>
      <c r="E2867" s="89" t="s">
        <v>228</v>
      </c>
      <c r="F2867" s="89">
        <f>IF(E2867="AM",1,(IF(E2867="BE",2,(IF(E2867="GV",3,(IF(E2867="RA",4,(IF(E2867="RM",5,(IF(E2867="AC",1,(IF(E2867="AT",2,(IF(E2867="DS",3,(IF(E2867="IP",4,(IF(E2867="MA",5,(IF(E2867="PT",6,(IF(E2867="AE",1,(IF(E2867="CM",2,(IF(E2867="DP",3,(IF(E2867="AN",1,(IF(E2867="CO",2,(IF(E2867="IM",3,(IF(E2867="MI",4,(IF(E2867="RP",5,(IF(E2867="SC",6,0)))))))))))))))))))))))))))))))))))))))</f>
        <v>4</v>
      </c>
      <c r="G2867" s="52">
        <v>7</v>
      </c>
      <c r="H2867" s="99">
        <v>1</v>
      </c>
      <c r="I2867" s="94" t="s">
        <v>37</v>
      </c>
      <c r="J2867" s="86">
        <v>18.100000000000001</v>
      </c>
      <c r="K2867" s="102" t="s">
        <v>3787</v>
      </c>
      <c r="L2867" s="117">
        <f>IF(O2867="","",N2867*O2867*M2867)</f>
        <v>0</v>
      </c>
      <c r="M2867" s="108">
        <v>1</v>
      </c>
      <c r="N2867" s="95">
        <v>1</v>
      </c>
      <c r="O2867" s="109">
        <f>IF(Key!D$1="ON",P2867,IF(SUM(Q2867:DL2867)&lt;1,"",SUM(Q2867:DL2867)/COUNTIF(Q2867:DL2867,"&gt;0")))</f>
        <v>0</v>
      </c>
      <c r="P2867" s="109">
        <f>SUMIFS(Q2867:DK2867,Q$1:DK$1,Dashboard!$K$31)</f>
        <v>0</v>
      </c>
      <c r="U2867" s="95">
        <v>33</v>
      </c>
      <c r="AA2867" s="95">
        <v>25</v>
      </c>
      <c r="AH2867" s="95">
        <v>75</v>
      </c>
    </row>
    <row r="2868" spans="1:34" ht="15.6" x14ac:dyDescent="0.3">
      <c r="A2868" s="89" t="str">
        <f>CONCATENATE(D2868,".",F2868,"-",G2868,".",H2868,"")</f>
        <v>2.4-7.1</v>
      </c>
      <c r="B2868" s="89" t="str">
        <f>IF(CONCATENATE(I2868,Key!F$2)=CONCATENATE(INDEX(Dashboard!J:J,MATCH(I2868,Dashboard!J:J,0),1),INDEX(Dashboard!J:K,MATCH(I2868,Dashboard!J:J,0),2)),"ON",IF(Dashboard!K$32="ALL","ON","-"))</f>
        <v>-</v>
      </c>
      <c r="C2868" s="88" t="s">
        <v>152</v>
      </c>
      <c r="D2868" s="89">
        <f>IF(C2868="ID",1,(IF(C2868="PR",2,(IF(C2868="DE",3,(IF(C2868="RS",4,(IF(C2868="RC",5,0)))))))))</f>
        <v>2</v>
      </c>
      <c r="E2868" s="89" t="s">
        <v>228</v>
      </c>
      <c r="F2868" s="89">
        <f>IF(E2868="AM",1,(IF(E2868="BE",2,(IF(E2868="GV",3,(IF(E2868="RA",4,(IF(E2868="RM",5,(IF(E2868="AC",1,(IF(E2868="AT",2,(IF(E2868="DS",3,(IF(E2868="IP",4,(IF(E2868="MA",5,(IF(E2868="PT",6,(IF(E2868="AE",1,(IF(E2868="CM",2,(IF(E2868="DP",3,(IF(E2868="AN",1,(IF(E2868="CO",2,(IF(E2868="IM",3,(IF(E2868="MI",4,(IF(E2868="RP",5,(IF(E2868="SC",6,0)))))))))))))))))))))))))))))))))))))))</f>
        <v>4</v>
      </c>
      <c r="G2868" s="52">
        <v>7</v>
      </c>
      <c r="H2868" s="99">
        <v>1</v>
      </c>
      <c r="I2868" s="94" t="s">
        <v>37</v>
      </c>
      <c r="J2868" s="86">
        <v>4.4000000000000004</v>
      </c>
      <c r="K2868" s="102" t="s">
        <v>3786</v>
      </c>
      <c r="L2868" s="117">
        <f>IF(O2868="","",N2868*O2868*M2868)</f>
        <v>0</v>
      </c>
      <c r="M2868" s="108">
        <v>1</v>
      </c>
      <c r="N2868" s="95">
        <v>1</v>
      </c>
      <c r="O2868" s="109">
        <f>IF(Key!D$1="ON",P2868,IF(SUM(Q2868:DL2868)&lt;1,"",SUM(Q2868:DL2868)/COUNTIF(Q2868:DL2868,"&gt;0")))</f>
        <v>0</v>
      </c>
      <c r="P2868" s="109">
        <f>SUMIFS(Q2868:DK2868,Q$1:DK$1,Dashboard!$K$31)</f>
        <v>0</v>
      </c>
      <c r="U2868" s="95">
        <v>33</v>
      </c>
      <c r="AA2868" s="95">
        <v>25</v>
      </c>
      <c r="AH2868" s="95">
        <v>75</v>
      </c>
    </row>
    <row r="2869" spans="1:34" x14ac:dyDescent="0.3">
      <c r="A2869" s="89" t="str">
        <f>CONCATENATE(D2869,".",F2869,"-",G2869,".",H2869,"")</f>
        <v>2.4-7.1</v>
      </c>
      <c r="B2869" s="89" t="str">
        <f>IF(CONCATENATE(I2869,Key!F$2)=CONCATENATE(INDEX(Dashboard!J:J,MATCH(I2869,Dashboard!J:J,0),1),INDEX(Dashboard!J:K,MATCH(I2869,Dashboard!J:J,0),2)),"ON",IF(Dashboard!K$32="ALL","ON","-"))</f>
        <v>-</v>
      </c>
      <c r="C2869" s="88" t="s">
        <v>152</v>
      </c>
      <c r="D2869" s="89">
        <f>IF(C2869="ID",1,(IF(C2869="PR",2,(IF(C2869="DE",3,(IF(C2869="RS",4,(IF(C2869="RC",5,0)))))))))</f>
        <v>2</v>
      </c>
      <c r="E2869" s="89" t="s">
        <v>228</v>
      </c>
      <c r="F2869" s="89">
        <f>IF(E2869="AM",1,(IF(E2869="BE",2,(IF(E2869="GV",3,(IF(E2869="RA",4,(IF(E2869="RM",5,(IF(E2869="AC",1,(IF(E2869="AT",2,(IF(E2869="DS",3,(IF(E2869="IP",4,(IF(E2869="MA",5,(IF(E2869="PT",6,(IF(E2869="AE",1,(IF(E2869="CM",2,(IF(E2869="DP",3,(IF(E2869="AN",1,(IF(E2869="CO",2,(IF(E2869="IM",3,(IF(E2869="MI",4,(IF(E2869="RP",5,(IF(E2869="SC",6,0)))))))))))))))))))))))))))))))))))))))</f>
        <v>4</v>
      </c>
      <c r="G2869" s="52">
        <v>7</v>
      </c>
      <c r="H2869" s="99">
        <v>1</v>
      </c>
      <c r="I2869" s="94" t="s">
        <v>41</v>
      </c>
      <c r="J2869" s="86">
        <v>3</v>
      </c>
      <c r="K2869" s="103" t="s">
        <v>3469</v>
      </c>
      <c r="L2869" s="117">
        <f>IF(O2869="","",N2869*O2869*M2869)</f>
        <v>0</v>
      </c>
      <c r="M2869" s="108">
        <v>1</v>
      </c>
      <c r="N2869" s="95">
        <v>1</v>
      </c>
      <c r="O2869" s="109">
        <f>IF(Key!D$1="ON",P2869,IF(SUM(Q2869:DL2869)&lt;1,"",SUM(Q2869:DL2869)/COUNTIF(Q2869:DL2869,"&gt;0")))</f>
        <v>0</v>
      </c>
      <c r="P2869" s="109">
        <f>SUMIFS(Q2869:DK2869,Q$1:DK$1,Dashboard!$K$31)</f>
        <v>0</v>
      </c>
      <c r="U2869" s="95">
        <v>33</v>
      </c>
    </row>
    <row r="2870" spans="1:34" x14ac:dyDescent="0.3">
      <c r="A2870" s="89" t="str">
        <f>CONCATENATE(D2870,".",F2870,"-",G2870,".",H2870,"")</f>
        <v>2.4-7.1</v>
      </c>
      <c r="B2870" s="89" t="str">
        <f>IF(CONCATENATE(I2870,Key!F$2)=CONCATENATE(INDEX(Dashboard!J:J,MATCH(I2870,Dashboard!J:J,0),1),INDEX(Dashboard!J:K,MATCH(I2870,Dashboard!J:J,0),2)),"ON",IF(Dashboard!K$32="ALL","ON","-"))</f>
        <v>-</v>
      </c>
      <c r="C2870" s="88" t="s">
        <v>152</v>
      </c>
      <c r="D2870" s="89">
        <f>IF(C2870="ID",1,(IF(C2870="PR",2,(IF(C2870="DE",3,(IF(C2870="RS",4,(IF(C2870="RC",5,0)))))))))</f>
        <v>2</v>
      </c>
      <c r="E2870" s="89" t="s">
        <v>228</v>
      </c>
      <c r="F2870" s="89">
        <f>IF(E2870="AM",1,(IF(E2870="BE",2,(IF(E2870="GV",3,(IF(E2870="RA",4,(IF(E2870="RM",5,(IF(E2870="AC",1,(IF(E2870="AT",2,(IF(E2870="DS",3,(IF(E2870="IP",4,(IF(E2870="MA",5,(IF(E2870="PT",6,(IF(E2870="AE",1,(IF(E2870="CM",2,(IF(E2870="DP",3,(IF(E2870="AN",1,(IF(E2870="CO",2,(IF(E2870="IM",3,(IF(E2870="MI",4,(IF(E2870="RP",5,(IF(E2870="SC",6,0)))))))))))))))))))))))))))))))))))))))</f>
        <v>4</v>
      </c>
      <c r="G2870" s="52">
        <v>7</v>
      </c>
      <c r="H2870" s="99">
        <v>1</v>
      </c>
      <c r="I2870" s="94" t="s">
        <v>41</v>
      </c>
      <c r="J2870" s="86" t="s">
        <v>3632</v>
      </c>
      <c r="K2870" s="103" t="s">
        <v>3633</v>
      </c>
      <c r="L2870" s="117">
        <f>IF(O2870="","",N2870*O2870*M2870)</f>
        <v>0</v>
      </c>
      <c r="M2870" s="108">
        <v>1</v>
      </c>
      <c r="N2870" s="95">
        <v>1</v>
      </c>
      <c r="O2870" s="109">
        <f>IF(Key!D$1="ON",P2870,IF(SUM(Q2870:DL2870)&lt;1,"",SUM(Q2870:DL2870)/COUNTIF(Q2870:DL2870,"&gt;0")))</f>
        <v>0</v>
      </c>
      <c r="P2870" s="109">
        <f>SUMIFS(Q2870:DK2870,Q$1:DK$1,Dashboard!$K$31)</f>
        <v>0</v>
      </c>
      <c r="U2870" s="95">
        <v>33</v>
      </c>
    </row>
    <row r="2871" spans="1:34" x14ac:dyDescent="0.3">
      <c r="A2871" s="89" t="str">
        <f>CONCATENATE(D2871,".",F2871,"-",G2871,".",H2871,"")</f>
        <v>2.4-7.1</v>
      </c>
      <c r="B2871" s="89" t="str">
        <f>IF(CONCATENATE(I2871,Key!F$2)=CONCATENATE(INDEX(Dashboard!J:J,MATCH(I2871,Dashboard!J:J,0),1),INDEX(Dashboard!J:K,MATCH(I2871,Dashboard!J:J,0),2)),"ON",IF(Dashboard!K$32="ALL","ON","-"))</f>
        <v>-</v>
      </c>
      <c r="C2871" s="96" t="s">
        <v>152</v>
      </c>
      <c r="D2871" s="89">
        <f>IF(C2871="ID",1,(IF(C2871="PR",2,(IF(C2871="DE",3,(IF(C2871="RS",4,(IF(C2871="RC",5,0)))))))))</f>
        <v>2</v>
      </c>
      <c r="E2871" s="89" t="s">
        <v>228</v>
      </c>
      <c r="F2871" s="89">
        <f>IF(E2871="AM",1,(IF(E2871="BE",2,(IF(E2871="GV",3,(IF(E2871="RA",4,(IF(E2871="RM",5,(IF(E2871="AC",1,(IF(E2871="AT",2,(IF(E2871="DS",3,(IF(E2871="IP",4,(IF(E2871="MA",5,(IF(E2871="PT",6,(IF(E2871="AE",1,(IF(E2871="CM",2,(IF(E2871="DP",3,(IF(E2871="AN",1,(IF(E2871="CO",2,(IF(E2871="IM",3,(IF(E2871="MI",4,(IF(E2871="RP",5,(IF(E2871="SC",6,0)))))))))))))))))))))))))))))))))))))))</f>
        <v>4</v>
      </c>
      <c r="G2871" s="98">
        <v>7</v>
      </c>
      <c r="H2871" s="90" t="s">
        <v>115</v>
      </c>
      <c r="I2871" s="94" t="s">
        <v>52</v>
      </c>
      <c r="J2871" s="88" t="s">
        <v>3431</v>
      </c>
      <c r="K2871" s="103" t="s">
        <v>3432</v>
      </c>
      <c r="L2871" s="117">
        <f>IF(O2871="","",N2871*O2871*M2871)</f>
        <v>0</v>
      </c>
      <c r="M2871" s="108">
        <v>1</v>
      </c>
      <c r="N2871" s="95">
        <v>1</v>
      </c>
      <c r="O2871" s="109">
        <f>IF(Key!D$1="ON",P2871,IF(SUM(Q2871:DL2871)&lt;1,"",SUM(Q2871:DL2871)/COUNTIF(Q2871:DL2871,"&gt;0")))</f>
        <v>0</v>
      </c>
      <c r="P2871" s="109">
        <f>SUMIFS(Q2871:DK2871,Q$1:DK$1,Dashboard!$K$31)</f>
        <v>0</v>
      </c>
      <c r="U2871" s="95">
        <v>33</v>
      </c>
      <c r="AA2871" s="95">
        <v>25</v>
      </c>
      <c r="AH2871" s="95">
        <v>75</v>
      </c>
    </row>
    <row r="2872" spans="1:34" x14ac:dyDescent="0.3">
      <c r="A2872" s="89" t="str">
        <f>CONCATENATE(D2872,".",F2872,"-",G2872,".",H2872,"")</f>
        <v>2.4-7.1</v>
      </c>
      <c r="B2872" s="89" t="str">
        <f>IF(CONCATENATE(I2872,Key!F$2)=CONCATENATE(INDEX(Dashboard!J:J,MATCH(I2872,Dashboard!J:J,0),1),INDEX(Dashboard!J:K,MATCH(I2872,Dashboard!J:J,0),2)),"ON",IF(Dashboard!K$32="ALL","ON","-"))</f>
        <v>-</v>
      </c>
      <c r="C2872" s="96" t="s">
        <v>152</v>
      </c>
      <c r="D2872" s="89">
        <f>IF(C2872="ID",1,(IF(C2872="PR",2,(IF(C2872="DE",3,(IF(C2872="RS",4,(IF(C2872="RC",5,0)))))))))</f>
        <v>2</v>
      </c>
      <c r="E2872" s="89" t="s">
        <v>228</v>
      </c>
      <c r="F2872" s="89">
        <f>IF(E2872="AM",1,(IF(E2872="BE",2,(IF(E2872="GV",3,(IF(E2872="RA",4,(IF(E2872="RM",5,(IF(E2872="AC",1,(IF(E2872="AT",2,(IF(E2872="DS",3,(IF(E2872="IP",4,(IF(E2872="MA",5,(IF(E2872="PT",6,(IF(E2872="AE",1,(IF(E2872="CM",2,(IF(E2872="DP",3,(IF(E2872="AN",1,(IF(E2872="CO",2,(IF(E2872="IM",3,(IF(E2872="MI",4,(IF(E2872="RP",5,(IF(E2872="SC",6,0)))))))))))))))))))))))))))))))))))))))</f>
        <v>4</v>
      </c>
      <c r="G2872" s="98">
        <v>7</v>
      </c>
      <c r="H2872" s="90" t="s">
        <v>115</v>
      </c>
      <c r="I2872" s="94" t="s">
        <v>52</v>
      </c>
      <c r="J2872" s="88" t="s">
        <v>3433</v>
      </c>
      <c r="K2872" s="103" t="s">
        <v>3434</v>
      </c>
      <c r="L2872" s="117">
        <f>IF(O2872="","",N2872*O2872*M2872)</f>
        <v>0</v>
      </c>
      <c r="M2872" s="108">
        <v>1</v>
      </c>
      <c r="N2872" s="95">
        <v>1</v>
      </c>
      <c r="O2872" s="109">
        <f>IF(Key!D$1="ON",P2872,IF(SUM(Q2872:DL2872)&lt;1,"",SUM(Q2872:DL2872)/COUNTIF(Q2872:DL2872,"&gt;0")))</f>
        <v>0</v>
      </c>
      <c r="P2872" s="109">
        <f>SUMIFS(Q2872:DK2872,Q$1:DK$1,Dashboard!$K$31)</f>
        <v>0</v>
      </c>
      <c r="U2872" s="95">
        <v>33</v>
      </c>
      <c r="AA2872" s="95">
        <v>25</v>
      </c>
      <c r="AH2872" s="95">
        <v>75</v>
      </c>
    </row>
    <row r="2873" spans="1:34" x14ac:dyDescent="0.3">
      <c r="A2873" s="89" t="str">
        <f>CONCATENATE(D2873,".",F2873,"-",G2873,".",H2873,"")</f>
        <v>2.4-7.1</v>
      </c>
      <c r="B2873" s="89" t="str">
        <f>IF(CONCATENATE(I2873,Key!F$2)=CONCATENATE(INDEX(Dashboard!J:J,MATCH(I2873,Dashboard!J:J,0),1),INDEX(Dashboard!J:K,MATCH(I2873,Dashboard!J:J,0),2)),"ON",IF(Dashboard!K$32="ALL","ON","-"))</f>
        <v>-</v>
      </c>
      <c r="C2873" s="96" t="s">
        <v>152</v>
      </c>
      <c r="D2873" s="89">
        <f>IF(C2873="ID",1,(IF(C2873="PR",2,(IF(C2873="DE",3,(IF(C2873="RS",4,(IF(C2873="RC",5,0)))))))))</f>
        <v>2</v>
      </c>
      <c r="E2873" s="89" t="s">
        <v>228</v>
      </c>
      <c r="F2873" s="89">
        <f>IF(E2873="AM",1,(IF(E2873="BE",2,(IF(E2873="GV",3,(IF(E2873="RA",4,(IF(E2873="RM",5,(IF(E2873="AC",1,(IF(E2873="AT",2,(IF(E2873="DS",3,(IF(E2873="IP",4,(IF(E2873="MA",5,(IF(E2873="PT",6,(IF(E2873="AE",1,(IF(E2873="CM",2,(IF(E2873="DP",3,(IF(E2873="AN",1,(IF(E2873="CO",2,(IF(E2873="IM",3,(IF(E2873="MI",4,(IF(E2873="RP",5,(IF(E2873="SC",6,0)))))))))))))))))))))))))))))))))))))))</f>
        <v>4</v>
      </c>
      <c r="G2873" s="98">
        <v>7</v>
      </c>
      <c r="H2873" s="90" t="s">
        <v>115</v>
      </c>
      <c r="I2873" s="94" t="s">
        <v>52</v>
      </c>
      <c r="J2873" s="88" t="s">
        <v>3406</v>
      </c>
      <c r="K2873" s="103" t="s">
        <v>3407</v>
      </c>
      <c r="L2873" s="117">
        <f>IF(O2873="","",N2873*O2873*M2873)</f>
        <v>0</v>
      </c>
      <c r="M2873" s="108">
        <v>1</v>
      </c>
      <c r="N2873" s="95">
        <v>1</v>
      </c>
      <c r="O2873" s="109">
        <f>IF(Key!D$1="ON",P2873,IF(SUM(Q2873:DL2873)&lt;1,"",SUM(Q2873:DL2873)/COUNTIF(Q2873:DL2873,"&gt;0")))</f>
        <v>0</v>
      </c>
      <c r="P2873" s="109">
        <f>SUMIFS(Q2873:DK2873,Q$1:DK$1,Dashboard!$K$31)</f>
        <v>0</v>
      </c>
      <c r="U2873" s="95">
        <v>33</v>
      </c>
      <c r="AA2873" s="95">
        <v>25</v>
      </c>
      <c r="AH2873" s="95">
        <v>75</v>
      </c>
    </row>
    <row r="2874" spans="1:34" x14ac:dyDescent="0.3">
      <c r="A2874" s="89" t="str">
        <f>CONCATENATE(D2874,".",F2874,"-",G2874,".",H2874,"")</f>
        <v>2.4-7.1</v>
      </c>
      <c r="B2874" s="89" t="str">
        <f>IF(CONCATENATE(I2874,Key!F$2)=CONCATENATE(INDEX(Dashboard!J:J,MATCH(I2874,Dashboard!J:J,0),1),INDEX(Dashboard!J:K,MATCH(I2874,Dashboard!J:J,0),2)),"ON",IF(Dashboard!K$32="ALL","ON","-"))</f>
        <v>-</v>
      </c>
      <c r="C2874" s="96" t="s">
        <v>152</v>
      </c>
      <c r="D2874" s="89">
        <f>IF(C2874="ID",1,(IF(C2874="PR",2,(IF(C2874="DE",3,(IF(C2874="RS",4,(IF(C2874="RC",5,0)))))))))</f>
        <v>2</v>
      </c>
      <c r="E2874" s="89" t="s">
        <v>228</v>
      </c>
      <c r="F2874" s="89">
        <f>IF(E2874="AM",1,(IF(E2874="BE",2,(IF(E2874="GV",3,(IF(E2874="RA",4,(IF(E2874="RM",5,(IF(E2874="AC",1,(IF(E2874="AT",2,(IF(E2874="DS",3,(IF(E2874="IP",4,(IF(E2874="MA",5,(IF(E2874="PT",6,(IF(E2874="AE",1,(IF(E2874="CM",2,(IF(E2874="DP",3,(IF(E2874="AN",1,(IF(E2874="CO",2,(IF(E2874="IM",3,(IF(E2874="MI",4,(IF(E2874="RP",5,(IF(E2874="SC",6,0)))))))))))))))))))))))))))))))))))))))</f>
        <v>4</v>
      </c>
      <c r="G2874" s="98">
        <v>7</v>
      </c>
      <c r="H2874" s="90" t="s">
        <v>115</v>
      </c>
      <c r="I2874" s="94" t="s">
        <v>52</v>
      </c>
      <c r="J2874" s="88" t="s">
        <v>3329</v>
      </c>
      <c r="K2874" s="103" t="s">
        <v>3330</v>
      </c>
      <c r="L2874" s="117">
        <f>IF(O2874="","",N2874*O2874*M2874)</f>
        <v>0</v>
      </c>
      <c r="M2874" s="108">
        <v>1</v>
      </c>
      <c r="N2874" s="95">
        <v>1</v>
      </c>
      <c r="O2874" s="109">
        <f>IF(Key!D$1="ON",P2874,IF(SUM(Q2874:DL2874)&lt;1,"",SUM(Q2874:DL2874)/COUNTIF(Q2874:DL2874,"&gt;0")))</f>
        <v>0</v>
      </c>
      <c r="P2874" s="109">
        <f>SUMIFS(Q2874:DK2874,Q$1:DK$1,Dashboard!$K$31)</f>
        <v>0</v>
      </c>
      <c r="U2874" s="95">
        <v>33</v>
      </c>
      <c r="AA2874" s="95">
        <v>25</v>
      </c>
      <c r="AH2874" s="95">
        <v>75</v>
      </c>
    </row>
    <row r="2875" spans="1:34" x14ac:dyDescent="0.3">
      <c r="A2875" s="89" t="str">
        <f>CONCATENATE(D2875,".",F2875,"-",G2875,".",H2875,"")</f>
        <v>2.4-7.1</v>
      </c>
      <c r="B2875" s="89" t="str">
        <f>IF(CONCATENATE(I2875,Key!F$2)=CONCATENATE(INDEX(Dashboard!J:J,MATCH(I2875,Dashboard!J:J,0),1),INDEX(Dashboard!J:K,MATCH(I2875,Dashboard!J:J,0),2)),"ON",IF(Dashboard!K$32="ALL","ON","-"))</f>
        <v>-</v>
      </c>
      <c r="C2875" s="96" t="s">
        <v>152</v>
      </c>
      <c r="D2875" s="89">
        <f>IF(C2875="ID",1,(IF(C2875="PR",2,(IF(C2875="DE",3,(IF(C2875="RS",4,(IF(C2875="RC",5,0)))))))))</f>
        <v>2</v>
      </c>
      <c r="E2875" s="89" t="s">
        <v>228</v>
      </c>
      <c r="F2875" s="89">
        <f>IF(E2875="AM",1,(IF(E2875="BE",2,(IF(E2875="GV",3,(IF(E2875="RA",4,(IF(E2875="RM",5,(IF(E2875="AC",1,(IF(E2875="AT",2,(IF(E2875="DS",3,(IF(E2875="IP",4,(IF(E2875="MA",5,(IF(E2875="PT",6,(IF(E2875="AE",1,(IF(E2875="CM",2,(IF(E2875="DP",3,(IF(E2875="AN",1,(IF(E2875="CO",2,(IF(E2875="IM",3,(IF(E2875="MI",4,(IF(E2875="RP",5,(IF(E2875="SC",6,0)))))))))))))))))))))))))))))))))))))))</f>
        <v>4</v>
      </c>
      <c r="G2875" s="98">
        <v>7</v>
      </c>
      <c r="H2875" s="90" t="s">
        <v>115</v>
      </c>
      <c r="I2875" s="94" t="s">
        <v>52</v>
      </c>
      <c r="J2875" s="88" t="s">
        <v>3292</v>
      </c>
      <c r="K2875" s="103" t="s">
        <v>3293</v>
      </c>
      <c r="L2875" s="117">
        <f>IF(O2875="","",N2875*O2875*M2875)</f>
        <v>0</v>
      </c>
      <c r="M2875" s="108">
        <v>1</v>
      </c>
      <c r="N2875" s="95">
        <v>1</v>
      </c>
      <c r="O2875" s="109">
        <f>IF(Key!D$1="ON",P2875,IF(SUM(Q2875:DL2875)&lt;1,"",SUM(Q2875:DL2875)/COUNTIF(Q2875:DL2875,"&gt;0")))</f>
        <v>0</v>
      </c>
      <c r="P2875" s="109">
        <f>SUMIFS(Q2875:DK2875,Q$1:DK$1,Dashboard!$K$31)</f>
        <v>0</v>
      </c>
      <c r="U2875" s="95">
        <v>33</v>
      </c>
      <c r="AA2875" s="95">
        <v>25</v>
      </c>
      <c r="AH2875" s="95">
        <v>75</v>
      </c>
    </row>
    <row r="2876" spans="1:34" x14ac:dyDescent="0.3">
      <c r="A2876" s="89" t="str">
        <f>CONCATENATE(D2876,".",F2876,"-",G2876,".",H2876,"")</f>
        <v>2.4-7.1</v>
      </c>
      <c r="B2876" s="89" t="str">
        <f>IF(CONCATENATE(I2876,Key!F$2)=CONCATENATE(INDEX(Dashboard!J:J,MATCH(I2876,Dashboard!J:J,0),1),INDEX(Dashboard!J:K,MATCH(I2876,Dashboard!J:J,0),2)),"ON",IF(Dashboard!K$32="ALL","ON","-"))</f>
        <v>-</v>
      </c>
      <c r="C2876" s="96" t="s">
        <v>152</v>
      </c>
      <c r="D2876" s="89">
        <f>IF(C2876="ID",1,(IF(C2876="PR",2,(IF(C2876="DE",3,(IF(C2876="RS",4,(IF(C2876="RC",5,0)))))))))</f>
        <v>2</v>
      </c>
      <c r="E2876" s="89" t="s">
        <v>228</v>
      </c>
      <c r="F2876" s="89">
        <f>IF(E2876="AM",1,(IF(E2876="BE",2,(IF(E2876="GV",3,(IF(E2876="RA",4,(IF(E2876="RM",5,(IF(E2876="AC",1,(IF(E2876="AT",2,(IF(E2876="DS",3,(IF(E2876="IP",4,(IF(E2876="MA",5,(IF(E2876="PT",6,(IF(E2876="AE",1,(IF(E2876="CM",2,(IF(E2876="DP",3,(IF(E2876="AN",1,(IF(E2876="CO",2,(IF(E2876="IM",3,(IF(E2876="MI",4,(IF(E2876="RP",5,(IF(E2876="SC",6,0)))))))))))))))))))))))))))))))))))))))</f>
        <v>4</v>
      </c>
      <c r="G2876" s="98">
        <v>7</v>
      </c>
      <c r="H2876" s="90" t="s">
        <v>115</v>
      </c>
      <c r="I2876" s="94" t="s">
        <v>52</v>
      </c>
      <c r="J2876" s="88" t="s">
        <v>3435</v>
      </c>
      <c r="K2876" s="103" t="s">
        <v>3436</v>
      </c>
      <c r="L2876" s="117">
        <f>IF(O2876="","",N2876*O2876*M2876)</f>
        <v>0</v>
      </c>
      <c r="M2876" s="108">
        <v>1</v>
      </c>
      <c r="N2876" s="95">
        <v>1</v>
      </c>
      <c r="O2876" s="109">
        <f>IF(Key!D$1="ON",P2876,IF(SUM(Q2876:DL2876)&lt;1,"",SUM(Q2876:DL2876)/COUNTIF(Q2876:DL2876,"&gt;0")))</f>
        <v>0</v>
      </c>
      <c r="P2876" s="109">
        <f>SUMIFS(Q2876:DK2876,Q$1:DK$1,Dashboard!$K$31)</f>
        <v>0</v>
      </c>
      <c r="U2876" s="95">
        <v>33</v>
      </c>
      <c r="AA2876" s="95">
        <v>25</v>
      </c>
      <c r="AH2876" s="95">
        <v>75</v>
      </c>
    </row>
    <row r="2877" spans="1:34" x14ac:dyDescent="0.3">
      <c r="A2877" s="89" t="str">
        <f>CONCATENATE(D2877,".",F2877,"-",G2877,".",H2877,"")</f>
        <v>2.4-7.1</v>
      </c>
      <c r="B2877" s="89" t="str">
        <f>IF(CONCATENATE(I2877,Key!F$2)=CONCATENATE(INDEX(Dashboard!J:J,MATCH(I2877,Dashboard!J:J,0),1),INDEX(Dashboard!J:K,MATCH(I2877,Dashboard!J:J,0),2)),"ON",IF(Dashboard!K$32="ALL","ON","-"))</f>
        <v>-</v>
      </c>
      <c r="C2877" s="88" t="s">
        <v>152</v>
      </c>
      <c r="D2877" s="89">
        <f>IF(C2877="ID",1,(IF(C2877="PR",2,(IF(C2877="DE",3,(IF(C2877="RS",4,(IF(C2877="RC",5,0)))))))))</f>
        <v>2</v>
      </c>
      <c r="E2877" s="89" t="s">
        <v>228</v>
      </c>
      <c r="F2877" s="89">
        <f>IF(E2877="AM",1,(IF(E2877="BE",2,(IF(E2877="GV",3,(IF(E2877="RA",4,(IF(E2877="RM",5,(IF(E2877="AC",1,(IF(E2877="AT",2,(IF(E2877="DS",3,(IF(E2877="IP",4,(IF(E2877="MA",5,(IF(E2877="PT",6,(IF(E2877="AE",1,(IF(E2877="CM",2,(IF(E2877="DP",3,(IF(E2877="AN",1,(IF(E2877="CO",2,(IF(E2877="IM",3,(IF(E2877="MI",4,(IF(E2877="RP",5,(IF(E2877="SC",6,0)))))))))))))))))))))))))))))))))))))))</f>
        <v>4</v>
      </c>
      <c r="G2877" s="52">
        <v>7</v>
      </c>
      <c r="H2877" s="90" t="s">
        <v>115</v>
      </c>
      <c r="I2877" s="94" t="s">
        <v>60</v>
      </c>
      <c r="J2877" s="87" t="s">
        <v>3205</v>
      </c>
      <c r="K2877" s="51" t="s">
        <v>5318</v>
      </c>
      <c r="L2877" s="117">
        <f>IF(O2877="","",N2877*O2877*M2877)</f>
        <v>0</v>
      </c>
      <c r="M2877" s="108">
        <v>1</v>
      </c>
      <c r="N2877" s="95">
        <v>1</v>
      </c>
      <c r="O2877" s="109">
        <f>IF(Key!D$1="ON",P2877,IF(SUM(Q2877:DL2877)&lt;1,"",SUM(Q2877:DL2877)/COUNTIF(Q2877:DL2877,"&gt;0")))</f>
        <v>0</v>
      </c>
      <c r="P2877" s="109">
        <f>SUMIFS(Q2877:DK2877,Q$1:DK$1,Dashboard!$K$31)</f>
        <v>0</v>
      </c>
      <c r="U2877" s="95">
        <v>33</v>
      </c>
      <c r="AA2877" s="95">
        <v>25</v>
      </c>
      <c r="AH2877" s="95">
        <v>75</v>
      </c>
    </row>
    <row r="2878" spans="1:34" ht="15.6" x14ac:dyDescent="0.3">
      <c r="A2878" s="89" t="str">
        <f>CONCATENATE(D2878,".",F2878,"-",G2878,".",H2878,"")</f>
        <v>2.4-7.1</v>
      </c>
      <c r="B2878" s="89" t="str">
        <f>IF(CONCATENATE(I2878,Key!F$2)=CONCATENATE(INDEX(Dashboard!J:J,MATCH(I2878,Dashboard!J:J,0),1),INDEX(Dashboard!J:K,MATCH(I2878,Dashboard!J:J,0),2)),"ON",IF(Dashboard!K$32="ALL","ON","-"))</f>
        <v>-</v>
      </c>
      <c r="C2878" s="88" t="s">
        <v>152</v>
      </c>
      <c r="D2878" s="89">
        <f>IF(C2878="ID",1,(IF(C2878="PR",2,(IF(C2878="DE",3,(IF(C2878="RS",4,(IF(C2878="RC",5,0)))))))))</f>
        <v>2</v>
      </c>
      <c r="E2878" s="89" t="s">
        <v>228</v>
      </c>
      <c r="F2878" s="89">
        <f>IF(E2878="AM",1,(IF(E2878="BE",2,(IF(E2878="GV",3,(IF(E2878="RA",4,(IF(E2878="RM",5,(IF(E2878="AC",1,(IF(E2878="AT",2,(IF(E2878="DS",3,(IF(E2878="IP",4,(IF(E2878="MA",5,(IF(E2878="PT",6,(IF(E2878="AE",1,(IF(E2878="CM",2,(IF(E2878="DP",3,(IF(E2878="AN",1,(IF(E2878="CO",2,(IF(E2878="IM",3,(IF(E2878="MI",4,(IF(E2878="RP",5,(IF(E2878="SC",6,0)))))))))))))))))))))))))))))))))))))))</f>
        <v>4</v>
      </c>
      <c r="G2878" s="52">
        <v>7</v>
      </c>
      <c r="H2878" s="90" t="s">
        <v>115</v>
      </c>
      <c r="I2878" s="94" t="s">
        <v>60</v>
      </c>
      <c r="J2878" s="87" t="s">
        <v>3250</v>
      </c>
      <c r="K2878" s="51" t="s">
        <v>5363</v>
      </c>
      <c r="L2878" s="117">
        <f>IF(O2878="","",N2878*O2878*M2878)</f>
        <v>0</v>
      </c>
      <c r="M2878" s="108">
        <v>1</v>
      </c>
      <c r="N2878" s="95">
        <v>1</v>
      </c>
      <c r="O2878" s="109">
        <f>IF(Key!D$1="ON",P2878,IF(SUM(Q2878:DL2878)&lt;1,"",SUM(Q2878:DL2878)/COUNTIF(Q2878:DL2878,"&gt;0")))</f>
        <v>0</v>
      </c>
      <c r="P2878" s="109">
        <f>SUMIFS(Q2878:DK2878,Q$1:DK$1,Dashboard!$K$31)</f>
        <v>0</v>
      </c>
      <c r="U2878" s="95">
        <v>33</v>
      </c>
      <c r="AA2878" s="95">
        <v>25</v>
      </c>
      <c r="AH2878" s="95">
        <v>75</v>
      </c>
    </row>
    <row r="2879" spans="1:34" x14ac:dyDescent="0.3">
      <c r="A2879" s="89" t="str">
        <f>CONCATENATE(D2879,".",F2879,"-",G2879,".",H2879,"")</f>
        <v>2.4-7.1</v>
      </c>
      <c r="B2879" s="89" t="str">
        <f>IF(CONCATENATE(I2879,Key!F$2)=CONCATENATE(INDEX(Dashboard!J:J,MATCH(I2879,Dashboard!J:J,0),1),INDEX(Dashboard!J:K,MATCH(I2879,Dashboard!J:J,0),2)),"ON",IF(Dashboard!K$32="ALL","ON","-"))</f>
        <v>-</v>
      </c>
      <c r="C2879" s="88" t="s">
        <v>152</v>
      </c>
      <c r="D2879" s="89">
        <f>IF(C2879="ID",1,(IF(C2879="PR",2,(IF(C2879="DE",3,(IF(C2879="RS",4,(IF(C2879="RC",5,0)))))))))</f>
        <v>2</v>
      </c>
      <c r="E2879" s="89" t="s">
        <v>228</v>
      </c>
      <c r="F2879" s="89">
        <f>IF(E2879="AM",1,(IF(E2879="BE",2,(IF(E2879="GV",3,(IF(E2879="RA",4,(IF(E2879="RM",5,(IF(E2879="AC",1,(IF(E2879="AT",2,(IF(E2879="DS",3,(IF(E2879="IP",4,(IF(E2879="MA",5,(IF(E2879="PT",6,(IF(E2879="AE",1,(IF(E2879="CM",2,(IF(E2879="DP",3,(IF(E2879="AN",1,(IF(E2879="CO",2,(IF(E2879="IM",3,(IF(E2879="MI",4,(IF(E2879="RP",5,(IF(E2879="SC",6,0)))))))))))))))))))))))))))))))))))))))</f>
        <v>4</v>
      </c>
      <c r="G2879" s="52">
        <v>7</v>
      </c>
      <c r="H2879" s="90" t="s">
        <v>115</v>
      </c>
      <c r="I2879" s="94" t="s">
        <v>60</v>
      </c>
      <c r="J2879" s="87" t="s">
        <v>3240</v>
      </c>
      <c r="K2879" s="51" t="s">
        <v>5353</v>
      </c>
      <c r="L2879" s="117">
        <f>IF(O2879="","",N2879*O2879*M2879)</f>
        <v>0</v>
      </c>
      <c r="M2879" s="108">
        <v>1</v>
      </c>
      <c r="N2879" s="95">
        <v>1</v>
      </c>
      <c r="O2879" s="109">
        <f>IF(Key!D$1="ON",P2879,IF(SUM(Q2879:DL2879)&lt;1,"",SUM(Q2879:DL2879)/COUNTIF(Q2879:DL2879,"&gt;0")))</f>
        <v>0</v>
      </c>
      <c r="P2879" s="109">
        <f>SUMIFS(Q2879:DK2879,Q$1:DK$1,Dashboard!$K$31)</f>
        <v>0</v>
      </c>
      <c r="U2879" s="95">
        <v>33</v>
      </c>
      <c r="AA2879" s="95">
        <v>25</v>
      </c>
      <c r="AH2879" s="95">
        <v>75</v>
      </c>
    </row>
    <row r="2880" spans="1:34" x14ac:dyDescent="0.3">
      <c r="A2880" s="89" t="str">
        <f>CONCATENATE(D2880,".",F2880,"-",G2880,".",H2880,"")</f>
        <v>2.4-7.1</v>
      </c>
      <c r="B2880" s="89" t="str">
        <f>IF(CONCATENATE(I2880,Key!F$2)=CONCATENATE(INDEX(Dashboard!J:J,MATCH(I2880,Dashboard!J:J,0),1),INDEX(Dashboard!J:K,MATCH(I2880,Dashboard!J:J,0),2)),"ON",IF(Dashboard!K$32="ALL","ON","-"))</f>
        <v>-</v>
      </c>
      <c r="C2880" s="88" t="s">
        <v>152</v>
      </c>
      <c r="D2880" s="89">
        <f>IF(C2880="ID",1,(IF(C2880="PR",2,(IF(C2880="DE",3,(IF(C2880="RS",4,(IF(C2880="RC",5,0)))))))))</f>
        <v>2</v>
      </c>
      <c r="E2880" s="89" t="s">
        <v>228</v>
      </c>
      <c r="F2880" s="89">
        <f>IF(E2880="AM",1,(IF(E2880="BE",2,(IF(E2880="GV",3,(IF(E2880="RA",4,(IF(E2880="RM",5,(IF(E2880="AC",1,(IF(E2880="AT",2,(IF(E2880="DS",3,(IF(E2880="IP",4,(IF(E2880="MA",5,(IF(E2880="PT",6,(IF(E2880="AE",1,(IF(E2880="CM",2,(IF(E2880="DP",3,(IF(E2880="AN",1,(IF(E2880="CO",2,(IF(E2880="IM",3,(IF(E2880="MI",4,(IF(E2880="RP",5,(IF(E2880="SC",6,0)))))))))))))))))))))))))))))))))))))))</f>
        <v>4</v>
      </c>
      <c r="G2880" s="52">
        <v>7</v>
      </c>
      <c r="H2880" s="90" t="s">
        <v>115</v>
      </c>
      <c r="I2880" s="94" t="s">
        <v>60</v>
      </c>
      <c r="J2880" s="87" t="s">
        <v>3252</v>
      </c>
      <c r="K2880" s="51" t="s">
        <v>5364</v>
      </c>
      <c r="L2880" s="117">
        <f>IF(O2880="","",N2880*O2880*M2880)</f>
        <v>0</v>
      </c>
      <c r="M2880" s="108">
        <v>1</v>
      </c>
      <c r="N2880" s="95">
        <v>1</v>
      </c>
      <c r="O2880" s="109">
        <f>IF(Key!D$1="ON",P2880,IF(SUM(Q2880:DL2880)&lt;1,"",SUM(Q2880:DL2880)/COUNTIF(Q2880:DL2880,"&gt;0")))</f>
        <v>0</v>
      </c>
      <c r="P2880" s="109">
        <f>SUMIFS(Q2880:DK2880,Q$1:DK$1,Dashboard!$K$31)</f>
        <v>0</v>
      </c>
      <c r="U2880" s="95">
        <v>33</v>
      </c>
      <c r="AA2880" s="95">
        <v>25</v>
      </c>
      <c r="AH2880" s="95">
        <v>75</v>
      </c>
    </row>
    <row r="2881" spans="1:34" x14ac:dyDescent="0.3">
      <c r="A2881" s="89" t="str">
        <f>CONCATENATE(D2881,".",F2881,"-",G2881,".",H2881,"")</f>
        <v>2.4-7.1</v>
      </c>
      <c r="B2881" s="89" t="str">
        <f>IF(CONCATENATE(I2881,Key!F$2)=CONCATENATE(INDEX(Dashboard!J:J,MATCH(I2881,Dashboard!J:J,0),1),INDEX(Dashboard!J:K,MATCH(I2881,Dashboard!J:J,0),2)),"ON",IF(Dashboard!K$32="ALL","ON","-"))</f>
        <v>-</v>
      </c>
      <c r="C2881" s="88" t="s">
        <v>152</v>
      </c>
      <c r="D2881" s="89">
        <f>IF(C2881="ID",1,(IF(C2881="PR",2,(IF(C2881="DE",3,(IF(C2881="RS",4,(IF(C2881="RC",5,0)))))))))</f>
        <v>2</v>
      </c>
      <c r="E2881" s="89" t="s">
        <v>228</v>
      </c>
      <c r="F2881" s="89">
        <f>IF(E2881="AM",1,(IF(E2881="BE",2,(IF(E2881="GV",3,(IF(E2881="RA",4,(IF(E2881="RM",5,(IF(E2881="AC",1,(IF(E2881="AT",2,(IF(E2881="DS",3,(IF(E2881="IP",4,(IF(E2881="MA",5,(IF(E2881="PT",6,(IF(E2881="AE",1,(IF(E2881="CM",2,(IF(E2881="DP",3,(IF(E2881="AN",1,(IF(E2881="CO",2,(IF(E2881="IM",3,(IF(E2881="MI",4,(IF(E2881="RP",5,(IF(E2881="SC",6,0)))))))))))))))))))))))))))))))))))))))</f>
        <v>4</v>
      </c>
      <c r="G2881" s="52">
        <v>7</v>
      </c>
      <c r="H2881" s="90" t="s">
        <v>115</v>
      </c>
      <c r="I2881" s="94" t="s">
        <v>60</v>
      </c>
      <c r="J2881" s="87" t="s">
        <v>3251</v>
      </c>
      <c r="K2881" s="51" t="s">
        <v>5365</v>
      </c>
      <c r="L2881" s="117">
        <f>IF(O2881="","",N2881*O2881*M2881)</f>
        <v>0</v>
      </c>
      <c r="M2881" s="108">
        <v>1</v>
      </c>
      <c r="N2881" s="95">
        <v>1</v>
      </c>
      <c r="O2881" s="109">
        <f>IF(Key!D$1="ON",P2881,IF(SUM(Q2881:DL2881)&lt;1,"",SUM(Q2881:DL2881)/COUNTIF(Q2881:DL2881,"&gt;0")))</f>
        <v>0</v>
      </c>
      <c r="P2881" s="109">
        <f>SUMIFS(Q2881:DK2881,Q$1:DK$1,Dashboard!$K$31)</f>
        <v>0</v>
      </c>
      <c r="U2881" s="95">
        <v>33</v>
      </c>
      <c r="AA2881" s="95">
        <v>25</v>
      </c>
      <c r="AH2881" s="95">
        <v>75</v>
      </c>
    </row>
    <row r="2882" spans="1:34" x14ac:dyDescent="0.3">
      <c r="A2882" s="89" t="str">
        <f>CONCATENATE(D2882,".",F2882,"-",G2882,".",H2882,"")</f>
        <v>2.4-7.1</v>
      </c>
      <c r="B2882" s="89" t="str">
        <f>IF(CONCATENATE(I2882,Key!F$2)=CONCATENATE(INDEX(Dashboard!J:J,MATCH(I2882,Dashboard!J:J,0),1),INDEX(Dashboard!J:K,MATCH(I2882,Dashboard!J:J,0),2)),"ON",IF(Dashboard!K$32="ALL","ON","-"))</f>
        <v>-</v>
      </c>
      <c r="C2882" s="88" t="s">
        <v>152</v>
      </c>
      <c r="D2882" s="89">
        <f>IF(C2882="ID",1,(IF(C2882="PR",2,(IF(C2882="DE",3,(IF(C2882="RS",4,(IF(C2882="RC",5,0)))))))))</f>
        <v>2</v>
      </c>
      <c r="E2882" s="89" t="s">
        <v>228</v>
      </c>
      <c r="F2882" s="89">
        <f>IF(E2882="AM",1,(IF(E2882="BE",2,(IF(E2882="GV",3,(IF(E2882="RA",4,(IF(E2882="RM",5,(IF(E2882="AC",1,(IF(E2882="AT",2,(IF(E2882="DS",3,(IF(E2882="IP",4,(IF(E2882="MA",5,(IF(E2882="PT",6,(IF(E2882="AE",1,(IF(E2882="CM",2,(IF(E2882="DP",3,(IF(E2882="AN",1,(IF(E2882="CO",2,(IF(E2882="IM",3,(IF(E2882="MI",4,(IF(E2882="RP",5,(IF(E2882="SC",6,0)))))))))))))))))))))))))))))))))))))))</f>
        <v>4</v>
      </c>
      <c r="G2882" s="52">
        <v>7</v>
      </c>
      <c r="H2882" s="89">
        <v>1</v>
      </c>
      <c r="I2882" s="94" t="s">
        <v>60</v>
      </c>
      <c r="J2882" s="88" t="s">
        <v>3158</v>
      </c>
      <c r="K2882" s="51" t="s">
        <v>5271</v>
      </c>
      <c r="L2882" s="117">
        <f>IF(O2882="","",N2882*O2882*M2882)</f>
        <v>0</v>
      </c>
      <c r="M2882" s="108">
        <v>1</v>
      </c>
      <c r="N2882" s="95">
        <v>1</v>
      </c>
      <c r="O2882" s="109">
        <f>IF(Key!D$1="ON",P2882,IF(SUM(Q2882:DL2882)&lt;1,"",SUM(Q2882:DL2882)/COUNTIF(Q2882:DL2882,"&gt;0")))</f>
        <v>0</v>
      </c>
      <c r="P2882" s="109">
        <f>SUMIFS(Q2882:DK2882,Q$1:DK$1,Dashboard!$K$31)</f>
        <v>0</v>
      </c>
      <c r="U2882" s="95">
        <v>33</v>
      </c>
      <c r="AA2882" s="95">
        <v>25</v>
      </c>
      <c r="AH2882" s="95">
        <v>75</v>
      </c>
    </row>
    <row r="2883" spans="1:34" x14ac:dyDescent="0.3">
      <c r="A2883" s="89" t="str">
        <f>CONCATENATE(D2883,".",F2883,"-",G2883,".",H2883,"")</f>
        <v>2.4-7.1</v>
      </c>
      <c r="B2883" s="89" t="str">
        <f>IF(CONCATENATE(I2883,Key!F$2)=CONCATENATE(INDEX(Dashboard!J:J,MATCH(I2883,Dashboard!J:J,0),1),INDEX(Dashboard!J:K,MATCH(I2883,Dashboard!J:J,0),2)),"ON",IF(Dashboard!K$32="ALL","ON","-"))</f>
        <v>-</v>
      </c>
      <c r="C2883" s="88" t="s">
        <v>152</v>
      </c>
      <c r="D2883" s="89">
        <f>IF(C2883="ID",1,(IF(C2883="PR",2,(IF(C2883="DE",3,(IF(C2883="RS",4,(IF(C2883="RC",5,0)))))))))</f>
        <v>2</v>
      </c>
      <c r="E2883" s="89" t="s">
        <v>228</v>
      </c>
      <c r="F2883" s="89">
        <f>IF(E2883="AM",1,(IF(E2883="BE",2,(IF(E2883="GV",3,(IF(E2883="RA",4,(IF(E2883="RM",5,(IF(E2883="AC",1,(IF(E2883="AT",2,(IF(E2883="DS",3,(IF(E2883="IP",4,(IF(E2883="MA",5,(IF(E2883="PT",6,(IF(E2883="AE",1,(IF(E2883="CM",2,(IF(E2883="DP",3,(IF(E2883="AN",1,(IF(E2883="CO",2,(IF(E2883="IM",3,(IF(E2883="MI",4,(IF(E2883="RP",5,(IF(E2883="SC",6,0)))))))))))))))))))))))))))))))))))))))</f>
        <v>4</v>
      </c>
      <c r="G2883" s="52">
        <v>7</v>
      </c>
      <c r="H2883" s="90" t="s">
        <v>115</v>
      </c>
      <c r="I2883" s="94" t="s">
        <v>64</v>
      </c>
      <c r="J2883" s="87" t="s">
        <v>1660</v>
      </c>
      <c r="K2883" s="102" t="s">
        <v>2598</v>
      </c>
      <c r="L2883" s="117">
        <f>IF(O2883="","",N2883*O2883*M2883)</f>
        <v>0</v>
      </c>
      <c r="M2883" s="108">
        <v>1</v>
      </c>
      <c r="N2883" s="95">
        <v>1</v>
      </c>
      <c r="O2883" s="109">
        <f>IF(Key!D$1="ON",P2883,IF(SUM(Q2883:DL2883)&lt;1,"",SUM(Q2883:DL2883)/COUNTIF(Q2883:DL2883,"&gt;0")))</f>
        <v>0</v>
      </c>
      <c r="P2883" s="109">
        <f>SUMIFS(Q2883:DK2883,Q$1:DK$1,Dashboard!$K$31)</f>
        <v>0</v>
      </c>
      <c r="U2883" s="95">
        <v>33</v>
      </c>
      <c r="AA2883" s="95">
        <v>25</v>
      </c>
      <c r="AH2883" s="95">
        <v>75</v>
      </c>
    </row>
    <row r="2884" spans="1:34" ht="15.6" x14ac:dyDescent="0.3">
      <c r="A2884" s="89" t="str">
        <f>CONCATENATE(D2884,".",F2884,"-",G2884,".",H2884,"")</f>
        <v>2.4-7.1</v>
      </c>
      <c r="B2884" s="89" t="str">
        <f>IF(CONCATENATE(I2884,Key!F$2)=CONCATENATE(INDEX(Dashboard!J:J,MATCH(I2884,Dashboard!J:J,0),1),INDEX(Dashboard!J:K,MATCH(I2884,Dashboard!J:J,0),2)),"ON",IF(Dashboard!K$32="ALL","ON","-"))</f>
        <v>-</v>
      </c>
      <c r="C2884" s="88" t="s">
        <v>152</v>
      </c>
      <c r="D2884" s="89">
        <f>IF(C2884="ID",1,(IF(C2884="PR",2,(IF(C2884="DE",3,(IF(C2884="RS",4,(IF(C2884="RC",5,0)))))))))</f>
        <v>2</v>
      </c>
      <c r="E2884" s="89" t="s">
        <v>228</v>
      </c>
      <c r="F2884" s="89">
        <f>IF(E2884="AM",1,(IF(E2884="BE",2,(IF(E2884="GV",3,(IF(E2884="RA",4,(IF(E2884="RM",5,(IF(E2884="AC",1,(IF(E2884="AT",2,(IF(E2884="DS",3,(IF(E2884="IP",4,(IF(E2884="MA",5,(IF(E2884="PT",6,(IF(E2884="AE",1,(IF(E2884="CM",2,(IF(E2884="DP",3,(IF(E2884="AN",1,(IF(E2884="CO",2,(IF(E2884="IM",3,(IF(E2884="MI",4,(IF(E2884="RP",5,(IF(E2884="SC",6,0)))))))))))))))))))))))))))))))))))))))</f>
        <v>4</v>
      </c>
      <c r="G2884" s="52">
        <v>7</v>
      </c>
      <c r="H2884" s="90" t="s">
        <v>115</v>
      </c>
      <c r="I2884" s="94" t="s">
        <v>77</v>
      </c>
      <c r="J2884" s="87" t="s">
        <v>1647</v>
      </c>
      <c r="K2884" s="102" t="s">
        <v>2590</v>
      </c>
      <c r="L2884" s="117">
        <f>IF(O2884="","",N2884*O2884*M2884)</f>
        <v>0</v>
      </c>
      <c r="M2884" s="108">
        <v>1</v>
      </c>
      <c r="N2884" s="95">
        <v>1</v>
      </c>
      <c r="O2884" s="109">
        <f>IF(Key!D$1="ON",P2884,IF(SUM(Q2884:DL2884)&lt;1,"",SUM(Q2884:DL2884)/COUNTIF(Q2884:DL2884,"&gt;0")))</f>
        <v>0</v>
      </c>
      <c r="P2884" s="109">
        <f>SUMIFS(Q2884:DK2884,Q$1:DK$1,Dashboard!$K$31)</f>
        <v>0</v>
      </c>
      <c r="U2884" s="95">
        <v>33</v>
      </c>
      <c r="AA2884" s="95">
        <v>25</v>
      </c>
      <c r="AH2884" s="95">
        <v>75</v>
      </c>
    </row>
    <row r="2885" spans="1:34" x14ac:dyDescent="0.3">
      <c r="A2885" s="89" t="str">
        <f>CONCATENATE(D2885,".",F2885,"-",G2885,".",H2885,"")</f>
        <v>2.4-7.1</v>
      </c>
      <c r="B2885" s="89" t="str">
        <f>IF(CONCATENATE(I2885,Key!F$2)=CONCATENATE(INDEX(Dashboard!J:J,MATCH(I2885,Dashboard!J:J,0),1),INDEX(Dashboard!J:K,MATCH(I2885,Dashboard!J:J,0),2)),"ON",IF(Dashboard!K$32="ALL","ON","-"))</f>
        <v>-</v>
      </c>
      <c r="C2885" s="96" t="s">
        <v>152</v>
      </c>
      <c r="D2885" s="89">
        <f>IF(C2885="ID",1,(IF(C2885="PR",2,(IF(C2885="DE",3,(IF(C2885="RS",4,(IF(C2885="RC",5,0)))))))))</f>
        <v>2</v>
      </c>
      <c r="E2885" s="89" t="s">
        <v>228</v>
      </c>
      <c r="F2885" s="89">
        <f>IF(E2885="AM",1,(IF(E2885="BE",2,(IF(E2885="GV",3,(IF(E2885="RA",4,(IF(E2885="RM",5,(IF(E2885="AC",1,(IF(E2885="AT",2,(IF(E2885="DS",3,(IF(E2885="IP",4,(IF(E2885="MA",5,(IF(E2885="PT",6,(IF(E2885="AE",1,(IF(E2885="CM",2,(IF(E2885="DP",3,(IF(E2885="AN",1,(IF(E2885="CO",2,(IF(E2885="IM",3,(IF(E2885="MI",4,(IF(E2885="RP",5,(IF(E2885="SC",6,0)))))))))))))))))))))))))))))))))))))))</f>
        <v>4</v>
      </c>
      <c r="G2885" s="98">
        <v>7</v>
      </c>
      <c r="H2885" s="90" t="s">
        <v>115</v>
      </c>
      <c r="I2885" s="95" t="s">
        <v>77</v>
      </c>
      <c r="J2885" s="87" t="s">
        <v>1649</v>
      </c>
      <c r="K2885" s="102" t="s">
        <v>2591</v>
      </c>
      <c r="L2885" s="117">
        <f>IF(O2885="","",N2885*O2885*M2885)</f>
        <v>0</v>
      </c>
      <c r="M2885" s="108">
        <v>1</v>
      </c>
      <c r="N2885" s="95">
        <v>1</v>
      </c>
      <c r="O2885" s="109">
        <f>IF(Key!D$1="ON",P2885,IF(SUM(Q2885:DL2885)&lt;1,"",SUM(Q2885:DL2885)/COUNTIF(Q2885:DL2885,"&gt;0")))</f>
        <v>0</v>
      </c>
      <c r="P2885" s="109">
        <f>SUMIFS(Q2885:DK2885,Q$1:DK$1,Dashboard!$K$31)</f>
        <v>0</v>
      </c>
      <c r="U2885" s="95">
        <v>33</v>
      </c>
      <c r="AA2885" s="95">
        <v>25</v>
      </c>
      <c r="AH2885" s="95">
        <v>75</v>
      </c>
    </row>
    <row r="2886" spans="1:34" x14ac:dyDescent="0.3">
      <c r="A2886" s="89" t="str">
        <f>CONCATENATE(D2886,".",F2886,"-",G2886,".",H2886,"")</f>
        <v>2.4-7.1</v>
      </c>
      <c r="B2886" s="89" t="str">
        <f>IF(CONCATENATE(I2886,Key!F$2)=CONCATENATE(INDEX(Dashboard!J:J,MATCH(I2886,Dashboard!J:J,0),1),INDEX(Dashboard!J:K,MATCH(I2886,Dashboard!J:J,0),2)),"ON",IF(Dashboard!K$32="ALL","ON","-"))</f>
        <v>-</v>
      </c>
      <c r="C2886" s="88" t="s">
        <v>152</v>
      </c>
      <c r="D2886" s="89">
        <f>IF(C2886="ID",1,(IF(C2886="PR",2,(IF(C2886="DE",3,(IF(C2886="RS",4,(IF(C2886="RC",5,0)))))))))</f>
        <v>2</v>
      </c>
      <c r="E2886" s="89" t="s">
        <v>228</v>
      </c>
      <c r="F2886" s="89">
        <f>IF(E2886="AM",1,(IF(E2886="BE",2,(IF(E2886="GV",3,(IF(E2886="RA",4,(IF(E2886="RM",5,(IF(E2886="AC",1,(IF(E2886="AT",2,(IF(E2886="DS",3,(IF(E2886="IP",4,(IF(E2886="MA",5,(IF(E2886="PT",6,(IF(E2886="AE",1,(IF(E2886="CM",2,(IF(E2886="DP",3,(IF(E2886="AN",1,(IF(E2886="CO",2,(IF(E2886="IM",3,(IF(E2886="MI",4,(IF(E2886="RP",5,(IF(E2886="SC",6,0)))))))))))))))))))))))))))))))))))))))</f>
        <v>4</v>
      </c>
      <c r="G2886" s="52">
        <v>7</v>
      </c>
      <c r="H2886" s="90" t="s">
        <v>115</v>
      </c>
      <c r="I2886" s="95" t="s">
        <v>77</v>
      </c>
      <c r="J2886" s="87" t="s">
        <v>1651</v>
      </c>
      <c r="K2886" s="102" t="s">
        <v>2592</v>
      </c>
      <c r="L2886" s="117">
        <f>IF(O2886="","",N2886*O2886*M2886)</f>
        <v>0</v>
      </c>
      <c r="M2886" s="108">
        <v>1</v>
      </c>
      <c r="N2886" s="95">
        <v>1</v>
      </c>
      <c r="O2886" s="109">
        <f>IF(Key!D$1="ON",P2886,IF(SUM(Q2886:DL2886)&lt;1,"",SUM(Q2886:DL2886)/COUNTIF(Q2886:DL2886,"&gt;0")))</f>
        <v>0</v>
      </c>
      <c r="P2886" s="109">
        <f>SUMIFS(Q2886:DK2886,Q$1:DK$1,Dashboard!$K$31)</f>
        <v>0</v>
      </c>
      <c r="U2886" s="95">
        <v>33</v>
      </c>
      <c r="AA2886" s="95">
        <v>25</v>
      </c>
      <c r="AH2886" s="95">
        <v>75</v>
      </c>
    </row>
    <row r="2887" spans="1:34" x14ac:dyDescent="0.3">
      <c r="A2887" s="89" t="str">
        <f>CONCATENATE(D2887,".",F2887,"-",G2887,".",H2887,"")</f>
        <v>2.4-7.1</v>
      </c>
      <c r="B2887" s="89" t="str">
        <f>IF(CONCATENATE(I2887,Key!F$2)=CONCATENATE(INDEX(Dashboard!J:J,MATCH(I2887,Dashboard!J:J,0),1),INDEX(Dashboard!J:K,MATCH(I2887,Dashboard!J:J,0),2)),"ON",IF(Dashboard!K$32="ALL","ON","-"))</f>
        <v>-</v>
      </c>
      <c r="C2887" s="96" t="s">
        <v>152</v>
      </c>
      <c r="D2887" s="89">
        <f>IF(C2887="ID",1,(IF(C2887="PR",2,(IF(C2887="DE",3,(IF(C2887="RS",4,(IF(C2887="RC",5,0)))))))))</f>
        <v>2</v>
      </c>
      <c r="E2887" s="89" t="s">
        <v>228</v>
      </c>
      <c r="F2887" s="89">
        <f>IF(E2887="AM",1,(IF(E2887="BE",2,(IF(E2887="GV",3,(IF(E2887="RA",4,(IF(E2887="RM",5,(IF(E2887="AC",1,(IF(E2887="AT",2,(IF(E2887="DS",3,(IF(E2887="IP",4,(IF(E2887="MA",5,(IF(E2887="PT",6,(IF(E2887="AE",1,(IF(E2887="CM",2,(IF(E2887="DP",3,(IF(E2887="AN",1,(IF(E2887="CO",2,(IF(E2887="IM",3,(IF(E2887="MI",4,(IF(E2887="RP",5,(IF(E2887="SC",6,0)))))))))))))))))))))))))))))))))))))))</f>
        <v>4</v>
      </c>
      <c r="G2887" s="98">
        <v>7</v>
      </c>
      <c r="H2887" s="90" t="s">
        <v>115</v>
      </c>
      <c r="I2887" s="95" t="s">
        <v>77</v>
      </c>
      <c r="J2887" s="87" t="s">
        <v>1652</v>
      </c>
      <c r="K2887" s="102" t="s">
        <v>2593</v>
      </c>
      <c r="L2887" s="117">
        <f>IF(O2887="","",N2887*O2887*M2887)</f>
        <v>0</v>
      </c>
      <c r="M2887" s="108">
        <v>1</v>
      </c>
      <c r="N2887" s="95">
        <v>1</v>
      </c>
      <c r="O2887" s="109">
        <f>IF(Key!D$1="ON",P2887,IF(SUM(Q2887:DL2887)&lt;1,"",SUM(Q2887:DL2887)/COUNTIF(Q2887:DL2887,"&gt;0")))</f>
        <v>0</v>
      </c>
      <c r="P2887" s="109">
        <f>SUMIFS(Q2887:DK2887,Q$1:DK$1,Dashboard!$K$31)</f>
        <v>0</v>
      </c>
      <c r="U2887" s="95">
        <v>33</v>
      </c>
      <c r="AA2887" s="95">
        <v>25</v>
      </c>
      <c r="AH2887" s="95">
        <v>75</v>
      </c>
    </row>
    <row r="2888" spans="1:34" x14ac:dyDescent="0.3">
      <c r="A2888" s="89" t="str">
        <f>CONCATENATE(D2888,".",F2888,"-",G2888,".",H2888,"")</f>
        <v>2.4-7.1</v>
      </c>
      <c r="B2888" s="89" t="str">
        <f>IF(CONCATENATE(I2888,Key!F$2)=CONCATENATE(INDEX(Dashboard!J:J,MATCH(I2888,Dashboard!J:J,0),1),INDEX(Dashboard!J:K,MATCH(I2888,Dashboard!J:J,0),2)),"ON",IF(Dashboard!K$32="ALL","ON","-"))</f>
        <v>-</v>
      </c>
      <c r="C2888" s="88" t="s">
        <v>152</v>
      </c>
      <c r="D2888" s="89">
        <f>IF(C2888="ID",1,(IF(C2888="PR",2,(IF(C2888="DE",3,(IF(C2888="RS",4,(IF(C2888="RC",5,0)))))))))</f>
        <v>2</v>
      </c>
      <c r="E2888" s="89" t="s">
        <v>228</v>
      </c>
      <c r="F2888" s="89">
        <f>IF(E2888="AM",1,(IF(E2888="BE",2,(IF(E2888="GV",3,(IF(E2888="RA",4,(IF(E2888="RM",5,(IF(E2888="AC",1,(IF(E2888="AT",2,(IF(E2888="DS",3,(IF(E2888="IP",4,(IF(E2888="MA",5,(IF(E2888="PT",6,(IF(E2888="AE",1,(IF(E2888="CM",2,(IF(E2888="DP",3,(IF(E2888="AN",1,(IF(E2888="CO",2,(IF(E2888="IM",3,(IF(E2888="MI",4,(IF(E2888="RP",5,(IF(E2888="SC",6,0)))))))))))))))))))))))))))))))))))))))</f>
        <v>4</v>
      </c>
      <c r="G2888" s="98">
        <v>7</v>
      </c>
      <c r="H2888" s="90" t="s">
        <v>115</v>
      </c>
      <c r="I2888" s="94" t="s">
        <v>77</v>
      </c>
      <c r="J2888" s="87" t="s">
        <v>1654</v>
      </c>
      <c r="K2888" s="102" t="s">
        <v>2594</v>
      </c>
      <c r="L2888" s="117">
        <f>IF(O2888="","",N2888*O2888*M2888)</f>
        <v>0</v>
      </c>
      <c r="M2888" s="108">
        <v>1</v>
      </c>
      <c r="N2888" s="95">
        <v>1</v>
      </c>
      <c r="O2888" s="109">
        <f>IF(Key!D$1="ON",P2888,IF(SUM(Q2888:DL2888)&lt;1,"",SUM(Q2888:DL2888)/COUNTIF(Q2888:DL2888,"&gt;0")))</f>
        <v>0</v>
      </c>
      <c r="P2888" s="109">
        <f>SUMIFS(Q2888:DK2888,Q$1:DK$1,Dashboard!$K$31)</f>
        <v>0</v>
      </c>
      <c r="U2888" s="95">
        <v>33</v>
      </c>
      <c r="AA2888" s="95">
        <v>25</v>
      </c>
      <c r="AH2888" s="95">
        <v>75</v>
      </c>
    </row>
    <row r="2889" spans="1:34" x14ac:dyDescent="0.3">
      <c r="A2889" s="89" t="str">
        <f>CONCATENATE(D2889,".",F2889,"-",G2889,".",H2889,"")</f>
        <v>2.4-7.1</v>
      </c>
      <c r="B2889" s="89" t="str">
        <f>IF(CONCATENATE(I2889,Key!F$2)=CONCATENATE(INDEX(Dashboard!J:J,MATCH(I2889,Dashboard!J:J,0),1),INDEX(Dashboard!J:K,MATCH(I2889,Dashboard!J:J,0),2)),"ON",IF(Dashboard!K$32="ALL","ON","-"))</f>
        <v>-</v>
      </c>
      <c r="C2889" s="88" t="s">
        <v>152</v>
      </c>
      <c r="D2889" s="89">
        <f>IF(C2889="ID",1,(IF(C2889="PR",2,(IF(C2889="DE",3,(IF(C2889="RS",4,(IF(C2889="RC",5,0)))))))))</f>
        <v>2</v>
      </c>
      <c r="E2889" s="89" t="s">
        <v>228</v>
      </c>
      <c r="F2889" s="89">
        <f>IF(E2889="AM",1,(IF(E2889="BE",2,(IF(E2889="GV",3,(IF(E2889="RA",4,(IF(E2889="RM",5,(IF(E2889="AC",1,(IF(E2889="AT",2,(IF(E2889="DS",3,(IF(E2889="IP",4,(IF(E2889="MA",5,(IF(E2889="PT",6,(IF(E2889="AE",1,(IF(E2889="CM",2,(IF(E2889="DP",3,(IF(E2889="AN",1,(IF(E2889="CO",2,(IF(E2889="IM",3,(IF(E2889="MI",4,(IF(E2889="RP",5,(IF(E2889="SC",6,0)))))))))))))))))))))))))))))))))))))))</f>
        <v>4</v>
      </c>
      <c r="G2889" s="52">
        <v>7</v>
      </c>
      <c r="H2889" s="90" t="s">
        <v>115</v>
      </c>
      <c r="I2889" s="94" t="s">
        <v>77</v>
      </c>
      <c r="J2889" s="87" t="s">
        <v>1656</v>
      </c>
      <c r="K2889" s="102" t="s">
        <v>2595</v>
      </c>
      <c r="L2889" s="117">
        <f>IF(O2889="","",N2889*O2889*M2889)</f>
        <v>0</v>
      </c>
      <c r="M2889" s="108">
        <v>1</v>
      </c>
      <c r="N2889" s="95">
        <v>1</v>
      </c>
      <c r="O2889" s="109">
        <f>IF(Key!D$1="ON",P2889,IF(SUM(Q2889:DL2889)&lt;1,"",SUM(Q2889:DL2889)/COUNTIF(Q2889:DL2889,"&gt;0")))</f>
        <v>0</v>
      </c>
      <c r="P2889" s="109">
        <f>SUMIFS(Q2889:DK2889,Q$1:DK$1,Dashboard!$K$31)</f>
        <v>0</v>
      </c>
      <c r="U2889" s="95">
        <v>33</v>
      </c>
      <c r="AA2889" s="95">
        <v>25</v>
      </c>
      <c r="AH2889" s="95">
        <v>75</v>
      </c>
    </row>
    <row r="2890" spans="1:34" x14ac:dyDescent="0.3">
      <c r="A2890" s="89" t="str">
        <f>CONCATENATE(D2890,".",F2890,"-",G2890,".",H2890,"")</f>
        <v>2.4-7.1</v>
      </c>
      <c r="B2890" s="89" t="str">
        <f>IF(CONCATENATE(I2890,Key!F$2)=CONCATENATE(INDEX(Dashboard!J:J,MATCH(I2890,Dashboard!J:J,0),1),INDEX(Dashboard!J:K,MATCH(I2890,Dashboard!J:J,0),2)),"ON",IF(Dashboard!K$32="ALL","ON","-"))</f>
        <v>-</v>
      </c>
      <c r="C2890" s="88" t="s">
        <v>152</v>
      </c>
      <c r="D2890" s="89">
        <f>IF(C2890="ID",1,(IF(C2890="PR",2,(IF(C2890="DE",3,(IF(C2890="RS",4,(IF(C2890="RC",5,0)))))))))</f>
        <v>2</v>
      </c>
      <c r="E2890" s="89" t="s">
        <v>228</v>
      </c>
      <c r="F2890" s="89">
        <f>IF(E2890="AM",1,(IF(E2890="BE",2,(IF(E2890="GV",3,(IF(E2890="RA",4,(IF(E2890="RM",5,(IF(E2890="AC",1,(IF(E2890="AT",2,(IF(E2890="DS",3,(IF(E2890="IP",4,(IF(E2890="MA",5,(IF(E2890="PT",6,(IF(E2890="AE",1,(IF(E2890="CM",2,(IF(E2890="DP",3,(IF(E2890="AN",1,(IF(E2890="CO",2,(IF(E2890="IM",3,(IF(E2890="MI",4,(IF(E2890="RP",5,(IF(E2890="SC",6,0)))))))))))))))))))))))))))))))))))))))</f>
        <v>4</v>
      </c>
      <c r="G2890" s="52">
        <v>7</v>
      </c>
      <c r="H2890" s="90" t="s">
        <v>115</v>
      </c>
      <c r="I2890" s="94" t="s">
        <v>85</v>
      </c>
      <c r="J2890" s="87" t="s">
        <v>1827</v>
      </c>
      <c r="K2890" s="119" t="s">
        <v>5094</v>
      </c>
      <c r="L2890" s="117">
        <f>IF(O2890="","",N2890*O2890*M2890)</f>
        <v>0</v>
      </c>
      <c r="M2890" s="108">
        <v>1</v>
      </c>
      <c r="N2890" s="95">
        <v>1</v>
      </c>
      <c r="O2890" s="109">
        <f>IF(Key!D$1="ON",P2890,IF(SUM(Q2890:DL2890)&lt;1,"",SUM(Q2890:DL2890)/COUNTIF(Q2890:DL2890,"&gt;0")))</f>
        <v>0</v>
      </c>
      <c r="P2890" s="109">
        <f>SUMIFS(Q2890:DK2890,Q$1:DK$1,Dashboard!$K$31)</f>
        <v>0</v>
      </c>
      <c r="U2890" s="95">
        <v>33</v>
      </c>
      <c r="AA2890" s="95">
        <v>25</v>
      </c>
      <c r="AH2890" s="95">
        <v>75</v>
      </c>
    </row>
    <row r="2891" spans="1:34" ht="15.6" x14ac:dyDescent="0.3">
      <c r="A2891" s="89" t="str">
        <f>CONCATENATE(D2891,".",F2891,"-",G2891,".",H2891,"")</f>
        <v>2.4-7.1</v>
      </c>
      <c r="B2891" s="89" t="str">
        <f>IF(CONCATENATE(I2891,Key!F$2)=CONCATENATE(INDEX(Dashboard!J:J,MATCH(I2891,Dashboard!J:J,0),1),INDEX(Dashboard!J:K,MATCH(I2891,Dashboard!J:J,0),2)),"ON",IF(Dashboard!K$32="ALL","ON","-"))</f>
        <v>-</v>
      </c>
      <c r="C2891" s="88" t="s">
        <v>152</v>
      </c>
      <c r="D2891" s="89">
        <f>IF(C2891="ID",1,(IF(C2891="PR",2,(IF(C2891="DE",3,(IF(C2891="RS",4,(IF(C2891="RC",5,0)))))))))</f>
        <v>2</v>
      </c>
      <c r="E2891" s="89" t="s">
        <v>228</v>
      </c>
      <c r="F2891" s="89">
        <f>IF(E2891="AM",1,(IF(E2891="BE",2,(IF(E2891="GV",3,(IF(E2891="RA",4,(IF(E2891="RM",5,(IF(E2891="AC",1,(IF(E2891="AT",2,(IF(E2891="DS",3,(IF(E2891="IP",4,(IF(E2891="MA",5,(IF(E2891="PT",6,(IF(E2891="AE",1,(IF(E2891="CM",2,(IF(E2891="DP",3,(IF(E2891="AN",1,(IF(E2891="CO",2,(IF(E2891="IM",3,(IF(E2891="MI",4,(IF(E2891="RP",5,(IF(E2891="SC",6,0)))))))))))))))))))))))))))))))))))))))</f>
        <v>4</v>
      </c>
      <c r="G2891" s="98">
        <v>7</v>
      </c>
      <c r="H2891" s="90" t="s">
        <v>115</v>
      </c>
      <c r="I2891" s="94" t="s">
        <v>85</v>
      </c>
      <c r="J2891" s="87" t="s">
        <v>1654</v>
      </c>
      <c r="K2891" s="119" t="s">
        <v>1655</v>
      </c>
      <c r="L2891" s="117">
        <f>IF(O2891="","",N2891*O2891*M2891)</f>
        <v>0</v>
      </c>
      <c r="M2891" s="108">
        <v>1</v>
      </c>
      <c r="N2891" s="95">
        <v>1</v>
      </c>
      <c r="O2891" s="109">
        <f>IF(Key!D$1="ON",P2891,IF(SUM(Q2891:DL2891)&lt;1,"",SUM(Q2891:DL2891)/COUNTIF(Q2891:DL2891,"&gt;0")))</f>
        <v>0</v>
      </c>
      <c r="P2891" s="109">
        <f>SUMIFS(Q2891:DK2891,Q$1:DK$1,Dashboard!$K$31)</f>
        <v>0</v>
      </c>
      <c r="U2891" s="95">
        <v>33</v>
      </c>
      <c r="AA2891" s="95">
        <v>25</v>
      </c>
      <c r="AH2891" s="95">
        <v>75</v>
      </c>
    </row>
    <row r="2892" spans="1:34" x14ac:dyDescent="0.3">
      <c r="A2892" s="89" t="str">
        <f>CONCATENATE(D2892,".",F2892,"-",G2892,".",H2892,"")</f>
        <v>2.4-7.1</v>
      </c>
      <c r="B2892" s="89" t="str">
        <f>IF(CONCATENATE(I2892,Key!F$2)=CONCATENATE(INDEX(Dashboard!J:J,MATCH(I2892,Dashboard!J:J,0),1),INDEX(Dashboard!J:K,MATCH(I2892,Dashboard!J:J,0),2)),"ON",IF(Dashboard!K$32="ALL","ON","-"))</f>
        <v>-</v>
      </c>
      <c r="C2892" s="96" t="s">
        <v>152</v>
      </c>
      <c r="D2892" s="89">
        <f>IF(C2892="ID",1,(IF(C2892="PR",2,(IF(C2892="DE",3,(IF(C2892="RS",4,(IF(C2892="RC",5,0)))))))))</f>
        <v>2</v>
      </c>
      <c r="E2892" s="89" t="s">
        <v>228</v>
      </c>
      <c r="F2892" s="89">
        <f>IF(E2892="AM",1,(IF(E2892="BE",2,(IF(E2892="GV",3,(IF(E2892="RA",4,(IF(E2892="RM",5,(IF(E2892="AC",1,(IF(E2892="AT",2,(IF(E2892="DS",3,(IF(E2892="IP",4,(IF(E2892="MA",5,(IF(E2892="PT",6,(IF(E2892="AE",1,(IF(E2892="CM",2,(IF(E2892="DP",3,(IF(E2892="AN",1,(IF(E2892="CO",2,(IF(E2892="IM",3,(IF(E2892="MI",4,(IF(E2892="RP",5,(IF(E2892="SC",6,0)))))))))))))))))))))))))))))))))))))))</f>
        <v>4</v>
      </c>
      <c r="G2892" s="98">
        <v>7</v>
      </c>
      <c r="H2892" s="90" t="s">
        <v>115</v>
      </c>
      <c r="I2892" s="94" t="s">
        <v>85</v>
      </c>
      <c r="J2892" s="87" t="s">
        <v>1652</v>
      </c>
      <c r="K2892" s="119" t="s">
        <v>1653</v>
      </c>
      <c r="L2892" s="117">
        <f>IF(O2892="","",N2892*O2892*M2892)</f>
        <v>0</v>
      </c>
      <c r="M2892" s="108">
        <v>1</v>
      </c>
      <c r="N2892" s="95">
        <v>1</v>
      </c>
      <c r="O2892" s="109">
        <f>IF(Key!D$1="ON",P2892,IF(SUM(Q2892:DL2892)&lt;1,"",SUM(Q2892:DL2892)/COUNTIF(Q2892:DL2892,"&gt;0")))</f>
        <v>0</v>
      </c>
      <c r="P2892" s="109">
        <f>SUMIFS(Q2892:DK2892,Q$1:DK$1,Dashboard!$K$31)</f>
        <v>0</v>
      </c>
      <c r="U2892" s="95">
        <v>33</v>
      </c>
      <c r="AA2892" s="95">
        <v>25</v>
      </c>
      <c r="AH2892" s="95">
        <v>75</v>
      </c>
    </row>
    <row r="2893" spans="1:34" x14ac:dyDescent="0.3">
      <c r="A2893" s="89" t="str">
        <f>CONCATENATE(D2893,".",F2893,"-",G2893,".",H2893,"")</f>
        <v>2.4-7.1</v>
      </c>
      <c r="B2893" s="89" t="str">
        <f>IF(CONCATENATE(I2893,Key!F$2)=CONCATENATE(INDEX(Dashboard!J:J,MATCH(I2893,Dashboard!J:J,0),1),INDEX(Dashboard!J:K,MATCH(I2893,Dashboard!J:J,0),2)),"ON",IF(Dashboard!K$32="ALL","ON","-"))</f>
        <v>-</v>
      </c>
      <c r="C2893" s="88" t="s">
        <v>152</v>
      </c>
      <c r="D2893" s="89">
        <f>IF(C2893="ID",1,(IF(C2893="PR",2,(IF(C2893="DE",3,(IF(C2893="RS",4,(IF(C2893="RC",5,0)))))))))</f>
        <v>2</v>
      </c>
      <c r="E2893" s="89" t="s">
        <v>228</v>
      </c>
      <c r="F2893" s="89">
        <f>IF(E2893="AM",1,(IF(E2893="BE",2,(IF(E2893="GV",3,(IF(E2893="RA",4,(IF(E2893="RM",5,(IF(E2893="AC",1,(IF(E2893="AT",2,(IF(E2893="DS",3,(IF(E2893="IP",4,(IF(E2893="MA",5,(IF(E2893="PT",6,(IF(E2893="AE",1,(IF(E2893="CM",2,(IF(E2893="DP",3,(IF(E2893="AN",1,(IF(E2893="CO",2,(IF(E2893="IM",3,(IF(E2893="MI",4,(IF(E2893="RP",5,(IF(E2893="SC",6,0)))))))))))))))))))))))))))))))))))))))</f>
        <v>4</v>
      </c>
      <c r="G2893" s="52">
        <v>7</v>
      </c>
      <c r="H2893" s="90" t="s">
        <v>115</v>
      </c>
      <c r="I2893" s="94" t="s">
        <v>85</v>
      </c>
      <c r="J2893" s="87" t="s">
        <v>1656</v>
      </c>
      <c r="K2893" s="119" t="s">
        <v>5004</v>
      </c>
      <c r="L2893" s="117">
        <f>IF(O2893="","",N2893*O2893*M2893)</f>
        <v>0</v>
      </c>
      <c r="M2893" s="108">
        <v>1</v>
      </c>
      <c r="N2893" s="95">
        <v>1</v>
      </c>
      <c r="O2893" s="109">
        <f>IF(Key!D$1="ON",P2893,IF(SUM(Q2893:DL2893)&lt;1,"",SUM(Q2893:DL2893)/COUNTIF(Q2893:DL2893,"&gt;0")))</f>
        <v>0</v>
      </c>
      <c r="P2893" s="109">
        <f>SUMIFS(Q2893:DK2893,Q$1:DK$1,Dashboard!$K$31)</f>
        <v>0</v>
      </c>
      <c r="U2893" s="95">
        <v>33</v>
      </c>
      <c r="AA2893" s="95">
        <v>25</v>
      </c>
      <c r="AH2893" s="95">
        <v>75</v>
      </c>
    </row>
    <row r="2894" spans="1:34" x14ac:dyDescent="0.3">
      <c r="A2894" s="89" t="str">
        <f>CONCATENATE(D2894,".",F2894,"-",G2894,".",H2894,"")</f>
        <v>2.4-7.1</v>
      </c>
      <c r="B2894" s="89" t="str">
        <f>IF(CONCATENATE(I2894,Key!F$2)=CONCATENATE(INDEX(Dashboard!J:J,MATCH(I2894,Dashboard!J:J,0),1),INDEX(Dashboard!J:K,MATCH(I2894,Dashboard!J:J,0),2)),"ON",IF(Dashboard!K$32="ALL","ON","-"))</f>
        <v>-</v>
      </c>
      <c r="C2894" s="88" t="s">
        <v>152</v>
      </c>
      <c r="D2894" s="89">
        <f>IF(C2894="ID",1,(IF(C2894="PR",2,(IF(C2894="DE",3,(IF(C2894="RS",4,(IF(C2894="RC",5,0)))))))))</f>
        <v>2</v>
      </c>
      <c r="E2894" s="89" t="s">
        <v>228</v>
      </c>
      <c r="F2894" s="89">
        <f>IF(E2894="AM",1,(IF(E2894="BE",2,(IF(E2894="GV",3,(IF(E2894="RA",4,(IF(E2894="RM",5,(IF(E2894="AC",1,(IF(E2894="AT",2,(IF(E2894="DS",3,(IF(E2894="IP",4,(IF(E2894="MA",5,(IF(E2894="PT",6,(IF(E2894="AE",1,(IF(E2894="CM",2,(IF(E2894="DP",3,(IF(E2894="AN",1,(IF(E2894="CO",2,(IF(E2894="IM",3,(IF(E2894="MI",4,(IF(E2894="RP",5,(IF(E2894="SC",6,0)))))))))))))))))))))))))))))))))))))))</f>
        <v>4</v>
      </c>
      <c r="G2894" s="52">
        <v>7</v>
      </c>
      <c r="H2894" s="90" t="s">
        <v>115</v>
      </c>
      <c r="I2894" s="94" t="s">
        <v>85</v>
      </c>
      <c r="J2894" s="87" t="s">
        <v>1647</v>
      </c>
      <c r="K2894" s="119" t="s">
        <v>1648</v>
      </c>
      <c r="L2894" s="117">
        <f>IF(O2894="","",N2894*O2894*M2894)</f>
        <v>0</v>
      </c>
      <c r="M2894" s="108">
        <v>1</v>
      </c>
      <c r="N2894" s="95">
        <v>1</v>
      </c>
      <c r="O2894" s="109">
        <f>IF(Key!D$1="ON",P2894,IF(SUM(Q2894:DL2894)&lt;1,"",SUM(Q2894:DL2894)/COUNTIF(Q2894:DL2894,"&gt;0")))</f>
        <v>0</v>
      </c>
      <c r="P2894" s="109">
        <f>SUMIFS(Q2894:DK2894,Q$1:DK$1,Dashboard!$K$31)</f>
        <v>0</v>
      </c>
      <c r="U2894" s="95">
        <v>33</v>
      </c>
      <c r="AA2894" s="95">
        <v>25</v>
      </c>
      <c r="AH2894" s="95">
        <v>75</v>
      </c>
    </row>
    <row r="2895" spans="1:34" x14ac:dyDescent="0.3">
      <c r="A2895" s="89" t="str">
        <f>CONCATENATE(D2895,".",F2895,"-",G2895,".",H2895,"")</f>
        <v>2.4-7.1</v>
      </c>
      <c r="B2895" s="89" t="str">
        <f>IF(CONCATENATE(I2895,Key!F$2)=CONCATENATE(INDEX(Dashboard!J:J,MATCH(I2895,Dashboard!J:J,0),1),INDEX(Dashboard!J:K,MATCH(I2895,Dashboard!J:J,0),2)),"ON",IF(Dashboard!K$32="ALL","ON","-"))</f>
        <v>-</v>
      </c>
      <c r="C2895" s="96" t="s">
        <v>152</v>
      </c>
      <c r="D2895" s="89">
        <f>IF(C2895="ID",1,(IF(C2895="PR",2,(IF(C2895="DE",3,(IF(C2895="RS",4,(IF(C2895="RC",5,0)))))))))</f>
        <v>2</v>
      </c>
      <c r="E2895" s="89" t="s">
        <v>228</v>
      </c>
      <c r="F2895" s="89">
        <f>IF(E2895="AM",1,(IF(E2895="BE",2,(IF(E2895="GV",3,(IF(E2895="RA",4,(IF(E2895="RM",5,(IF(E2895="AC",1,(IF(E2895="AT",2,(IF(E2895="DS",3,(IF(E2895="IP",4,(IF(E2895="MA",5,(IF(E2895="PT",6,(IF(E2895="AE",1,(IF(E2895="CM",2,(IF(E2895="DP",3,(IF(E2895="AN",1,(IF(E2895="CO",2,(IF(E2895="IM",3,(IF(E2895="MI",4,(IF(E2895="RP",5,(IF(E2895="SC",6,0)))))))))))))))))))))))))))))))))))))))</f>
        <v>4</v>
      </c>
      <c r="G2895" s="98">
        <v>7</v>
      </c>
      <c r="H2895" s="90" t="s">
        <v>115</v>
      </c>
      <c r="I2895" s="94" t="s">
        <v>85</v>
      </c>
      <c r="J2895" s="87" t="s">
        <v>1649</v>
      </c>
      <c r="K2895" s="119" t="s">
        <v>1650</v>
      </c>
      <c r="L2895" s="117">
        <f>IF(O2895="","",N2895*O2895*M2895)</f>
        <v>0</v>
      </c>
      <c r="M2895" s="108">
        <v>1</v>
      </c>
      <c r="N2895" s="95">
        <v>1</v>
      </c>
      <c r="O2895" s="109">
        <f>IF(Key!D$1="ON",P2895,IF(SUM(Q2895:DL2895)&lt;1,"",SUM(Q2895:DL2895)/COUNTIF(Q2895:DL2895,"&gt;0")))</f>
        <v>0</v>
      </c>
      <c r="P2895" s="109">
        <f>SUMIFS(Q2895:DK2895,Q$1:DK$1,Dashboard!$K$31)</f>
        <v>0</v>
      </c>
      <c r="U2895" s="95">
        <v>33</v>
      </c>
      <c r="AA2895" s="95">
        <v>25</v>
      </c>
      <c r="AH2895" s="95">
        <v>75</v>
      </c>
    </row>
    <row r="2896" spans="1:34" x14ac:dyDescent="0.3">
      <c r="A2896" s="89" t="str">
        <f>CONCATENATE(D2896,".",F2896,"-",G2896,".",H2896,"")</f>
        <v>2.4-7.1</v>
      </c>
      <c r="B2896" s="89" t="str">
        <f>IF(CONCATENATE(I2896,Key!F$2)=CONCATENATE(INDEX(Dashboard!J:J,MATCH(I2896,Dashboard!J:J,0),1),INDEX(Dashboard!J:K,MATCH(I2896,Dashboard!J:J,0),2)),"ON",IF(Dashboard!K$32="ALL","ON","-"))</f>
        <v>-</v>
      </c>
      <c r="C2896" s="88" t="s">
        <v>152</v>
      </c>
      <c r="D2896" s="89">
        <f>IF(C2896="ID",1,(IF(C2896="PR",2,(IF(C2896="DE",3,(IF(C2896="RS",4,(IF(C2896="RC",5,0)))))))))</f>
        <v>2</v>
      </c>
      <c r="E2896" s="89" t="s">
        <v>228</v>
      </c>
      <c r="F2896" s="89">
        <f>IF(E2896="AM",1,(IF(E2896="BE",2,(IF(E2896="GV",3,(IF(E2896="RA",4,(IF(E2896="RM",5,(IF(E2896="AC",1,(IF(E2896="AT",2,(IF(E2896="DS",3,(IF(E2896="IP",4,(IF(E2896="MA",5,(IF(E2896="PT",6,(IF(E2896="AE",1,(IF(E2896="CM",2,(IF(E2896="DP",3,(IF(E2896="AN",1,(IF(E2896="CO",2,(IF(E2896="IM",3,(IF(E2896="MI",4,(IF(E2896="RP",5,(IF(E2896="SC",6,0)))))))))))))))))))))))))))))))))))))))</f>
        <v>4</v>
      </c>
      <c r="G2896" s="52">
        <v>7</v>
      </c>
      <c r="H2896" s="90" t="s">
        <v>115</v>
      </c>
      <c r="I2896" s="94" t="s">
        <v>85</v>
      </c>
      <c r="J2896" s="135" t="s">
        <v>698</v>
      </c>
      <c r="K2896" s="143" t="s">
        <v>4789</v>
      </c>
      <c r="L2896" s="117">
        <f>IF(O2896="","",N2896*O2896*M2896)</f>
        <v>0</v>
      </c>
      <c r="M2896" s="108">
        <v>1</v>
      </c>
      <c r="N2896" s="95">
        <v>1</v>
      </c>
      <c r="O2896" s="109">
        <f>IF(Key!D$1="ON",P2896,IF(SUM(Q2896:DL2896)&lt;1,"",SUM(Q2896:DL2896)/COUNTIF(Q2896:DL2896,"&gt;0")))</f>
        <v>0</v>
      </c>
      <c r="P2896" s="109">
        <f>SUMIFS(Q2896:DK2896,Q$1:DK$1,Dashboard!$K$31)</f>
        <v>0</v>
      </c>
      <c r="U2896" s="95">
        <v>33</v>
      </c>
      <c r="AA2896" s="95">
        <v>25</v>
      </c>
      <c r="AH2896" s="95">
        <v>75</v>
      </c>
    </row>
    <row r="2897" spans="1:34" x14ac:dyDescent="0.3">
      <c r="A2897" s="89" t="str">
        <f>CONCATENATE(D2897,".",F2897,"-",G2897,".",H2897,"")</f>
        <v>2.4-7.1</v>
      </c>
      <c r="B2897" s="89" t="str">
        <f>IF(CONCATENATE(I2897,Key!F$2)=CONCATENATE(INDEX(Dashboard!J:J,MATCH(I2897,Dashboard!J:J,0),1),INDEX(Dashboard!J:K,MATCH(I2897,Dashboard!J:J,0),2)),"ON",IF(Dashboard!K$32="ALL","ON","-"))</f>
        <v>-</v>
      </c>
      <c r="C2897" s="88" t="s">
        <v>152</v>
      </c>
      <c r="D2897" s="89">
        <f>IF(C2897="ID",1,(IF(C2897="PR",2,(IF(C2897="DE",3,(IF(C2897="RS",4,(IF(C2897="RC",5,0)))))))))</f>
        <v>2</v>
      </c>
      <c r="E2897" s="89" t="s">
        <v>228</v>
      </c>
      <c r="F2897" s="89">
        <f>IF(E2897="AM",1,(IF(E2897="BE",2,(IF(E2897="GV",3,(IF(E2897="RA",4,(IF(E2897="RM",5,(IF(E2897="AC",1,(IF(E2897="AT",2,(IF(E2897="DS",3,(IF(E2897="IP",4,(IF(E2897="MA",5,(IF(E2897="PT",6,(IF(E2897="AE",1,(IF(E2897="CM",2,(IF(E2897="DP",3,(IF(E2897="AN",1,(IF(E2897="CO",2,(IF(E2897="IM",3,(IF(E2897="MI",4,(IF(E2897="RP",5,(IF(E2897="SC",6,0)))))))))))))))))))))))))))))))))))))))</f>
        <v>4</v>
      </c>
      <c r="G2897" s="52">
        <v>7</v>
      </c>
      <c r="H2897" s="90" t="s">
        <v>115</v>
      </c>
      <c r="I2897" s="94" t="s">
        <v>85</v>
      </c>
      <c r="J2897" s="135" t="s">
        <v>776</v>
      </c>
      <c r="K2897" s="143" t="s">
        <v>4996</v>
      </c>
      <c r="L2897" s="117">
        <f>IF(O2897="","",N2897*O2897*M2897)</f>
        <v>0</v>
      </c>
      <c r="M2897" s="108">
        <v>1</v>
      </c>
      <c r="N2897" s="95">
        <v>1</v>
      </c>
      <c r="O2897" s="109">
        <f>IF(Key!D$1="ON",P2897,IF(SUM(Q2897:DL2897)&lt;1,"",SUM(Q2897:DL2897)/COUNTIF(Q2897:DL2897,"&gt;0")))</f>
        <v>0</v>
      </c>
      <c r="P2897" s="109">
        <f>SUMIFS(Q2897:DK2897,Q$1:DK$1,Dashboard!$K$31)</f>
        <v>0</v>
      </c>
      <c r="U2897" s="95">
        <v>33</v>
      </c>
      <c r="AA2897" s="95">
        <v>25</v>
      </c>
      <c r="AH2897" s="95">
        <v>75</v>
      </c>
    </row>
    <row r="2898" spans="1:34" x14ac:dyDescent="0.3">
      <c r="A2898" s="89" t="str">
        <f>CONCATENATE(D2898,".",F2898,"-",G2898,".",H2898,"")</f>
        <v>2.4-7.1</v>
      </c>
      <c r="B2898" s="89" t="str">
        <f>IF(CONCATENATE(I2898,Key!F$2)=CONCATENATE(INDEX(Dashboard!J:J,MATCH(I2898,Dashboard!J:J,0),1),INDEX(Dashboard!J:K,MATCH(I2898,Dashboard!J:J,0),2)),"ON",IF(Dashboard!K$32="ALL","ON","-"))</f>
        <v>-</v>
      </c>
      <c r="C2898" s="96" t="s">
        <v>152</v>
      </c>
      <c r="D2898" s="89">
        <f>IF(C2898="ID",1,(IF(C2898="PR",2,(IF(C2898="DE",3,(IF(C2898="RS",4,(IF(C2898="RC",5,0)))))))))</f>
        <v>2</v>
      </c>
      <c r="E2898" s="89" t="s">
        <v>228</v>
      </c>
      <c r="F2898" s="89">
        <f>IF(E2898="AM",1,(IF(E2898="BE",2,(IF(E2898="GV",3,(IF(E2898="RA",4,(IF(E2898="RM",5,(IF(E2898="AC",1,(IF(E2898="AT",2,(IF(E2898="DS",3,(IF(E2898="IP",4,(IF(E2898="MA",5,(IF(E2898="PT",6,(IF(E2898="AE",1,(IF(E2898="CM",2,(IF(E2898="DP",3,(IF(E2898="AN",1,(IF(E2898="CO",2,(IF(E2898="IM",3,(IF(E2898="MI",4,(IF(E2898="RP",5,(IF(E2898="SC",6,0)))))))))))))))))))))))))))))))))))))))</f>
        <v>4</v>
      </c>
      <c r="G2898" s="52">
        <v>7</v>
      </c>
      <c r="H2898" s="90" t="s">
        <v>115</v>
      </c>
      <c r="I2898" s="94" t="s">
        <v>85</v>
      </c>
      <c r="J2898" s="135" t="s">
        <v>779</v>
      </c>
      <c r="K2898" s="143" t="s">
        <v>4910</v>
      </c>
      <c r="L2898" s="117">
        <f>IF(O2898="","",N2898*O2898*M2898)</f>
        <v>0</v>
      </c>
      <c r="M2898" s="108">
        <v>1</v>
      </c>
      <c r="N2898" s="95">
        <v>1</v>
      </c>
      <c r="O2898" s="109">
        <f>IF(Key!D$1="ON",P2898,IF(SUM(Q2898:DL2898)&lt;1,"",SUM(Q2898:DL2898)/COUNTIF(Q2898:DL2898,"&gt;0")))</f>
        <v>0</v>
      </c>
      <c r="P2898" s="109">
        <f>SUMIFS(Q2898:DK2898,Q$1:DK$1,Dashboard!$K$31)</f>
        <v>0</v>
      </c>
      <c r="U2898" s="95">
        <v>33</v>
      </c>
      <c r="AA2898" s="95">
        <v>25</v>
      </c>
      <c r="AH2898" s="95">
        <v>75</v>
      </c>
    </row>
    <row r="2899" spans="1:34" x14ac:dyDescent="0.3">
      <c r="A2899" s="89" t="str">
        <f>CONCATENATE(D2899,".",F2899,"-",G2899,".",H2899,"")</f>
        <v>2.4-7.1</v>
      </c>
      <c r="B2899" s="89" t="str">
        <f>IF(CONCATENATE(I2899,Key!F$2)=CONCATENATE(INDEX(Dashboard!J:J,MATCH(I2899,Dashboard!J:J,0),1),INDEX(Dashboard!J:K,MATCH(I2899,Dashboard!J:J,0),2)),"ON",IF(Dashboard!K$32="ALL","ON","-"))</f>
        <v>-</v>
      </c>
      <c r="C2899" s="88" t="s">
        <v>152</v>
      </c>
      <c r="D2899" s="89">
        <f>IF(C2899="ID",1,(IF(C2899="PR",2,(IF(C2899="DE",3,(IF(C2899="RS",4,(IF(C2899="RC",5,0)))))))))</f>
        <v>2</v>
      </c>
      <c r="E2899" s="89" t="s">
        <v>228</v>
      </c>
      <c r="F2899" s="89">
        <f>IF(E2899="AM",1,(IF(E2899="BE",2,(IF(E2899="GV",3,(IF(E2899="RA",4,(IF(E2899="RM",5,(IF(E2899="AC",1,(IF(E2899="AT",2,(IF(E2899="DS",3,(IF(E2899="IP",4,(IF(E2899="MA",5,(IF(E2899="PT",6,(IF(E2899="AE",1,(IF(E2899="CM",2,(IF(E2899="DP",3,(IF(E2899="AN",1,(IF(E2899="CO",2,(IF(E2899="IM",3,(IF(E2899="MI",4,(IF(E2899="RP",5,(IF(E2899="SC",6,0)))))))))))))))))))))))))))))))))))))))</f>
        <v>4</v>
      </c>
      <c r="G2899" s="52">
        <v>7</v>
      </c>
      <c r="H2899" s="90" t="s">
        <v>115</v>
      </c>
      <c r="I2899" s="94" t="s">
        <v>89</v>
      </c>
      <c r="J2899" s="88" t="s">
        <v>566</v>
      </c>
      <c r="K2899" s="102" t="s">
        <v>567</v>
      </c>
      <c r="L2899" s="117">
        <f>IF(O2899="","",N2899*O2899*M2899)</f>
        <v>0</v>
      </c>
      <c r="M2899" s="108">
        <v>1</v>
      </c>
      <c r="N2899" s="95">
        <v>1</v>
      </c>
      <c r="O2899" s="109">
        <f>IF(Key!D$1="ON",P2899,IF(SUM(Q2899:DL2899)&lt;1,"",SUM(Q2899:DL2899)/COUNTIF(Q2899:DL2899,"&gt;0")))</f>
        <v>0</v>
      </c>
      <c r="P2899" s="109">
        <f>SUMIFS(Q2899:DK2899,Q$1:DK$1,Dashboard!$K$31)</f>
        <v>0</v>
      </c>
      <c r="U2899" s="95">
        <v>33</v>
      </c>
      <c r="AA2899" s="95">
        <v>25</v>
      </c>
      <c r="AH2899" s="95">
        <v>75</v>
      </c>
    </row>
    <row r="2900" spans="1:34" x14ac:dyDescent="0.3">
      <c r="A2900" s="89" t="str">
        <f>CONCATENATE(D2900,".",F2900,"-",G2900,".",H2900,"")</f>
        <v>2.4-7.1</v>
      </c>
      <c r="B2900" s="89" t="str">
        <f>IF(CONCATENATE(I2900,Key!F$2)=CONCATENATE(INDEX(Dashboard!J:J,MATCH(I2900,Dashboard!J:J,0),1),INDEX(Dashboard!J:K,MATCH(I2900,Dashboard!J:J,0),2)),"ON",IF(Dashboard!K$32="ALL","ON","-"))</f>
        <v>-</v>
      </c>
      <c r="C2900" s="96" t="s">
        <v>152</v>
      </c>
      <c r="D2900" s="89">
        <f>IF(C2900="ID",1,(IF(C2900="PR",2,(IF(C2900="DE",3,(IF(C2900="RS",4,(IF(C2900="RC",5,0)))))))))</f>
        <v>2</v>
      </c>
      <c r="E2900" s="89" t="s">
        <v>228</v>
      </c>
      <c r="F2900" s="89">
        <f>IF(E2900="AM",1,(IF(E2900="BE",2,(IF(E2900="GV",3,(IF(E2900="RA",4,(IF(E2900="RM",5,(IF(E2900="AC",1,(IF(E2900="AT",2,(IF(E2900="DS",3,(IF(E2900="IP",4,(IF(E2900="MA",5,(IF(E2900="PT",6,(IF(E2900="AE",1,(IF(E2900="CM",2,(IF(E2900="DP",3,(IF(E2900="AN",1,(IF(E2900="CO",2,(IF(E2900="IM",3,(IF(E2900="MI",4,(IF(E2900="RP",5,(IF(E2900="SC",6,0)))))))))))))))))))))))))))))))))))))))</f>
        <v>4</v>
      </c>
      <c r="G2900" s="52">
        <v>7</v>
      </c>
      <c r="H2900" s="90" t="s">
        <v>115</v>
      </c>
      <c r="I2900" s="94" t="s">
        <v>92</v>
      </c>
      <c r="J2900" s="88">
        <v>6.2</v>
      </c>
      <c r="K2900" s="102" t="s">
        <v>5226</v>
      </c>
      <c r="L2900" s="117">
        <f>IF(O2900="","",N2900*O2900*M2900)</f>
        <v>0</v>
      </c>
      <c r="M2900" s="108">
        <v>1</v>
      </c>
      <c r="N2900" s="95">
        <v>1</v>
      </c>
      <c r="O2900" s="109">
        <f>IF(Key!D$1="ON",P2900,IF(SUM(Q2900:DL2900)&lt;1,"",SUM(Q2900:DL2900)/COUNTIF(Q2900:DL2900,"&gt;0")))</f>
        <v>0</v>
      </c>
      <c r="P2900" s="109">
        <f>SUMIFS(Q2900:DK2900,Q$1:DK$1,Dashboard!$K$31)</f>
        <v>0</v>
      </c>
      <c r="U2900" s="95">
        <v>33</v>
      </c>
      <c r="AA2900" s="95">
        <v>25</v>
      </c>
      <c r="AH2900" s="95">
        <v>75</v>
      </c>
    </row>
    <row r="2901" spans="1:34" x14ac:dyDescent="0.3">
      <c r="A2901" s="89" t="str">
        <f>CONCATENATE(D2901,".",F2901,"-",G2901,".",H2901,"")</f>
        <v>2.4-7.1</v>
      </c>
      <c r="B2901" s="89" t="str">
        <f>IF(CONCATENATE(I2901,Key!F$2)=CONCATENATE(INDEX(Dashboard!J:J,MATCH(I2901,Dashboard!J:J,0),1),INDEX(Dashboard!J:K,MATCH(I2901,Dashboard!J:J,0),2)),"ON",IF(Dashboard!K$32="ALL","ON","-"))</f>
        <v>-</v>
      </c>
      <c r="C2901" s="96" t="s">
        <v>152</v>
      </c>
      <c r="D2901" s="89">
        <f>IF(C2901="ID",1,(IF(C2901="PR",2,(IF(C2901="DE",3,(IF(C2901="RS",4,(IF(C2901="RC",5,0)))))))))</f>
        <v>2</v>
      </c>
      <c r="E2901" s="89" t="s">
        <v>228</v>
      </c>
      <c r="F2901" s="89">
        <f>IF(E2901="AM",1,(IF(E2901="BE",2,(IF(E2901="GV",3,(IF(E2901="RA",4,(IF(E2901="RM",5,(IF(E2901="AC",1,(IF(E2901="AT",2,(IF(E2901="DS",3,(IF(E2901="IP",4,(IF(E2901="MA",5,(IF(E2901="PT",6,(IF(E2901="AE",1,(IF(E2901="CM",2,(IF(E2901="DP",3,(IF(E2901="AN",1,(IF(E2901="CO",2,(IF(E2901="IM",3,(IF(E2901="MI",4,(IF(E2901="RP",5,(IF(E2901="SC",6,0)))))))))))))))))))))))))))))))))))))))</f>
        <v>4</v>
      </c>
      <c r="G2901" s="52">
        <v>7</v>
      </c>
      <c r="H2901" s="90" t="s">
        <v>115</v>
      </c>
      <c r="I2901" s="94" t="s">
        <v>92</v>
      </c>
      <c r="J2901" s="88">
        <v>11</v>
      </c>
      <c r="K2901" s="102" t="s">
        <v>5226</v>
      </c>
      <c r="L2901" s="117">
        <f>IF(O2901="","",N2901*O2901*M2901)</f>
        <v>0</v>
      </c>
      <c r="M2901" s="108">
        <v>1</v>
      </c>
      <c r="N2901" s="95">
        <v>1</v>
      </c>
      <c r="O2901" s="109">
        <f>IF(Key!D$1="ON",P2901,IF(SUM(Q2901:DL2901)&lt;1,"",SUM(Q2901:DL2901)/COUNTIF(Q2901:DL2901,"&gt;0")))</f>
        <v>0</v>
      </c>
      <c r="P2901" s="109">
        <f>SUMIFS(Q2901:DK2901,Q$1:DK$1,Dashboard!$K$31)</f>
        <v>0</v>
      </c>
      <c r="U2901" s="95">
        <v>33</v>
      </c>
      <c r="AA2901" s="95">
        <v>25</v>
      </c>
      <c r="AH2901" s="95">
        <v>75</v>
      </c>
    </row>
    <row r="2902" spans="1:34" x14ac:dyDescent="0.3">
      <c r="A2902" s="89" t="str">
        <f>CONCATENATE(D2902,".",F2902,"-",G2902,".",H2902,"")</f>
        <v>2.4-7.1</v>
      </c>
      <c r="B2902" s="89" t="str">
        <f>IF(CONCATENATE(I2902,Key!F$2)=CONCATENATE(INDEX(Dashboard!J:J,MATCH(I2902,Dashboard!J:J,0),1),INDEX(Dashboard!J:K,MATCH(I2902,Dashboard!J:J,0),2)),"ON",IF(Dashboard!K$32="ALL","ON","-"))</f>
        <v>-</v>
      </c>
      <c r="C2902" s="88" t="s">
        <v>152</v>
      </c>
      <c r="D2902" s="89">
        <f>IF(C2902="ID",1,(IF(C2902="PR",2,(IF(C2902="DE",3,(IF(C2902="RS",4,(IF(C2902="RC",5,0)))))))))</f>
        <v>2</v>
      </c>
      <c r="E2902" s="89" t="s">
        <v>228</v>
      </c>
      <c r="F2902" s="89">
        <f>IF(E2902="AM",1,(IF(E2902="BE",2,(IF(E2902="GV",3,(IF(E2902="RA",4,(IF(E2902="RM",5,(IF(E2902="AC",1,(IF(E2902="AT",2,(IF(E2902="DS",3,(IF(E2902="IP",4,(IF(E2902="MA",5,(IF(E2902="PT",6,(IF(E2902="AE",1,(IF(E2902="CM",2,(IF(E2902="DP",3,(IF(E2902="AN",1,(IF(E2902="CO",2,(IF(E2902="IM",3,(IF(E2902="MI",4,(IF(E2902="RP",5,(IF(E2902="SC",6,0)))))))))))))))))))))))))))))))))))))))</f>
        <v>4</v>
      </c>
      <c r="G2902" s="52">
        <v>7</v>
      </c>
      <c r="H2902" s="90" t="s">
        <v>115</v>
      </c>
      <c r="I2902" s="94" t="s">
        <v>92</v>
      </c>
      <c r="J2902" s="88" t="s">
        <v>254</v>
      </c>
      <c r="K2902" s="102" t="s">
        <v>5226</v>
      </c>
      <c r="L2902" s="117">
        <f>IF(O2902="","",N2902*O2902*M2902)</f>
        <v>0</v>
      </c>
      <c r="M2902" s="108">
        <v>1</v>
      </c>
      <c r="N2902" s="95">
        <v>1</v>
      </c>
      <c r="O2902" s="109">
        <f>IF(Key!D$1="ON",P2902,IF(SUM(Q2902:DL2902)&lt;1,"",SUM(Q2902:DL2902)/COUNTIF(Q2902:DL2902,"&gt;0")))</f>
        <v>0</v>
      </c>
      <c r="P2902" s="109">
        <f>SUMIFS(Q2902:DK2902,Q$1:DK$1,Dashboard!$K$31)</f>
        <v>0</v>
      </c>
      <c r="U2902" s="95">
        <v>33</v>
      </c>
      <c r="AA2902" s="95">
        <v>25</v>
      </c>
      <c r="AH2902" s="95">
        <v>75</v>
      </c>
    </row>
    <row r="2903" spans="1:34" x14ac:dyDescent="0.3">
      <c r="A2903" s="89" t="str">
        <f>CONCATENATE(D2903,".",F2903,"-",G2903,".",H2903,"")</f>
        <v>2.4-7.1</v>
      </c>
      <c r="B2903" s="89" t="str">
        <f>IF(CONCATENATE(I2903,Key!F$2)=CONCATENATE(INDEX(Dashboard!J:J,MATCH(I2903,Dashboard!J:J,0),1),INDEX(Dashboard!J:K,MATCH(I2903,Dashboard!J:J,0),2)),"ON",IF(Dashboard!K$32="ALL","ON","-"))</f>
        <v>-</v>
      </c>
      <c r="C2903" s="88" t="s">
        <v>152</v>
      </c>
      <c r="D2903" s="89">
        <f>IF(C2903="ID",1,(IF(C2903="PR",2,(IF(C2903="DE",3,(IF(C2903="RS",4,(IF(C2903="RC",5,0)))))))))</f>
        <v>2</v>
      </c>
      <c r="E2903" s="89" t="s">
        <v>228</v>
      </c>
      <c r="F2903" s="89">
        <f>IF(E2903="AM",1,(IF(E2903="BE",2,(IF(E2903="GV",3,(IF(E2903="RA",4,(IF(E2903="RM",5,(IF(E2903="AC",1,(IF(E2903="AT",2,(IF(E2903="DS",3,(IF(E2903="IP",4,(IF(E2903="MA",5,(IF(E2903="PT",6,(IF(E2903="AE",1,(IF(E2903="CM",2,(IF(E2903="DP",3,(IF(E2903="AN",1,(IF(E2903="CO",2,(IF(E2903="IM",3,(IF(E2903="MI",4,(IF(E2903="RP",5,(IF(E2903="SC",6,0)))))))))))))))))))))))))))))))))))))))</f>
        <v>4</v>
      </c>
      <c r="G2903" s="52">
        <v>7</v>
      </c>
      <c r="H2903" s="90" t="s">
        <v>115</v>
      </c>
      <c r="I2903" s="94" t="s">
        <v>92</v>
      </c>
      <c r="J2903" s="88" t="s">
        <v>255</v>
      </c>
      <c r="K2903" s="102" t="s">
        <v>5226</v>
      </c>
      <c r="L2903" s="117">
        <f>IF(O2903="","",N2903*O2903*M2903)</f>
        <v>0</v>
      </c>
      <c r="M2903" s="108">
        <v>1</v>
      </c>
      <c r="N2903" s="95">
        <v>1</v>
      </c>
      <c r="O2903" s="109">
        <f>IF(Key!D$1="ON",P2903,IF(SUM(Q2903:DL2903)&lt;1,"",SUM(Q2903:DL2903)/COUNTIF(Q2903:DL2903,"&gt;0")))</f>
        <v>0</v>
      </c>
      <c r="P2903" s="109">
        <f>SUMIFS(Q2903:DK2903,Q$1:DK$1,Dashboard!$K$31)</f>
        <v>0</v>
      </c>
      <c r="U2903" s="95">
        <v>33</v>
      </c>
      <c r="AA2903" s="95">
        <v>25</v>
      </c>
      <c r="AH2903" s="95">
        <v>75</v>
      </c>
    </row>
    <row r="2904" spans="1:34" x14ac:dyDescent="0.3">
      <c r="A2904" s="89" t="str">
        <f>CONCATENATE(D2904,".",F2904,"-",G2904,".",H2904,"")</f>
        <v>2.4-7.1</v>
      </c>
      <c r="B2904" s="89" t="str">
        <f>IF(CONCATENATE(I2904,Key!F$2)=CONCATENATE(INDEX(Dashboard!J:J,MATCH(I2904,Dashboard!J:J,0),1),INDEX(Dashboard!J:K,MATCH(I2904,Dashboard!J:J,0),2)),"ON",IF(Dashboard!K$32="ALL","ON","-"))</f>
        <v>-</v>
      </c>
      <c r="C2904" s="88" t="s">
        <v>152</v>
      </c>
      <c r="D2904" s="89">
        <f>IF(C2904="ID",1,(IF(C2904="PR",2,(IF(C2904="DE",3,(IF(C2904="RS",4,(IF(C2904="RC",5,0)))))))))</f>
        <v>2</v>
      </c>
      <c r="E2904" s="89" t="s">
        <v>228</v>
      </c>
      <c r="F2904" s="89">
        <f>IF(E2904="AM",1,(IF(E2904="BE",2,(IF(E2904="GV",3,(IF(E2904="RA",4,(IF(E2904="RM",5,(IF(E2904="AC",1,(IF(E2904="AT",2,(IF(E2904="DS",3,(IF(E2904="IP",4,(IF(E2904="MA",5,(IF(E2904="PT",6,(IF(E2904="AE",1,(IF(E2904="CM",2,(IF(E2904="DP",3,(IF(E2904="AN",1,(IF(E2904="CO",2,(IF(E2904="IM",3,(IF(E2904="MI",4,(IF(E2904="RP",5,(IF(E2904="SC",6,0)))))))))))))))))))))))))))))))))))))))</f>
        <v>4</v>
      </c>
      <c r="G2904" s="52">
        <v>7</v>
      </c>
      <c r="H2904" s="90" t="s">
        <v>115</v>
      </c>
      <c r="I2904" s="94" t="s">
        <v>92</v>
      </c>
      <c r="J2904" s="88" t="s">
        <v>256</v>
      </c>
      <c r="K2904" s="102" t="s">
        <v>5226</v>
      </c>
      <c r="L2904" s="117">
        <f>IF(O2904="","",N2904*O2904*M2904)</f>
        <v>0</v>
      </c>
      <c r="M2904" s="108">
        <v>1</v>
      </c>
      <c r="N2904" s="95">
        <v>1</v>
      </c>
      <c r="O2904" s="109">
        <f>IF(Key!D$1="ON",P2904,IF(SUM(Q2904:DL2904)&lt;1,"",SUM(Q2904:DL2904)/COUNTIF(Q2904:DL2904,"&gt;0")))</f>
        <v>0</v>
      </c>
      <c r="P2904" s="109">
        <f>SUMIFS(Q2904:DK2904,Q$1:DK$1,Dashboard!$K$31)</f>
        <v>0</v>
      </c>
      <c r="U2904" s="95">
        <v>33</v>
      </c>
      <c r="AA2904" s="95">
        <v>25</v>
      </c>
      <c r="AH2904" s="95">
        <v>75</v>
      </c>
    </row>
    <row r="2905" spans="1:34" x14ac:dyDescent="0.3">
      <c r="A2905" s="89" t="str">
        <f>CONCATENATE(D2905,".",F2905,"-",G2905,".",H2905,"")</f>
        <v>2.4-7.1</v>
      </c>
      <c r="B2905" s="89" t="str">
        <f>IF(CONCATENATE(I2905,Key!F$2)=CONCATENATE(INDEX(Dashboard!J:J,MATCH(I2905,Dashboard!J:J,0),1),INDEX(Dashboard!J:K,MATCH(I2905,Dashboard!J:J,0),2)),"ON",IF(Dashboard!K$32="ALL","ON","-"))</f>
        <v>-</v>
      </c>
      <c r="C2905" s="88" t="s">
        <v>152</v>
      </c>
      <c r="D2905" s="89">
        <f>IF(C2905="ID",1,(IF(C2905="PR",2,(IF(C2905="DE",3,(IF(C2905="RS",4,(IF(C2905="RC",5,0)))))))))</f>
        <v>2</v>
      </c>
      <c r="E2905" s="89" t="s">
        <v>228</v>
      </c>
      <c r="F2905" s="89">
        <f>IF(E2905="AM",1,(IF(E2905="BE",2,(IF(E2905="GV",3,(IF(E2905="RA",4,(IF(E2905="RM",5,(IF(E2905="AC",1,(IF(E2905="AT",2,(IF(E2905="DS",3,(IF(E2905="IP",4,(IF(E2905="MA",5,(IF(E2905="PT",6,(IF(E2905="AE",1,(IF(E2905="CM",2,(IF(E2905="DP",3,(IF(E2905="AN",1,(IF(E2905="CO",2,(IF(E2905="IM",3,(IF(E2905="MI",4,(IF(E2905="RP",5,(IF(E2905="SC",6,0)))))))))))))))))))))))))))))))))))))))</f>
        <v>4</v>
      </c>
      <c r="G2905" s="52">
        <v>7</v>
      </c>
      <c r="H2905" s="90" t="s">
        <v>115</v>
      </c>
      <c r="I2905" s="94" t="s">
        <v>92</v>
      </c>
      <c r="J2905" s="88" t="s">
        <v>257</v>
      </c>
      <c r="K2905" s="102" t="s">
        <v>5226</v>
      </c>
      <c r="L2905" s="117">
        <f>IF(O2905="","",N2905*O2905*M2905)</f>
        <v>0</v>
      </c>
      <c r="M2905" s="108">
        <v>1</v>
      </c>
      <c r="N2905" s="95">
        <v>1</v>
      </c>
      <c r="O2905" s="109">
        <f>IF(Key!D$1="ON",P2905,IF(SUM(Q2905:DL2905)&lt;1,"",SUM(Q2905:DL2905)/COUNTIF(Q2905:DL2905,"&gt;0")))</f>
        <v>0</v>
      </c>
      <c r="P2905" s="109">
        <f>SUMIFS(Q2905:DK2905,Q$1:DK$1,Dashboard!$K$31)</f>
        <v>0</v>
      </c>
      <c r="U2905" s="95">
        <v>33</v>
      </c>
      <c r="AA2905" s="95">
        <v>25</v>
      </c>
      <c r="AH2905" s="95">
        <v>75</v>
      </c>
    </row>
    <row r="2906" spans="1:34" x14ac:dyDescent="0.3">
      <c r="A2906" s="89" t="str">
        <f>CONCATENATE(D2906,".",F2906,"-",G2906,".",H2906,"")</f>
        <v>2.4-7.1</v>
      </c>
      <c r="B2906" s="89" t="str">
        <f>IF(CONCATENATE(I2906,Key!F$2)=CONCATENATE(INDEX(Dashboard!J:J,MATCH(I2906,Dashboard!J:J,0),1),INDEX(Dashboard!J:K,MATCH(I2906,Dashboard!J:J,0),2)),"ON",IF(Dashboard!K$32="ALL","ON","-"))</f>
        <v>-</v>
      </c>
      <c r="C2906" s="88" t="s">
        <v>152</v>
      </c>
      <c r="D2906" s="89">
        <f>IF(C2906="ID",1,(IF(C2906="PR",2,(IF(C2906="DE",3,(IF(C2906="RS",4,(IF(C2906="RC",5,0)))))))))</f>
        <v>2</v>
      </c>
      <c r="E2906" s="89" t="s">
        <v>228</v>
      </c>
      <c r="F2906" s="89">
        <f>IF(E2906="AM",1,(IF(E2906="BE",2,(IF(E2906="GV",3,(IF(E2906="RA",4,(IF(E2906="RM",5,(IF(E2906="AC",1,(IF(E2906="AT",2,(IF(E2906="DS",3,(IF(E2906="IP",4,(IF(E2906="MA",5,(IF(E2906="PT",6,(IF(E2906="AE",1,(IF(E2906="CM",2,(IF(E2906="DP",3,(IF(E2906="AN",1,(IF(E2906="CO",2,(IF(E2906="IM",3,(IF(E2906="MI",4,(IF(E2906="RP",5,(IF(E2906="SC",6,0)))))))))))))))))))))))))))))))))))))))</f>
        <v>4</v>
      </c>
      <c r="G2906" s="52">
        <v>7</v>
      </c>
      <c r="H2906" s="90" t="s">
        <v>115</v>
      </c>
      <c r="I2906" s="94" t="s">
        <v>92</v>
      </c>
      <c r="J2906" s="88" t="s">
        <v>258</v>
      </c>
      <c r="K2906" s="102" t="s">
        <v>5226</v>
      </c>
      <c r="L2906" s="117">
        <f>IF(O2906="","",N2906*O2906*M2906)</f>
        <v>0</v>
      </c>
      <c r="M2906" s="108">
        <v>1</v>
      </c>
      <c r="N2906" s="95">
        <v>1</v>
      </c>
      <c r="O2906" s="109">
        <f>IF(Key!D$1="ON",P2906,IF(SUM(Q2906:DL2906)&lt;1,"",SUM(Q2906:DL2906)/COUNTIF(Q2906:DL2906,"&gt;0")))</f>
        <v>0</v>
      </c>
      <c r="P2906" s="109">
        <f>SUMIFS(Q2906:DK2906,Q$1:DK$1,Dashboard!$K$31)</f>
        <v>0</v>
      </c>
      <c r="U2906" s="95">
        <v>33</v>
      </c>
      <c r="AA2906" s="95">
        <v>25</v>
      </c>
      <c r="AH2906" s="95">
        <v>75</v>
      </c>
    </row>
    <row r="2907" spans="1:34" x14ac:dyDescent="0.3">
      <c r="A2907" s="89" t="str">
        <f>CONCATENATE(D2907,".",F2907,"-",G2907,".",H2907,"")</f>
        <v>2.4-7.1</v>
      </c>
      <c r="B2907" s="89" t="str">
        <f>IF(CONCATENATE(I2907,Key!F$2)=CONCATENATE(INDEX(Dashboard!J:J,MATCH(I2907,Dashboard!J:J,0),1),INDEX(Dashboard!J:K,MATCH(I2907,Dashboard!J:J,0),2)),"ON",IF(Dashboard!K$32="ALL","ON","-"))</f>
        <v>-</v>
      </c>
      <c r="C2907" s="88" t="s">
        <v>152</v>
      </c>
      <c r="D2907" s="89">
        <f>IF(C2907="ID",1,(IF(C2907="PR",2,(IF(C2907="DE",3,(IF(C2907="RS",4,(IF(C2907="RC",5,0)))))))))</f>
        <v>2</v>
      </c>
      <c r="E2907" s="89" t="s">
        <v>228</v>
      </c>
      <c r="F2907" s="89">
        <f>IF(E2907="AM",1,(IF(E2907="BE",2,(IF(E2907="GV",3,(IF(E2907="RA",4,(IF(E2907="RM",5,(IF(E2907="AC",1,(IF(E2907="AT",2,(IF(E2907="DS",3,(IF(E2907="IP",4,(IF(E2907="MA",5,(IF(E2907="PT",6,(IF(E2907="AE",1,(IF(E2907="CM",2,(IF(E2907="DP",3,(IF(E2907="AN",1,(IF(E2907="CO",2,(IF(E2907="IM",3,(IF(E2907="MI",4,(IF(E2907="RP",5,(IF(E2907="SC",6,0)))))))))))))))))))))))))))))))))))))))</f>
        <v>4</v>
      </c>
      <c r="G2907" s="52">
        <v>7</v>
      </c>
      <c r="H2907" s="90" t="s">
        <v>115</v>
      </c>
      <c r="I2907" s="94" t="s">
        <v>92</v>
      </c>
      <c r="J2907" s="88" t="s">
        <v>259</v>
      </c>
      <c r="K2907" s="102" t="s">
        <v>5226</v>
      </c>
      <c r="L2907" s="117">
        <f>IF(O2907="","",N2907*O2907*M2907)</f>
        <v>0</v>
      </c>
      <c r="M2907" s="108">
        <v>1</v>
      </c>
      <c r="N2907" s="95">
        <v>1</v>
      </c>
      <c r="O2907" s="109">
        <f>IF(Key!D$1="ON",P2907,IF(SUM(Q2907:DL2907)&lt;1,"",SUM(Q2907:DL2907)/COUNTIF(Q2907:DL2907,"&gt;0")))</f>
        <v>0</v>
      </c>
      <c r="P2907" s="109">
        <f>SUMIFS(Q2907:DK2907,Q$1:DK$1,Dashboard!$K$31)</f>
        <v>0</v>
      </c>
      <c r="U2907" s="95">
        <v>33</v>
      </c>
      <c r="AA2907" s="95">
        <v>25</v>
      </c>
      <c r="AH2907" s="95">
        <v>75</v>
      </c>
    </row>
    <row r="2908" spans="1:34" x14ac:dyDescent="0.3">
      <c r="A2908" s="89" t="str">
        <f>CONCATENATE(D2908,".",F2908,"-",G2908,".",H2908,"")</f>
        <v>2.4-7.1</v>
      </c>
      <c r="B2908" s="89" t="str">
        <f>IF(CONCATENATE(I2908,Key!F$2)=CONCATENATE(INDEX(Dashboard!J:J,MATCH(I2908,Dashboard!J:J,0),1),INDEX(Dashboard!J:K,MATCH(I2908,Dashboard!J:J,0),2)),"ON",IF(Dashboard!K$32="ALL","ON","-"))</f>
        <v>-</v>
      </c>
      <c r="C2908" s="88" t="s">
        <v>152</v>
      </c>
      <c r="D2908" s="89">
        <f>IF(C2908="ID",1,(IF(C2908="PR",2,(IF(C2908="DE",3,(IF(C2908="RS",4,(IF(C2908="RC",5,0)))))))))</f>
        <v>2</v>
      </c>
      <c r="E2908" s="89" t="s">
        <v>228</v>
      </c>
      <c r="F2908" s="89">
        <f>IF(E2908="AM",1,(IF(E2908="BE",2,(IF(E2908="GV",3,(IF(E2908="RA",4,(IF(E2908="RM",5,(IF(E2908="AC",1,(IF(E2908="AT",2,(IF(E2908="DS",3,(IF(E2908="IP",4,(IF(E2908="MA",5,(IF(E2908="PT",6,(IF(E2908="AE",1,(IF(E2908="CM",2,(IF(E2908="DP",3,(IF(E2908="AN",1,(IF(E2908="CO",2,(IF(E2908="IM",3,(IF(E2908="MI",4,(IF(E2908="RP",5,(IF(E2908="SC",6,0)))))))))))))))))))))))))))))))))))))))</f>
        <v>4</v>
      </c>
      <c r="G2908" s="52">
        <v>7</v>
      </c>
      <c r="H2908" s="90" t="s">
        <v>115</v>
      </c>
      <c r="I2908" s="94" t="s">
        <v>92</v>
      </c>
      <c r="J2908" s="88" t="s">
        <v>260</v>
      </c>
      <c r="K2908" s="102" t="s">
        <v>5226</v>
      </c>
      <c r="L2908" s="117">
        <f>IF(O2908="","",N2908*O2908*M2908)</f>
        <v>0</v>
      </c>
      <c r="M2908" s="108">
        <v>1</v>
      </c>
      <c r="N2908" s="95">
        <v>1</v>
      </c>
      <c r="O2908" s="109">
        <f>IF(Key!D$1="ON",P2908,IF(SUM(Q2908:DL2908)&lt;1,"",SUM(Q2908:DL2908)/COUNTIF(Q2908:DL2908,"&gt;0")))</f>
        <v>0</v>
      </c>
      <c r="P2908" s="109">
        <f>SUMIFS(Q2908:DK2908,Q$1:DK$1,Dashboard!$K$31)</f>
        <v>0</v>
      </c>
      <c r="U2908" s="95">
        <v>33</v>
      </c>
      <c r="AA2908" s="95">
        <v>25</v>
      </c>
      <c r="AH2908" s="95">
        <v>75</v>
      </c>
    </row>
    <row r="2909" spans="1:34" x14ac:dyDescent="0.3">
      <c r="A2909" s="89" t="str">
        <f>CONCATENATE(D2909,".",F2909,"-",G2909,".",H2909,"")</f>
        <v>2.4-7.1</v>
      </c>
      <c r="B2909" s="89" t="str">
        <f>IF(CONCATENATE(I2909,Key!F$2)=CONCATENATE(INDEX(Dashboard!J:J,MATCH(I2909,Dashboard!J:J,0),1),INDEX(Dashboard!J:K,MATCH(I2909,Dashboard!J:J,0),2)),"ON",IF(Dashboard!K$32="ALL","ON","-"))</f>
        <v>-</v>
      </c>
      <c r="C2909" s="88" t="s">
        <v>152</v>
      </c>
      <c r="D2909" s="89">
        <f>IF(C2909="ID",1,(IF(C2909="PR",2,(IF(C2909="DE",3,(IF(C2909="RS",4,(IF(C2909="RC",5,0)))))))))</f>
        <v>2</v>
      </c>
      <c r="E2909" s="89" t="s">
        <v>228</v>
      </c>
      <c r="F2909" s="89">
        <f>IF(E2909="AM",1,(IF(E2909="BE",2,(IF(E2909="GV",3,(IF(E2909="RA",4,(IF(E2909="RM",5,(IF(E2909="AC",1,(IF(E2909="AT",2,(IF(E2909="DS",3,(IF(E2909="IP",4,(IF(E2909="MA",5,(IF(E2909="PT",6,(IF(E2909="AE",1,(IF(E2909="CM",2,(IF(E2909="DP",3,(IF(E2909="AN",1,(IF(E2909="CO",2,(IF(E2909="IM",3,(IF(E2909="MI",4,(IF(E2909="RP",5,(IF(E2909="SC",6,0)))))))))))))))))))))))))))))))))))))))</f>
        <v>4</v>
      </c>
      <c r="G2909" s="52">
        <v>7</v>
      </c>
      <c r="H2909" s="90" t="s">
        <v>115</v>
      </c>
      <c r="I2909" s="94" t="s">
        <v>92</v>
      </c>
      <c r="J2909" s="88" t="s">
        <v>261</v>
      </c>
      <c r="K2909" s="102" t="s">
        <v>5226</v>
      </c>
      <c r="L2909" s="117">
        <f>IF(O2909="","",N2909*O2909*M2909)</f>
        <v>0</v>
      </c>
      <c r="M2909" s="108">
        <v>1</v>
      </c>
      <c r="N2909" s="95">
        <v>1</v>
      </c>
      <c r="O2909" s="109">
        <f>IF(Key!D$1="ON",P2909,IF(SUM(Q2909:DL2909)&lt;1,"",SUM(Q2909:DL2909)/COUNTIF(Q2909:DL2909,"&gt;0")))</f>
        <v>0</v>
      </c>
      <c r="P2909" s="109">
        <f>SUMIFS(Q2909:DK2909,Q$1:DK$1,Dashboard!$K$31)</f>
        <v>0</v>
      </c>
      <c r="U2909" s="95">
        <v>33</v>
      </c>
      <c r="AA2909" s="95">
        <v>25</v>
      </c>
      <c r="AH2909" s="95">
        <v>75</v>
      </c>
    </row>
    <row r="2910" spans="1:34" x14ac:dyDescent="0.3">
      <c r="A2910" s="89" t="str">
        <f>CONCATENATE(D2910,".",F2910,"-",G2910,".",H2910,"")</f>
        <v>2.4-7.1</v>
      </c>
      <c r="B2910" s="89" t="str">
        <f>IF(CONCATENATE(I2910,Key!F$2)=CONCATENATE(INDEX(Dashboard!J:J,MATCH(I2910,Dashboard!J:J,0),1),INDEX(Dashboard!J:K,MATCH(I2910,Dashboard!J:J,0),2)),"ON",IF(Dashboard!K$32="ALL","ON","-"))</f>
        <v>-</v>
      </c>
      <c r="C2910" s="88" t="s">
        <v>152</v>
      </c>
      <c r="D2910" s="89">
        <f>IF(C2910="ID",1,(IF(C2910="PR",2,(IF(C2910="DE",3,(IF(C2910="RS",4,(IF(C2910="RC",5,0)))))))))</f>
        <v>2</v>
      </c>
      <c r="E2910" s="89" t="s">
        <v>228</v>
      </c>
      <c r="F2910" s="89">
        <f>IF(E2910="AM",1,(IF(E2910="BE",2,(IF(E2910="GV",3,(IF(E2910="RA",4,(IF(E2910="RM",5,(IF(E2910="AC",1,(IF(E2910="AT",2,(IF(E2910="DS",3,(IF(E2910="IP",4,(IF(E2910="MA",5,(IF(E2910="PT",6,(IF(E2910="AE",1,(IF(E2910="CM",2,(IF(E2910="DP",3,(IF(E2910="AN",1,(IF(E2910="CO",2,(IF(E2910="IM",3,(IF(E2910="MI",4,(IF(E2910="RP",5,(IF(E2910="SC",6,0)))))))))))))))))))))))))))))))))))))))</f>
        <v>4</v>
      </c>
      <c r="G2910" s="52">
        <v>7</v>
      </c>
      <c r="H2910" s="90" t="s">
        <v>115</v>
      </c>
      <c r="I2910" s="94" t="s">
        <v>92</v>
      </c>
      <c r="J2910" s="88" t="s">
        <v>262</v>
      </c>
      <c r="K2910" s="102" t="s">
        <v>5226</v>
      </c>
      <c r="L2910" s="117">
        <f>IF(O2910="","",N2910*O2910*M2910)</f>
        <v>0</v>
      </c>
      <c r="M2910" s="108">
        <v>1</v>
      </c>
      <c r="N2910" s="95">
        <v>1</v>
      </c>
      <c r="O2910" s="109">
        <f>IF(Key!D$1="ON",P2910,IF(SUM(Q2910:DL2910)&lt;1,"",SUM(Q2910:DL2910)/COUNTIF(Q2910:DL2910,"&gt;0")))</f>
        <v>0</v>
      </c>
      <c r="P2910" s="109">
        <f>SUMIFS(Q2910:DK2910,Q$1:DK$1,Dashboard!$K$31)</f>
        <v>0</v>
      </c>
      <c r="U2910" s="95">
        <v>33</v>
      </c>
      <c r="AA2910" s="95">
        <v>25</v>
      </c>
      <c r="AH2910" s="95">
        <v>75</v>
      </c>
    </row>
    <row r="2911" spans="1:34" x14ac:dyDescent="0.3">
      <c r="A2911" s="89" t="str">
        <f>CONCATENATE(D2911,".",F2911,"-",G2911,".",H2911,"")</f>
        <v>2.4-7.1</v>
      </c>
      <c r="B2911" s="89" t="str">
        <f>IF(CONCATENATE(I2911,Key!F$2)=CONCATENATE(INDEX(Dashboard!J:J,MATCH(I2911,Dashboard!J:J,0),1),INDEX(Dashboard!J:K,MATCH(I2911,Dashboard!J:J,0),2)),"ON",IF(Dashboard!K$32="ALL","ON","-"))</f>
        <v>-</v>
      </c>
      <c r="C2911" s="96" t="s">
        <v>152</v>
      </c>
      <c r="D2911" s="89">
        <f>IF(C2911="ID",1,(IF(C2911="PR",2,(IF(C2911="DE",3,(IF(C2911="RS",4,(IF(C2911="RC",5,0)))))))))</f>
        <v>2</v>
      </c>
      <c r="E2911" s="89" t="s">
        <v>228</v>
      </c>
      <c r="F2911" s="89">
        <f>IF(E2911="AM",1,(IF(E2911="BE",2,(IF(E2911="GV",3,(IF(E2911="RA",4,(IF(E2911="RM",5,(IF(E2911="AC",1,(IF(E2911="AT",2,(IF(E2911="DS",3,(IF(E2911="IP",4,(IF(E2911="MA",5,(IF(E2911="PT",6,(IF(E2911="AE",1,(IF(E2911="CM",2,(IF(E2911="DP",3,(IF(E2911="AN",1,(IF(E2911="CO",2,(IF(E2911="IM",3,(IF(E2911="MI",4,(IF(E2911="RP",5,(IF(E2911="SC",6,0)))))))))))))))))))))))))))))))))))))))</f>
        <v>4</v>
      </c>
      <c r="G2911" s="52">
        <v>7</v>
      </c>
      <c r="H2911" s="90" t="s">
        <v>115</v>
      </c>
      <c r="I2911" s="94" t="s">
        <v>92</v>
      </c>
      <c r="J2911" s="88" t="s">
        <v>263</v>
      </c>
      <c r="K2911" s="102" t="s">
        <v>5226</v>
      </c>
      <c r="L2911" s="117">
        <f>IF(O2911="","",N2911*O2911*M2911)</f>
        <v>0</v>
      </c>
      <c r="M2911" s="108">
        <v>1</v>
      </c>
      <c r="N2911" s="95">
        <v>1</v>
      </c>
      <c r="O2911" s="109">
        <f>IF(Key!D$1="ON",P2911,IF(SUM(Q2911:DL2911)&lt;1,"",SUM(Q2911:DL2911)/COUNTIF(Q2911:DL2911,"&gt;0")))</f>
        <v>0</v>
      </c>
      <c r="P2911" s="109">
        <f>SUMIFS(Q2911:DK2911,Q$1:DK$1,Dashboard!$K$31)</f>
        <v>0</v>
      </c>
      <c r="U2911" s="95">
        <v>33</v>
      </c>
      <c r="AA2911" s="95">
        <v>25</v>
      </c>
      <c r="AH2911" s="95">
        <v>75</v>
      </c>
    </row>
    <row r="2912" spans="1:34" x14ac:dyDescent="0.3">
      <c r="A2912" s="89" t="str">
        <f>CONCATENATE(D2912,".",F2912,"-",G2912,".",H2912,"")</f>
        <v>2.4-7.1</v>
      </c>
      <c r="B2912" s="89" t="str">
        <f>IF(CONCATENATE(I2912,Key!F$2)=CONCATENATE(INDEX(Dashboard!J:J,MATCH(I2912,Dashboard!J:J,0),1),INDEX(Dashboard!J:K,MATCH(I2912,Dashboard!J:J,0),2)),"ON",IF(Dashboard!K$32="ALL","ON","-"))</f>
        <v>-</v>
      </c>
      <c r="C2912" s="96" t="s">
        <v>152</v>
      </c>
      <c r="D2912" s="89">
        <f>IF(C2912="ID",1,(IF(C2912="PR",2,(IF(C2912="DE",3,(IF(C2912="RS",4,(IF(C2912="RC",5,0)))))))))</f>
        <v>2</v>
      </c>
      <c r="E2912" s="89" t="s">
        <v>228</v>
      </c>
      <c r="F2912" s="89">
        <f>IF(E2912="AM",1,(IF(E2912="BE",2,(IF(E2912="GV",3,(IF(E2912="RA",4,(IF(E2912="RM",5,(IF(E2912="AC",1,(IF(E2912="AT",2,(IF(E2912="DS",3,(IF(E2912="IP",4,(IF(E2912="MA",5,(IF(E2912="PT",6,(IF(E2912="AE",1,(IF(E2912="CM",2,(IF(E2912="DP",3,(IF(E2912="AN",1,(IF(E2912="CO",2,(IF(E2912="IM",3,(IF(E2912="MI",4,(IF(E2912="RP",5,(IF(E2912="SC",6,0)))))))))))))))))))))))))))))))))))))))</f>
        <v>4</v>
      </c>
      <c r="G2912" s="52">
        <v>7</v>
      </c>
      <c r="H2912" s="90" t="s">
        <v>115</v>
      </c>
      <c r="I2912" s="94" t="s">
        <v>92</v>
      </c>
      <c r="J2912" s="88" t="s">
        <v>264</v>
      </c>
      <c r="K2912" s="102" t="s">
        <v>5226</v>
      </c>
      <c r="L2912" s="117">
        <f>IF(O2912="","",N2912*O2912*M2912)</f>
        <v>0</v>
      </c>
      <c r="M2912" s="108">
        <v>1</v>
      </c>
      <c r="N2912" s="95">
        <v>1</v>
      </c>
      <c r="O2912" s="109">
        <f>IF(Key!D$1="ON",P2912,IF(SUM(Q2912:DL2912)&lt;1,"",SUM(Q2912:DL2912)/COUNTIF(Q2912:DL2912,"&gt;0")))</f>
        <v>0</v>
      </c>
      <c r="P2912" s="109">
        <f>SUMIFS(Q2912:DK2912,Q$1:DK$1,Dashboard!$K$31)</f>
        <v>0</v>
      </c>
      <c r="U2912" s="95">
        <v>33</v>
      </c>
      <c r="AA2912" s="95">
        <v>25</v>
      </c>
      <c r="AH2912" s="95">
        <v>75</v>
      </c>
    </row>
    <row r="2913" spans="1:34" x14ac:dyDescent="0.3">
      <c r="A2913" s="89" t="str">
        <f>CONCATENATE(D2913,".",F2913,"-",G2913,".",H2913,"")</f>
        <v>2.4-7.1</v>
      </c>
      <c r="B2913" s="89" t="str">
        <f>IF(CONCATENATE(I2913,Key!F$2)=CONCATENATE(INDEX(Dashboard!J:J,MATCH(I2913,Dashboard!J:J,0),1),INDEX(Dashboard!J:K,MATCH(I2913,Dashboard!J:J,0),2)),"ON",IF(Dashboard!K$32="ALL","ON","-"))</f>
        <v>-</v>
      </c>
      <c r="C2913" s="96" t="s">
        <v>152</v>
      </c>
      <c r="D2913" s="89">
        <f>IF(C2913="ID",1,(IF(C2913="PR",2,(IF(C2913="DE",3,(IF(C2913="RS",4,(IF(C2913="RC",5,0)))))))))</f>
        <v>2</v>
      </c>
      <c r="E2913" s="89" t="s">
        <v>228</v>
      </c>
      <c r="F2913" s="89">
        <f>IF(E2913="AM",1,(IF(E2913="BE",2,(IF(E2913="GV",3,(IF(E2913="RA",4,(IF(E2913="RM",5,(IF(E2913="AC",1,(IF(E2913="AT",2,(IF(E2913="DS",3,(IF(E2913="IP",4,(IF(E2913="MA",5,(IF(E2913="PT",6,(IF(E2913="AE",1,(IF(E2913="CM",2,(IF(E2913="DP",3,(IF(E2913="AN",1,(IF(E2913="CO",2,(IF(E2913="IM",3,(IF(E2913="MI",4,(IF(E2913="RP",5,(IF(E2913="SC",6,0)))))))))))))))))))))))))))))))))))))))</f>
        <v>4</v>
      </c>
      <c r="G2913" s="52">
        <v>7</v>
      </c>
      <c r="H2913" s="90" t="s">
        <v>115</v>
      </c>
      <c r="I2913" s="94" t="s">
        <v>92</v>
      </c>
      <c r="J2913" s="88" t="s">
        <v>265</v>
      </c>
      <c r="K2913" s="102" t="s">
        <v>5226</v>
      </c>
      <c r="L2913" s="117">
        <f>IF(O2913="","",N2913*O2913*M2913)</f>
        <v>0</v>
      </c>
      <c r="M2913" s="108">
        <v>1</v>
      </c>
      <c r="N2913" s="95">
        <v>1</v>
      </c>
      <c r="O2913" s="109">
        <f>IF(Key!D$1="ON",P2913,IF(SUM(Q2913:DL2913)&lt;1,"",SUM(Q2913:DL2913)/COUNTIF(Q2913:DL2913,"&gt;0")))</f>
        <v>0</v>
      </c>
      <c r="P2913" s="109">
        <f>SUMIFS(Q2913:DK2913,Q$1:DK$1,Dashboard!$K$31)</f>
        <v>0</v>
      </c>
      <c r="U2913" s="95">
        <v>33</v>
      </c>
      <c r="AA2913" s="95">
        <v>25</v>
      </c>
      <c r="AH2913" s="95">
        <v>75</v>
      </c>
    </row>
    <row r="2914" spans="1:34" x14ac:dyDescent="0.3">
      <c r="A2914" s="89" t="str">
        <f>CONCATENATE(D2914,".",F2914,"-",G2914,".",H2914,"")</f>
        <v>2.4-7.5</v>
      </c>
      <c r="B2914" s="89" t="str">
        <f>IF(CONCATENATE(I2914,Key!F$2)=CONCATENATE(INDEX(Dashboard!J:J,MATCH(I2914,Dashboard!J:J,0),1),INDEX(Dashboard!J:K,MATCH(I2914,Dashboard!J:J,0),2)),"ON",IF(Dashboard!K$32="ALL","ON","-"))</f>
        <v>-</v>
      </c>
      <c r="C2914" s="88" t="s">
        <v>152</v>
      </c>
      <c r="D2914" s="89">
        <f>IF(C2914="ID",1,(IF(C2914="PR",2,(IF(C2914="DE",3,(IF(C2914="RS",4,(IF(C2914="RC",5,0)))))))))</f>
        <v>2</v>
      </c>
      <c r="E2914" s="89" t="s">
        <v>228</v>
      </c>
      <c r="F2914" s="89">
        <f>IF(E2914="AM",1,(IF(E2914="BE",2,(IF(E2914="GV",3,(IF(E2914="RA",4,(IF(E2914="RM",5,(IF(E2914="AC",1,(IF(E2914="AT",2,(IF(E2914="DS",3,(IF(E2914="IP",4,(IF(E2914="MA",5,(IF(E2914="PT",6,(IF(E2914="AE",1,(IF(E2914="CM",2,(IF(E2914="DP",3,(IF(E2914="AN",1,(IF(E2914="CO",2,(IF(E2914="IM",3,(IF(E2914="MI",4,(IF(E2914="RP",5,(IF(E2914="SC",6,0)))))))))))))))))))))))))))))))))))))))</f>
        <v>4</v>
      </c>
      <c r="G2914" s="52">
        <v>7</v>
      </c>
      <c r="H2914" s="90" t="s">
        <v>123</v>
      </c>
      <c r="I2914" s="94" t="s">
        <v>77</v>
      </c>
      <c r="J2914" s="87" t="s">
        <v>1657</v>
      </c>
      <c r="K2914" s="102" t="s">
        <v>2596</v>
      </c>
      <c r="L2914" s="117">
        <f>IF(O2914="","",N2914*O2914*M2914)</f>
        <v>0</v>
      </c>
      <c r="M2914" s="108">
        <v>1</v>
      </c>
      <c r="N2914" s="95">
        <v>1</v>
      </c>
      <c r="O2914" s="109">
        <f>IF(Key!D$1="ON",P2914,IF(SUM(Q2914:DL2914)&lt;1,"",SUM(Q2914:DL2914)/COUNTIF(Q2914:DL2914,"&gt;0")))</f>
        <v>0</v>
      </c>
      <c r="P2914" s="109">
        <f>SUMIFS(Q2914:DK2914,Q$1:DK$1,Dashboard!$K$31)</f>
        <v>0</v>
      </c>
      <c r="U2914" s="95">
        <v>33</v>
      </c>
      <c r="AA2914" s="95">
        <v>25</v>
      </c>
      <c r="AH2914" s="95">
        <v>75</v>
      </c>
    </row>
    <row r="2915" spans="1:34" x14ac:dyDescent="0.3">
      <c r="A2915" s="89" t="str">
        <f>CONCATENATE(D2915,".",F2915,"-",G2915,".",H2915,"")</f>
        <v>2.4-7.5</v>
      </c>
      <c r="B2915" s="89" t="str">
        <f>IF(CONCATENATE(I2915,Key!F$2)=CONCATENATE(INDEX(Dashboard!J:J,MATCH(I2915,Dashboard!J:J,0),1),INDEX(Dashboard!J:K,MATCH(I2915,Dashboard!J:J,0),2)),"ON",IF(Dashboard!K$32="ALL","ON","-"))</f>
        <v>-</v>
      </c>
      <c r="C2915" s="88" t="s">
        <v>152</v>
      </c>
      <c r="D2915" s="89">
        <f>IF(C2915="ID",1,(IF(C2915="PR",2,(IF(C2915="DE",3,(IF(C2915="RS",4,(IF(C2915="RC",5,0)))))))))</f>
        <v>2</v>
      </c>
      <c r="E2915" s="89" t="s">
        <v>228</v>
      </c>
      <c r="F2915" s="89">
        <f>IF(E2915="AM",1,(IF(E2915="BE",2,(IF(E2915="GV",3,(IF(E2915="RA",4,(IF(E2915="RM",5,(IF(E2915="AC",1,(IF(E2915="AT",2,(IF(E2915="DS",3,(IF(E2915="IP",4,(IF(E2915="MA",5,(IF(E2915="PT",6,(IF(E2915="AE",1,(IF(E2915="CM",2,(IF(E2915="DP",3,(IF(E2915="AN",1,(IF(E2915="CO",2,(IF(E2915="IM",3,(IF(E2915="MI",4,(IF(E2915="RP",5,(IF(E2915="SC",6,0)))))))))))))))))))))))))))))))))))))))</f>
        <v>4</v>
      </c>
      <c r="G2915" s="52">
        <v>7</v>
      </c>
      <c r="H2915" s="90" t="s">
        <v>123</v>
      </c>
      <c r="I2915" s="94" t="s">
        <v>77</v>
      </c>
      <c r="J2915" s="87" t="s">
        <v>1658</v>
      </c>
      <c r="K2915" s="102" t="s">
        <v>2597</v>
      </c>
      <c r="L2915" s="117">
        <f>IF(O2915="","",N2915*O2915*M2915)</f>
        <v>0</v>
      </c>
      <c r="M2915" s="108">
        <v>1</v>
      </c>
      <c r="N2915" s="95">
        <v>1</v>
      </c>
      <c r="O2915" s="109">
        <f>IF(Key!D$1="ON",P2915,IF(SUM(Q2915:DL2915)&lt;1,"",SUM(Q2915:DL2915)/COUNTIF(Q2915:DL2915,"&gt;0")))</f>
        <v>0</v>
      </c>
      <c r="P2915" s="109">
        <f>SUMIFS(Q2915:DK2915,Q$1:DK$1,Dashboard!$K$31)</f>
        <v>0</v>
      </c>
      <c r="U2915" s="95">
        <v>33</v>
      </c>
      <c r="AA2915" s="95">
        <v>25</v>
      </c>
      <c r="AH2915" s="95">
        <v>75</v>
      </c>
    </row>
    <row r="2916" spans="1:34" x14ac:dyDescent="0.3">
      <c r="A2916" s="89" t="str">
        <f>CONCATENATE(D2916,".",F2916,"-",G2916,".",H2916,"")</f>
        <v>2.4-7.5</v>
      </c>
      <c r="B2916" s="89" t="str">
        <f>IF(CONCATENATE(I2916,Key!F$2)=CONCATENATE(INDEX(Dashboard!J:J,MATCH(I2916,Dashboard!J:J,0),1),INDEX(Dashboard!J:K,MATCH(I2916,Dashboard!J:J,0),2)),"ON",IF(Dashboard!K$32="ALL","ON","-"))</f>
        <v>-</v>
      </c>
      <c r="C2916" s="88" t="s">
        <v>152</v>
      </c>
      <c r="D2916" s="89">
        <f>IF(C2916="ID",1,(IF(C2916="PR",2,(IF(C2916="DE",3,(IF(C2916="RS",4,(IF(C2916="RC",5,0)))))))))</f>
        <v>2</v>
      </c>
      <c r="E2916" s="89" t="s">
        <v>228</v>
      </c>
      <c r="F2916" s="89">
        <f>IF(E2916="AM",1,(IF(E2916="BE",2,(IF(E2916="GV",3,(IF(E2916="RA",4,(IF(E2916="RM",5,(IF(E2916="AC",1,(IF(E2916="AT",2,(IF(E2916="DS",3,(IF(E2916="IP",4,(IF(E2916="MA",5,(IF(E2916="PT",6,(IF(E2916="AE",1,(IF(E2916="CM",2,(IF(E2916="DP",3,(IF(E2916="AN",1,(IF(E2916="CO",2,(IF(E2916="IM",3,(IF(E2916="MI",4,(IF(E2916="RP",5,(IF(E2916="SC",6,0)))))))))))))))))))))))))))))))))))))))</f>
        <v>4</v>
      </c>
      <c r="G2916" s="52">
        <v>7</v>
      </c>
      <c r="H2916" s="90" t="s">
        <v>123</v>
      </c>
      <c r="I2916" s="94" t="s">
        <v>77</v>
      </c>
      <c r="J2916" s="87" t="s">
        <v>1660</v>
      </c>
      <c r="K2916" s="102" t="s">
        <v>2598</v>
      </c>
      <c r="L2916" s="117">
        <f>IF(O2916="","",N2916*O2916*M2916)</f>
        <v>0</v>
      </c>
      <c r="M2916" s="108">
        <v>1</v>
      </c>
      <c r="N2916" s="95">
        <v>1</v>
      </c>
      <c r="O2916" s="109">
        <f>IF(Key!D$1="ON",P2916,IF(SUM(Q2916:DL2916)&lt;1,"",SUM(Q2916:DL2916)/COUNTIF(Q2916:DL2916,"&gt;0")))</f>
        <v>0</v>
      </c>
      <c r="P2916" s="109">
        <f>SUMIFS(Q2916:DK2916,Q$1:DK$1,Dashboard!$K$31)</f>
        <v>0</v>
      </c>
      <c r="U2916" s="95">
        <v>33</v>
      </c>
      <c r="AA2916" s="95">
        <v>25</v>
      </c>
      <c r="AH2916" s="95">
        <v>75</v>
      </c>
    </row>
    <row r="2917" spans="1:34" x14ac:dyDescent="0.3">
      <c r="A2917" s="89" t="str">
        <f>CONCATENATE(D2917,".",F2917,"-",G2917,".",H2917,"")</f>
        <v>2.4-7.5</v>
      </c>
      <c r="B2917" s="89" t="str">
        <f>IF(CONCATENATE(I2917,Key!F$2)=CONCATENATE(INDEX(Dashboard!J:J,MATCH(I2917,Dashboard!J:J,0),1),INDEX(Dashboard!J:K,MATCH(I2917,Dashboard!J:J,0),2)),"ON",IF(Dashboard!K$32="ALL","ON","-"))</f>
        <v>-</v>
      </c>
      <c r="C2917" s="88" t="s">
        <v>152</v>
      </c>
      <c r="D2917" s="89">
        <f>IF(C2917="ID",1,(IF(C2917="PR",2,(IF(C2917="DE",3,(IF(C2917="RS",4,(IF(C2917="RC",5,0)))))))))</f>
        <v>2</v>
      </c>
      <c r="E2917" s="89" t="s">
        <v>228</v>
      </c>
      <c r="F2917" s="89">
        <f>IF(E2917="AM",1,(IF(E2917="BE",2,(IF(E2917="GV",3,(IF(E2917="RA",4,(IF(E2917="RM",5,(IF(E2917="AC",1,(IF(E2917="AT",2,(IF(E2917="DS",3,(IF(E2917="IP",4,(IF(E2917="MA",5,(IF(E2917="PT",6,(IF(E2917="AE",1,(IF(E2917="CM",2,(IF(E2917="DP",3,(IF(E2917="AN",1,(IF(E2917="CO",2,(IF(E2917="IM",3,(IF(E2917="MI",4,(IF(E2917="RP",5,(IF(E2917="SC",6,0)))))))))))))))))))))))))))))))))))))))</f>
        <v>4</v>
      </c>
      <c r="G2917" s="52">
        <v>7</v>
      </c>
      <c r="H2917" s="90" t="s">
        <v>123</v>
      </c>
      <c r="I2917" s="94" t="s">
        <v>77</v>
      </c>
      <c r="J2917" s="87" t="s">
        <v>1661</v>
      </c>
      <c r="K2917" s="102" t="s">
        <v>2599</v>
      </c>
      <c r="L2917" s="117">
        <f>IF(O2917="","",N2917*O2917*M2917)</f>
        <v>0</v>
      </c>
      <c r="M2917" s="108">
        <v>1</v>
      </c>
      <c r="N2917" s="95">
        <v>1</v>
      </c>
      <c r="O2917" s="109">
        <f>IF(Key!D$1="ON",P2917,IF(SUM(Q2917:DL2917)&lt;1,"",SUM(Q2917:DL2917)/COUNTIF(Q2917:DL2917,"&gt;0")))</f>
        <v>0</v>
      </c>
      <c r="P2917" s="109">
        <f>SUMIFS(Q2917:DK2917,Q$1:DK$1,Dashboard!$K$31)</f>
        <v>0</v>
      </c>
      <c r="U2917" s="95">
        <v>33</v>
      </c>
      <c r="AA2917" s="95">
        <v>25</v>
      </c>
      <c r="AH2917" s="95">
        <v>75</v>
      </c>
    </row>
    <row r="2918" spans="1:34" x14ac:dyDescent="0.3">
      <c r="A2918" s="89" t="str">
        <f>CONCATENATE(D2918,".",F2918,"-",G2918,".",H2918,"")</f>
        <v>2.4-7.5</v>
      </c>
      <c r="B2918" s="89" t="str">
        <f>IF(CONCATENATE(I2918,Key!F$2)=CONCATENATE(INDEX(Dashboard!J:J,MATCH(I2918,Dashboard!J:J,0),1),INDEX(Dashboard!J:K,MATCH(I2918,Dashboard!J:J,0),2)),"ON",IF(Dashboard!K$32="ALL","ON","-"))</f>
        <v>-</v>
      </c>
      <c r="C2918" s="88" t="s">
        <v>152</v>
      </c>
      <c r="D2918" s="89">
        <f>IF(C2918="ID",1,(IF(C2918="PR",2,(IF(C2918="DE",3,(IF(C2918="RS",4,(IF(C2918="RC",5,0)))))))))</f>
        <v>2</v>
      </c>
      <c r="E2918" s="89" t="s">
        <v>228</v>
      </c>
      <c r="F2918" s="89">
        <f>IF(E2918="AM",1,(IF(E2918="BE",2,(IF(E2918="GV",3,(IF(E2918="RA",4,(IF(E2918="RM",5,(IF(E2918="AC",1,(IF(E2918="AT",2,(IF(E2918="DS",3,(IF(E2918="IP",4,(IF(E2918="MA",5,(IF(E2918="PT",6,(IF(E2918="AE",1,(IF(E2918="CM",2,(IF(E2918="DP",3,(IF(E2918="AN",1,(IF(E2918="CO",2,(IF(E2918="IM",3,(IF(E2918="MI",4,(IF(E2918="RP",5,(IF(E2918="SC",6,0)))))))))))))))))))))))))))))))))))))))</f>
        <v>4</v>
      </c>
      <c r="G2918" s="52">
        <v>7</v>
      </c>
      <c r="H2918" s="90" t="s">
        <v>123</v>
      </c>
      <c r="I2918" s="94" t="s">
        <v>77</v>
      </c>
      <c r="J2918" s="87" t="s">
        <v>1663</v>
      </c>
      <c r="K2918" s="102" t="s">
        <v>2600</v>
      </c>
      <c r="L2918" s="117">
        <f>IF(O2918="","",N2918*O2918*M2918)</f>
        <v>0</v>
      </c>
      <c r="M2918" s="108">
        <v>1</v>
      </c>
      <c r="N2918" s="95">
        <v>1</v>
      </c>
      <c r="O2918" s="109">
        <f>IF(Key!D$1="ON",P2918,IF(SUM(Q2918:DL2918)&lt;1,"",SUM(Q2918:DL2918)/COUNTIF(Q2918:DL2918,"&gt;0")))</f>
        <v>0</v>
      </c>
      <c r="P2918" s="109">
        <f>SUMIFS(Q2918:DK2918,Q$1:DK$1,Dashboard!$K$31)</f>
        <v>0</v>
      </c>
      <c r="U2918" s="95">
        <v>33</v>
      </c>
      <c r="AA2918" s="95">
        <v>25</v>
      </c>
      <c r="AH2918" s="95">
        <v>75</v>
      </c>
    </row>
    <row r="2919" spans="1:34" x14ac:dyDescent="0.3">
      <c r="A2919" s="89" t="str">
        <f>CONCATENATE(D2919,".",F2919,"-",G2919,".",H2919,"")</f>
        <v>2.4-7.5</v>
      </c>
      <c r="B2919" s="89" t="str">
        <f>IF(CONCATENATE(I2919,Key!F$2)=CONCATENATE(INDEX(Dashboard!J:J,MATCH(I2919,Dashboard!J:J,0),1),INDEX(Dashboard!J:K,MATCH(I2919,Dashboard!J:J,0),2)),"ON",IF(Dashboard!K$32="ALL","ON","-"))</f>
        <v>-</v>
      </c>
      <c r="C2919" s="88" t="s">
        <v>152</v>
      </c>
      <c r="D2919" s="89">
        <f>IF(C2919="ID",1,(IF(C2919="PR",2,(IF(C2919="DE",3,(IF(C2919="RS",4,(IF(C2919="RC",5,0)))))))))</f>
        <v>2</v>
      </c>
      <c r="E2919" s="89" t="s">
        <v>228</v>
      </c>
      <c r="F2919" s="89">
        <f>IF(E2919="AM",1,(IF(E2919="BE",2,(IF(E2919="GV",3,(IF(E2919="RA",4,(IF(E2919="RM",5,(IF(E2919="AC",1,(IF(E2919="AT",2,(IF(E2919="DS",3,(IF(E2919="IP",4,(IF(E2919="MA",5,(IF(E2919="PT",6,(IF(E2919="AE",1,(IF(E2919="CM",2,(IF(E2919="DP",3,(IF(E2919="AN",1,(IF(E2919="CO",2,(IF(E2919="IM",3,(IF(E2919="MI",4,(IF(E2919="RP",5,(IF(E2919="SC",6,0)))))))))))))))))))))))))))))))))))))))</f>
        <v>4</v>
      </c>
      <c r="G2919" s="52">
        <v>7</v>
      </c>
      <c r="H2919" s="90" t="s">
        <v>123</v>
      </c>
      <c r="I2919" s="94" t="s">
        <v>77</v>
      </c>
      <c r="J2919" s="87" t="s">
        <v>1664</v>
      </c>
      <c r="K2919" s="102" t="s">
        <v>2601</v>
      </c>
      <c r="L2919" s="117">
        <f>IF(O2919="","",N2919*O2919*M2919)</f>
        <v>0</v>
      </c>
      <c r="M2919" s="108">
        <v>1</v>
      </c>
      <c r="N2919" s="95">
        <v>1</v>
      </c>
      <c r="O2919" s="109">
        <f>IF(Key!D$1="ON",P2919,IF(SUM(Q2919:DL2919)&lt;1,"",SUM(Q2919:DL2919)/COUNTIF(Q2919:DL2919,"&gt;0")))</f>
        <v>0</v>
      </c>
      <c r="P2919" s="109">
        <f>SUMIFS(Q2919:DK2919,Q$1:DK$1,Dashboard!$K$31)</f>
        <v>0</v>
      </c>
      <c r="U2919" s="95">
        <v>33</v>
      </c>
      <c r="AA2919" s="95">
        <v>25</v>
      </c>
      <c r="AH2919" s="95">
        <v>75</v>
      </c>
    </row>
    <row r="2920" spans="1:34" x14ac:dyDescent="0.3">
      <c r="A2920" s="89" t="str">
        <f>CONCATENATE(D2920,".",F2920,"-",G2920,".",H2920,"")</f>
        <v>2.4-7.5</v>
      </c>
      <c r="B2920" s="89" t="str">
        <f>IF(CONCATENATE(I2920,Key!F$2)=CONCATENATE(INDEX(Dashboard!J:J,MATCH(I2920,Dashboard!J:J,0),1),INDEX(Dashboard!J:K,MATCH(I2920,Dashboard!J:J,0),2)),"ON",IF(Dashboard!K$32="ALL","ON","-"))</f>
        <v>-</v>
      </c>
      <c r="C2920" s="88" t="s">
        <v>152</v>
      </c>
      <c r="D2920" s="89">
        <f>IF(C2920="ID",1,(IF(C2920="PR",2,(IF(C2920="DE",3,(IF(C2920="RS",4,(IF(C2920="RC",5,0)))))))))</f>
        <v>2</v>
      </c>
      <c r="E2920" s="89" t="s">
        <v>228</v>
      </c>
      <c r="F2920" s="89">
        <f>IF(E2920="AM",1,(IF(E2920="BE",2,(IF(E2920="GV",3,(IF(E2920="RA",4,(IF(E2920="RM",5,(IF(E2920="AC",1,(IF(E2920="AT",2,(IF(E2920="DS",3,(IF(E2920="IP",4,(IF(E2920="MA",5,(IF(E2920="PT",6,(IF(E2920="AE",1,(IF(E2920="CM",2,(IF(E2920="DP",3,(IF(E2920="AN",1,(IF(E2920="CO",2,(IF(E2920="IM",3,(IF(E2920="MI",4,(IF(E2920="RP",5,(IF(E2920="SC",6,0)))))))))))))))))))))))))))))))))))))))</f>
        <v>4</v>
      </c>
      <c r="G2920" s="52">
        <v>7</v>
      </c>
      <c r="H2920" s="90" t="s">
        <v>123</v>
      </c>
      <c r="I2920" s="94" t="s">
        <v>77</v>
      </c>
      <c r="J2920" s="87" t="s">
        <v>1665</v>
      </c>
      <c r="K2920" s="102" t="s">
        <v>2602</v>
      </c>
      <c r="L2920" s="117">
        <f>IF(O2920="","",N2920*O2920*M2920)</f>
        <v>0</v>
      </c>
      <c r="M2920" s="108">
        <v>1</v>
      </c>
      <c r="N2920" s="95">
        <v>1</v>
      </c>
      <c r="O2920" s="109">
        <f>IF(Key!D$1="ON",P2920,IF(SUM(Q2920:DL2920)&lt;1,"",SUM(Q2920:DL2920)/COUNTIF(Q2920:DL2920,"&gt;0")))</f>
        <v>0</v>
      </c>
      <c r="P2920" s="109">
        <f>SUMIFS(Q2920:DK2920,Q$1:DK$1,Dashboard!$K$31)</f>
        <v>0</v>
      </c>
      <c r="U2920" s="95">
        <v>33</v>
      </c>
      <c r="AA2920" s="95">
        <v>25</v>
      </c>
      <c r="AH2920" s="95">
        <v>75</v>
      </c>
    </row>
    <row r="2921" spans="1:34" x14ac:dyDescent="0.3">
      <c r="A2921" s="89" t="str">
        <f>CONCATENATE(D2921,".",F2921,"-",G2921,".",H2921,"")</f>
        <v>2.4-7.5</v>
      </c>
      <c r="B2921" s="89" t="str">
        <f>IF(CONCATENATE(I2921,Key!F$2)=CONCATENATE(INDEX(Dashboard!J:J,MATCH(I2921,Dashboard!J:J,0),1),INDEX(Dashboard!J:K,MATCH(I2921,Dashboard!J:J,0),2)),"ON",IF(Dashboard!K$32="ALL","ON","-"))</f>
        <v>-</v>
      </c>
      <c r="C2921" s="88" t="s">
        <v>152</v>
      </c>
      <c r="D2921" s="89">
        <f>IF(C2921="ID",1,(IF(C2921="PR",2,(IF(C2921="DE",3,(IF(C2921="RS",4,(IF(C2921="RC",5,0)))))))))</f>
        <v>2</v>
      </c>
      <c r="E2921" s="89" t="s">
        <v>228</v>
      </c>
      <c r="F2921" s="89">
        <f>IF(E2921="AM",1,(IF(E2921="BE",2,(IF(E2921="GV",3,(IF(E2921="RA",4,(IF(E2921="RM",5,(IF(E2921="AC",1,(IF(E2921="AT",2,(IF(E2921="DS",3,(IF(E2921="IP",4,(IF(E2921="MA",5,(IF(E2921="PT",6,(IF(E2921="AE",1,(IF(E2921="CM",2,(IF(E2921="DP",3,(IF(E2921="AN",1,(IF(E2921="CO",2,(IF(E2921="IM",3,(IF(E2921="MI",4,(IF(E2921="RP",5,(IF(E2921="SC",6,0)))))))))))))))))))))))))))))))))))))))</f>
        <v>4</v>
      </c>
      <c r="G2921" s="52">
        <v>7</v>
      </c>
      <c r="H2921" s="90" t="s">
        <v>123</v>
      </c>
      <c r="I2921" s="94" t="s">
        <v>77</v>
      </c>
      <c r="J2921" s="87" t="s">
        <v>1666</v>
      </c>
      <c r="K2921" s="102" t="s">
        <v>2603</v>
      </c>
      <c r="L2921" s="117">
        <f>IF(O2921="","",N2921*O2921*M2921)</f>
        <v>0</v>
      </c>
      <c r="M2921" s="108">
        <v>1</v>
      </c>
      <c r="N2921" s="95">
        <v>1</v>
      </c>
      <c r="O2921" s="109">
        <f>IF(Key!D$1="ON",P2921,IF(SUM(Q2921:DL2921)&lt;1,"",SUM(Q2921:DL2921)/COUNTIF(Q2921:DL2921,"&gt;0")))</f>
        <v>0</v>
      </c>
      <c r="P2921" s="109">
        <f>SUMIFS(Q2921:DK2921,Q$1:DK$1,Dashboard!$K$31)</f>
        <v>0</v>
      </c>
      <c r="U2921" s="95">
        <v>33</v>
      </c>
      <c r="AA2921" s="95">
        <v>25</v>
      </c>
      <c r="AH2921" s="95">
        <v>75</v>
      </c>
    </row>
    <row r="2922" spans="1:34" x14ac:dyDescent="0.3">
      <c r="A2922" s="89" t="str">
        <f>CONCATENATE(D2922,".",F2922,"-",G2922,".",H2922,"")</f>
        <v>2.4-7.5</v>
      </c>
      <c r="B2922" s="89" t="str">
        <f>IF(CONCATENATE(I2922,Key!F$2)=CONCATENATE(INDEX(Dashboard!J:J,MATCH(I2922,Dashboard!J:J,0),1),INDEX(Dashboard!J:K,MATCH(I2922,Dashboard!J:J,0),2)),"ON",IF(Dashboard!K$32="ALL","ON","-"))</f>
        <v>-</v>
      </c>
      <c r="C2922" s="88" t="s">
        <v>152</v>
      </c>
      <c r="D2922" s="89">
        <f>IF(C2922="ID",1,(IF(C2922="PR",2,(IF(C2922="DE",3,(IF(C2922="RS",4,(IF(C2922="RC",5,0)))))))))</f>
        <v>2</v>
      </c>
      <c r="E2922" s="89" t="s">
        <v>228</v>
      </c>
      <c r="F2922" s="89">
        <f>IF(E2922="AM",1,(IF(E2922="BE",2,(IF(E2922="GV",3,(IF(E2922="RA",4,(IF(E2922="RM",5,(IF(E2922="AC",1,(IF(E2922="AT",2,(IF(E2922="DS",3,(IF(E2922="IP",4,(IF(E2922="MA",5,(IF(E2922="PT",6,(IF(E2922="AE",1,(IF(E2922="CM",2,(IF(E2922="DP",3,(IF(E2922="AN",1,(IF(E2922="CO",2,(IF(E2922="IM",3,(IF(E2922="MI",4,(IF(E2922="RP",5,(IF(E2922="SC",6,0)))))))))))))))))))))))))))))))))))))))</f>
        <v>4</v>
      </c>
      <c r="G2922" s="52">
        <v>7</v>
      </c>
      <c r="H2922" s="90" t="s">
        <v>123</v>
      </c>
      <c r="I2922" s="94" t="s">
        <v>77</v>
      </c>
      <c r="J2922" s="87" t="s">
        <v>1667</v>
      </c>
      <c r="K2922" s="102" t="s">
        <v>2604</v>
      </c>
      <c r="L2922" s="117">
        <f>IF(O2922="","",N2922*O2922*M2922)</f>
        <v>0</v>
      </c>
      <c r="M2922" s="108">
        <v>1</v>
      </c>
      <c r="N2922" s="95">
        <v>1</v>
      </c>
      <c r="O2922" s="109">
        <f>IF(Key!D$1="ON",P2922,IF(SUM(Q2922:DL2922)&lt;1,"",SUM(Q2922:DL2922)/COUNTIF(Q2922:DL2922,"&gt;0")))</f>
        <v>0</v>
      </c>
      <c r="P2922" s="109">
        <f>SUMIFS(Q2922:DK2922,Q$1:DK$1,Dashboard!$K$31)</f>
        <v>0</v>
      </c>
      <c r="U2922" s="95">
        <v>33</v>
      </c>
      <c r="AA2922" s="95">
        <v>25</v>
      </c>
      <c r="AH2922" s="95">
        <v>75</v>
      </c>
    </row>
    <row r="2923" spans="1:34" x14ac:dyDescent="0.3">
      <c r="A2923" s="89" t="str">
        <f>CONCATENATE(D2923,".",F2923,"-",G2923,".",H2923,"")</f>
        <v>2.4-7.5</v>
      </c>
      <c r="B2923" s="89" t="str">
        <f>IF(CONCATENATE(I2923,Key!F$2)=CONCATENATE(INDEX(Dashboard!J:J,MATCH(I2923,Dashboard!J:J,0),1),INDEX(Dashboard!J:K,MATCH(I2923,Dashboard!J:J,0),2)),"ON",IF(Dashboard!K$32="ALL","ON","-"))</f>
        <v>-</v>
      </c>
      <c r="C2923" s="88" t="s">
        <v>152</v>
      </c>
      <c r="D2923" s="89">
        <f>IF(C2923="ID",1,(IF(C2923="PR",2,(IF(C2923="DE",3,(IF(C2923="RS",4,(IF(C2923="RC",5,0)))))))))</f>
        <v>2</v>
      </c>
      <c r="E2923" s="89" t="s">
        <v>228</v>
      </c>
      <c r="F2923" s="89">
        <f>IF(E2923="AM",1,(IF(E2923="BE",2,(IF(E2923="GV",3,(IF(E2923="RA",4,(IF(E2923="RM",5,(IF(E2923="AC",1,(IF(E2923="AT",2,(IF(E2923="DS",3,(IF(E2923="IP",4,(IF(E2923="MA",5,(IF(E2923="PT",6,(IF(E2923="AE",1,(IF(E2923="CM",2,(IF(E2923="DP",3,(IF(E2923="AN",1,(IF(E2923="CO",2,(IF(E2923="IM",3,(IF(E2923="MI",4,(IF(E2923="RP",5,(IF(E2923="SC",6,0)))))))))))))))))))))))))))))))))))))))</f>
        <v>4</v>
      </c>
      <c r="G2923" s="52">
        <v>7</v>
      </c>
      <c r="H2923" s="90" t="s">
        <v>123</v>
      </c>
      <c r="I2923" s="94" t="s">
        <v>77</v>
      </c>
      <c r="J2923" s="87" t="s">
        <v>1668</v>
      </c>
      <c r="K2923" s="102" t="s">
        <v>2605</v>
      </c>
      <c r="L2923" s="117">
        <f>IF(O2923="","",N2923*O2923*M2923)</f>
        <v>0</v>
      </c>
      <c r="M2923" s="108">
        <v>1</v>
      </c>
      <c r="N2923" s="95">
        <v>1</v>
      </c>
      <c r="O2923" s="109">
        <f>IF(Key!D$1="ON",P2923,IF(SUM(Q2923:DL2923)&lt;1,"",SUM(Q2923:DL2923)/COUNTIF(Q2923:DL2923,"&gt;0")))</f>
        <v>0</v>
      </c>
      <c r="P2923" s="109">
        <f>SUMIFS(Q2923:DK2923,Q$1:DK$1,Dashboard!$K$31)</f>
        <v>0</v>
      </c>
      <c r="U2923" s="95">
        <v>33</v>
      </c>
      <c r="AA2923" s="95">
        <v>25</v>
      </c>
      <c r="AH2923" s="95">
        <v>75</v>
      </c>
    </row>
    <row r="2924" spans="1:34" x14ac:dyDescent="0.3">
      <c r="A2924" s="89" t="str">
        <f>CONCATENATE(D2924,".",F2924,"-",G2924,".",H2924,"")</f>
        <v>2.4-7.5</v>
      </c>
      <c r="B2924" s="89" t="str">
        <f>IF(CONCATENATE(I2924,Key!F$2)=CONCATENATE(INDEX(Dashboard!J:J,MATCH(I2924,Dashboard!J:J,0),1),INDEX(Dashboard!J:K,MATCH(I2924,Dashboard!J:J,0),2)),"ON",IF(Dashboard!K$32="ALL","ON","-"))</f>
        <v>-</v>
      </c>
      <c r="C2924" s="88" t="s">
        <v>152</v>
      </c>
      <c r="D2924" s="89">
        <f>IF(C2924="ID",1,(IF(C2924="PR",2,(IF(C2924="DE",3,(IF(C2924="RS",4,(IF(C2924="RC",5,0)))))))))</f>
        <v>2</v>
      </c>
      <c r="E2924" s="89" t="s">
        <v>228</v>
      </c>
      <c r="F2924" s="89">
        <f>IF(E2924="AM",1,(IF(E2924="BE",2,(IF(E2924="GV",3,(IF(E2924="RA",4,(IF(E2924="RM",5,(IF(E2924="AC",1,(IF(E2924="AT",2,(IF(E2924="DS",3,(IF(E2924="IP",4,(IF(E2924="MA",5,(IF(E2924="PT",6,(IF(E2924="AE",1,(IF(E2924="CM",2,(IF(E2924="DP",3,(IF(E2924="AN",1,(IF(E2924="CO",2,(IF(E2924="IM",3,(IF(E2924="MI",4,(IF(E2924="RP",5,(IF(E2924="SC",6,0)))))))))))))))))))))))))))))))))))))))</f>
        <v>4</v>
      </c>
      <c r="G2924" s="52">
        <v>7</v>
      </c>
      <c r="H2924" s="90" t="s">
        <v>123</v>
      </c>
      <c r="I2924" s="94" t="s">
        <v>77</v>
      </c>
      <c r="J2924" s="87" t="s">
        <v>1669</v>
      </c>
      <c r="K2924" s="102" t="s">
        <v>2606</v>
      </c>
      <c r="L2924" s="117">
        <f>IF(O2924="","",N2924*O2924*M2924)</f>
        <v>0</v>
      </c>
      <c r="M2924" s="108">
        <v>1</v>
      </c>
      <c r="N2924" s="95">
        <v>1</v>
      </c>
      <c r="O2924" s="109">
        <f>IF(Key!D$1="ON",P2924,IF(SUM(Q2924:DL2924)&lt;1,"",SUM(Q2924:DL2924)/COUNTIF(Q2924:DL2924,"&gt;0")))</f>
        <v>0</v>
      </c>
      <c r="P2924" s="109">
        <f>SUMIFS(Q2924:DK2924,Q$1:DK$1,Dashboard!$K$31)</f>
        <v>0</v>
      </c>
      <c r="U2924" s="95">
        <v>33</v>
      </c>
      <c r="AA2924" s="95">
        <v>25</v>
      </c>
      <c r="AH2924" s="95">
        <v>75</v>
      </c>
    </row>
    <row r="2925" spans="1:34" x14ac:dyDescent="0.3">
      <c r="A2925" s="89" t="str">
        <f>CONCATENATE(D2925,".",F2925,"-",G2925,".",H2925,"")</f>
        <v>2.4-7.5</v>
      </c>
      <c r="B2925" s="89" t="str">
        <f>IF(CONCATENATE(I2925,Key!F$2)=CONCATENATE(INDEX(Dashboard!J:J,MATCH(I2925,Dashboard!J:J,0),1),INDEX(Dashboard!J:K,MATCH(I2925,Dashboard!J:J,0),2)),"ON",IF(Dashboard!K$32="ALL","ON","-"))</f>
        <v>-</v>
      </c>
      <c r="C2925" s="88" t="s">
        <v>152</v>
      </c>
      <c r="D2925" s="89">
        <f>IF(C2925="ID",1,(IF(C2925="PR",2,(IF(C2925="DE",3,(IF(C2925="RS",4,(IF(C2925="RC",5,0)))))))))</f>
        <v>2</v>
      </c>
      <c r="E2925" s="89" t="s">
        <v>228</v>
      </c>
      <c r="F2925" s="89">
        <f>IF(E2925="AM",1,(IF(E2925="BE",2,(IF(E2925="GV",3,(IF(E2925="RA",4,(IF(E2925="RM",5,(IF(E2925="AC",1,(IF(E2925="AT",2,(IF(E2925="DS",3,(IF(E2925="IP",4,(IF(E2925="MA",5,(IF(E2925="PT",6,(IF(E2925="AE",1,(IF(E2925="CM",2,(IF(E2925="DP",3,(IF(E2925="AN",1,(IF(E2925="CO",2,(IF(E2925="IM",3,(IF(E2925="MI",4,(IF(E2925="RP",5,(IF(E2925="SC",6,0)))))))))))))))))))))))))))))))))))))))</f>
        <v>4</v>
      </c>
      <c r="G2925" s="52">
        <v>7</v>
      </c>
      <c r="H2925" s="90" t="s">
        <v>123</v>
      </c>
      <c r="I2925" s="94" t="s">
        <v>77</v>
      </c>
      <c r="J2925" s="87" t="s">
        <v>1670</v>
      </c>
      <c r="K2925" s="102" t="s">
        <v>2607</v>
      </c>
      <c r="L2925" s="117">
        <f>IF(O2925="","",N2925*O2925*M2925)</f>
        <v>0</v>
      </c>
      <c r="M2925" s="108">
        <v>1</v>
      </c>
      <c r="N2925" s="95">
        <v>1</v>
      </c>
      <c r="O2925" s="109">
        <f>IF(Key!D$1="ON",P2925,IF(SUM(Q2925:DL2925)&lt;1,"",SUM(Q2925:DL2925)/COUNTIF(Q2925:DL2925,"&gt;0")))</f>
        <v>0</v>
      </c>
      <c r="P2925" s="109">
        <f>SUMIFS(Q2925:DK2925,Q$1:DK$1,Dashboard!$K$31)</f>
        <v>0</v>
      </c>
      <c r="U2925" s="95">
        <v>33</v>
      </c>
      <c r="AA2925" s="95">
        <v>25</v>
      </c>
      <c r="AH2925" s="95">
        <v>75</v>
      </c>
    </row>
    <row r="2926" spans="1:34" x14ac:dyDescent="0.3">
      <c r="A2926" s="89" t="str">
        <f>CONCATENATE(D2926,".",F2926,"-",G2926,".",H2926,"")</f>
        <v>2.4-7.5</v>
      </c>
      <c r="B2926" s="89" t="str">
        <f>IF(CONCATENATE(I2926,Key!F$2)=CONCATENATE(INDEX(Dashboard!J:J,MATCH(I2926,Dashboard!J:J,0),1),INDEX(Dashboard!J:K,MATCH(I2926,Dashboard!J:J,0),2)),"ON",IF(Dashboard!K$32="ALL","ON","-"))</f>
        <v>-</v>
      </c>
      <c r="C2926" s="88" t="s">
        <v>152</v>
      </c>
      <c r="D2926" s="89">
        <f>IF(C2926="ID",1,(IF(C2926="PR",2,(IF(C2926="DE",3,(IF(C2926="RS",4,(IF(C2926="RC",5,0)))))))))</f>
        <v>2</v>
      </c>
      <c r="E2926" s="89" t="s">
        <v>228</v>
      </c>
      <c r="F2926" s="89">
        <f>IF(E2926="AM",1,(IF(E2926="BE",2,(IF(E2926="GV",3,(IF(E2926="RA",4,(IF(E2926="RM",5,(IF(E2926="AC",1,(IF(E2926="AT",2,(IF(E2926="DS",3,(IF(E2926="IP",4,(IF(E2926="MA",5,(IF(E2926="PT",6,(IF(E2926="AE",1,(IF(E2926="CM",2,(IF(E2926="DP",3,(IF(E2926="AN",1,(IF(E2926="CO",2,(IF(E2926="IM",3,(IF(E2926="MI",4,(IF(E2926="RP",5,(IF(E2926="SC",6,0)))))))))))))))))))))))))))))))))))))))</f>
        <v>4</v>
      </c>
      <c r="G2926" s="52">
        <v>7</v>
      </c>
      <c r="H2926" s="90" t="s">
        <v>123</v>
      </c>
      <c r="I2926" s="94" t="s">
        <v>77</v>
      </c>
      <c r="J2926" s="87" t="s">
        <v>1671</v>
      </c>
      <c r="K2926" s="102" t="s">
        <v>2608</v>
      </c>
      <c r="L2926" s="117">
        <f>IF(O2926="","",N2926*O2926*M2926)</f>
        <v>0</v>
      </c>
      <c r="M2926" s="108">
        <v>1</v>
      </c>
      <c r="N2926" s="95">
        <v>1</v>
      </c>
      <c r="O2926" s="109">
        <f>IF(Key!D$1="ON",P2926,IF(SUM(Q2926:DL2926)&lt;1,"",SUM(Q2926:DL2926)/COUNTIF(Q2926:DL2926,"&gt;0")))</f>
        <v>0</v>
      </c>
      <c r="P2926" s="109">
        <f>SUMIFS(Q2926:DK2926,Q$1:DK$1,Dashboard!$K$31)</f>
        <v>0</v>
      </c>
      <c r="U2926" s="95">
        <v>33</v>
      </c>
      <c r="AA2926" s="95">
        <v>25</v>
      </c>
      <c r="AH2926" s="95">
        <v>75</v>
      </c>
    </row>
    <row r="2927" spans="1:34" x14ac:dyDescent="0.3">
      <c r="A2927" s="89" t="str">
        <f>CONCATENATE(D2927,".",F2927,"-",G2927,".",H2927,"")</f>
        <v>2.4-8.0</v>
      </c>
      <c r="B2927" s="89" t="str">
        <f>IF(CONCATENATE(I2927,Key!F$2)=CONCATENATE(INDEX(Dashboard!J:J,MATCH(I2927,Dashboard!J:J,0),1),INDEX(Dashboard!J:K,MATCH(I2927,Dashboard!J:J,0),2)),"ON",IF(Dashboard!K$32="ALL","ON","-"))</f>
        <v>-</v>
      </c>
      <c r="C2927" s="88" t="s">
        <v>152</v>
      </c>
      <c r="D2927" s="89">
        <f>IF(C2927="ID",1,(IF(C2927="PR",2,(IF(C2927="DE",3,(IF(C2927="RS",4,(IF(C2927="RC",5,0)))))))))</f>
        <v>2</v>
      </c>
      <c r="E2927" s="89" t="s">
        <v>228</v>
      </c>
      <c r="F2927" s="89">
        <f>IF(E2927="AM",1,(IF(E2927="BE",2,(IF(E2927="GV",3,(IF(E2927="RA",4,(IF(E2927="RM",5,(IF(E2927="AC",1,(IF(E2927="AT",2,(IF(E2927="DS",3,(IF(E2927="IP",4,(IF(E2927="MA",5,(IF(E2927="PT",6,(IF(E2927="AE",1,(IF(E2927="CM",2,(IF(E2927="DP",3,(IF(E2927="AN",1,(IF(E2927="CO",2,(IF(E2927="IM",3,(IF(E2927="MI",4,(IF(E2927="RP",5,(IF(E2927="SC",6,0)))))))))))))))))))))))))))))))))))))))</f>
        <v>4</v>
      </c>
      <c r="G2927" s="52">
        <v>8</v>
      </c>
      <c r="H2927" s="90" t="s">
        <v>347</v>
      </c>
      <c r="I2927" s="94" t="s">
        <v>2835</v>
      </c>
      <c r="J2927" s="138" t="s">
        <v>2982</v>
      </c>
      <c r="K2927" s="150" t="s">
        <v>2983</v>
      </c>
      <c r="L2927" s="117">
        <f>IF(O2927="","",N2927*O2927*M2927)</f>
        <v>0</v>
      </c>
      <c r="M2927" s="108">
        <v>1</v>
      </c>
      <c r="N2927" s="95">
        <v>1</v>
      </c>
      <c r="O2927" s="109">
        <f>IF(Key!D$1="ON",P2927,IF(SUM(Q2927:DL2927)&lt;1,"",SUM(Q2927:DL2927)/COUNTIF(Q2927:DL2927,"&gt;0")))</f>
        <v>0</v>
      </c>
      <c r="P2927" s="109">
        <f>SUMIFS(Q2927:DK2927,Q$1:DK$1,Dashboard!$K$31)</f>
        <v>0</v>
      </c>
      <c r="U2927" s="95">
        <v>33</v>
      </c>
    </row>
    <row r="2928" spans="1:34" ht="15.6" x14ac:dyDescent="0.3">
      <c r="A2928" s="89" t="str">
        <f>CONCATENATE(D2928,".",F2928,"-",G2928,".",H2928,"")</f>
        <v>2.4-8.1</v>
      </c>
      <c r="B2928" s="89" t="str">
        <f>IF(CONCATENATE(I2928,Key!F$2)=CONCATENATE(INDEX(Dashboard!J:J,MATCH(I2928,Dashboard!J:J,0),1),INDEX(Dashboard!J:K,MATCH(I2928,Dashboard!J:J,0),2)),"ON",IF(Dashboard!K$32="ALL","ON","-"))</f>
        <v>-</v>
      </c>
      <c r="C2928" s="96" t="s">
        <v>152</v>
      </c>
      <c r="D2928" s="89">
        <f>IF(C2928="ID",1,(IF(C2928="PR",2,(IF(C2928="DE",3,(IF(C2928="RS",4,(IF(C2928="RC",5,0)))))))))</f>
        <v>2</v>
      </c>
      <c r="E2928" s="89" t="s">
        <v>228</v>
      </c>
      <c r="F2928" s="89">
        <f>IF(E2928="AM",1,(IF(E2928="BE",2,(IF(E2928="GV",3,(IF(E2928="RA",4,(IF(E2928="RM",5,(IF(E2928="AC",1,(IF(E2928="AT",2,(IF(E2928="DS",3,(IF(E2928="IP",4,(IF(E2928="MA",5,(IF(E2928="PT",6,(IF(E2928="AE",1,(IF(E2928="CM",2,(IF(E2928="DP",3,(IF(E2928="AN",1,(IF(E2928="CO",2,(IF(E2928="IM",3,(IF(E2928="MI",4,(IF(E2928="RP",5,(IF(E2928="SC",6,0)))))))))))))))))))))))))))))))))))))))</f>
        <v>4</v>
      </c>
      <c r="G2928" s="52">
        <v>8</v>
      </c>
      <c r="H2928" s="90" t="s">
        <v>115</v>
      </c>
      <c r="I2928" s="94" t="s">
        <v>52</v>
      </c>
      <c r="J2928" s="88" t="s">
        <v>3331</v>
      </c>
      <c r="K2928" s="103" t="s">
        <v>3332</v>
      </c>
      <c r="L2928" s="117">
        <f>IF(O2928="","",N2928*O2928*M2928)</f>
        <v>0</v>
      </c>
      <c r="M2928" s="108">
        <v>1</v>
      </c>
      <c r="N2928" s="95">
        <v>1</v>
      </c>
      <c r="O2928" s="109">
        <f>IF(Key!D$1="ON",P2928,IF(SUM(Q2928:DL2928)&lt;1,"",SUM(Q2928:DL2928)/COUNTIF(Q2928:DL2928,"&gt;0")))</f>
        <v>0</v>
      </c>
      <c r="P2928" s="109">
        <f>SUMIFS(Q2928:DK2928,Q$1:DK$1,Dashboard!$K$31)</f>
        <v>0</v>
      </c>
      <c r="U2928" s="95">
        <v>33</v>
      </c>
      <c r="AA2928" s="95">
        <v>25</v>
      </c>
      <c r="AH2928" s="95">
        <v>75</v>
      </c>
    </row>
    <row r="2929" spans="1:34" x14ac:dyDescent="0.3">
      <c r="A2929" s="89" t="str">
        <f>CONCATENATE(D2929,".",F2929,"-",G2929,".",H2929,"")</f>
        <v>2.4-8.1</v>
      </c>
      <c r="B2929" s="89" t="str">
        <f>IF(CONCATENATE(I2929,Key!F$2)=CONCATENATE(INDEX(Dashboard!J:J,MATCH(I2929,Dashboard!J:J,0),1),INDEX(Dashboard!J:K,MATCH(I2929,Dashboard!J:J,0),2)),"ON",IF(Dashboard!K$32="ALL","ON","-"))</f>
        <v>-</v>
      </c>
      <c r="C2929" s="88" t="s">
        <v>152</v>
      </c>
      <c r="D2929" s="89">
        <f>IF(C2929="ID",1,(IF(C2929="PR",2,(IF(C2929="DE",3,(IF(C2929="RS",4,(IF(C2929="RC",5,0)))))))))</f>
        <v>2</v>
      </c>
      <c r="E2929" s="89" t="s">
        <v>228</v>
      </c>
      <c r="F2929" s="89">
        <f>IF(E2929="AM",1,(IF(E2929="BE",2,(IF(E2929="GV",3,(IF(E2929="RA",4,(IF(E2929="RM",5,(IF(E2929="AC",1,(IF(E2929="AT",2,(IF(E2929="DS",3,(IF(E2929="IP",4,(IF(E2929="MA",5,(IF(E2929="PT",6,(IF(E2929="AE",1,(IF(E2929="CM",2,(IF(E2929="DP",3,(IF(E2929="AN",1,(IF(E2929="CO",2,(IF(E2929="IM",3,(IF(E2929="MI",4,(IF(E2929="RP",5,(IF(E2929="SC",6,0)))))))))))))))))))))))))))))))))))))))</f>
        <v>4</v>
      </c>
      <c r="G2929" s="52">
        <v>8</v>
      </c>
      <c r="H2929" s="90" t="s">
        <v>115</v>
      </c>
      <c r="I2929" s="94" t="s">
        <v>60</v>
      </c>
      <c r="J2929" s="87" t="s">
        <v>3251</v>
      </c>
      <c r="K2929" s="51" t="s">
        <v>5365</v>
      </c>
      <c r="L2929" s="117">
        <f>IF(O2929="","",N2929*O2929*M2929)</f>
        <v>0</v>
      </c>
      <c r="M2929" s="108">
        <v>1</v>
      </c>
      <c r="N2929" s="95">
        <v>1</v>
      </c>
      <c r="O2929" s="109">
        <f>IF(Key!D$1="ON",P2929,IF(SUM(Q2929:DL2929)&lt;1,"",SUM(Q2929:DL2929)/COUNTIF(Q2929:DL2929,"&gt;0")))</f>
        <v>0</v>
      </c>
      <c r="P2929" s="109">
        <f>SUMIFS(Q2929:DK2929,Q$1:DK$1,Dashboard!$K$31)</f>
        <v>0</v>
      </c>
      <c r="U2929" s="95">
        <v>33</v>
      </c>
      <c r="AA2929" s="95">
        <v>25</v>
      </c>
      <c r="AH2929" s="95">
        <v>75</v>
      </c>
    </row>
    <row r="2930" spans="1:34" x14ac:dyDescent="0.3">
      <c r="A2930" s="89" t="str">
        <f>CONCATENATE(D2930,".",F2930,"-",G2930,".",H2930,"")</f>
        <v>2.4-8.1</v>
      </c>
      <c r="B2930" s="89" t="str">
        <f>IF(CONCATENATE(I2930,Key!F$2)=CONCATENATE(INDEX(Dashboard!J:J,MATCH(I2930,Dashboard!J:J,0),1),INDEX(Dashboard!J:K,MATCH(I2930,Dashboard!J:J,0),2)),"ON",IF(Dashboard!K$32="ALL","ON","-"))</f>
        <v>-</v>
      </c>
      <c r="C2930" s="88" t="s">
        <v>152</v>
      </c>
      <c r="D2930" s="89">
        <f>IF(C2930="ID",1,(IF(C2930="PR",2,(IF(C2930="DE",3,(IF(C2930="RS",4,(IF(C2930="RC",5,0)))))))))</f>
        <v>2</v>
      </c>
      <c r="E2930" s="89" t="s">
        <v>228</v>
      </c>
      <c r="F2930" s="89">
        <f>IF(E2930="AM",1,(IF(E2930="BE",2,(IF(E2930="GV",3,(IF(E2930="RA",4,(IF(E2930="RM",5,(IF(E2930="AC",1,(IF(E2930="AT",2,(IF(E2930="DS",3,(IF(E2930="IP",4,(IF(E2930="MA",5,(IF(E2930="PT",6,(IF(E2930="AE",1,(IF(E2930="CM",2,(IF(E2930="DP",3,(IF(E2930="AN",1,(IF(E2930="CO",2,(IF(E2930="IM",3,(IF(E2930="MI",4,(IF(E2930="RP",5,(IF(E2930="SC",6,0)))))))))))))))))))))))))))))))))))))))</f>
        <v>4</v>
      </c>
      <c r="G2930" s="52">
        <v>8</v>
      </c>
      <c r="H2930" s="90" t="s">
        <v>115</v>
      </c>
      <c r="I2930" s="94" t="s">
        <v>64</v>
      </c>
      <c r="J2930" s="86" t="s">
        <v>1658</v>
      </c>
      <c r="K2930" s="103" t="s">
        <v>2597</v>
      </c>
      <c r="L2930" s="117">
        <f>IF(O2930="","",N2930*O2930*M2930)</f>
        <v>0</v>
      </c>
      <c r="M2930" s="108">
        <v>1</v>
      </c>
      <c r="N2930" s="95">
        <v>1</v>
      </c>
      <c r="O2930" s="109">
        <f>IF(Key!D$1="ON",P2930,IF(SUM(Q2930:DL2930)&lt;1,"",SUM(Q2930:DL2930)/COUNTIF(Q2930:DL2930,"&gt;0")))</f>
        <v>0</v>
      </c>
      <c r="P2930" s="109">
        <f>SUMIFS(Q2930:DK2930,Q$1:DK$1,Dashboard!$K$31)</f>
        <v>0</v>
      </c>
      <c r="U2930" s="95">
        <v>33</v>
      </c>
      <c r="AA2930" s="95">
        <v>25</v>
      </c>
      <c r="AH2930" s="95">
        <v>75</v>
      </c>
    </row>
    <row r="2931" spans="1:34" x14ac:dyDescent="0.3">
      <c r="A2931" s="89" t="str">
        <f>CONCATENATE(D2931,".",F2931,"-",G2931,".",H2931,"")</f>
        <v>2.4-8.1</v>
      </c>
      <c r="B2931" s="89" t="str">
        <f>IF(CONCATENATE(I2931,Key!F$2)=CONCATENATE(INDEX(Dashboard!J:J,MATCH(I2931,Dashboard!J:J,0),1),INDEX(Dashboard!J:K,MATCH(I2931,Dashboard!J:J,0),2)),"ON",IF(Dashboard!K$32="ALL","ON","-"))</f>
        <v>-</v>
      </c>
      <c r="C2931" s="88" t="s">
        <v>152</v>
      </c>
      <c r="D2931" s="89">
        <f>IF(C2931="ID",1,(IF(C2931="PR",2,(IF(C2931="DE",3,(IF(C2931="RS",4,(IF(C2931="RC",5,0)))))))))</f>
        <v>2</v>
      </c>
      <c r="E2931" s="89" t="s">
        <v>228</v>
      </c>
      <c r="F2931" s="89">
        <f>IF(E2931="AM",1,(IF(E2931="BE",2,(IF(E2931="GV",3,(IF(E2931="RA",4,(IF(E2931="RM",5,(IF(E2931="AC",1,(IF(E2931="AT",2,(IF(E2931="DS",3,(IF(E2931="IP",4,(IF(E2931="MA",5,(IF(E2931="PT",6,(IF(E2931="AE",1,(IF(E2931="CM",2,(IF(E2931="DP",3,(IF(E2931="AN",1,(IF(E2931="CO",2,(IF(E2931="IM",3,(IF(E2931="MI",4,(IF(E2931="RP",5,(IF(E2931="SC",6,0)))))))))))))))))))))))))))))))))))))))</f>
        <v>4</v>
      </c>
      <c r="G2931" s="52">
        <v>8</v>
      </c>
      <c r="H2931" s="90" t="s">
        <v>115</v>
      </c>
      <c r="I2931" s="94" t="s">
        <v>77</v>
      </c>
      <c r="J2931" s="87" t="s">
        <v>1673</v>
      </c>
      <c r="K2931" s="102" t="s">
        <v>2609</v>
      </c>
      <c r="L2931" s="117">
        <f>IF(O2931="","",N2931*O2931*M2931)</f>
        <v>0</v>
      </c>
      <c r="M2931" s="108">
        <v>1</v>
      </c>
      <c r="N2931" s="95">
        <v>1</v>
      </c>
      <c r="O2931" s="109">
        <f>IF(Key!D$1="ON",P2931,IF(SUM(Q2931:DL2931)&lt;1,"",SUM(Q2931:DL2931)/COUNTIF(Q2931:DL2931,"&gt;0")))</f>
        <v>0</v>
      </c>
      <c r="P2931" s="109">
        <f>SUMIFS(Q2931:DK2931,Q$1:DK$1,Dashboard!$K$31)</f>
        <v>0</v>
      </c>
      <c r="U2931" s="95">
        <v>33</v>
      </c>
      <c r="AA2931" s="95">
        <v>25</v>
      </c>
      <c r="AH2931" s="95">
        <v>75</v>
      </c>
    </row>
    <row r="2932" spans="1:34" x14ac:dyDescent="0.3">
      <c r="A2932" s="89" t="str">
        <f>CONCATENATE(D2932,".",F2932,"-",G2932,".",H2932,"")</f>
        <v>2.4-8.1</v>
      </c>
      <c r="B2932" s="89" t="str">
        <f>IF(CONCATENATE(I2932,Key!F$2)=CONCATENATE(INDEX(Dashboard!J:J,MATCH(I2932,Dashboard!J:J,0),1),INDEX(Dashboard!J:K,MATCH(I2932,Dashboard!J:J,0),2)),"ON",IF(Dashboard!K$32="ALL","ON","-"))</f>
        <v>-</v>
      </c>
      <c r="C2932" s="88" t="s">
        <v>152</v>
      </c>
      <c r="D2932" s="89">
        <f>IF(C2932="ID",1,(IF(C2932="PR",2,(IF(C2932="DE",3,(IF(C2932="RS",4,(IF(C2932="RC",5,0)))))))))</f>
        <v>2</v>
      </c>
      <c r="E2932" s="89" t="s">
        <v>228</v>
      </c>
      <c r="F2932" s="89">
        <f>IF(E2932="AM",1,(IF(E2932="BE",2,(IF(E2932="GV",3,(IF(E2932="RA",4,(IF(E2932="RM",5,(IF(E2932="AC",1,(IF(E2932="AT",2,(IF(E2932="DS",3,(IF(E2932="IP",4,(IF(E2932="MA",5,(IF(E2932="PT",6,(IF(E2932="AE",1,(IF(E2932="CM",2,(IF(E2932="DP",3,(IF(E2932="AN",1,(IF(E2932="CO",2,(IF(E2932="IM",3,(IF(E2932="MI",4,(IF(E2932="RP",5,(IF(E2932="SC",6,0)))))))))))))))))))))))))))))))))))))))</f>
        <v>4</v>
      </c>
      <c r="G2932" s="52">
        <v>8</v>
      </c>
      <c r="H2932" s="90" t="s">
        <v>115</v>
      </c>
      <c r="I2932" s="94" t="s">
        <v>85</v>
      </c>
      <c r="J2932" s="87" t="s">
        <v>1673</v>
      </c>
      <c r="K2932" s="119" t="s">
        <v>5119</v>
      </c>
      <c r="L2932" s="117">
        <f>IF(O2932="","",N2932*O2932*M2932)</f>
        <v>0</v>
      </c>
      <c r="M2932" s="108">
        <v>1</v>
      </c>
      <c r="N2932" s="95">
        <v>1</v>
      </c>
      <c r="O2932" s="109">
        <f>IF(Key!D$1="ON",P2932,IF(SUM(Q2932:DL2932)&lt;1,"",SUM(Q2932:DL2932)/COUNTIF(Q2932:DL2932,"&gt;0")))</f>
        <v>0</v>
      </c>
      <c r="P2932" s="109">
        <f>SUMIFS(Q2932:DK2932,Q$1:DK$1,Dashboard!$K$31)</f>
        <v>0</v>
      </c>
      <c r="U2932" s="95">
        <v>33</v>
      </c>
      <c r="AA2932" s="95">
        <v>25</v>
      </c>
      <c r="AH2932" s="95">
        <v>75</v>
      </c>
    </row>
    <row r="2933" spans="1:34" x14ac:dyDescent="0.3">
      <c r="A2933" s="89" t="str">
        <f>CONCATENATE(D2933,".",F2933,"-",G2933,".",H2933,"")</f>
        <v>2.4-8.1</v>
      </c>
      <c r="B2933" s="89" t="str">
        <f>IF(CONCATENATE(I2933,Key!F$2)=CONCATENATE(INDEX(Dashboard!J:J,MATCH(I2933,Dashboard!J:J,0),1),INDEX(Dashboard!J:K,MATCH(I2933,Dashboard!J:J,0),2)),"ON",IF(Dashboard!K$32="ALL","ON","-"))</f>
        <v>-</v>
      </c>
      <c r="C2933" s="88" t="s">
        <v>152</v>
      </c>
      <c r="D2933" s="89">
        <f>IF(C2933="ID",1,(IF(C2933="PR",2,(IF(C2933="DE",3,(IF(C2933="RS",4,(IF(C2933="RC",5,0)))))))))</f>
        <v>2</v>
      </c>
      <c r="E2933" s="89" t="s">
        <v>228</v>
      </c>
      <c r="F2933" s="89">
        <f>IF(E2933="AM",1,(IF(E2933="BE",2,(IF(E2933="GV",3,(IF(E2933="RA",4,(IF(E2933="RM",5,(IF(E2933="AC",1,(IF(E2933="AT",2,(IF(E2933="DS",3,(IF(E2933="IP",4,(IF(E2933="MA",5,(IF(E2933="PT",6,(IF(E2933="AE",1,(IF(E2933="CM",2,(IF(E2933="DP",3,(IF(E2933="AN",1,(IF(E2933="CO",2,(IF(E2933="IM",3,(IF(E2933="MI",4,(IF(E2933="RP",5,(IF(E2933="SC",6,0)))))))))))))))))))))))))))))))))))))))</f>
        <v>4</v>
      </c>
      <c r="G2933" s="52">
        <v>8</v>
      </c>
      <c r="H2933" s="90" t="s">
        <v>115</v>
      </c>
      <c r="I2933" s="94" t="s">
        <v>89</v>
      </c>
      <c r="J2933" s="88">
        <v>500.17</v>
      </c>
      <c r="K2933" s="102" t="s">
        <v>568</v>
      </c>
      <c r="L2933" s="117">
        <f>IF(O2933="","",N2933*O2933*M2933)</f>
        <v>0</v>
      </c>
      <c r="M2933" s="108">
        <v>1</v>
      </c>
      <c r="N2933" s="95">
        <v>1</v>
      </c>
      <c r="O2933" s="109">
        <f>IF(Key!D$1="ON",P2933,IF(SUM(Q2933:DL2933)&lt;1,"",SUM(Q2933:DL2933)/COUNTIF(Q2933:DL2933,"&gt;0")))</f>
        <v>0</v>
      </c>
      <c r="P2933" s="109">
        <f>SUMIFS(Q2933:DK2933,Q$1:DK$1,Dashboard!$K$31)</f>
        <v>0</v>
      </c>
      <c r="U2933" s="95">
        <v>33</v>
      </c>
      <c r="AA2933" s="95">
        <v>25</v>
      </c>
      <c r="AH2933" s="95">
        <v>75</v>
      </c>
    </row>
    <row r="2934" spans="1:34" x14ac:dyDescent="0.3">
      <c r="A2934" s="89" t="str">
        <f>CONCATENATE(D2934,".",F2934,"-",G2934,".",H2934,"")</f>
        <v>2.4-8.1</v>
      </c>
      <c r="B2934" s="89" t="str">
        <f>IF(CONCATENATE(I2934,Key!F$2)=CONCATENATE(INDEX(Dashboard!J:J,MATCH(I2934,Dashboard!J:J,0),1),INDEX(Dashboard!J:K,MATCH(I2934,Dashboard!J:J,0),2)),"ON",IF(Dashboard!K$32="ALL","ON","-"))</f>
        <v>-</v>
      </c>
      <c r="C2934" s="88" t="s">
        <v>152</v>
      </c>
      <c r="D2934" s="89">
        <f>IF(C2934="ID",1,(IF(C2934="PR",2,(IF(C2934="DE",3,(IF(C2934="RS",4,(IF(C2934="RC",5,0)))))))))</f>
        <v>2</v>
      </c>
      <c r="E2934" s="89" t="s">
        <v>228</v>
      </c>
      <c r="F2934" s="89">
        <f>IF(E2934="AM",1,(IF(E2934="BE",2,(IF(E2934="GV",3,(IF(E2934="RA",4,(IF(E2934="RM",5,(IF(E2934="AC",1,(IF(E2934="AT",2,(IF(E2934="DS",3,(IF(E2934="IP",4,(IF(E2934="MA",5,(IF(E2934="PT",6,(IF(E2934="AE",1,(IF(E2934="CM",2,(IF(E2934="DP",3,(IF(E2934="AN",1,(IF(E2934="CO",2,(IF(E2934="IM",3,(IF(E2934="MI",4,(IF(E2934="RP",5,(IF(E2934="SC",6,0)))))))))))))))))))))))))))))))))))))))</f>
        <v>4</v>
      </c>
      <c r="G2934" s="52">
        <v>8</v>
      </c>
      <c r="H2934" s="90" t="s">
        <v>115</v>
      </c>
      <c r="I2934" s="94" t="s">
        <v>89</v>
      </c>
      <c r="J2934" s="88" t="s">
        <v>569</v>
      </c>
      <c r="K2934" s="102" t="s">
        <v>570</v>
      </c>
      <c r="L2934" s="117">
        <f>IF(O2934="","",N2934*O2934*M2934)</f>
        <v>0</v>
      </c>
      <c r="M2934" s="108">
        <v>1</v>
      </c>
      <c r="N2934" s="95">
        <v>1</v>
      </c>
      <c r="O2934" s="109">
        <f>IF(Key!D$1="ON",P2934,IF(SUM(Q2934:DL2934)&lt;1,"",SUM(Q2934:DL2934)/COUNTIF(Q2934:DL2934,"&gt;0")))</f>
        <v>0</v>
      </c>
      <c r="P2934" s="109">
        <f>SUMIFS(Q2934:DK2934,Q$1:DK$1,Dashboard!$K$31)</f>
        <v>0</v>
      </c>
      <c r="U2934" s="95">
        <v>33</v>
      </c>
      <c r="AA2934" s="95">
        <v>25</v>
      </c>
      <c r="AH2934" s="95">
        <v>75</v>
      </c>
    </row>
    <row r="2935" spans="1:34" x14ac:dyDescent="0.3">
      <c r="A2935" s="89" t="str">
        <f>CONCATENATE(D2935,".",F2935,"-",G2935,".",H2935,"")</f>
        <v>2.4-8.1</v>
      </c>
      <c r="B2935" s="89" t="str">
        <f>IF(CONCATENATE(I2935,Key!F$2)=CONCATENATE(INDEX(Dashboard!J:J,MATCH(I2935,Dashboard!J:J,0),1),INDEX(Dashboard!J:K,MATCH(I2935,Dashboard!J:J,0),2)),"ON",IF(Dashboard!K$32="ALL","ON","-"))</f>
        <v>-</v>
      </c>
      <c r="C2935" s="88" t="s">
        <v>152</v>
      </c>
      <c r="D2935" s="89">
        <f>IF(C2935="ID",1,(IF(C2935="PR",2,(IF(C2935="DE",3,(IF(C2935="RS",4,(IF(C2935="RC",5,0)))))))))</f>
        <v>2</v>
      </c>
      <c r="E2935" s="89" t="s">
        <v>228</v>
      </c>
      <c r="F2935" s="89">
        <f>IF(E2935="AM",1,(IF(E2935="BE",2,(IF(E2935="GV",3,(IF(E2935="RA",4,(IF(E2935="RM",5,(IF(E2935="AC",1,(IF(E2935="AT",2,(IF(E2935="DS",3,(IF(E2935="IP",4,(IF(E2935="MA",5,(IF(E2935="PT",6,(IF(E2935="AE",1,(IF(E2935="CM",2,(IF(E2935="DP",3,(IF(E2935="AN",1,(IF(E2935="CO",2,(IF(E2935="IM",3,(IF(E2935="MI",4,(IF(E2935="RP",5,(IF(E2935="SC",6,0)))))))))))))))))))))))))))))))))))))))</f>
        <v>4</v>
      </c>
      <c r="G2935" s="52">
        <v>8</v>
      </c>
      <c r="H2935" s="90" t="s">
        <v>115</v>
      </c>
      <c r="I2935" s="94" t="s">
        <v>89</v>
      </c>
      <c r="J2935" s="88" t="s">
        <v>571</v>
      </c>
      <c r="K2935" s="102" t="s">
        <v>572</v>
      </c>
      <c r="L2935" s="117">
        <f>IF(O2935="","",N2935*O2935*M2935)</f>
        <v>0</v>
      </c>
      <c r="M2935" s="108">
        <v>1</v>
      </c>
      <c r="N2935" s="95">
        <v>1</v>
      </c>
      <c r="O2935" s="109">
        <f>IF(Key!D$1="ON",P2935,IF(SUM(Q2935:DL2935)&lt;1,"",SUM(Q2935:DL2935)/COUNTIF(Q2935:DL2935,"&gt;0")))</f>
        <v>0</v>
      </c>
      <c r="P2935" s="109">
        <f>SUMIFS(Q2935:DK2935,Q$1:DK$1,Dashboard!$K$31)</f>
        <v>0</v>
      </c>
      <c r="U2935" s="95">
        <v>33</v>
      </c>
      <c r="AA2935" s="95">
        <v>25</v>
      </c>
      <c r="AH2935" s="95">
        <v>75</v>
      </c>
    </row>
    <row r="2936" spans="1:34" ht="15.6" x14ac:dyDescent="0.3">
      <c r="A2936" s="89" t="str">
        <f>CONCATENATE(D2936,".",F2936,"-",G2936,".",H2936,"")</f>
        <v>2.4-8.1</v>
      </c>
      <c r="B2936" s="89" t="str">
        <f>IF(CONCATENATE(I2936,Key!F$2)=CONCATENATE(INDEX(Dashboard!J:J,MATCH(I2936,Dashboard!J:J,0),1),INDEX(Dashboard!J:K,MATCH(I2936,Dashboard!J:J,0),2)),"ON",IF(Dashboard!K$32="ALL","ON","-"))</f>
        <v>-</v>
      </c>
      <c r="C2936" s="88" t="s">
        <v>152</v>
      </c>
      <c r="D2936" s="89">
        <f>IF(C2936="ID",1,(IF(C2936="PR",2,(IF(C2936="DE",3,(IF(C2936="RS",4,(IF(C2936="RC",5,0)))))))))</f>
        <v>2</v>
      </c>
      <c r="E2936" s="89" t="s">
        <v>228</v>
      </c>
      <c r="F2936" s="89">
        <f>IF(E2936="AM",1,(IF(E2936="BE",2,(IF(E2936="GV",3,(IF(E2936="RA",4,(IF(E2936="RM",5,(IF(E2936="AC",1,(IF(E2936="AT",2,(IF(E2936="DS",3,(IF(E2936="IP",4,(IF(E2936="MA",5,(IF(E2936="PT",6,(IF(E2936="AE",1,(IF(E2936="CM",2,(IF(E2936="DP",3,(IF(E2936="AN",1,(IF(E2936="CO",2,(IF(E2936="IM",3,(IF(E2936="MI",4,(IF(E2936="RP",5,(IF(E2936="SC",6,0)))))))))))))))))))))))))))))))))))))))</f>
        <v>4</v>
      </c>
      <c r="G2936" s="52">
        <v>8</v>
      </c>
      <c r="H2936" s="90" t="s">
        <v>115</v>
      </c>
      <c r="I2936" s="94" t="s">
        <v>89</v>
      </c>
      <c r="J2936" s="88" t="s">
        <v>573</v>
      </c>
      <c r="K2936" s="102" t="s">
        <v>574</v>
      </c>
      <c r="L2936" s="117">
        <f>IF(O2936="","",N2936*O2936*M2936)</f>
        <v>0</v>
      </c>
      <c r="M2936" s="108">
        <v>1</v>
      </c>
      <c r="N2936" s="95">
        <v>1</v>
      </c>
      <c r="O2936" s="109">
        <f>IF(Key!D$1="ON",P2936,IF(SUM(Q2936:DL2936)&lt;1,"",SUM(Q2936:DL2936)/COUNTIF(Q2936:DL2936,"&gt;0")))</f>
        <v>0</v>
      </c>
      <c r="P2936" s="109">
        <f>SUMIFS(Q2936:DK2936,Q$1:DK$1,Dashboard!$K$31)</f>
        <v>0</v>
      </c>
      <c r="U2936" s="95">
        <v>33</v>
      </c>
      <c r="AA2936" s="95">
        <v>25</v>
      </c>
      <c r="AH2936" s="95">
        <v>75</v>
      </c>
    </row>
    <row r="2937" spans="1:34" ht="15.6" x14ac:dyDescent="0.3">
      <c r="A2937" s="89" t="str">
        <f>CONCATENATE(D2937,".",F2937,"-",G2937,".",H2937,"")</f>
        <v>2.4-8.1</v>
      </c>
      <c r="B2937" s="89" t="str">
        <f>IF(CONCATENATE(I2937,Key!F$2)=CONCATENATE(INDEX(Dashboard!J:J,MATCH(I2937,Dashboard!J:J,0),1),INDEX(Dashboard!J:K,MATCH(I2937,Dashboard!J:J,0),2)),"ON",IF(Dashboard!K$32="ALL","ON","-"))</f>
        <v>-</v>
      </c>
      <c r="C2937" s="88" t="s">
        <v>152</v>
      </c>
      <c r="D2937" s="89">
        <f>IF(C2937="ID",1,(IF(C2937="PR",2,(IF(C2937="DE",3,(IF(C2937="RS",4,(IF(C2937="RC",5,0)))))))))</f>
        <v>2</v>
      </c>
      <c r="E2937" s="89" t="s">
        <v>228</v>
      </c>
      <c r="F2937" s="89">
        <f>IF(E2937="AM",1,(IF(E2937="BE",2,(IF(E2937="GV",3,(IF(E2937="RA",4,(IF(E2937="RM",5,(IF(E2937="AC",1,(IF(E2937="AT",2,(IF(E2937="DS",3,(IF(E2937="IP",4,(IF(E2937="MA",5,(IF(E2937="PT",6,(IF(E2937="AE",1,(IF(E2937="CM",2,(IF(E2937="DP",3,(IF(E2937="AN",1,(IF(E2937="CO",2,(IF(E2937="IM",3,(IF(E2937="MI",4,(IF(E2937="RP",5,(IF(E2937="SC",6,0)))))))))))))))))))))))))))))))))))))))</f>
        <v>4</v>
      </c>
      <c r="G2937" s="52">
        <v>8</v>
      </c>
      <c r="H2937" s="90" t="s">
        <v>115</v>
      </c>
      <c r="I2937" s="94" t="s">
        <v>89</v>
      </c>
      <c r="J2937" s="88" t="s">
        <v>575</v>
      </c>
      <c r="K2937" s="102" t="s">
        <v>576</v>
      </c>
      <c r="L2937" s="117">
        <f>IF(O2937="","",N2937*O2937*M2937)</f>
        <v>0</v>
      </c>
      <c r="M2937" s="108">
        <v>1</v>
      </c>
      <c r="N2937" s="95">
        <v>1</v>
      </c>
      <c r="O2937" s="109">
        <f>IF(Key!D$1="ON",P2937,IF(SUM(Q2937:DL2937)&lt;1,"",SUM(Q2937:DL2937)/COUNTIF(Q2937:DL2937,"&gt;0")))</f>
        <v>0</v>
      </c>
      <c r="P2937" s="109">
        <f>SUMIFS(Q2937:DK2937,Q$1:DK$1,Dashboard!$K$31)</f>
        <v>0</v>
      </c>
      <c r="U2937" s="95">
        <v>33</v>
      </c>
      <c r="AA2937" s="95">
        <v>25</v>
      </c>
      <c r="AH2937" s="95">
        <v>75</v>
      </c>
    </row>
    <row r="2938" spans="1:34" x14ac:dyDescent="0.3">
      <c r="A2938" s="89" t="str">
        <f>CONCATENATE(D2938,".",F2938,"-",G2938,".",H2938,"")</f>
        <v>2.4-8.1</v>
      </c>
      <c r="B2938" s="89" t="str">
        <f>IF(CONCATENATE(I2938,Key!F$2)=CONCATENATE(INDEX(Dashboard!J:J,MATCH(I2938,Dashboard!J:J,0),1),INDEX(Dashboard!J:K,MATCH(I2938,Dashboard!J:J,0),2)),"ON",IF(Dashboard!K$32="ALL","ON","-"))</f>
        <v>-</v>
      </c>
      <c r="C2938" s="88" t="s">
        <v>152</v>
      </c>
      <c r="D2938" s="89">
        <f>IF(C2938="ID",1,(IF(C2938="PR",2,(IF(C2938="DE",3,(IF(C2938="RS",4,(IF(C2938="RC",5,0)))))))))</f>
        <v>2</v>
      </c>
      <c r="E2938" s="89" t="s">
        <v>228</v>
      </c>
      <c r="F2938" s="89">
        <f>IF(E2938="AM",1,(IF(E2938="BE",2,(IF(E2938="GV",3,(IF(E2938="RA",4,(IF(E2938="RM",5,(IF(E2938="AC",1,(IF(E2938="AT",2,(IF(E2938="DS",3,(IF(E2938="IP",4,(IF(E2938="MA",5,(IF(E2938="PT",6,(IF(E2938="AE",1,(IF(E2938="CM",2,(IF(E2938="DP",3,(IF(E2938="AN",1,(IF(E2938="CO",2,(IF(E2938="IM",3,(IF(E2938="MI",4,(IF(E2938="RP",5,(IF(E2938="SC",6,0)))))))))))))))))))))))))))))))))))))))</f>
        <v>4</v>
      </c>
      <c r="G2938" s="52">
        <v>8</v>
      </c>
      <c r="H2938" s="90" t="s">
        <v>115</v>
      </c>
      <c r="I2938" s="94" t="s">
        <v>89</v>
      </c>
      <c r="J2938" s="88" t="s">
        <v>577</v>
      </c>
      <c r="K2938" s="102" t="s">
        <v>578</v>
      </c>
      <c r="L2938" s="117">
        <f>IF(O2938="","",N2938*O2938*M2938)</f>
        <v>0</v>
      </c>
      <c r="M2938" s="108">
        <v>1</v>
      </c>
      <c r="N2938" s="95">
        <v>1</v>
      </c>
      <c r="O2938" s="109">
        <f>IF(Key!D$1="ON",P2938,IF(SUM(Q2938:DL2938)&lt;1,"",SUM(Q2938:DL2938)/COUNTIF(Q2938:DL2938,"&gt;0")))</f>
        <v>0</v>
      </c>
      <c r="P2938" s="109">
        <f>SUMIFS(Q2938:DK2938,Q$1:DK$1,Dashboard!$K$31)</f>
        <v>0</v>
      </c>
      <c r="U2938" s="95">
        <v>33</v>
      </c>
      <c r="AA2938" s="95">
        <v>25</v>
      </c>
      <c r="AH2938" s="95">
        <v>75</v>
      </c>
    </row>
    <row r="2939" spans="1:34" x14ac:dyDescent="0.3">
      <c r="A2939" s="89" t="str">
        <f>CONCATENATE(D2939,".",F2939,"-",G2939,".",H2939,"")</f>
        <v>2.4-9.0</v>
      </c>
      <c r="B2939" s="89" t="str">
        <f>IF(CONCATENATE(I2939,Key!F$2)=CONCATENATE(INDEX(Dashboard!J:J,MATCH(I2939,Dashboard!J:J,0),1),INDEX(Dashboard!J:K,MATCH(I2939,Dashboard!J:J,0),2)),"ON",IF(Dashboard!K$32="ALL","ON","-"))</f>
        <v>-</v>
      </c>
      <c r="C2939" s="88" t="s">
        <v>152</v>
      </c>
      <c r="D2939" s="89">
        <f>IF(C2939="ID",1,(IF(C2939="PR",2,(IF(C2939="DE",3,(IF(C2939="RS",4,(IF(C2939="RC",5,0)))))))))</f>
        <v>2</v>
      </c>
      <c r="E2939" s="89" t="s">
        <v>228</v>
      </c>
      <c r="F2939" s="89">
        <f>IF(E2939="AM",1,(IF(E2939="BE",2,(IF(E2939="GV",3,(IF(E2939="RA",4,(IF(E2939="RM",5,(IF(E2939="AC",1,(IF(E2939="AT",2,(IF(E2939="DS",3,(IF(E2939="IP",4,(IF(E2939="MA",5,(IF(E2939="PT",6,(IF(E2939="AE",1,(IF(E2939="CM",2,(IF(E2939="DP",3,(IF(E2939="AN",1,(IF(E2939="CO",2,(IF(E2939="IM",3,(IF(E2939="MI",4,(IF(E2939="RP",5,(IF(E2939="SC",6,0)))))))))))))))))))))))))))))))))))))))</f>
        <v>4</v>
      </c>
      <c r="G2939" s="52">
        <v>9</v>
      </c>
      <c r="H2939" s="90" t="s">
        <v>347</v>
      </c>
      <c r="I2939" s="94" t="s">
        <v>2835</v>
      </c>
      <c r="J2939" s="53" t="s">
        <v>2984</v>
      </c>
      <c r="K2939" s="150" t="s">
        <v>2985</v>
      </c>
      <c r="L2939" s="117">
        <f>IF(O2939="","",N2939*O2939*M2939)</f>
        <v>0</v>
      </c>
      <c r="M2939" s="108">
        <v>1</v>
      </c>
      <c r="N2939" s="95">
        <v>1</v>
      </c>
      <c r="O2939" s="109">
        <f>IF(Key!D$1="ON",P2939,IF(SUM(Q2939:DL2939)&lt;1,"",SUM(Q2939:DL2939)/COUNTIF(Q2939:DL2939,"&gt;0")))</f>
        <v>0</v>
      </c>
      <c r="P2939" s="109">
        <f>SUMIFS(Q2939:DK2939,Q$1:DK$1,Dashboard!$K$31)</f>
        <v>0</v>
      </c>
      <c r="U2939" s="95">
        <v>33</v>
      </c>
    </row>
    <row r="2940" spans="1:34" x14ac:dyDescent="0.3">
      <c r="A2940" s="89" t="str">
        <f>CONCATENATE(D2940,".",F2940,"-",G2940,".",H2940,"")</f>
        <v>2.4-9.1</v>
      </c>
      <c r="B2940" s="89" t="str">
        <f>IF(CONCATENATE(I2940,Key!F$2)=CONCATENATE(INDEX(Dashboard!J:J,MATCH(I2940,Dashboard!J:J,0),1),INDEX(Dashboard!J:K,MATCH(I2940,Dashboard!J:J,0),2)),"ON",IF(Dashboard!K$32="ALL","ON","-"))</f>
        <v>ON</v>
      </c>
      <c r="C2940" s="130" t="s">
        <v>152</v>
      </c>
      <c r="D2940" s="89">
        <f>IF(C2940="ID",1,(IF(C2940="PR",2,(IF(C2940="DE",3,(IF(C2940="RS",4,(IF(C2940="RC",5,0)))))))))</f>
        <v>2</v>
      </c>
      <c r="E2940" s="95" t="s">
        <v>228</v>
      </c>
      <c r="F2940" s="89">
        <f>IF(E2940="AM",1,(IF(E2940="BE",2,(IF(E2940="GV",3,(IF(E2940="RA",4,(IF(E2940="RM",5,(IF(E2940="AC",1,(IF(E2940="AT",2,(IF(E2940="DS",3,(IF(E2940="IP",4,(IF(E2940="MA",5,(IF(E2940="PT",6,(IF(E2940="AE",1,(IF(E2940="CM",2,(IF(E2940="DP",3,(IF(E2940="AN",1,(IF(E2940="CO",2,(IF(E2940="IM",3,(IF(E2940="MI",4,(IF(E2940="RP",5,(IF(E2940="SC",6,0)))))))))))))))))))))))))))))))))))))))</f>
        <v>4</v>
      </c>
      <c r="G2940" s="52">
        <v>9</v>
      </c>
      <c r="H2940" s="90" t="s">
        <v>115</v>
      </c>
      <c r="I2940" s="94" t="s">
        <v>4107</v>
      </c>
      <c r="J2940" s="86" t="s">
        <v>4043</v>
      </c>
      <c r="K2940" s="101" t="s">
        <v>4459</v>
      </c>
      <c r="L2940" s="117">
        <f>IF(O2940="","",N2940*O2940*M2940)</f>
        <v>0</v>
      </c>
      <c r="M2940" s="108">
        <v>1</v>
      </c>
      <c r="N2940" s="95">
        <v>1</v>
      </c>
      <c r="O2940" s="109">
        <f>IF(Key!D$1="ON",P2940,IF(SUM(Q2940:DL2940)&lt;1,"",SUM(Q2940:DL2940)/COUNTIF(Q2940:DL2940,"&gt;0")))</f>
        <v>0</v>
      </c>
      <c r="P2940" s="109">
        <f>SUMIFS(Q2940:DK2940,Q$1:DK$1,Dashboard!$K$31)</f>
        <v>0</v>
      </c>
      <c r="U2940" s="95">
        <v>33</v>
      </c>
      <c r="AA2940" s="95">
        <v>25</v>
      </c>
      <c r="AH2940" s="95">
        <v>75</v>
      </c>
    </row>
    <row r="2941" spans="1:34" ht="15.6" x14ac:dyDescent="0.3">
      <c r="A2941" s="89" t="str">
        <f>CONCATENATE(D2941,".",F2941,"-",G2941,".",H2941,"")</f>
        <v>2.4-9.1</v>
      </c>
      <c r="B2941" s="89" t="str">
        <f>IF(CONCATENATE(I2941,Key!F$2)=CONCATENATE(INDEX(Dashboard!J:J,MATCH(I2941,Dashboard!J:J,0),1),INDEX(Dashboard!J:K,MATCH(I2941,Dashboard!J:J,0),2)),"ON",IF(Dashboard!K$32="ALL","ON","-"))</f>
        <v>-</v>
      </c>
      <c r="C2941" s="88" t="s">
        <v>152</v>
      </c>
      <c r="D2941" s="89">
        <f>IF(C2941="ID",1,(IF(C2941="PR",2,(IF(C2941="DE",3,(IF(C2941="RS",4,(IF(C2941="RC",5,0)))))))))</f>
        <v>2</v>
      </c>
      <c r="E2941" s="89" t="s">
        <v>228</v>
      </c>
      <c r="F2941" s="89">
        <f>IF(E2941="AM",1,(IF(E2941="BE",2,(IF(E2941="GV",3,(IF(E2941="RA",4,(IF(E2941="RM",5,(IF(E2941="AC",1,(IF(E2941="AT",2,(IF(E2941="DS",3,(IF(E2941="IP",4,(IF(E2941="MA",5,(IF(E2941="PT",6,(IF(E2941="AE",1,(IF(E2941="CM",2,(IF(E2941="DP",3,(IF(E2941="AN",1,(IF(E2941="CO",2,(IF(E2941="IM",3,(IF(E2941="MI",4,(IF(E2941="RP",5,(IF(E2941="SC",6,0)))))))))))))))))))))))))))))))))))))))</f>
        <v>4</v>
      </c>
      <c r="G2941" s="52">
        <v>9</v>
      </c>
      <c r="H2941" s="99">
        <v>1</v>
      </c>
      <c r="I2941" s="94" t="s">
        <v>37</v>
      </c>
      <c r="J2941" s="86">
        <v>19</v>
      </c>
      <c r="K2941" s="102" t="s">
        <v>3788</v>
      </c>
      <c r="L2941" s="117">
        <f>IF(O2941="","",N2941*O2941*M2941)</f>
        <v>0</v>
      </c>
      <c r="M2941" s="108">
        <v>0.9</v>
      </c>
      <c r="N2941" s="95">
        <v>1</v>
      </c>
      <c r="O2941" s="109">
        <f>IF(Key!D$1="ON",P2941,IF(SUM(Q2941:DL2941)&lt;1,"",SUM(Q2941:DL2941)/COUNTIF(Q2941:DL2941,"&gt;0")))</f>
        <v>0</v>
      </c>
      <c r="P2941" s="109">
        <f>SUMIFS(Q2941:DK2941,Q$1:DK$1,Dashboard!$K$31)</f>
        <v>0</v>
      </c>
      <c r="S2941" s="95">
        <v>25</v>
      </c>
      <c r="T2941" s="95">
        <v>80</v>
      </c>
      <c r="U2941" s="95">
        <v>33</v>
      </c>
      <c r="AA2941" s="95">
        <v>25</v>
      </c>
      <c r="AH2941" s="95">
        <v>75</v>
      </c>
    </row>
    <row r="2942" spans="1:34" x14ac:dyDescent="0.3">
      <c r="A2942" s="89" t="str">
        <f>CONCATENATE(D2942,".",F2942,"-",G2942,".",H2942,"")</f>
        <v>2.4-9.1</v>
      </c>
      <c r="B2942" s="89" t="str">
        <f>IF(CONCATENATE(I2942,Key!F$2)=CONCATENATE(INDEX(Dashboard!J:J,MATCH(I2942,Dashboard!J:J,0),1),INDEX(Dashboard!J:K,MATCH(I2942,Dashboard!J:J,0),2)),"ON",IF(Dashboard!K$32="ALL","ON","-"))</f>
        <v>-</v>
      </c>
      <c r="C2942" s="88" t="s">
        <v>152</v>
      </c>
      <c r="D2942" s="89">
        <f>IF(C2942="ID",1,(IF(C2942="PR",2,(IF(C2942="DE",3,(IF(C2942="RS",4,(IF(C2942="RC",5,0)))))))))</f>
        <v>2</v>
      </c>
      <c r="E2942" s="89" t="s">
        <v>228</v>
      </c>
      <c r="F2942" s="89">
        <f>IF(E2942="AM",1,(IF(E2942="BE",2,(IF(E2942="GV",3,(IF(E2942="RA",4,(IF(E2942="RM",5,(IF(E2942="AC",1,(IF(E2942="AT",2,(IF(E2942="DS",3,(IF(E2942="IP",4,(IF(E2942="MA",5,(IF(E2942="PT",6,(IF(E2942="AE",1,(IF(E2942="CM",2,(IF(E2942="DP",3,(IF(E2942="AN",1,(IF(E2942="CO",2,(IF(E2942="IM",3,(IF(E2942="MI",4,(IF(E2942="RP",5,(IF(E2942="SC",6,0)))))))))))))))))))))))))))))))))))))))</f>
        <v>4</v>
      </c>
      <c r="G2942" s="52">
        <v>9</v>
      </c>
      <c r="H2942" s="99">
        <v>1</v>
      </c>
      <c r="I2942" s="94" t="s">
        <v>41</v>
      </c>
      <c r="J2942" s="86">
        <v>19</v>
      </c>
      <c r="K2942" s="103" t="s">
        <v>3599</v>
      </c>
      <c r="L2942" s="117">
        <f>IF(O2942="","",N2942*O2942*M2942)</f>
        <v>0</v>
      </c>
      <c r="M2942" s="108">
        <v>1</v>
      </c>
      <c r="N2942" s="95">
        <v>1</v>
      </c>
      <c r="O2942" s="109">
        <f>IF(Key!D$1="ON",P2942,IF(SUM(Q2942:DL2942)&lt;1,"",SUM(Q2942:DL2942)/COUNTIF(Q2942:DL2942,"&gt;0")))</f>
        <v>0</v>
      </c>
      <c r="P2942" s="109">
        <f>SUMIFS(Q2942:DK2942,Q$1:DK$1,Dashboard!$K$31)</f>
        <v>0</v>
      </c>
      <c r="U2942" s="95">
        <v>33</v>
      </c>
    </row>
    <row r="2943" spans="1:34" x14ac:dyDescent="0.3">
      <c r="A2943" s="89" t="str">
        <f>CONCATENATE(D2943,".",F2943,"-",G2943,".",H2943,"")</f>
        <v>2.4-9.1</v>
      </c>
      <c r="B2943" s="89" t="str">
        <f>IF(CONCATENATE(I2943,Key!F$2)=CONCATENATE(INDEX(Dashboard!J:J,MATCH(I2943,Dashboard!J:J,0),1),INDEX(Dashboard!J:K,MATCH(I2943,Dashboard!J:J,0),2)),"ON",IF(Dashboard!K$32="ALL","ON","-"))</f>
        <v>-</v>
      </c>
      <c r="C2943" s="96" t="s">
        <v>152</v>
      </c>
      <c r="D2943" s="89">
        <f>IF(C2943="ID",1,(IF(C2943="PR",2,(IF(C2943="DE",3,(IF(C2943="RS",4,(IF(C2943="RC",5,0)))))))))</f>
        <v>2</v>
      </c>
      <c r="E2943" s="89" t="s">
        <v>228</v>
      </c>
      <c r="F2943" s="89">
        <f>IF(E2943="AM",1,(IF(E2943="BE",2,(IF(E2943="GV",3,(IF(E2943="RA",4,(IF(E2943="RM",5,(IF(E2943="AC",1,(IF(E2943="AT",2,(IF(E2943="DS",3,(IF(E2943="IP",4,(IF(E2943="MA",5,(IF(E2943="PT",6,(IF(E2943="AE",1,(IF(E2943="CM",2,(IF(E2943="DP",3,(IF(E2943="AN",1,(IF(E2943="CO",2,(IF(E2943="IM",3,(IF(E2943="MI",4,(IF(E2943="RP",5,(IF(E2943="SC",6,0)))))))))))))))))))))))))))))))))))))))</f>
        <v>4</v>
      </c>
      <c r="G2943" s="52">
        <v>9</v>
      </c>
      <c r="H2943" s="90" t="s">
        <v>115</v>
      </c>
      <c r="I2943" s="94" t="s">
        <v>52</v>
      </c>
      <c r="J2943" s="88" t="s">
        <v>3437</v>
      </c>
      <c r="K2943" s="103" t="s">
        <v>3438</v>
      </c>
      <c r="L2943" s="117">
        <f>IF(O2943="","",N2943*O2943*M2943)</f>
        <v>0</v>
      </c>
      <c r="M2943" s="108">
        <v>1</v>
      </c>
      <c r="N2943" s="95">
        <v>1</v>
      </c>
      <c r="O2943" s="109">
        <f>IF(Key!D$1="ON",P2943,IF(SUM(Q2943:DL2943)&lt;1,"",SUM(Q2943:DL2943)/COUNTIF(Q2943:DL2943,"&gt;0")))</f>
        <v>0</v>
      </c>
      <c r="P2943" s="109">
        <f>SUMIFS(Q2943:DK2943,Q$1:DK$1,Dashboard!$K$31)</f>
        <v>0</v>
      </c>
      <c r="U2943" s="95">
        <v>33</v>
      </c>
      <c r="AA2943" s="95">
        <v>25</v>
      </c>
      <c r="AH2943" s="95">
        <v>75</v>
      </c>
    </row>
    <row r="2944" spans="1:34" ht="15.6" x14ac:dyDescent="0.3">
      <c r="A2944" s="89" t="str">
        <f>CONCATENATE(D2944,".",F2944,"-",G2944,".",H2944,"")</f>
        <v>2.4-9.1</v>
      </c>
      <c r="B2944" s="89" t="str">
        <f>IF(CONCATENATE(I2944,Key!F$2)=CONCATENATE(INDEX(Dashboard!J:J,MATCH(I2944,Dashboard!J:J,0),1),INDEX(Dashboard!J:K,MATCH(I2944,Dashboard!J:J,0),2)),"ON",IF(Dashboard!K$32="ALL","ON","-"))</f>
        <v>-</v>
      </c>
      <c r="C2944" s="96" t="s">
        <v>152</v>
      </c>
      <c r="D2944" s="89">
        <f>IF(C2944="ID",1,(IF(C2944="PR",2,(IF(C2944="DE",3,(IF(C2944="RS",4,(IF(C2944="RC",5,0)))))))))</f>
        <v>2</v>
      </c>
      <c r="E2944" s="89" t="s">
        <v>228</v>
      </c>
      <c r="F2944" s="89">
        <f>IF(E2944="AM",1,(IF(E2944="BE",2,(IF(E2944="GV",3,(IF(E2944="RA",4,(IF(E2944="RM",5,(IF(E2944="AC",1,(IF(E2944="AT",2,(IF(E2944="DS",3,(IF(E2944="IP",4,(IF(E2944="MA",5,(IF(E2944="PT",6,(IF(E2944="AE",1,(IF(E2944="CM",2,(IF(E2944="DP",3,(IF(E2944="AN",1,(IF(E2944="CO",2,(IF(E2944="IM",3,(IF(E2944="MI",4,(IF(E2944="RP",5,(IF(E2944="SC",6,0)))))))))))))))))))))))))))))))))))))))</f>
        <v>4</v>
      </c>
      <c r="G2944" s="52">
        <v>9</v>
      </c>
      <c r="H2944" s="90" t="s">
        <v>115</v>
      </c>
      <c r="I2944" s="94" t="s">
        <v>52</v>
      </c>
      <c r="J2944" s="88" t="s">
        <v>3301</v>
      </c>
      <c r="K2944" s="103" t="s">
        <v>3302</v>
      </c>
      <c r="L2944" s="117">
        <f>IF(O2944="","",N2944*O2944*M2944)</f>
        <v>0</v>
      </c>
      <c r="M2944" s="108">
        <v>1</v>
      </c>
      <c r="N2944" s="95">
        <v>1</v>
      </c>
      <c r="O2944" s="109">
        <f>IF(Key!D$1="ON",P2944,IF(SUM(Q2944:DL2944)&lt;1,"",SUM(Q2944:DL2944)/COUNTIF(Q2944:DL2944,"&gt;0")))</f>
        <v>0</v>
      </c>
      <c r="P2944" s="109">
        <f>SUMIFS(Q2944:DK2944,Q$1:DK$1,Dashboard!$K$31)</f>
        <v>0</v>
      </c>
      <c r="U2944" s="95">
        <v>33</v>
      </c>
      <c r="AA2944" s="95">
        <v>25</v>
      </c>
      <c r="AH2944" s="95">
        <v>75</v>
      </c>
    </row>
    <row r="2945" spans="1:34" x14ac:dyDescent="0.3">
      <c r="A2945" s="89" t="str">
        <f>CONCATENATE(D2945,".",F2945,"-",G2945,".",H2945,"")</f>
        <v>2.4-9.1</v>
      </c>
      <c r="B2945" s="89" t="str">
        <f>IF(CONCATENATE(I2945,Key!F$2)=CONCATENATE(INDEX(Dashboard!J:J,MATCH(I2945,Dashboard!J:J,0),1),INDEX(Dashboard!J:K,MATCH(I2945,Dashboard!J:J,0),2)),"ON",IF(Dashboard!K$32="ALL","ON","-"))</f>
        <v>-</v>
      </c>
      <c r="C2945" s="96" t="s">
        <v>152</v>
      </c>
      <c r="D2945" s="89">
        <f>IF(C2945="ID",1,(IF(C2945="PR",2,(IF(C2945="DE",3,(IF(C2945="RS",4,(IF(C2945="RC",5,0)))))))))</f>
        <v>2</v>
      </c>
      <c r="E2945" s="89" t="s">
        <v>228</v>
      </c>
      <c r="F2945" s="89">
        <f>IF(E2945="AM",1,(IF(E2945="BE",2,(IF(E2945="GV",3,(IF(E2945="RA",4,(IF(E2945="RM",5,(IF(E2945="AC",1,(IF(E2945="AT",2,(IF(E2945="DS",3,(IF(E2945="IP",4,(IF(E2945="MA",5,(IF(E2945="PT",6,(IF(E2945="AE",1,(IF(E2945="CM",2,(IF(E2945="DP",3,(IF(E2945="AN",1,(IF(E2945="CO",2,(IF(E2945="IM",3,(IF(E2945="MI",4,(IF(E2945="RP",5,(IF(E2945="SC",6,0)))))))))))))))))))))))))))))))))))))))</f>
        <v>4</v>
      </c>
      <c r="G2945" s="52">
        <v>9</v>
      </c>
      <c r="H2945" s="90" t="s">
        <v>115</v>
      </c>
      <c r="I2945" s="94" t="s">
        <v>52</v>
      </c>
      <c r="J2945" s="88" t="s">
        <v>3299</v>
      </c>
      <c r="K2945" s="103" t="s">
        <v>3300</v>
      </c>
      <c r="L2945" s="117">
        <f>IF(O2945="","",N2945*O2945*M2945)</f>
        <v>0</v>
      </c>
      <c r="M2945" s="108">
        <v>1</v>
      </c>
      <c r="N2945" s="95">
        <v>1</v>
      </c>
      <c r="O2945" s="109">
        <f>IF(Key!D$1="ON",P2945,IF(SUM(Q2945:DL2945)&lt;1,"",SUM(Q2945:DL2945)/COUNTIF(Q2945:DL2945,"&gt;0")))</f>
        <v>0</v>
      </c>
      <c r="P2945" s="109">
        <f>SUMIFS(Q2945:DK2945,Q$1:DK$1,Dashboard!$K$31)</f>
        <v>0</v>
      </c>
      <c r="U2945" s="95">
        <v>33</v>
      </c>
      <c r="AA2945" s="95">
        <v>25</v>
      </c>
      <c r="AH2945" s="95">
        <v>75</v>
      </c>
    </row>
    <row r="2946" spans="1:34" x14ac:dyDescent="0.3">
      <c r="A2946" s="89" t="str">
        <f>CONCATENATE(D2946,".",F2946,"-",G2946,".",H2946,"")</f>
        <v>2.4-9.1</v>
      </c>
      <c r="B2946" s="89" t="str">
        <f>IF(CONCATENATE(I2946,Key!F$2)=CONCATENATE(INDEX(Dashboard!J:J,MATCH(I2946,Dashboard!J:J,0),1),INDEX(Dashboard!J:K,MATCH(I2946,Dashboard!J:J,0),2)),"ON",IF(Dashboard!K$32="ALL","ON","-"))</f>
        <v>-</v>
      </c>
      <c r="C2946" s="96" t="s">
        <v>152</v>
      </c>
      <c r="D2946" s="89">
        <f>IF(C2946="ID",1,(IF(C2946="PR",2,(IF(C2946="DE",3,(IF(C2946="RS",4,(IF(C2946="RC",5,0)))))))))</f>
        <v>2</v>
      </c>
      <c r="E2946" s="89" t="s">
        <v>228</v>
      </c>
      <c r="F2946" s="89">
        <f>IF(E2946="AM",1,(IF(E2946="BE",2,(IF(E2946="GV",3,(IF(E2946="RA",4,(IF(E2946="RM",5,(IF(E2946="AC",1,(IF(E2946="AT",2,(IF(E2946="DS",3,(IF(E2946="IP",4,(IF(E2946="MA",5,(IF(E2946="PT",6,(IF(E2946="AE",1,(IF(E2946="CM",2,(IF(E2946="DP",3,(IF(E2946="AN",1,(IF(E2946="CO",2,(IF(E2946="IM",3,(IF(E2946="MI",4,(IF(E2946="RP",5,(IF(E2946="SC",6,0)))))))))))))))))))))))))))))))))))))))</f>
        <v>4</v>
      </c>
      <c r="G2946" s="52">
        <v>9</v>
      </c>
      <c r="H2946" s="90" t="s">
        <v>115</v>
      </c>
      <c r="I2946" s="94" t="s">
        <v>52</v>
      </c>
      <c r="J2946" s="88" t="s">
        <v>3290</v>
      </c>
      <c r="K2946" s="103" t="s">
        <v>3291</v>
      </c>
      <c r="L2946" s="117">
        <f>IF(O2946="","",N2946*O2946*M2946)</f>
        <v>0</v>
      </c>
      <c r="M2946" s="108">
        <v>1</v>
      </c>
      <c r="N2946" s="95">
        <v>1</v>
      </c>
      <c r="O2946" s="109">
        <f>IF(Key!D$1="ON",P2946,IF(SUM(Q2946:DL2946)&lt;1,"",SUM(Q2946:DL2946)/COUNTIF(Q2946:DL2946,"&gt;0")))</f>
        <v>0</v>
      </c>
      <c r="P2946" s="109">
        <f>SUMIFS(Q2946:DK2946,Q$1:DK$1,Dashboard!$K$31)</f>
        <v>0</v>
      </c>
      <c r="U2946" s="95">
        <v>33</v>
      </c>
      <c r="AA2946" s="95">
        <v>25</v>
      </c>
      <c r="AH2946" s="95">
        <v>75</v>
      </c>
    </row>
    <row r="2947" spans="1:34" x14ac:dyDescent="0.3">
      <c r="A2947" s="89" t="str">
        <f>CONCATENATE(D2947,".",F2947,"-",G2947,".",H2947,"")</f>
        <v>2.4-9.1</v>
      </c>
      <c r="B2947" s="89" t="str">
        <f>IF(CONCATENATE(I2947,Key!F$2)=CONCATENATE(INDEX(Dashboard!J:J,MATCH(I2947,Dashboard!J:J,0),1),INDEX(Dashboard!J:K,MATCH(I2947,Dashboard!J:J,0),2)),"ON",IF(Dashboard!K$32="ALL","ON","-"))</f>
        <v>-</v>
      </c>
      <c r="C2947" s="96" t="s">
        <v>152</v>
      </c>
      <c r="D2947" s="89">
        <f>IF(C2947="ID",1,(IF(C2947="PR",2,(IF(C2947="DE",3,(IF(C2947="RS",4,(IF(C2947="RC",5,0)))))))))</f>
        <v>2</v>
      </c>
      <c r="E2947" s="89" t="s">
        <v>228</v>
      </c>
      <c r="F2947" s="89">
        <f>IF(E2947="AM",1,(IF(E2947="BE",2,(IF(E2947="GV",3,(IF(E2947="RA",4,(IF(E2947="RM",5,(IF(E2947="AC",1,(IF(E2947="AT",2,(IF(E2947="DS",3,(IF(E2947="IP",4,(IF(E2947="MA",5,(IF(E2947="PT",6,(IF(E2947="AE",1,(IF(E2947="CM",2,(IF(E2947="DP",3,(IF(E2947="AN",1,(IF(E2947="CO",2,(IF(E2947="IM",3,(IF(E2947="MI",4,(IF(E2947="RP",5,(IF(E2947="SC",6,0)))))))))))))))))))))))))))))))))))))))</f>
        <v>4</v>
      </c>
      <c r="G2947" s="52">
        <v>9</v>
      </c>
      <c r="H2947" s="90" t="s">
        <v>115</v>
      </c>
      <c r="I2947" s="94" t="s">
        <v>52</v>
      </c>
      <c r="J2947" s="88" t="s">
        <v>3307</v>
      </c>
      <c r="K2947" s="103" t="s">
        <v>3308</v>
      </c>
      <c r="L2947" s="117">
        <f>IF(O2947="","",N2947*O2947*M2947)</f>
        <v>0</v>
      </c>
      <c r="M2947" s="108">
        <v>1</v>
      </c>
      <c r="N2947" s="95">
        <v>1</v>
      </c>
      <c r="O2947" s="109">
        <f>IF(Key!D$1="ON",P2947,IF(SUM(Q2947:DL2947)&lt;1,"",SUM(Q2947:DL2947)/COUNTIF(Q2947:DL2947,"&gt;0")))</f>
        <v>0</v>
      </c>
      <c r="P2947" s="109">
        <f>SUMIFS(Q2947:DK2947,Q$1:DK$1,Dashboard!$K$31)</f>
        <v>0</v>
      </c>
      <c r="U2947" s="95">
        <v>33</v>
      </c>
      <c r="AA2947" s="95">
        <v>25</v>
      </c>
      <c r="AH2947" s="95">
        <v>75</v>
      </c>
    </row>
    <row r="2948" spans="1:34" x14ac:dyDescent="0.3">
      <c r="A2948" s="89" t="str">
        <f>CONCATENATE(D2948,".",F2948,"-",G2948,".",H2948,"")</f>
        <v>2.4-9.1</v>
      </c>
      <c r="B2948" s="89" t="str">
        <f>IF(CONCATENATE(I2948,Key!F$2)=CONCATENATE(INDEX(Dashboard!J:J,MATCH(I2948,Dashboard!J:J,0),1),INDEX(Dashboard!J:K,MATCH(I2948,Dashboard!J:J,0),2)),"ON",IF(Dashboard!K$32="ALL","ON","-"))</f>
        <v>-</v>
      </c>
      <c r="C2948" s="96" t="s">
        <v>152</v>
      </c>
      <c r="D2948" s="89">
        <f>IF(C2948="ID",1,(IF(C2948="PR",2,(IF(C2948="DE",3,(IF(C2948="RS",4,(IF(C2948="RC",5,0)))))))))</f>
        <v>2</v>
      </c>
      <c r="E2948" s="89" t="s">
        <v>228</v>
      </c>
      <c r="F2948" s="89">
        <f>IF(E2948="AM",1,(IF(E2948="BE",2,(IF(E2948="GV",3,(IF(E2948="RA",4,(IF(E2948="RM",5,(IF(E2948="AC",1,(IF(E2948="AT",2,(IF(E2948="DS",3,(IF(E2948="IP",4,(IF(E2948="MA",5,(IF(E2948="PT",6,(IF(E2948="AE",1,(IF(E2948="CM",2,(IF(E2948="DP",3,(IF(E2948="AN",1,(IF(E2948="CO",2,(IF(E2948="IM",3,(IF(E2948="MI",4,(IF(E2948="RP",5,(IF(E2948="SC",6,0)))))))))))))))))))))))))))))))))))))))</f>
        <v>4</v>
      </c>
      <c r="G2948" s="52">
        <v>9</v>
      </c>
      <c r="H2948" s="90" t="s">
        <v>115</v>
      </c>
      <c r="I2948" s="94" t="s">
        <v>52</v>
      </c>
      <c r="J2948" s="88" t="s">
        <v>3303</v>
      </c>
      <c r="K2948" s="103" t="s">
        <v>3304</v>
      </c>
      <c r="L2948" s="117">
        <f>IF(O2948="","",N2948*O2948*M2948)</f>
        <v>0</v>
      </c>
      <c r="M2948" s="108">
        <v>1</v>
      </c>
      <c r="N2948" s="95">
        <v>1</v>
      </c>
      <c r="O2948" s="109">
        <f>IF(Key!D$1="ON",P2948,IF(SUM(Q2948:DL2948)&lt;1,"",SUM(Q2948:DL2948)/COUNTIF(Q2948:DL2948,"&gt;0")))</f>
        <v>0</v>
      </c>
      <c r="P2948" s="109">
        <f>SUMIFS(Q2948:DK2948,Q$1:DK$1,Dashboard!$K$31)</f>
        <v>0</v>
      </c>
      <c r="U2948" s="95">
        <v>33</v>
      </c>
      <c r="AA2948" s="95">
        <v>25</v>
      </c>
      <c r="AH2948" s="95">
        <v>75</v>
      </c>
    </row>
    <row r="2949" spans="1:34" ht="15.6" x14ac:dyDescent="0.3">
      <c r="A2949" s="89" t="str">
        <f>CONCATENATE(D2949,".",F2949,"-",G2949,".",H2949,"")</f>
        <v>2.4-9.1</v>
      </c>
      <c r="B2949" s="89" t="str">
        <f>IF(CONCATENATE(I2949,Key!F$2)=CONCATENATE(INDEX(Dashboard!J:J,MATCH(I2949,Dashboard!J:J,0),1),INDEX(Dashboard!J:K,MATCH(I2949,Dashboard!J:J,0),2)),"ON",IF(Dashboard!K$32="ALL","ON","-"))</f>
        <v>-</v>
      </c>
      <c r="C2949" s="88" t="s">
        <v>152</v>
      </c>
      <c r="D2949" s="89">
        <f>IF(C2949="ID",1,(IF(C2949="PR",2,(IF(C2949="DE",3,(IF(C2949="RS",4,(IF(C2949="RC",5,0)))))))))</f>
        <v>2</v>
      </c>
      <c r="E2949" s="89" t="s">
        <v>228</v>
      </c>
      <c r="F2949" s="89">
        <f>IF(E2949="AM",1,(IF(E2949="BE",2,(IF(E2949="GV",3,(IF(E2949="RA",4,(IF(E2949="RM",5,(IF(E2949="AC",1,(IF(E2949="AT",2,(IF(E2949="DS",3,(IF(E2949="IP",4,(IF(E2949="MA",5,(IF(E2949="PT",6,(IF(E2949="AE",1,(IF(E2949="CM",2,(IF(E2949="DP",3,(IF(E2949="AN",1,(IF(E2949="CO",2,(IF(E2949="IM",3,(IF(E2949="MI",4,(IF(E2949="RP",5,(IF(E2949="SC",6,0)))))))))))))))))))))))))))))))))))))))</f>
        <v>4</v>
      </c>
      <c r="G2949" s="52">
        <v>9</v>
      </c>
      <c r="H2949" s="90" t="s">
        <v>115</v>
      </c>
      <c r="I2949" s="94" t="s">
        <v>60</v>
      </c>
      <c r="J2949" s="87" t="s">
        <v>3253</v>
      </c>
      <c r="K2949" s="51" t="s">
        <v>5366</v>
      </c>
      <c r="L2949" s="117">
        <f>IF(O2949="","",N2949*O2949*M2949)</f>
        <v>0</v>
      </c>
      <c r="M2949" s="108">
        <v>1</v>
      </c>
      <c r="N2949" s="95">
        <v>1</v>
      </c>
      <c r="O2949" s="109">
        <f>IF(Key!D$1="ON",P2949,IF(SUM(Q2949:DL2949)&lt;1,"",SUM(Q2949:DL2949)/COUNTIF(Q2949:DL2949,"&gt;0")))</f>
        <v>0</v>
      </c>
      <c r="P2949" s="109">
        <f>SUMIFS(Q2949:DK2949,Q$1:DK$1,Dashboard!$K$31)</f>
        <v>0</v>
      </c>
      <c r="U2949" s="95">
        <v>33</v>
      </c>
      <c r="AA2949" s="95">
        <v>25</v>
      </c>
      <c r="AH2949" s="95">
        <v>75</v>
      </c>
    </row>
    <row r="2950" spans="1:34" x14ac:dyDescent="0.3">
      <c r="A2950" s="89" t="str">
        <f>CONCATENATE(D2950,".",F2950,"-",G2950,".",H2950,"")</f>
        <v>2.4-9.1</v>
      </c>
      <c r="B2950" s="89" t="str">
        <f>IF(CONCATENATE(I2950,Key!F$2)=CONCATENATE(INDEX(Dashboard!J:J,MATCH(I2950,Dashboard!J:J,0),1),INDEX(Dashboard!J:K,MATCH(I2950,Dashboard!J:J,0),2)),"ON",IF(Dashboard!K$32="ALL","ON","-"))</f>
        <v>-</v>
      </c>
      <c r="C2950" s="88" t="s">
        <v>152</v>
      </c>
      <c r="D2950" s="89">
        <f>IF(C2950="ID",1,(IF(C2950="PR",2,(IF(C2950="DE",3,(IF(C2950="RS",4,(IF(C2950="RC",5,0)))))))))</f>
        <v>2</v>
      </c>
      <c r="E2950" s="89" t="s">
        <v>228</v>
      </c>
      <c r="F2950" s="89">
        <f>IF(E2950="AM",1,(IF(E2950="BE",2,(IF(E2950="GV",3,(IF(E2950="RA",4,(IF(E2950="RM",5,(IF(E2950="AC",1,(IF(E2950="AT",2,(IF(E2950="DS",3,(IF(E2950="IP",4,(IF(E2950="MA",5,(IF(E2950="PT",6,(IF(E2950="AE",1,(IF(E2950="CM",2,(IF(E2950="DP",3,(IF(E2950="AN",1,(IF(E2950="CO",2,(IF(E2950="IM",3,(IF(E2950="MI",4,(IF(E2950="RP",5,(IF(E2950="SC",6,0)))))))))))))))))))))))))))))))))))))))</f>
        <v>4</v>
      </c>
      <c r="G2950" s="52">
        <v>9</v>
      </c>
      <c r="H2950" s="90" t="s">
        <v>115</v>
      </c>
      <c r="I2950" s="94" t="s">
        <v>60</v>
      </c>
      <c r="J2950" s="87" t="s">
        <v>3254</v>
      </c>
      <c r="K2950" s="51" t="s">
        <v>5367</v>
      </c>
      <c r="L2950" s="117">
        <f>IF(O2950="","",N2950*O2950*M2950)</f>
        <v>0</v>
      </c>
      <c r="M2950" s="108">
        <v>1</v>
      </c>
      <c r="N2950" s="95">
        <v>1</v>
      </c>
      <c r="O2950" s="109">
        <f>IF(Key!D$1="ON",P2950,IF(SUM(Q2950:DL2950)&lt;1,"",SUM(Q2950:DL2950)/COUNTIF(Q2950:DL2950,"&gt;0")))</f>
        <v>0</v>
      </c>
      <c r="P2950" s="109">
        <f>SUMIFS(Q2950:DK2950,Q$1:DK$1,Dashboard!$K$31)</f>
        <v>0</v>
      </c>
      <c r="U2950" s="95">
        <v>33</v>
      </c>
      <c r="AA2950" s="95">
        <v>25</v>
      </c>
      <c r="AH2950" s="95">
        <v>75</v>
      </c>
    </row>
    <row r="2951" spans="1:34" ht="15.6" x14ac:dyDescent="0.3">
      <c r="A2951" s="89" t="str">
        <f>CONCATENATE(D2951,".",F2951,"-",G2951,".",H2951,"")</f>
        <v>2.4-9.1</v>
      </c>
      <c r="B2951" s="89" t="str">
        <f>IF(CONCATENATE(I2951,Key!F$2)=CONCATENATE(INDEX(Dashboard!J:J,MATCH(I2951,Dashboard!J:J,0),1),INDEX(Dashboard!J:K,MATCH(I2951,Dashboard!J:J,0),2)),"ON",IF(Dashboard!K$32="ALL","ON","-"))</f>
        <v>-</v>
      </c>
      <c r="C2951" s="88" t="s">
        <v>152</v>
      </c>
      <c r="D2951" s="89">
        <f>IF(C2951="ID",1,(IF(C2951="PR",2,(IF(C2951="DE",3,(IF(C2951="RS",4,(IF(C2951="RC",5,0)))))))))</f>
        <v>2</v>
      </c>
      <c r="E2951" s="89" t="s">
        <v>228</v>
      </c>
      <c r="F2951" s="89">
        <f>IF(E2951="AM",1,(IF(E2951="BE",2,(IF(E2951="GV",3,(IF(E2951="RA",4,(IF(E2951="RM",5,(IF(E2951="AC",1,(IF(E2951="AT",2,(IF(E2951="DS",3,(IF(E2951="IP",4,(IF(E2951="MA",5,(IF(E2951="PT",6,(IF(E2951="AE",1,(IF(E2951="CM",2,(IF(E2951="DP",3,(IF(E2951="AN",1,(IF(E2951="CO",2,(IF(E2951="IM",3,(IF(E2951="MI",4,(IF(E2951="RP",5,(IF(E2951="SC",6,0)))))))))))))))))))))))))))))))))))))))</f>
        <v>4</v>
      </c>
      <c r="G2951" s="52">
        <v>9</v>
      </c>
      <c r="H2951" s="90" t="s">
        <v>115</v>
      </c>
      <c r="I2951" s="94" t="s">
        <v>60</v>
      </c>
      <c r="J2951" s="87" t="s">
        <v>3247</v>
      </c>
      <c r="K2951" s="51" t="s">
        <v>5360</v>
      </c>
      <c r="L2951" s="117">
        <f>IF(O2951="","",N2951*O2951*M2951)</f>
        <v>0</v>
      </c>
      <c r="M2951" s="108">
        <v>1</v>
      </c>
      <c r="N2951" s="95">
        <v>1</v>
      </c>
      <c r="O2951" s="109">
        <f>IF(Key!D$1="ON",P2951,IF(SUM(Q2951:DL2951)&lt;1,"",SUM(Q2951:DL2951)/COUNTIF(Q2951:DL2951,"&gt;0")))</f>
        <v>0</v>
      </c>
      <c r="P2951" s="109">
        <f>SUMIFS(Q2951:DK2951,Q$1:DK$1,Dashboard!$K$31)</f>
        <v>0</v>
      </c>
      <c r="U2951" s="95">
        <v>33</v>
      </c>
      <c r="AA2951" s="95">
        <v>25</v>
      </c>
      <c r="AH2951" s="95">
        <v>75</v>
      </c>
    </row>
    <row r="2952" spans="1:34" x14ac:dyDescent="0.3">
      <c r="A2952" s="89" t="str">
        <f>CONCATENATE(D2952,".",F2952,"-",G2952,".",H2952,"")</f>
        <v>2.4-9.1</v>
      </c>
      <c r="B2952" s="89" t="str">
        <f>IF(CONCATENATE(I2952,Key!F$2)=CONCATENATE(INDEX(Dashboard!J:J,MATCH(I2952,Dashboard!J:J,0),1),INDEX(Dashboard!J:K,MATCH(I2952,Dashboard!J:J,0),2)),"ON",IF(Dashboard!K$32="ALL","ON","-"))</f>
        <v>-</v>
      </c>
      <c r="C2952" s="88" t="s">
        <v>152</v>
      </c>
      <c r="D2952" s="89">
        <f>IF(C2952="ID",1,(IF(C2952="PR",2,(IF(C2952="DE",3,(IF(C2952="RS",4,(IF(C2952="RC",5,0)))))))))</f>
        <v>2</v>
      </c>
      <c r="E2952" s="89" t="s">
        <v>228</v>
      </c>
      <c r="F2952" s="89">
        <f>IF(E2952="AM",1,(IF(E2952="BE",2,(IF(E2952="GV",3,(IF(E2952="RA",4,(IF(E2952="RM",5,(IF(E2952="AC",1,(IF(E2952="AT",2,(IF(E2952="DS",3,(IF(E2952="IP",4,(IF(E2952="MA",5,(IF(E2952="PT",6,(IF(E2952="AE",1,(IF(E2952="CM",2,(IF(E2952="DP",3,(IF(E2952="AN",1,(IF(E2952="CO",2,(IF(E2952="IM",3,(IF(E2952="MI",4,(IF(E2952="RP",5,(IF(E2952="SC",6,0)))))))))))))))))))))))))))))))))))))))</f>
        <v>4</v>
      </c>
      <c r="G2952" s="52">
        <v>9</v>
      </c>
      <c r="H2952" s="90" t="s">
        <v>115</v>
      </c>
      <c r="I2952" s="94" t="s">
        <v>60</v>
      </c>
      <c r="J2952" s="87" t="s">
        <v>3234</v>
      </c>
      <c r="K2952" s="51" t="s">
        <v>5347</v>
      </c>
      <c r="L2952" s="117">
        <f>IF(O2952="","",N2952*O2952*M2952)</f>
        <v>0</v>
      </c>
      <c r="M2952" s="108">
        <v>1</v>
      </c>
      <c r="N2952" s="95">
        <v>1</v>
      </c>
      <c r="O2952" s="109">
        <f>IF(Key!D$1="ON",P2952,IF(SUM(Q2952:DL2952)&lt;1,"",SUM(Q2952:DL2952)/COUNTIF(Q2952:DL2952,"&gt;0")))</f>
        <v>0</v>
      </c>
      <c r="P2952" s="109">
        <f>SUMIFS(Q2952:DK2952,Q$1:DK$1,Dashboard!$K$31)</f>
        <v>0</v>
      </c>
      <c r="U2952" s="95">
        <v>33</v>
      </c>
      <c r="AA2952" s="95">
        <v>25</v>
      </c>
      <c r="AH2952" s="95">
        <v>75</v>
      </c>
    </row>
    <row r="2953" spans="1:34" x14ac:dyDescent="0.3">
      <c r="A2953" s="89" t="str">
        <f>CONCATENATE(D2953,".",F2953,"-",G2953,".",H2953,"")</f>
        <v>2.4-9.1</v>
      </c>
      <c r="B2953" s="89" t="str">
        <f>IF(CONCATENATE(I2953,Key!F$2)=CONCATENATE(INDEX(Dashboard!J:J,MATCH(I2953,Dashboard!J:J,0),1),INDEX(Dashboard!J:K,MATCH(I2953,Dashboard!J:J,0),2)),"ON",IF(Dashboard!K$32="ALL","ON","-"))</f>
        <v>-</v>
      </c>
      <c r="C2953" s="88" t="s">
        <v>152</v>
      </c>
      <c r="D2953" s="89">
        <f>IF(C2953="ID",1,(IF(C2953="PR",2,(IF(C2953="DE",3,(IF(C2953="RS",4,(IF(C2953="RC",5,0)))))))))</f>
        <v>2</v>
      </c>
      <c r="E2953" s="89" t="s">
        <v>228</v>
      </c>
      <c r="F2953" s="89">
        <f>IF(E2953="AM",1,(IF(E2953="BE",2,(IF(E2953="GV",3,(IF(E2953="RA",4,(IF(E2953="RM",5,(IF(E2953="AC",1,(IF(E2953="AT",2,(IF(E2953="DS",3,(IF(E2953="IP",4,(IF(E2953="MA",5,(IF(E2953="PT",6,(IF(E2953="AE",1,(IF(E2953="CM",2,(IF(E2953="DP",3,(IF(E2953="AN",1,(IF(E2953="CO",2,(IF(E2953="IM",3,(IF(E2953="MI",4,(IF(E2953="RP",5,(IF(E2953="SC",6,0)))))))))))))))))))))))))))))))))))))))</f>
        <v>4</v>
      </c>
      <c r="G2953" s="52">
        <v>9</v>
      </c>
      <c r="H2953" s="89">
        <v>1</v>
      </c>
      <c r="I2953" s="94" t="s">
        <v>60</v>
      </c>
      <c r="J2953" s="88" t="s">
        <v>3133</v>
      </c>
      <c r="K2953" s="51" t="s">
        <v>5246</v>
      </c>
      <c r="L2953" s="117">
        <f>IF(O2953="","",N2953*O2953*M2953)</f>
        <v>0</v>
      </c>
      <c r="M2953" s="108">
        <v>1</v>
      </c>
      <c r="N2953" s="95">
        <v>1</v>
      </c>
      <c r="O2953" s="109">
        <f>IF(Key!D$1="ON",P2953,IF(SUM(Q2953:DL2953)&lt;1,"",SUM(Q2953:DL2953)/COUNTIF(Q2953:DL2953,"&gt;0")))</f>
        <v>0</v>
      </c>
      <c r="P2953" s="109">
        <f>SUMIFS(Q2953:DK2953,Q$1:DK$1,Dashboard!$K$31)</f>
        <v>0</v>
      </c>
      <c r="U2953" s="95">
        <v>33</v>
      </c>
      <c r="AA2953" s="95">
        <v>25</v>
      </c>
      <c r="AH2953" s="95">
        <v>75</v>
      </c>
    </row>
    <row r="2954" spans="1:34" ht="15.6" x14ac:dyDescent="0.3">
      <c r="A2954" s="89" t="str">
        <f>CONCATENATE(D2954,".",F2954,"-",G2954,".",H2954,"")</f>
        <v>2.4-9.1</v>
      </c>
      <c r="B2954" s="89" t="str">
        <f>IF(CONCATENATE(I2954,Key!F$2)=CONCATENATE(INDEX(Dashboard!J:J,MATCH(I2954,Dashboard!J:J,0),1),INDEX(Dashboard!J:K,MATCH(I2954,Dashboard!J:J,0),2)),"ON",IF(Dashboard!K$32="ALL","ON","-"))</f>
        <v>-</v>
      </c>
      <c r="C2954" s="88" t="s">
        <v>152</v>
      </c>
      <c r="D2954" s="89">
        <f>IF(C2954="ID",1,(IF(C2954="PR",2,(IF(C2954="DE",3,(IF(C2954="RS",4,(IF(C2954="RC",5,0)))))))))</f>
        <v>2</v>
      </c>
      <c r="E2954" s="89" t="s">
        <v>228</v>
      </c>
      <c r="F2954" s="89">
        <f>IF(E2954="AM",1,(IF(E2954="BE",2,(IF(E2954="GV",3,(IF(E2954="RA",4,(IF(E2954="RM",5,(IF(E2954="AC",1,(IF(E2954="AT",2,(IF(E2954="DS",3,(IF(E2954="IP",4,(IF(E2954="MA",5,(IF(E2954="PT",6,(IF(E2954="AE",1,(IF(E2954="CM",2,(IF(E2954="DP",3,(IF(E2954="AN",1,(IF(E2954="CO",2,(IF(E2954="IM",3,(IF(E2954="MI",4,(IF(E2954="RP",5,(IF(E2954="SC",6,0)))))))))))))))))))))))))))))))))))))))</f>
        <v>4</v>
      </c>
      <c r="G2954" s="98">
        <v>9</v>
      </c>
      <c r="H2954" s="99">
        <v>1</v>
      </c>
      <c r="I2954" s="94" t="s">
        <v>73</v>
      </c>
      <c r="J2954" s="86" t="s">
        <v>295</v>
      </c>
      <c r="K2954" s="107" t="s">
        <v>4302</v>
      </c>
      <c r="L2954" s="117">
        <f>IF(O2954="","",N2954*O2954*M2954)</f>
        <v>0</v>
      </c>
      <c r="M2954" s="108">
        <v>1</v>
      </c>
      <c r="N2954" s="95">
        <v>1</v>
      </c>
      <c r="O2954" s="109">
        <f>IF(Key!D$1="ON",P2954,IF(SUM(Q2954:DL2954)&lt;1,"",SUM(Q2954:DL2954)/COUNTIF(Q2954:DL2954,"&gt;0")))</f>
        <v>0</v>
      </c>
      <c r="P2954" s="109">
        <f>SUMIFS(Q2954:DK2954,Q$1:DK$1,Dashboard!$K$31)</f>
        <v>0</v>
      </c>
      <c r="U2954" s="95">
        <v>33</v>
      </c>
      <c r="AA2954" s="95">
        <v>25</v>
      </c>
      <c r="AH2954" s="95">
        <v>75</v>
      </c>
    </row>
    <row r="2955" spans="1:34" x14ac:dyDescent="0.3">
      <c r="A2955" s="89" t="str">
        <f>CONCATENATE(D2955,".",F2955,"-",G2955,".",H2955,"")</f>
        <v>2.4-9.1</v>
      </c>
      <c r="B2955" s="89" t="str">
        <f>IF(CONCATENATE(I2955,Key!F$2)=CONCATENATE(INDEX(Dashboard!J:J,MATCH(I2955,Dashboard!J:J,0),1),INDEX(Dashboard!J:K,MATCH(I2955,Dashboard!J:J,0),2)),"ON",IF(Dashboard!K$32="ALL","ON","-"))</f>
        <v>-</v>
      </c>
      <c r="C2955" s="88" t="s">
        <v>152</v>
      </c>
      <c r="D2955" s="89">
        <f>IF(C2955="ID",1,(IF(C2955="PR",2,(IF(C2955="DE",3,(IF(C2955="RS",4,(IF(C2955="RC",5,0)))))))))</f>
        <v>2</v>
      </c>
      <c r="E2955" s="89" t="s">
        <v>228</v>
      </c>
      <c r="F2955" s="89">
        <f>IF(E2955="AM",1,(IF(E2955="BE",2,(IF(E2955="GV",3,(IF(E2955="RA",4,(IF(E2955="RM",5,(IF(E2955="AC",1,(IF(E2955="AT",2,(IF(E2955="DS",3,(IF(E2955="IP",4,(IF(E2955="MA",5,(IF(E2955="PT",6,(IF(E2955="AE",1,(IF(E2955="CM",2,(IF(E2955="DP",3,(IF(E2955="AN",1,(IF(E2955="CO",2,(IF(E2955="IM",3,(IF(E2955="MI",4,(IF(E2955="RP",5,(IF(E2955="SC",6,0)))))))))))))))))))))))))))))))))))))))</f>
        <v>4</v>
      </c>
      <c r="G2955" s="98">
        <v>9</v>
      </c>
      <c r="H2955" s="99">
        <v>1</v>
      </c>
      <c r="I2955" s="94" t="s">
        <v>73</v>
      </c>
      <c r="J2955" s="86" t="s">
        <v>296</v>
      </c>
      <c r="K2955" s="107" t="s">
        <v>4303</v>
      </c>
      <c r="L2955" s="117">
        <f>IF(O2955="","",N2955*O2955*M2955)</f>
        <v>0</v>
      </c>
      <c r="M2955" s="108">
        <v>1</v>
      </c>
      <c r="N2955" s="95">
        <v>1</v>
      </c>
      <c r="O2955" s="109">
        <f>IF(Key!D$1="ON",P2955,IF(SUM(Q2955:DL2955)&lt;1,"",SUM(Q2955:DL2955)/COUNTIF(Q2955:DL2955,"&gt;0")))</f>
        <v>0</v>
      </c>
      <c r="P2955" s="109">
        <f>SUMIFS(Q2955:DK2955,Q$1:DK$1,Dashboard!$K$31)</f>
        <v>0</v>
      </c>
      <c r="U2955" s="95">
        <v>33</v>
      </c>
      <c r="AA2955" s="95">
        <v>25</v>
      </c>
      <c r="AH2955" s="95">
        <v>75</v>
      </c>
    </row>
    <row r="2956" spans="1:34" x14ac:dyDescent="0.3">
      <c r="A2956" s="89" t="str">
        <f>CONCATENATE(D2956,".",F2956,"-",G2956,".",H2956,"")</f>
        <v>2.4-9.1</v>
      </c>
      <c r="B2956" s="89" t="str">
        <f>IF(CONCATENATE(I2956,Key!F$2)=CONCATENATE(INDEX(Dashboard!J:J,MATCH(I2956,Dashboard!J:J,0),1),INDEX(Dashboard!J:K,MATCH(I2956,Dashboard!J:J,0),2)),"ON",IF(Dashboard!K$32="ALL","ON","-"))</f>
        <v>-</v>
      </c>
      <c r="C2956" s="88" t="s">
        <v>152</v>
      </c>
      <c r="D2956" s="89">
        <f>IF(C2956="ID",1,(IF(C2956="PR",2,(IF(C2956="DE",3,(IF(C2956="RS",4,(IF(C2956="RC",5,0)))))))))</f>
        <v>2</v>
      </c>
      <c r="E2956" s="89" t="s">
        <v>228</v>
      </c>
      <c r="F2956" s="89">
        <f>IF(E2956="AM",1,(IF(E2956="BE",2,(IF(E2956="GV",3,(IF(E2956="RA",4,(IF(E2956="RM",5,(IF(E2956="AC",1,(IF(E2956="AT",2,(IF(E2956="DS",3,(IF(E2956="IP",4,(IF(E2956="MA",5,(IF(E2956="PT",6,(IF(E2956="AE",1,(IF(E2956="CM",2,(IF(E2956="DP",3,(IF(E2956="AN",1,(IF(E2956="CO",2,(IF(E2956="IM",3,(IF(E2956="MI",4,(IF(E2956="RP",5,(IF(E2956="SC",6,0)))))))))))))))))))))))))))))))))))))))</f>
        <v>4</v>
      </c>
      <c r="G2956" s="52">
        <v>9</v>
      </c>
      <c r="H2956" s="90" t="s">
        <v>115</v>
      </c>
      <c r="I2956" s="94" t="s">
        <v>77</v>
      </c>
      <c r="J2956" s="87" t="s">
        <v>1674</v>
      </c>
      <c r="K2956" s="102" t="s">
        <v>2610</v>
      </c>
      <c r="L2956" s="117">
        <f>IF(O2956="","",N2956*O2956*M2956)</f>
        <v>0</v>
      </c>
      <c r="M2956" s="108">
        <v>1</v>
      </c>
      <c r="N2956" s="95">
        <v>1</v>
      </c>
      <c r="O2956" s="109">
        <f>IF(Key!D$1="ON",P2956,IF(SUM(Q2956:DL2956)&lt;1,"",SUM(Q2956:DL2956)/COUNTIF(Q2956:DL2956,"&gt;0")))</f>
        <v>0</v>
      </c>
      <c r="P2956" s="109">
        <f>SUMIFS(Q2956:DK2956,Q$1:DK$1,Dashboard!$K$31)</f>
        <v>0</v>
      </c>
      <c r="U2956" s="95">
        <v>33</v>
      </c>
      <c r="AA2956" s="95">
        <v>25</v>
      </c>
      <c r="AH2956" s="95">
        <v>75</v>
      </c>
    </row>
    <row r="2957" spans="1:34" ht="15.6" x14ac:dyDescent="0.3">
      <c r="A2957" s="89" t="str">
        <f>CONCATENATE(D2957,".",F2957,"-",G2957,".",H2957,"")</f>
        <v>2.4-9.1</v>
      </c>
      <c r="B2957" s="89" t="str">
        <f>IF(CONCATENATE(I2957,Key!F$2)=CONCATENATE(INDEX(Dashboard!J:J,MATCH(I2957,Dashboard!J:J,0),1),INDEX(Dashboard!J:K,MATCH(I2957,Dashboard!J:J,0),2)),"ON",IF(Dashboard!K$32="ALL","ON","-"))</f>
        <v>-</v>
      </c>
      <c r="C2957" s="88" t="s">
        <v>152</v>
      </c>
      <c r="D2957" s="89">
        <f>IF(C2957="ID",1,(IF(C2957="PR",2,(IF(C2957="DE",3,(IF(C2957="RS",4,(IF(C2957="RC",5,0)))))))))</f>
        <v>2</v>
      </c>
      <c r="E2957" s="89" t="s">
        <v>228</v>
      </c>
      <c r="F2957" s="89">
        <f>IF(E2957="AM",1,(IF(E2957="BE",2,(IF(E2957="GV",3,(IF(E2957="RA",4,(IF(E2957="RM",5,(IF(E2957="AC",1,(IF(E2957="AT",2,(IF(E2957="DS",3,(IF(E2957="IP",4,(IF(E2957="MA",5,(IF(E2957="PT",6,(IF(E2957="AE",1,(IF(E2957="CM",2,(IF(E2957="DP",3,(IF(E2957="AN",1,(IF(E2957="CO",2,(IF(E2957="IM",3,(IF(E2957="MI",4,(IF(E2957="RP",5,(IF(E2957="SC",6,0)))))))))))))))))))))))))))))))))))))))</f>
        <v>4</v>
      </c>
      <c r="G2957" s="52">
        <v>9</v>
      </c>
      <c r="H2957" s="90" t="s">
        <v>115</v>
      </c>
      <c r="I2957" s="94" t="s">
        <v>77</v>
      </c>
      <c r="J2957" s="87" t="s">
        <v>1675</v>
      </c>
      <c r="K2957" s="102" t="s">
        <v>2611</v>
      </c>
      <c r="L2957" s="117">
        <f>IF(O2957="","",N2957*O2957*M2957)</f>
        <v>0</v>
      </c>
      <c r="M2957" s="108">
        <v>1</v>
      </c>
      <c r="N2957" s="95">
        <v>1</v>
      </c>
      <c r="O2957" s="109">
        <f>IF(Key!D$1="ON",P2957,IF(SUM(Q2957:DL2957)&lt;1,"",SUM(Q2957:DL2957)/COUNTIF(Q2957:DL2957,"&gt;0")))</f>
        <v>0</v>
      </c>
      <c r="P2957" s="109">
        <f>SUMIFS(Q2957:DK2957,Q$1:DK$1,Dashboard!$K$31)</f>
        <v>0</v>
      </c>
      <c r="U2957" s="95">
        <v>33</v>
      </c>
      <c r="AA2957" s="95">
        <v>25</v>
      </c>
      <c r="AH2957" s="95">
        <v>75</v>
      </c>
    </row>
    <row r="2958" spans="1:34" ht="15.6" x14ac:dyDescent="0.3">
      <c r="A2958" s="89" t="str">
        <f>CONCATENATE(D2958,".",F2958,"-",G2958,".",H2958,"")</f>
        <v>2.4-9.1</v>
      </c>
      <c r="B2958" s="89" t="str">
        <f>IF(CONCATENATE(I2958,Key!F$2)=CONCATENATE(INDEX(Dashboard!J:J,MATCH(I2958,Dashboard!J:J,0),1),INDEX(Dashboard!J:K,MATCH(I2958,Dashboard!J:J,0),2)),"ON",IF(Dashboard!K$32="ALL","ON","-"))</f>
        <v>-</v>
      </c>
      <c r="C2958" s="96" t="s">
        <v>152</v>
      </c>
      <c r="D2958" s="89">
        <f>IF(C2958="ID",1,(IF(C2958="PR",2,(IF(C2958="DE",3,(IF(C2958="RS",4,(IF(C2958="RC",5,0)))))))))</f>
        <v>2</v>
      </c>
      <c r="E2958" s="89" t="s">
        <v>228</v>
      </c>
      <c r="F2958" s="89">
        <f>IF(E2958="AM",1,(IF(E2958="BE",2,(IF(E2958="GV",3,(IF(E2958="RA",4,(IF(E2958="RM",5,(IF(E2958="AC",1,(IF(E2958="AT",2,(IF(E2958="DS",3,(IF(E2958="IP",4,(IF(E2958="MA",5,(IF(E2958="PT",6,(IF(E2958="AE",1,(IF(E2958="CM",2,(IF(E2958="DP",3,(IF(E2958="AN",1,(IF(E2958="CO",2,(IF(E2958="IM",3,(IF(E2958="MI",4,(IF(E2958="RP",5,(IF(E2958="SC",6,0)))))))))))))))))))))))))))))))))))))))</f>
        <v>4</v>
      </c>
      <c r="G2958" s="52">
        <v>9</v>
      </c>
      <c r="H2958" s="90" t="s">
        <v>115</v>
      </c>
      <c r="I2958" s="94" t="s">
        <v>85</v>
      </c>
      <c r="J2958" s="135" t="s">
        <v>703</v>
      </c>
      <c r="K2958" s="143" t="s">
        <v>4810</v>
      </c>
      <c r="L2958" s="117">
        <f>IF(O2958="","",N2958*O2958*M2958)</f>
        <v>0</v>
      </c>
      <c r="M2958" s="108">
        <v>1</v>
      </c>
      <c r="N2958" s="95">
        <v>1</v>
      </c>
      <c r="O2958" s="109">
        <f>IF(Key!D$1="ON",P2958,IF(SUM(Q2958:DL2958)&lt;1,"",SUM(Q2958:DL2958)/COUNTIF(Q2958:DL2958,"&gt;0")))</f>
        <v>0</v>
      </c>
      <c r="P2958" s="109">
        <f>SUMIFS(Q2958:DK2958,Q$1:DK$1,Dashboard!$K$31)</f>
        <v>0</v>
      </c>
      <c r="U2958" s="95">
        <v>33</v>
      </c>
      <c r="AA2958" s="95">
        <v>25</v>
      </c>
      <c r="AH2958" s="95">
        <v>75</v>
      </c>
    </row>
    <row r="2959" spans="1:34" ht="15.6" x14ac:dyDescent="0.3">
      <c r="A2959" s="89" t="str">
        <f>CONCATENATE(D2959,".",F2959,"-",G2959,".",H2959,"")</f>
        <v>2.4-9.1</v>
      </c>
      <c r="B2959" s="89" t="str">
        <f>IF(CONCATENATE(I2959,Key!F$2)=CONCATENATE(INDEX(Dashboard!J:J,MATCH(I2959,Dashboard!J:J,0),1),INDEX(Dashboard!J:K,MATCH(I2959,Dashboard!J:J,0),2)),"ON",IF(Dashboard!K$32="ALL","ON","-"))</f>
        <v>-</v>
      </c>
      <c r="C2959" s="88" t="s">
        <v>152</v>
      </c>
      <c r="D2959" s="89">
        <f>IF(C2959="ID",1,(IF(C2959="PR",2,(IF(C2959="DE",3,(IF(C2959="RS",4,(IF(C2959="RC",5,0)))))))))</f>
        <v>2</v>
      </c>
      <c r="E2959" s="89" t="s">
        <v>228</v>
      </c>
      <c r="F2959" s="89">
        <f>IF(E2959="AM",1,(IF(E2959="BE",2,(IF(E2959="GV",3,(IF(E2959="RA",4,(IF(E2959="RM",5,(IF(E2959="AC",1,(IF(E2959="AT",2,(IF(E2959="DS",3,(IF(E2959="IP",4,(IF(E2959="MA",5,(IF(E2959="PT",6,(IF(E2959="AE",1,(IF(E2959="CM",2,(IF(E2959="DP",3,(IF(E2959="AN",1,(IF(E2959="CO",2,(IF(E2959="IM",3,(IF(E2959="MI",4,(IF(E2959="RP",5,(IF(E2959="SC",6,0)))))))))))))))))))))))))))))))))))))))</f>
        <v>4</v>
      </c>
      <c r="G2959" s="52">
        <v>9</v>
      </c>
      <c r="H2959" s="90" t="s">
        <v>115</v>
      </c>
      <c r="I2959" s="94" t="s">
        <v>85</v>
      </c>
      <c r="J2959" s="87" t="s">
        <v>1674</v>
      </c>
      <c r="K2959" s="119" t="s">
        <v>663</v>
      </c>
      <c r="L2959" s="117">
        <f>IF(O2959="","",N2959*O2959*M2959)</f>
        <v>0</v>
      </c>
      <c r="M2959" s="108">
        <v>1</v>
      </c>
      <c r="N2959" s="95">
        <v>1</v>
      </c>
      <c r="O2959" s="109">
        <f>IF(Key!D$1="ON",P2959,IF(SUM(Q2959:DL2959)&lt;1,"",SUM(Q2959:DL2959)/COUNTIF(Q2959:DL2959,"&gt;0")))</f>
        <v>0</v>
      </c>
      <c r="P2959" s="109">
        <f>SUMIFS(Q2959:DK2959,Q$1:DK$1,Dashboard!$K$31)</f>
        <v>0</v>
      </c>
      <c r="U2959" s="95">
        <v>33</v>
      </c>
      <c r="AA2959" s="95">
        <v>25</v>
      </c>
      <c r="AH2959" s="95">
        <v>75</v>
      </c>
    </row>
    <row r="2960" spans="1:34" ht="15.6" x14ac:dyDescent="0.3">
      <c r="A2960" s="89" t="str">
        <f>CONCATENATE(D2960,".",F2960,"-",G2960,".",H2960,"")</f>
        <v>2.4-9.1</v>
      </c>
      <c r="B2960" s="89" t="str">
        <f>IF(CONCATENATE(I2960,Key!F$2)=CONCATENATE(INDEX(Dashboard!J:J,MATCH(I2960,Dashboard!J:J,0),1),INDEX(Dashboard!J:K,MATCH(I2960,Dashboard!J:J,0),2)),"ON",IF(Dashboard!K$32="ALL","ON","-"))</f>
        <v>-</v>
      </c>
      <c r="C2960" s="88" t="s">
        <v>152</v>
      </c>
      <c r="D2960" s="89">
        <f>IF(C2960="ID",1,(IF(C2960="PR",2,(IF(C2960="DE",3,(IF(C2960="RS",4,(IF(C2960="RC",5,0)))))))))</f>
        <v>2</v>
      </c>
      <c r="E2960" s="89" t="s">
        <v>228</v>
      </c>
      <c r="F2960" s="89">
        <f>IF(E2960="AM",1,(IF(E2960="BE",2,(IF(E2960="GV",3,(IF(E2960="RA",4,(IF(E2960="RM",5,(IF(E2960="AC",1,(IF(E2960="AT",2,(IF(E2960="DS",3,(IF(E2960="IP",4,(IF(E2960="MA",5,(IF(E2960="PT",6,(IF(E2960="AE",1,(IF(E2960="CM",2,(IF(E2960="DP",3,(IF(E2960="AN",1,(IF(E2960="CO",2,(IF(E2960="IM",3,(IF(E2960="MI",4,(IF(E2960="RP",5,(IF(E2960="SC",6,0)))))))))))))))))))))))))))))))))))))))</f>
        <v>4</v>
      </c>
      <c r="G2960" s="52">
        <v>9</v>
      </c>
      <c r="H2960" s="90" t="s">
        <v>115</v>
      </c>
      <c r="I2960" s="94" t="s">
        <v>85</v>
      </c>
      <c r="J2960" s="87" t="s">
        <v>1675</v>
      </c>
      <c r="K2960" s="119" t="s">
        <v>663</v>
      </c>
      <c r="L2960" s="117">
        <f>IF(O2960="","",N2960*O2960*M2960)</f>
        <v>0</v>
      </c>
      <c r="M2960" s="108">
        <v>1</v>
      </c>
      <c r="N2960" s="95">
        <v>1</v>
      </c>
      <c r="O2960" s="109">
        <f>IF(Key!D$1="ON",P2960,IF(SUM(Q2960:DL2960)&lt;1,"",SUM(Q2960:DL2960)/COUNTIF(Q2960:DL2960,"&gt;0")))</f>
        <v>0</v>
      </c>
      <c r="P2960" s="109">
        <f>SUMIFS(Q2960:DK2960,Q$1:DK$1,Dashboard!$K$31)</f>
        <v>0</v>
      </c>
      <c r="U2960" s="95">
        <v>33</v>
      </c>
      <c r="AA2960" s="95">
        <v>25</v>
      </c>
      <c r="AH2960" s="95">
        <v>75</v>
      </c>
    </row>
    <row r="2961" spans="1:34" ht="15.6" x14ac:dyDescent="0.3">
      <c r="A2961" s="89" t="str">
        <f>CONCATENATE(D2961,".",F2961,"-",G2961,".",H2961,"")</f>
        <v>2.4-9.1</v>
      </c>
      <c r="B2961" s="89" t="str">
        <f>IF(CONCATENATE(I2961,Key!F$2)=CONCATENATE(INDEX(Dashboard!J:J,MATCH(I2961,Dashboard!J:J,0),1),INDEX(Dashboard!J:K,MATCH(I2961,Dashboard!J:J,0),2)),"ON",IF(Dashboard!K$32="ALL","ON","-"))</f>
        <v>-</v>
      </c>
      <c r="C2961" s="88" t="s">
        <v>152</v>
      </c>
      <c r="D2961" s="89">
        <f>IF(C2961="ID",1,(IF(C2961="PR",2,(IF(C2961="DE",3,(IF(C2961="RS",4,(IF(C2961="RC",5,0)))))))))</f>
        <v>2</v>
      </c>
      <c r="E2961" s="89" t="s">
        <v>228</v>
      </c>
      <c r="F2961" s="89">
        <f>IF(E2961="AM",1,(IF(E2961="BE",2,(IF(E2961="GV",3,(IF(E2961="RA",4,(IF(E2961="RM",5,(IF(E2961="AC",1,(IF(E2961="AT",2,(IF(E2961="DS",3,(IF(E2961="IP",4,(IF(E2961="MA",5,(IF(E2961="PT",6,(IF(E2961="AE",1,(IF(E2961="CM",2,(IF(E2961="DP",3,(IF(E2961="AN",1,(IF(E2961="CO",2,(IF(E2961="IM",3,(IF(E2961="MI",4,(IF(E2961="RP",5,(IF(E2961="SC",6,0)))))))))))))))))))))))))))))))))))))))</f>
        <v>4</v>
      </c>
      <c r="G2961" s="52">
        <v>9</v>
      </c>
      <c r="H2961" s="90" t="s">
        <v>115</v>
      </c>
      <c r="I2961" s="94" t="s">
        <v>89</v>
      </c>
      <c r="J2961" s="88">
        <v>500.16</v>
      </c>
      <c r="K2961" s="102" t="s">
        <v>581</v>
      </c>
      <c r="L2961" s="117">
        <f>IF(O2961="","",N2961*O2961*M2961)</f>
        <v>0</v>
      </c>
      <c r="M2961" s="108">
        <v>1</v>
      </c>
      <c r="N2961" s="95">
        <v>1</v>
      </c>
      <c r="O2961" s="109">
        <f>IF(Key!D$1="ON",P2961,IF(SUM(Q2961:DL2961)&lt;1,"",SUM(Q2961:DL2961)/COUNTIF(Q2961:DL2961,"&gt;0")))</f>
        <v>0</v>
      </c>
      <c r="P2961" s="109">
        <f>SUMIFS(Q2961:DK2961,Q$1:DK$1,Dashboard!$K$31)</f>
        <v>0</v>
      </c>
      <c r="U2961" s="95">
        <v>33</v>
      </c>
      <c r="AA2961" s="95">
        <v>25</v>
      </c>
      <c r="AH2961" s="95">
        <v>75</v>
      </c>
    </row>
    <row r="2962" spans="1:34" x14ac:dyDescent="0.3">
      <c r="A2962" s="89" t="str">
        <f>CONCATENATE(D2962,".",F2962,"-",G2962,".",H2962,"")</f>
        <v>2.4-9.1</v>
      </c>
      <c r="B2962" s="89" t="str">
        <f>IF(CONCATENATE(I2962,Key!F$2)=CONCATENATE(INDEX(Dashboard!J:J,MATCH(I2962,Dashboard!J:J,0),1),INDEX(Dashboard!J:K,MATCH(I2962,Dashboard!J:J,0),2)),"ON",IF(Dashboard!K$32="ALL","ON","-"))</f>
        <v>-</v>
      </c>
      <c r="C2962" s="88" t="s">
        <v>152</v>
      </c>
      <c r="D2962" s="89">
        <f>IF(C2962="ID",1,(IF(C2962="PR",2,(IF(C2962="DE",3,(IF(C2962="RS",4,(IF(C2962="RC",5,0)))))))))</f>
        <v>2</v>
      </c>
      <c r="E2962" s="89" t="s">
        <v>228</v>
      </c>
      <c r="F2962" s="89">
        <f>IF(E2962="AM",1,(IF(E2962="BE",2,(IF(E2962="GV",3,(IF(E2962="RA",4,(IF(E2962="RM",5,(IF(E2962="AC",1,(IF(E2962="AT",2,(IF(E2962="DS",3,(IF(E2962="IP",4,(IF(E2962="MA",5,(IF(E2962="PT",6,(IF(E2962="AE",1,(IF(E2962="CM",2,(IF(E2962="DP",3,(IF(E2962="AN",1,(IF(E2962="CO",2,(IF(E2962="IM",3,(IF(E2962="MI",4,(IF(E2962="RP",5,(IF(E2962="SC",6,0)))))))))))))))))))))))))))))))))))))))</f>
        <v>4</v>
      </c>
      <c r="G2962" s="52">
        <v>9</v>
      </c>
      <c r="H2962" s="90" t="s">
        <v>115</v>
      </c>
      <c r="I2962" s="94" t="s">
        <v>89</v>
      </c>
      <c r="J2962" s="88" t="s">
        <v>579</v>
      </c>
      <c r="K2962" s="102" t="s">
        <v>580</v>
      </c>
      <c r="L2962" s="117">
        <f>IF(O2962="","",N2962*O2962*M2962)</f>
        <v>0</v>
      </c>
      <c r="M2962" s="108">
        <v>1</v>
      </c>
      <c r="N2962" s="95">
        <v>1</v>
      </c>
      <c r="O2962" s="109">
        <f>IF(Key!D$1="ON",P2962,IF(SUM(Q2962:DL2962)&lt;1,"",SUM(Q2962:DL2962)/COUNTIF(Q2962:DL2962,"&gt;0")))</f>
        <v>0</v>
      </c>
      <c r="P2962" s="109">
        <f>SUMIFS(Q2962:DK2962,Q$1:DK$1,Dashboard!$K$31)</f>
        <v>0</v>
      </c>
      <c r="U2962" s="95">
        <v>33</v>
      </c>
      <c r="AA2962" s="95">
        <v>25</v>
      </c>
      <c r="AH2962" s="95">
        <v>75</v>
      </c>
    </row>
    <row r="2963" spans="1:34" ht="15.6" x14ac:dyDescent="0.3">
      <c r="A2963" s="89" t="str">
        <f>CONCATENATE(D2963,".",F2963,"-",G2963,".",H2963,"")</f>
        <v>2.4-9.1</v>
      </c>
      <c r="B2963" s="89" t="str">
        <f>IF(CONCATENATE(I2963,Key!F$2)=CONCATENATE(INDEX(Dashboard!J:J,MATCH(I2963,Dashboard!J:J,0),1),INDEX(Dashboard!J:K,MATCH(I2963,Dashboard!J:J,0),2)),"ON",IF(Dashboard!K$32="ALL","ON","-"))</f>
        <v>-</v>
      </c>
      <c r="C2963" s="88" t="s">
        <v>152</v>
      </c>
      <c r="D2963" s="89">
        <f>IF(C2963="ID",1,(IF(C2963="PR",2,(IF(C2963="DE",3,(IF(C2963="RS",4,(IF(C2963="RC",5,0)))))))))</f>
        <v>2</v>
      </c>
      <c r="E2963" s="89" t="s">
        <v>228</v>
      </c>
      <c r="F2963" s="89">
        <f>IF(E2963="AM",1,(IF(E2963="BE",2,(IF(E2963="GV",3,(IF(E2963="RA",4,(IF(E2963="RM",5,(IF(E2963="AC",1,(IF(E2963="AT",2,(IF(E2963="DS",3,(IF(E2963="IP",4,(IF(E2963="MA",5,(IF(E2963="PT",6,(IF(E2963="AE",1,(IF(E2963="CM",2,(IF(E2963="DP",3,(IF(E2963="AN",1,(IF(E2963="CO",2,(IF(E2963="IM",3,(IF(E2963="MI",4,(IF(E2963="RP",5,(IF(E2963="SC",6,0)))))))))))))))))))))))))))))))))))))))</f>
        <v>4</v>
      </c>
      <c r="G2963" s="52">
        <v>9</v>
      </c>
      <c r="H2963" s="90" t="s">
        <v>115</v>
      </c>
      <c r="I2963" s="94" t="s">
        <v>89</v>
      </c>
      <c r="J2963" s="88" t="s">
        <v>582</v>
      </c>
      <c r="K2963" s="102" t="s">
        <v>583</v>
      </c>
      <c r="L2963" s="117">
        <f>IF(O2963="","",N2963*O2963*M2963)</f>
        <v>0</v>
      </c>
      <c r="M2963" s="108">
        <v>1</v>
      </c>
      <c r="N2963" s="95">
        <v>1</v>
      </c>
      <c r="O2963" s="109">
        <f>IF(Key!D$1="ON",P2963,IF(SUM(Q2963:DL2963)&lt;1,"",SUM(Q2963:DL2963)/COUNTIF(Q2963:DL2963,"&gt;0")))</f>
        <v>0</v>
      </c>
      <c r="P2963" s="109">
        <f>SUMIFS(Q2963:DK2963,Q$1:DK$1,Dashboard!$K$31)</f>
        <v>0</v>
      </c>
      <c r="U2963" s="95">
        <v>33</v>
      </c>
      <c r="AA2963" s="95">
        <v>25</v>
      </c>
      <c r="AH2963" s="95">
        <v>75</v>
      </c>
    </row>
    <row r="2964" spans="1:34" x14ac:dyDescent="0.3">
      <c r="A2964" s="89" t="str">
        <f>CONCATENATE(D2964,".",F2964,"-",G2964,".",H2964,"")</f>
        <v>2.4-9.1</v>
      </c>
      <c r="B2964" s="89" t="str">
        <f>IF(CONCATENATE(I2964,Key!F$2)=CONCATENATE(INDEX(Dashboard!J:J,MATCH(I2964,Dashboard!J:J,0),1),INDEX(Dashboard!J:K,MATCH(I2964,Dashboard!J:J,0),2)),"ON",IF(Dashboard!K$32="ALL","ON","-"))</f>
        <v>-</v>
      </c>
      <c r="C2964" s="88" t="s">
        <v>152</v>
      </c>
      <c r="D2964" s="89">
        <f>IF(C2964="ID",1,(IF(C2964="PR",2,(IF(C2964="DE",3,(IF(C2964="RS",4,(IF(C2964="RC",5,0)))))))))</f>
        <v>2</v>
      </c>
      <c r="E2964" s="89" t="s">
        <v>228</v>
      </c>
      <c r="F2964" s="89">
        <f>IF(E2964="AM",1,(IF(E2964="BE",2,(IF(E2964="GV",3,(IF(E2964="RA",4,(IF(E2964="RM",5,(IF(E2964="AC",1,(IF(E2964="AT",2,(IF(E2964="DS",3,(IF(E2964="IP",4,(IF(E2964="MA",5,(IF(E2964="PT",6,(IF(E2964="AE",1,(IF(E2964="CM",2,(IF(E2964="DP",3,(IF(E2964="AN",1,(IF(E2964="CO",2,(IF(E2964="IM",3,(IF(E2964="MI",4,(IF(E2964="RP",5,(IF(E2964="SC",6,0)))))))))))))))))))))))))))))))))))))))</f>
        <v>4</v>
      </c>
      <c r="G2964" s="52">
        <v>9</v>
      </c>
      <c r="H2964" s="90" t="s">
        <v>115</v>
      </c>
      <c r="I2964" s="94" t="s">
        <v>89</v>
      </c>
      <c r="J2964" s="88" t="s">
        <v>584</v>
      </c>
      <c r="K2964" s="102" t="s">
        <v>585</v>
      </c>
      <c r="L2964" s="117">
        <f>IF(O2964="","",N2964*O2964*M2964)</f>
        <v>0</v>
      </c>
      <c r="M2964" s="108">
        <v>1</v>
      </c>
      <c r="N2964" s="95">
        <v>1</v>
      </c>
      <c r="O2964" s="109">
        <f>IF(Key!D$1="ON",P2964,IF(SUM(Q2964:DL2964)&lt;1,"",SUM(Q2964:DL2964)/COUNTIF(Q2964:DL2964,"&gt;0")))</f>
        <v>0</v>
      </c>
      <c r="P2964" s="109">
        <f>SUMIFS(Q2964:DK2964,Q$1:DK$1,Dashboard!$K$31)</f>
        <v>0</v>
      </c>
      <c r="U2964" s="95">
        <v>33</v>
      </c>
      <c r="AA2964" s="95">
        <v>25</v>
      </c>
      <c r="AH2964" s="95">
        <v>75</v>
      </c>
    </row>
    <row r="2965" spans="1:34" x14ac:dyDescent="0.3">
      <c r="A2965" s="89" t="str">
        <f>CONCATENATE(D2965,".",F2965,"-",G2965,".",H2965,"")</f>
        <v>2.4-9.1</v>
      </c>
      <c r="B2965" s="89" t="str">
        <f>IF(CONCATENATE(I2965,Key!F$2)=CONCATENATE(INDEX(Dashboard!J:J,MATCH(I2965,Dashboard!J:J,0),1),INDEX(Dashboard!J:K,MATCH(I2965,Dashboard!J:J,0),2)),"ON",IF(Dashboard!K$32="ALL","ON","-"))</f>
        <v>-</v>
      </c>
      <c r="C2965" s="88" t="s">
        <v>152</v>
      </c>
      <c r="D2965" s="89">
        <f>IF(C2965="ID",1,(IF(C2965="PR",2,(IF(C2965="DE",3,(IF(C2965="RS",4,(IF(C2965="RC",5,0)))))))))</f>
        <v>2</v>
      </c>
      <c r="E2965" s="89" t="s">
        <v>228</v>
      </c>
      <c r="F2965" s="89">
        <f>IF(E2965="AM",1,(IF(E2965="BE",2,(IF(E2965="GV",3,(IF(E2965="RA",4,(IF(E2965="RM",5,(IF(E2965="AC",1,(IF(E2965="AT",2,(IF(E2965="DS",3,(IF(E2965="IP",4,(IF(E2965="MA",5,(IF(E2965="PT",6,(IF(E2965="AE",1,(IF(E2965="CM",2,(IF(E2965="DP",3,(IF(E2965="AN",1,(IF(E2965="CO",2,(IF(E2965="IM",3,(IF(E2965="MI",4,(IF(E2965="RP",5,(IF(E2965="SC",6,0)))))))))))))))))))))))))))))))))))))))</f>
        <v>4</v>
      </c>
      <c r="G2965" s="52">
        <v>9</v>
      </c>
      <c r="H2965" s="90" t="s">
        <v>115</v>
      </c>
      <c r="I2965" s="94" t="s">
        <v>89</v>
      </c>
      <c r="J2965" s="88" t="s">
        <v>586</v>
      </c>
      <c r="K2965" s="102" t="s">
        <v>587</v>
      </c>
      <c r="L2965" s="117">
        <f>IF(O2965="","",N2965*O2965*M2965)</f>
        <v>0</v>
      </c>
      <c r="M2965" s="108">
        <v>1</v>
      </c>
      <c r="N2965" s="95">
        <v>1</v>
      </c>
      <c r="O2965" s="109">
        <f>IF(Key!D$1="ON",P2965,IF(SUM(Q2965:DL2965)&lt;1,"",SUM(Q2965:DL2965)/COUNTIF(Q2965:DL2965,"&gt;0")))</f>
        <v>0</v>
      </c>
      <c r="P2965" s="109">
        <f>SUMIFS(Q2965:DK2965,Q$1:DK$1,Dashboard!$K$31)</f>
        <v>0</v>
      </c>
      <c r="U2965" s="95">
        <v>33</v>
      </c>
      <c r="AA2965" s="95">
        <v>25</v>
      </c>
      <c r="AH2965" s="95">
        <v>75</v>
      </c>
    </row>
    <row r="2966" spans="1:34" ht="15.6" x14ac:dyDescent="0.3">
      <c r="A2966" s="89" t="str">
        <f>CONCATENATE(D2966,".",F2966,"-",G2966,".",H2966,"")</f>
        <v>2.4-9.1</v>
      </c>
      <c r="B2966" s="89" t="str">
        <f>IF(CONCATENATE(I2966,Key!F$2)=CONCATENATE(INDEX(Dashboard!J:J,MATCH(I2966,Dashboard!J:J,0),1),INDEX(Dashboard!J:K,MATCH(I2966,Dashboard!J:J,0),2)),"ON",IF(Dashboard!K$32="ALL","ON","-"))</f>
        <v>-</v>
      </c>
      <c r="C2966" s="88" t="s">
        <v>152</v>
      </c>
      <c r="D2966" s="89">
        <f>IF(C2966="ID",1,(IF(C2966="PR",2,(IF(C2966="DE",3,(IF(C2966="RS",4,(IF(C2966="RC",5,0)))))))))</f>
        <v>2</v>
      </c>
      <c r="E2966" s="89" t="s">
        <v>228</v>
      </c>
      <c r="F2966" s="89">
        <f>IF(E2966="AM",1,(IF(E2966="BE",2,(IF(E2966="GV",3,(IF(E2966="RA",4,(IF(E2966="RM",5,(IF(E2966="AC",1,(IF(E2966="AT",2,(IF(E2966="DS",3,(IF(E2966="IP",4,(IF(E2966="MA",5,(IF(E2966="PT",6,(IF(E2966="AE",1,(IF(E2966="CM",2,(IF(E2966="DP",3,(IF(E2966="AN",1,(IF(E2966="CO",2,(IF(E2966="IM",3,(IF(E2966="MI",4,(IF(E2966="RP",5,(IF(E2966="SC",6,0)))))))))))))))))))))))))))))))))))))))</f>
        <v>4</v>
      </c>
      <c r="G2966" s="52">
        <v>9</v>
      </c>
      <c r="H2966" s="90" t="s">
        <v>115</v>
      </c>
      <c r="I2966" s="94" t="s">
        <v>89</v>
      </c>
      <c r="J2966" s="88" t="s">
        <v>588</v>
      </c>
      <c r="K2966" s="102" t="s">
        <v>589</v>
      </c>
      <c r="L2966" s="117">
        <f>IF(O2966="","",N2966*O2966*M2966)</f>
        <v>0</v>
      </c>
      <c r="M2966" s="108">
        <v>1</v>
      </c>
      <c r="N2966" s="95">
        <v>1</v>
      </c>
      <c r="O2966" s="109">
        <f>IF(Key!D$1="ON",P2966,IF(SUM(Q2966:DL2966)&lt;1,"",SUM(Q2966:DL2966)/COUNTIF(Q2966:DL2966,"&gt;0")))</f>
        <v>0</v>
      </c>
      <c r="P2966" s="109">
        <f>SUMIFS(Q2966:DK2966,Q$1:DK$1,Dashboard!$K$31)</f>
        <v>0</v>
      </c>
      <c r="U2966" s="95">
        <v>33</v>
      </c>
      <c r="AA2966" s="95">
        <v>25</v>
      </c>
      <c r="AH2966" s="95">
        <v>75</v>
      </c>
    </row>
    <row r="2967" spans="1:34" x14ac:dyDescent="0.3">
      <c r="A2967" s="89" t="str">
        <f>CONCATENATE(D2967,".",F2967,"-",G2967,".",H2967,"")</f>
        <v>2.4-9.1</v>
      </c>
      <c r="B2967" s="89" t="str">
        <f>IF(CONCATENATE(I2967,Key!F$2)=CONCATENATE(INDEX(Dashboard!J:J,MATCH(I2967,Dashboard!J:J,0),1),INDEX(Dashboard!J:K,MATCH(I2967,Dashboard!J:J,0),2)),"ON",IF(Dashboard!K$32="ALL","ON","-"))</f>
        <v>-</v>
      </c>
      <c r="C2967" s="88" t="s">
        <v>152</v>
      </c>
      <c r="D2967" s="89">
        <f>IF(C2967="ID",1,(IF(C2967="PR",2,(IF(C2967="DE",3,(IF(C2967="RS",4,(IF(C2967="RC",5,0)))))))))</f>
        <v>2</v>
      </c>
      <c r="E2967" s="89" t="s">
        <v>228</v>
      </c>
      <c r="F2967" s="89">
        <f>IF(E2967="AM",1,(IF(E2967="BE",2,(IF(E2967="GV",3,(IF(E2967="RA",4,(IF(E2967="RM",5,(IF(E2967="AC",1,(IF(E2967="AT",2,(IF(E2967="DS",3,(IF(E2967="IP",4,(IF(E2967="MA",5,(IF(E2967="PT",6,(IF(E2967="AE",1,(IF(E2967="CM",2,(IF(E2967="DP",3,(IF(E2967="AN",1,(IF(E2967="CO",2,(IF(E2967="IM",3,(IF(E2967="MI",4,(IF(E2967="RP",5,(IF(E2967="SC",6,0)))))))))))))))))))))))))))))))))))))))</f>
        <v>4</v>
      </c>
      <c r="G2967" s="52">
        <v>9</v>
      </c>
      <c r="H2967" s="90" t="s">
        <v>115</v>
      </c>
      <c r="I2967" s="94" t="s">
        <v>89</v>
      </c>
      <c r="J2967" s="88" t="s">
        <v>590</v>
      </c>
      <c r="K2967" s="102" t="s">
        <v>591</v>
      </c>
      <c r="L2967" s="117">
        <f>IF(O2967="","",N2967*O2967*M2967)</f>
        <v>0</v>
      </c>
      <c r="M2967" s="108">
        <v>1</v>
      </c>
      <c r="N2967" s="95">
        <v>1</v>
      </c>
      <c r="O2967" s="109">
        <f>IF(Key!D$1="ON",P2967,IF(SUM(Q2967:DL2967)&lt;1,"",SUM(Q2967:DL2967)/COUNTIF(Q2967:DL2967,"&gt;0")))</f>
        <v>0</v>
      </c>
      <c r="P2967" s="109">
        <f>SUMIFS(Q2967:DK2967,Q$1:DK$1,Dashboard!$K$31)</f>
        <v>0</v>
      </c>
      <c r="U2967" s="95">
        <v>33</v>
      </c>
      <c r="AA2967" s="95">
        <v>25</v>
      </c>
      <c r="AH2967" s="95">
        <v>75</v>
      </c>
    </row>
    <row r="2968" spans="1:34" x14ac:dyDescent="0.3">
      <c r="A2968" s="89" t="str">
        <f>CONCATENATE(D2968,".",F2968,"-",G2968,".",H2968,"")</f>
        <v>2.4-9.1</v>
      </c>
      <c r="B2968" s="89" t="str">
        <f>IF(CONCATENATE(I2968,Key!F$2)=CONCATENATE(INDEX(Dashboard!J:J,MATCH(I2968,Dashboard!J:J,0),1),INDEX(Dashboard!J:K,MATCH(I2968,Dashboard!J:J,0),2)),"ON",IF(Dashboard!K$32="ALL","ON","-"))</f>
        <v>-</v>
      </c>
      <c r="C2968" s="88" t="s">
        <v>152</v>
      </c>
      <c r="D2968" s="89">
        <f>IF(C2968="ID",1,(IF(C2968="PR",2,(IF(C2968="DE",3,(IF(C2968="RS",4,(IF(C2968="RC",5,0)))))))))</f>
        <v>2</v>
      </c>
      <c r="E2968" s="89" t="s">
        <v>228</v>
      </c>
      <c r="F2968" s="89">
        <f>IF(E2968="AM",1,(IF(E2968="BE",2,(IF(E2968="GV",3,(IF(E2968="RA",4,(IF(E2968="RM",5,(IF(E2968="AC",1,(IF(E2968="AT",2,(IF(E2968="DS",3,(IF(E2968="IP",4,(IF(E2968="MA",5,(IF(E2968="PT",6,(IF(E2968="AE",1,(IF(E2968="CM",2,(IF(E2968="DP",3,(IF(E2968="AN",1,(IF(E2968="CO",2,(IF(E2968="IM",3,(IF(E2968="MI",4,(IF(E2968="RP",5,(IF(E2968="SC",6,0)))))))))))))))))))))))))))))))))))))))</f>
        <v>4</v>
      </c>
      <c r="G2968" s="52">
        <v>9</v>
      </c>
      <c r="H2968" s="90" t="s">
        <v>115</v>
      </c>
      <c r="I2968" s="94" t="s">
        <v>89</v>
      </c>
      <c r="J2968" s="88" t="s">
        <v>592</v>
      </c>
      <c r="K2968" s="102" t="s">
        <v>593</v>
      </c>
      <c r="L2968" s="117">
        <f>IF(O2968="","",N2968*O2968*M2968)</f>
        <v>0</v>
      </c>
      <c r="M2968" s="108">
        <v>1</v>
      </c>
      <c r="N2968" s="95">
        <v>1</v>
      </c>
      <c r="O2968" s="109">
        <f>IF(Key!D$1="ON",P2968,IF(SUM(Q2968:DL2968)&lt;1,"",SUM(Q2968:DL2968)/COUNTIF(Q2968:DL2968,"&gt;0")))</f>
        <v>0</v>
      </c>
      <c r="P2968" s="109">
        <f>SUMIFS(Q2968:DK2968,Q$1:DK$1,Dashboard!$K$31)</f>
        <v>0</v>
      </c>
      <c r="U2968" s="95">
        <v>33</v>
      </c>
      <c r="AA2968" s="95">
        <v>25</v>
      </c>
      <c r="AH2968" s="95">
        <v>75</v>
      </c>
    </row>
    <row r="2969" spans="1:34" x14ac:dyDescent="0.3">
      <c r="A2969" s="89" t="str">
        <f>CONCATENATE(D2969,".",F2969,"-",G2969,".",H2969,"")</f>
        <v>2.4-9.1</v>
      </c>
      <c r="B2969" s="89" t="str">
        <f>IF(CONCATENATE(I2969,Key!F$2)=CONCATENATE(INDEX(Dashboard!J:J,MATCH(I2969,Dashboard!J:J,0),1),INDEX(Dashboard!J:K,MATCH(I2969,Dashboard!J:J,0),2)),"ON",IF(Dashboard!K$32="ALL","ON","-"))</f>
        <v>-</v>
      </c>
      <c r="C2969" s="88" t="s">
        <v>152</v>
      </c>
      <c r="D2969" s="89">
        <f>IF(C2969="ID",1,(IF(C2969="PR",2,(IF(C2969="DE",3,(IF(C2969="RS",4,(IF(C2969="RC",5,0)))))))))</f>
        <v>2</v>
      </c>
      <c r="E2969" s="89" t="s">
        <v>228</v>
      </c>
      <c r="F2969" s="89">
        <f>IF(E2969="AM",1,(IF(E2969="BE",2,(IF(E2969="GV",3,(IF(E2969="RA",4,(IF(E2969="RM",5,(IF(E2969="AC",1,(IF(E2969="AT",2,(IF(E2969="DS",3,(IF(E2969="IP",4,(IF(E2969="MA",5,(IF(E2969="PT",6,(IF(E2969="AE",1,(IF(E2969="CM",2,(IF(E2969="DP",3,(IF(E2969="AN",1,(IF(E2969="CO",2,(IF(E2969="IM",3,(IF(E2969="MI",4,(IF(E2969="RP",5,(IF(E2969="SC",6,0)))))))))))))))))))))))))))))))))))))))</f>
        <v>4</v>
      </c>
      <c r="G2969" s="52">
        <v>9</v>
      </c>
      <c r="H2969" s="90" t="s">
        <v>115</v>
      </c>
      <c r="I2969" s="94" t="s">
        <v>89</v>
      </c>
      <c r="J2969" s="88" t="s">
        <v>594</v>
      </c>
      <c r="K2969" s="102" t="s">
        <v>595</v>
      </c>
      <c r="L2969" s="117">
        <f>IF(O2969="","",N2969*O2969*M2969)</f>
        <v>0</v>
      </c>
      <c r="M2969" s="108">
        <v>1</v>
      </c>
      <c r="N2969" s="95">
        <v>1</v>
      </c>
      <c r="O2969" s="109">
        <f>IF(Key!D$1="ON",P2969,IF(SUM(Q2969:DL2969)&lt;1,"",SUM(Q2969:DL2969)/COUNTIF(Q2969:DL2969,"&gt;0")))</f>
        <v>0</v>
      </c>
      <c r="P2969" s="109">
        <f>SUMIFS(Q2969:DK2969,Q$1:DK$1,Dashboard!$K$31)</f>
        <v>0</v>
      </c>
      <c r="U2969" s="95">
        <v>33</v>
      </c>
      <c r="AA2969" s="95">
        <v>25</v>
      </c>
      <c r="AH2969" s="95">
        <v>75</v>
      </c>
    </row>
    <row r="2970" spans="1:34" x14ac:dyDescent="0.3">
      <c r="A2970" s="89" t="str">
        <f>CONCATENATE(D2970,".",F2970,"-",G2970,".",H2970,"")</f>
        <v>2.4-9.1</v>
      </c>
      <c r="B2970" s="89" t="str">
        <f>IF(CONCATENATE(I2970,Key!F$2)=CONCATENATE(INDEX(Dashboard!J:J,MATCH(I2970,Dashboard!J:J,0),1),INDEX(Dashboard!J:K,MATCH(I2970,Dashboard!J:J,0),2)),"ON",IF(Dashboard!K$32="ALL","ON","-"))</f>
        <v>-</v>
      </c>
      <c r="C2970" s="88" t="s">
        <v>152</v>
      </c>
      <c r="D2970" s="89">
        <f>IF(C2970="ID",1,(IF(C2970="PR",2,(IF(C2970="DE",3,(IF(C2970="RS",4,(IF(C2970="RC",5,0)))))))))</f>
        <v>2</v>
      </c>
      <c r="E2970" s="89" t="s">
        <v>228</v>
      </c>
      <c r="F2970" s="89">
        <f>IF(E2970="AM",1,(IF(E2970="BE",2,(IF(E2970="GV",3,(IF(E2970="RA",4,(IF(E2970="RM",5,(IF(E2970="AC",1,(IF(E2970="AT",2,(IF(E2970="DS",3,(IF(E2970="IP",4,(IF(E2970="MA",5,(IF(E2970="PT",6,(IF(E2970="AE",1,(IF(E2970="CM",2,(IF(E2970="DP",3,(IF(E2970="AN",1,(IF(E2970="CO",2,(IF(E2970="IM",3,(IF(E2970="MI",4,(IF(E2970="RP",5,(IF(E2970="SC",6,0)))))))))))))))))))))))))))))))))))))))</f>
        <v>4</v>
      </c>
      <c r="G2970" s="52">
        <v>9</v>
      </c>
      <c r="H2970" s="90" t="s">
        <v>115</v>
      </c>
      <c r="I2970" s="94" t="s">
        <v>89</v>
      </c>
      <c r="J2970" s="88" t="s">
        <v>596</v>
      </c>
      <c r="K2970" s="102" t="s">
        <v>597</v>
      </c>
      <c r="L2970" s="117">
        <f>IF(O2970="","",N2970*O2970*M2970)</f>
        <v>0</v>
      </c>
      <c r="M2970" s="108">
        <v>1</v>
      </c>
      <c r="N2970" s="95">
        <v>1</v>
      </c>
      <c r="O2970" s="109">
        <f>IF(Key!D$1="ON",P2970,IF(SUM(Q2970:DL2970)&lt;1,"",SUM(Q2970:DL2970)/COUNTIF(Q2970:DL2970,"&gt;0")))</f>
        <v>0</v>
      </c>
      <c r="P2970" s="109">
        <f>SUMIFS(Q2970:DK2970,Q$1:DK$1,Dashboard!$K$31)</f>
        <v>0</v>
      </c>
      <c r="U2970" s="95">
        <v>33</v>
      </c>
      <c r="AA2970" s="95">
        <v>25</v>
      </c>
      <c r="AH2970" s="95">
        <v>75</v>
      </c>
    </row>
    <row r="2971" spans="1:34" x14ac:dyDescent="0.3">
      <c r="A2971" s="89" t="str">
        <f>CONCATENATE(D2971,".",F2971,"-",G2971,".",H2971,"")</f>
        <v>2.4-9.1</v>
      </c>
      <c r="B2971" s="89" t="str">
        <f>IF(CONCATENATE(I2971,Key!F$2)=CONCATENATE(INDEX(Dashboard!J:J,MATCH(I2971,Dashboard!J:J,0),1),INDEX(Dashboard!J:K,MATCH(I2971,Dashboard!J:J,0),2)),"ON",IF(Dashboard!K$32="ALL","ON","-"))</f>
        <v>-</v>
      </c>
      <c r="C2971" s="88" t="s">
        <v>152</v>
      </c>
      <c r="D2971" s="89">
        <f>IF(C2971="ID",1,(IF(C2971="PR",2,(IF(C2971="DE",3,(IF(C2971="RS",4,(IF(C2971="RC",5,0)))))))))</f>
        <v>2</v>
      </c>
      <c r="E2971" s="89" t="s">
        <v>228</v>
      </c>
      <c r="F2971" s="89">
        <f>IF(E2971="AM",1,(IF(E2971="BE",2,(IF(E2971="GV",3,(IF(E2971="RA",4,(IF(E2971="RM",5,(IF(E2971="AC",1,(IF(E2971="AT",2,(IF(E2971="DS",3,(IF(E2971="IP",4,(IF(E2971="MA",5,(IF(E2971="PT",6,(IF(E2971="AE",1,(IF(E2971="CM",2,(IF(E2971="DP",3,(IF(E2971="AN",1,(IF(E2971="CO",2,(IF(E2971="IM",3,(IF(E2971="MI",4,(IF(E2971="RP",5,(IF(E2971="SC",6,0)))))))))))))))))))))))))))))))))))))))</f>
        <v>4</v>
      </c>
      <c r="G2971" s="52">
        <v>9</v>
      </c>
      <c r="H2971" s="90" t="s">
        <v>115</v>
      </c>
      <c r="I2971" s="94" t="s">
        <v>89</v>
      </c>
      <c r="J2971" s="88" t="s">
        <v>598</v>
      </c>
      <c r="K2971" s="102" t="s">
        <v>599</v>
      </c>
      <c r="L2971" s="117">
        <f>IF(O2971="","",N2971*O2971*M2971)</f>
        <v>0</v>
      </c>
      <c r="M2971" s="108">
        <v>1</v>
      </c>
      <c r="N2971" s="95">
        <v>1</v>
      </c>
      <c r="O2971" s="109">
        <f>IF(Key!D$1="ON",P2971,IF(SUM(Q2971:DL2971)&lt;1,"",SUM(Q2971:DL2971)/COUNTIF(Q2971:DL2971,"&gt;0")))</f>
        <v>0</v>
      </c>
      <c r="P2971" s="109">
        <f>SUMIFS(Q2971:DK2971,Q$1:DK$1,Dashboard!$K$31)</f>
        <v>0</v>
      </c>
      <c r="U2971" s="95">
        <v>33</v>
      </c>
      <c r="AA2971" s="95">
        <v>25</v>
      </c>
      <c r="AH2971" s="95">
        <v>75</v>
      </c>
    </row>
    <row r="2972" spans="1:34" x14ac:dyDescent="0.3">
      <c r="A2972" s="89" t="str">
        <f>CONCATENATE(D2972,".",F2972,"-",G2972,".",H2972,"")</f>
        <v>2.4-9.1</v>
      </c>
      <c r="B2972" s="89" t="str">
        <f>IF(CONCATENATE(I2972,Key!F$2)=CONCATENATE(INDEX(Dashboard!J:J,MATCH(I2972,Dashboard!J:J,0),1),INDEX(Dashboard!J:K,MATCH(I2972,Dashboard!J:J,0),2)),"ON",IF(Dashboard!K$32="ALL","ON","-"))</f>
        <v>-</v>
      </c>
      <c r="C2972" s="96" t="s">
        <v>152</v>
      </c>
      <c r="D2972" s="89">
        <f>IF(C2972="ID",1,(IF(C2972="PR",2,(IF(C2972="DE",3,(IF(C2972="RS",4,(IF(C2972="RC",5,0)))))))))</f>
        <v>2</v>
      </c>
      <c r="E2972" s="89" t="s">
        <v>228</v>
      </c>
      <c r="F2972" s="89">
        <f>IF(E2972="AM",1,(IF(E2972="BE",2,(IF(E2972="GV",3,(IF(E2972="RA",4,(IF(E2972="RM",5,(IF(E2972="AC",1,(IF(E2972="AT",2,(IF(E2972="DS",3,(IF(E2972="IP",4,(IF(E2972="MA",5,(IF(E2972="PT",6,(IF(E2972="AE",1,(IF(E2972="CM",2,(IF(E2972="DP",3,(IF(E2972="AN",1,(IF(E2972="CO",2,(IF(E2972="IM",3,(IF(E2972="MI",4,(IF(E2972="RP",5,(IF(E2972="SC",6,0)))))))))))))))))))))))))))))))))))))))</f>
        <v>4</v>
      </c>
      <c r="G2972" s="52">
        <v>9</v>
      </c>
      <c r="H2972" s="90" t="s">
        <v>115</v>
      </c>
      <c r="I2972" s="94" t="s">
        <v>92</v>
      </c>
      <c r="J2972" s="88" t="s">
        <v>266</v>
      </c>
      <c r="K2972" s="102" t="s">
        <v>5226</v>
      </c>
      <c r="L2972" s="117">
        <f>IF(O2972="","",N2972*O2972*M2972)</f>
        <v>0</v>
      </c>
      <c r="M2972" s="108">
        <v>1</v>
      </c>
      <c r="N2972" s="95">
        <v>1</v>
      </c>
      <c r="O2972" s="109">
        <f>IF(Key!D$1="ON",P2972,IF(SUM(Q2972:DL2972)&lt;1,"",SUM(Q2972:DL2972)/COUNTIF(Q2972:DL2972,"&gt;0")))</f>
        <v>0</v>
      </c>
      <c r="P2972" s="109">
        <f>SUMIFS(Q2972:DK2972,Q$1:DK$1,Dashboard!$K$31)</f>
        <v>0</v>
      </c>
      <c r="U2972" s="95">
        <v>33</v>
      </c>
      <c r="AA2972" s="95">
        <v>25</v>
      </c>
      <c r="AH2972" s="95">
        <v>75</v>
      </c>
    </row>
    <row r="2973" spans="1:34" x14ac:dyDescent="0.3">
      <c r="A2973" s="89" t="str">
        <f>CONCATENATE(D2973,".",F2973,"-",G2973,".",H2973,"")</f>
        <v>2.4-9.1</v>
      </c>
      <c r="B2973" s="89" t="str">
        <f>IF(CONCATENATE(I2973,Key!F$2)=CONCATENATE(INDEX(Dashboard!J:J,MATCH(I2973,Dashboard!J:J,0),1),INDEX(Dashboard!J:K,MATCH(I2973,Dashboard!J:J,0),2)),"ON",IF(Dashboard!K$32="ALL","ON","-"))</f>
        <v>-</v>
      </c>
      <c r="C2973" s="96" t="s">
        <v>152</v>
      </c>
      <c r="D2973" s="89">
        <f>IF(C2973="ID",1,(IF(C2973="PR",2,(IF(C2973="DE",3,(IF(C2973="RS",4,(IF(C2973="RC",5,0)))))))))</f>
        <v>2</v>
      </c>
      <c r="E2973" s="89" t="s">
        <v>228</v>
      </c>
      <c r="F2973" s="89">
        <f>IF(E2973="AM",1,(IF(E2973="BE",2,(IF(E2973="GV",3,(IF(E2973="RA",4,(IF(E2973="RM",5,(IF(E2973="AC",1,(IF(E2973="AT",2,(IF(E2973="DS",3,(IF(E2973="IP",4,(IF(E2973="MA",5,(IF(E2973="PT",6,(IF(E2973="AE",1,(IF(E2973="CM",2,(IF(E2973="DP",3,(IF(E2973="AN",1,(IF(E2973="CO",2,(IF(E2973="IM",3,(IF(E2973="MI",4,(IF(E2973="RP",5,(IF(E2973="SC",6,0)))))))))))))))))))))))))))))))))))))))</f>
        <v>4</v>
      </c>
      <c r="G2973" s="52">
        <v>9</v>
      </c>
      <c r="H2973" s="90" t="s">
        <v>115</v>
      </c>
      <c r="I2973" s="94" t="s">
        <v>92</v>
      </c>
      <c r="J2973" s="87" t="s">
        <v>267</v>
      </c>
      <c r="K2973" s="102" t="s">
        <v>5226</v>
      </c>
      <c r="L2973" s="117">
        <f>IF(O2973="","",N2973*O2973*M2973)</f>
        <v>0</v>
      </c>
      <c r="M2973" s="108">
        <v>1</v>
      </c>
      <c r="N2973" s="95">
        <v>1</v>
      </c>
      <c r="O2973" s="109">
        <f>IF(Key!D$1="ON",P2973,IF(SUM(Q2973:DL2973)&lt;1,"",SUM(Q2973:DL2973)/COUNTIF(Q2973:DL2973,"&gt;0")))</f>
        <v>0</v>
      </c>
      <c r="P2973" s="109">
        <f>SUMIFS(Q2973:DK2973,Q$1:DK$1,Dashboard!$K$31)</f>
        <v>0</v>
      </c>
      <c r="U2973" s="95">
        <v>33</v>
      </c>
      <c r="AA2973" s="95">
        <v>25</v>
      </c>
      <c r="AH2973" s="95">
        <v>75</v>
      </c>
    </row>
    <row r="2974" spans="1:34" ht="15.6" x14ac:dyDescent="0.3">
      <c r="A2974" s="89" t="str">
        <f>CONCATENATE(D2974,".",F2974,"-",G2974,".",H2974,"")</f>
        <v>2.4-9.1</v>
      </c>
      <c r="B2974" s="89" t="str">
        <f>IF(CONCATENATE(I2974,Key!F$2)=CONCATENATE(INDEX(Dashboard!J:J,MATCH(I2974,Dashboard!J:J,0),1),INDEX(Dashboard!J:K,MATCH(I2974,Dashboard!J:J,0),2)),"ON",IF(Dashboard!K$32="ALL","ON","-"))</f>
        <v>-</v>
      </c>
      <c r="C2974" s="96" t="s">
        <v>152</v>
      </c>
      <c r="D2974" s="89">
        <f>IF(C2974="ID",1,(IF(C2974="PR",2,(IF(C2974="DE",3,(IF(C2974="RS",4,(IF(C2974="RC",5,0)))))))))</f>
        <v>2</v>
      </c>
      <c r="E2974" s="89" t="s">
        <v>228</v>
      </c>
      <c r="F2974" s="89">
        <f>IF(E2974="AM",1,(IF(E2974="BE",2,(IF(E2974="GV",3,(IF(E2974="RA",4,(IF(E2974="RM",5,(IF(E2974="AC",1,(IF(E2974="AT",2,(IF(E2974="DS",3,(IF(E2974="IP",4,(IF(E2974="MA",5,(IF(E2974="PT",6,(IF(E2974="AE",1,(IF(E2974="CM",2,(IF(E2974="DP",3,(IF(E2974="AN",1,(IF(E2974="CO",2,(IF(E2974="IM",3,(IF(E2974="MI",4,(IF(E2974="RP",5,(IF(E2974="SC",6,0)))))))))))))))))))))))))))))))))))))))</f>
        <v>4</v>
      </c>
      <c r="G2974" s="52">
        <v>9</v>
      </c>
      <c r="H2974" s="90" t="s">
        <v>115</v>
      </c>
      <c r="I2974" s="94" t="s">
        <v>92</v>
      </c>
      <c r="J2974" s="88" t="s">
        <v>268</v>
      </c>
      <c r="K2974" s="102" t="s">
        <v>5226</v>
      </c>
      <c r="L2974" s="117">
        <f>IF(O2974="","",N2974*O2974*M2974)</f>
        <v>0</v>
      </c>
      <c r="M2974" s="108">
        <v>1</v>
      </c>
      <c r="N2974" s="95">
        <v>1</v>
      </c>
      <c r="O2974" s="109">
        <f>IF(Key!D$1="ON",P2974,IF(SUM(Q2974:DL2974)&lt;1,"",SUM(Q2974:DL2974)/COUNTIF(Q2974:DL2974,"&gt;0")))</f>
        <v>0</v>
      </c>
      <c r="P2974" s="109">
        <f>SUMIFS(Q2974:DK2974,Q$1:DK$1,Dashboard!$K$31)</f>
        <v>0</v>
      </c>
      <c r="U2974" s="95">
        <v>33</v>
      </c>
      <c r="AA2974" s="95">
        <v>25</v>
      </c>
      <c r="AH2974" s="95">
        <v>75</v>
      </c>
    </row>
    <row r="2975" spans="1:34" ht="15.6" x14ac:dyDescent="0.3">
      <c r="A2975" s="89" t="str">
        <f>CONCATENATE(D2975,".",F2975,"-",G2975,".",H2975,"")</f>
        <v>2.5-0.0</v>
      </c>
      <c r="B2975" s="89" t="str">
        <f>IF(CONCATENATE(I2975,Key!F$2)=CONCATENATE(INDEX(Dashboard!J:J,MATCH(I2975,Dashboard!J:J,0),1),INDEX(Dashboard!J:K,MATCH(I2975,Dashboard!J:J,0),2)),"ON",IF(Dashboard!K$32="ALL","ON","-"))</f>
        <v>-</v>
      </c>
      <c r="C2975" s="88" t="s">
        <v>152</v>
      </c>
      <c r="D2975" s="89">
        <f>IF(C2975="ID",1,(IF(C2975="PR",2,(IF(C2975="DE",3,(IF(C2975="RS",4,(IF(C2975="RC",5,0)))))))))</f>
        <v>2</v>
      </c>
      <c r="E2975" s="89" t="s">
        <v>269</v>
      </c>
      <c r="F2975" s="89">
        <f>IF(E2975="AM",1,(IF(E2975="BE",2,(IF(E2975="GV",3,(IF(E2975="RA",4,(IF(E2975="RM",5,(IF(E2975="AC",1,(IF(E2975="AT",2,(IF(E2975="DS",3,(IF(E2975="IP",4,(IF(E2975="MA",5,(IF(E2975="PT",6,(IF(E2975="AE",1,(IF(E2975="CM",2,(IF(E2975="DP",3,(IF(E2975="AN",1,(IF(E2975="CO",2,(IF(E2975="IM",3,(IF(E2975="MI",4,(IF(E2975="RP",5,(IF(E2975="SC",6,0)))))))))))))))))))))))))))))))))))))))</f>
        <v>5</v>
      </c>
      <c r="G2975" s="52">
        <v>0</v>
      </c>
      <c r="H2975" s="90" t="s">
        <v>347</v>
      </c>
      <c r="I2975" s="94" t="s">
        <v>2835</v>
      </c>
      <c r="J2975" s="151" t="s">
        <v>2986</v>
      </c>
      <c r="K2975" s="150" t="s">
        <v>2987</v>
      </c>
      <c r="L2975" s="117">
        <f>IF(O2975="","",N2975*O2975*M2975)</f>
        <v>0</v>
      </c>
      <c r="M2975" s="108">
        <v>1</v>
      </c>
      <c r="N2975" s="95">
        <v>1</v>
      </c>
      <c r="O2975" s="109">
        <f>IF(Key!D$1="ON",P2975,IF(SUM(Q2975:DL2975)&lt;1,"",SUM(Q2975:DL2975)/COUNTIF(Q2975:DL2975,"&gt;0")))</f>
        <v>0</v>
      </c>
      <c r="P2975" s="109">
        <f>SUMIFS(Q2975:DK2975,Q$1:DK$1,Dashboard!$K$31)</f>
        <v>0</v>
      </c>
      <c r="Q2975" s="110">
        <v>83</v>
      </c>
      <c r="U2975" s="95">
        <v>33</v>
      </c>
    </row>
    <row r="2976" spans="1:34" x14ac:dyDescent="0.3">
      <c r="A2976" s="89" t="str">
        <f>CONCATENATE(D2976,".",F2976,"-",G2976,".",H2976,"")</f>
        <v>2.5-0.1</v>
      </c>
      <c r="B2976" s="89" t="str">
        <f>IF(CONCATENATE(I2976,Key!F$2)=CONCATENATE(INDEX(Dashboard!J:J,MATCH(I2976,Dashboard!J:J,0),1),INDEX(Dashboard!J:K,MATCH(I2976,Dashboard!J:J,0),2)),"ON",IF(Dashboard!K$32="ALL","ON","-"))</f>
        <v>-</v>
      </c>
      <c r="C2976" s="88" t="s">
        <v>152</v>
      </c>
      <c r="D2976" s="89">
        <f>IF(C2976="ID",1,(IF(C2976="PR",2,(IF(C2976="DE",3,(IF(C2976="RS",4,(IF(C2976="RC",5,0)))))))))</f>
        <v>2</v>
      </c>
      <c r="E2976" s="89" t="s">
        <v>269</v>
      </c>
      <c r="F2976" s="89">
        <f>IF(E2976="AM",1,(IF(E2976="BE",2,(IF(E2976="GV",3,(IF(E2976="RA",4,(IF(E2976="RM",5,(IF(E2976="AC",1,(IF(E2976="AT",2,(IF(E2976="DS",3,(IF(E2976="IP",4,(IF(E2976="MA",5,(IF(E2976="PT",6,(IF(E2976="AE",1,(IF(E2976="CM",2,(IF(E2976="DP",3,(IF(E2976="AN",1,(IF(E2976="CO",2,(IF(E2976="IM",3,(IF(E2976="MI",4,(IF(E2976="RP",5,(IF(E2976="SC",6,0)))))))))))))))))))))))))))))))))))))))</f>
        <v>5</v>
      </c>
      <c r="G2976" s="52">
        <v>0</v>
      </c>
      <c r="H2976" s="90" t="s">
        <v>115</v>
      </c>
      <c r="I2976" s="94" t="s">
        <v>2835</v>
      </c>
      <c r="J2976" s="151" t="s">
        <v>2986</v>
      </c>
      <c r="K2976" s="150" t="s">
        <v>2988</v>
      </c>
      <c r="L2976" s="117">
        <f>IF(O2976="","",N2976*O2976*M2976)</f>
        <v>0</v>
      </c>
      <c r="M2976" s="108">
        <v>0.95</v>
      </c>
      <c r="N2976" s="95">
        <v>1</v>
      </c>
      <c r="O2976" s="109">
        <f>IF(Key!D$1="ON",P2976,IF(SUM(Q2976:DL2976)&lt;1,"",SUM(Q2976:DL2976)/COUNTIF(Q2976:DL2976,"&gt;0")))</f>
        <v>0</v>
      </c>
      <c r="P2976" s="109">
        <f>SUMIFS(Q2976:DK2976,Q$1:DK$1,Dashboard!$K$31)</f>
        <v>0</v>
      </c>
      <c r="Q2976" s="110">
        <v>83</v>
      </c>
      <c r="U2976" s="95">
        <v>33</v>
      </c>
      <c r="AA2976" s="95">
        <v>50</v>
      </c>
    </row>
    <row r="2977" spans="1:34" x14ac:dyDescent="0.3">
      <c r="A2977" s="89" t="str">
        <f>CONCATENATE(D2977,".",F2977,"-",G2977,".",H2977,"")</f>
        <v>2.5-1.0</v>
      </c>
      <c r="B2977" s="89" t="str">
        <f>IF(CONCATENATE(I2977,Key!F$2)=CONCATENATE(INDEX(Dashboard!J:J,MATCH(I2977,Dashboard!J:J,0),1),INDEX(Dashboard!J:K,MATCH(I2977,Dashboard!J:J,0),2)),"ON",IF(Dashboard!K$32="ALL","ON","-"))</f>
        <v>-</v>
      </c>
      <c r="C2977" s="88" t="s">
        <v>152</v>
      </c>
      <c r="D2977" s="89">
        <f>IF(C2977="ID",1,(IF(C2977="PR",2,(IF(C2977="DE",3,(IF(C2977="RS",4,(IF(C2977="RC",5,0)))))))))</f>
        <v>2</v>
      </c>
      <c r="E2977" s="89" t="s">
        <v>269</v>
      </c>
      <c r="F2977" s="89">
        <f>IF(E2977="AM",1,(IF(E2977="BE",2,(IF(E2977="GV",3,(IF(E2977="RA",4,(IF(E2977="RM",5,(IF(E2977="AC",1,(IF(E2977="AT",2,(IF(E2977="DS",3,(IF(E2977="IP",4,(IF(E2977="MA",5,(IF(E2977="PT",6,(IF(E2977="AE",1,(IF(E2977="CM",2,(IF(E2977="DP",3,(IF(E2977="AN",1,(IF(E2977="CO",2,(IF(E2977="IM",3,(IF(E2977="MI",4,(IF(E2977="RP",5,(IF(E2977="SC",6,0)))))))))))))))))))))))))))))))))))))))</f>
        <v>5</v>
      </c>
      <c r="G2977" s="52">
        <v>1</v>
      </c>
      <c r="H2977" s="90" t="s">
        <v>347</v>
      </c>
      <c r="I2977" s="94" t="s">
        <v>2835</v>
      </c>
      <c r="J2977" s="53" t="s">
        <v>2989</v>
      </c>
      <c r="K2977" s="150" t="s">
        <v>2990</v>
      </c>
      <c r="L2977" s="117">
        <f>IF(O2977="","",N2977*O2977*M2977)</f>
        <v>0</v>
      </c>
      <c r="M2977" s="108">
        <v>1</v>
      </c>
      <c r="N2977" s="95">
        <v>1</v>
      </c>
      <c r="O2977" s="109">
        <f>IF(Key!D$1="ON",P2977,IF(SUM(Q2977:DL2977)&lt;1,"",SUM(Q2977:DL2977)/COUNTIF(Q2977:DL2977,"&gt;0")))</f>
        <v>0</v>
      </c>
      <c r="P2977" s="109">
        <f>SUMIFS(Q2977:DK2977,Q$1:DK$1,Dashboard!$K$31)</f>
        <v>0</v>
      </c>
      <c r="U2977" s="95">
        <v>33</v>
      </c>
    </row>
    <row r="2978" spans="1:34" x14ac:dyDescent="0.3">
      <c r="A2978" s="89" t="str">
        <f>CONCATENATE(D2978,".",F2978,"-",G2978,".",H2978,"")</f>
        <v>2.5-1.1</v>
      </c>
      <c r="B2978" s="89" t="str">
        <f>IF(CONCATENATE(I2978,Key!F$2)=CONCATENATE(INDEX(Dashboard!J:J,MATCH(I2978,Dashboard!J:J,0),1),INDEX(Dashboard!J:K,MATCH(I2978,Dashboard!J:J,0),2)),"ON",IF(Dashboard!K$32="ALL","ON","-"))</f>
        <v>ON</v>
      </c>
      <c r="C2978" s="130" t="s">
        <v>152</v>
      </c>
      <c r="D2978" s="89">
        <f>IF(C2978="ID",1,(IF(C2978="PR",2,(IF(C2978="DE",3,(IF(C2978="RS",4,(IF(C2978="RC",5,0)))))))))</f>
        <v>2</v>
      </c>
      <c r="E2978" s="95" t="s">
        <v>269</v>
      </c>
      <c r="F2978" s="89">
        <f>IF(E2978="AM",1,(IF(E2978="BE",2,(IF(E2978="GV",3,(IF(E2978="RA",4,(IF(E2978="RM",5,(IF(E2978="AC",1,(IF(E2978="AT",2,(IF(E2978="DS",3,(IF(E2978="IP",4,(IF(E2978="MA",5,(IF(E2978="PT",6,(IF(E2978="AE",1,(IF(E2978="CM",2,(IF(E2978="DP",3,(IF(E2978="AN",1,(IF(E2978="CO",2,(IF(E2978="IM",3,(IF(E2978="MI",4,(IF(E2978="RP",5,(IF(E2978="SC",6,0)))))))))))))))))))))))))))))))))))))))</f>
        <v>5</v>
      </c>
      <c r="G2978" s="52">
        <v>1</v>
      </c>
      <c r="H2978" s="90" t="s">
        <v>115</v>
      </c>
      <c r="I2978" s="94" t="s">
        <v>4107</v>
      </c>
      <c r="J2978" s="86" t="s">
        <v>4018</v>
      </c>
      <c r="K2978" s="101" t="s">
        <v>4384</v>
      </c>
      <c r="L2978" s="117">
        <f>IF(O2978="","",N2978*O2978*M2978)</f>
        <v>0</v>
      </c>
      <c r="M2978" s="108">
        <v>1</v>
      </c>
      <c r="N2978" s="95">
        <v>1</v>
      </c>
      <c r="O2978" s="109">
        <f>IF(Key!D$1="ON",P2978,IF(SUM(Q2978:DL2978)&lt;1,"",SUM(Q2978:DL2978)/COUNTIF(Q2978:DL2978,"&gt;0")))</f>
        <v>0</v>
      </c>
      <c r="P2978" s="109">
        <f>SUMIFS(Q2978:DK2978,Q$1:DK$1,Dashboard!$K$31)</f>
        <v>0</v>
      </c>
      <c r="U2978" s="95">
        <v>33</v>
      </c>
      <c r="AA2978" s="95">
        <v>25</v>
      </c>
      <c r="AH2978" s="95">
        <v>75</v>
      </c>
    </row>
    <row r="2979" spans="1:34" x14ac:dyDescent="0.3">
      <c r="A2979" s="89" t="str">
        <f>CONCATENATE(D2979,".",F2979,"-",G2979,".",H2979,"")</f>
        <v>2.5-1.1</v>
      </c>
      <c r="B2979" s="89" t="str">
        <f>IF(CONCATENATE(I2979,Key!F$2)=CONCATENATE(INDEX(Dashboard!J:J,MATCH(I2979,Dashboard!J:J,0),1),INDEX(Dashboard!J:K,MATCH(I2979,Dashboard!J:J,0),2)),"ON",IF(Dashboard!K$32="ALL","ON","-"))</f>
        <v>ON</v>
      </c>
      <c r="C2979" s="130" t="s">
        <v>152</v>
      </c>
      <c r="D2979" s="89">
        <f>IF(C2979="ID",1,(IF(C2979="PR",2,(IF(C2979="DE",3,(IF(C2979="RS",4,(IF(C2979="RC",5,0)))))))))</f>
        <v>2</v>
      </c>
      <c r="E2979" s="95" t="s">
        <v>269</v>
      </c>
      <c r="F2979" s="89">
        <f>IF(E2979="AM",1,(IF(E2979="BE",2,(IF(E2979="GV",3,(IF(E2979="RA",4,(IF(E2979="RM",5,(IF(E2979="AC",1,(IF(E2979="AT",2,(IF(E2979="DS",3,(IF(E2979="IP",4,(IF(E2979="MA",5,(IF(E2979="PT",6,(IF(E2979="AE",1,(IF(E2979="CM",2,(IF(E2979="DP",3,(IF(E2979="AN",1,(IF(E2979="CO",2,(IF(E2979="IM",3,(IF(E2979="MI",4,(IF(E2979="RP",5,(IF(E2979="SC",6,0)))))))))))))))))))))))))))))))))))))))</f>
        <v>5</v>
      </c>
      <c r="G2979" s="52">
        <v>1</v>
      </c>
      <c r="H2979" s="90" t="s">
        <v>115</v>
      </c>
      <c r="I2979" s="94" t="s">
        <v>4107</v>
      </c>
      <c r="J2979" s="86" t="s">
        <v>4019</v>
      </c>
      <c r="K2979" s="101" t="s">
        <v>4454</v>
      </c>
      <c r="L2979" s="117">
        <f>IF(O2979="","",N2979*O2979*M2979)</f>
        <v>0</v>
      </c>
      <c r="M2979" s="108">
        <v>1</v>
      </c>
      <c r="N2979" s="95">
        <v>1</v>
      </c>
      <c r="O2979" s="109">
        <f>IF(Key!D$1="ON",P2979,IF(SUM(Q2979:DL2979)&lt;1,"",SUM(Q2979:DL2979)/COUNTIF(Q2979:DL2979,"&gt;0")))</f>
        <v>0</v>
      </c>
      <c r="P2979" s="109">
        <f>SUMIFS(Q2979:DK2979,Q$1:DK$1,Dashboard!$K$31)</f>
        <v>0</v>
      </c>
      <c r="U2979" s="95">
        <v>33</v>
      </c>
      <c r="AA2979" s="95">
        <v>25</v>
      </c>
      <c r="AH2979" s="95">
        <v>75</v>
      </c>
    </row>
    <row r="2980" spans="1:34" x14ac:dyDescent="0.3">
      <c r="A2980" s="89" t="str">
        <f>CONCATENATE(D2980,".",F2980,"-",G2980,".",H2980,"")</f>
        <v>2.5-1.1</v>
      </c>
      <c r="B2980" s="89" t="str">
        <f>IF(CONCATENATE(I2980,Key!F$2)=CONCATENATE(INDEX(Dashboard!J:J,MATCH(I2980,Dashboard!J:J,0),1),INDEX(Dashboard!J:K,MATCH(I2980,Dashboard!J:J,0),2)),"ON",IF(Dashboard!K$32="ALL","ON","-"))</f>
        <v>ON</v>
      </c>
      <c r="C2980" s="96" t="s">
        <v>152</v>
      </c>
      <c r="D2980" s="89">
        <f>IF(C2980="ID",1,(IF(C2980="PR",2,(IF(C2980="DE",3,(IF(C2980="RS",4,(IF(C2980="RC",5,0)))))))))</f>
        <v>2</v>
      </c>
      <c r="E2980" s="89" t="s">
        <v>269</v>
      </c>
      <c r="F2980" s="89">
        <f>IF(E2980="AM",1,(IF(E2980="BE",2,(IF(E2980="GV",3,(IF(E2980="RA",4,(IF(E2980="RM",5,(IF(E2980="AC",1,(IF(E2980="AT",2,(IF(E2980="DS",3,(IF(E2980="IP",4,(IF(E2980="MA",5,(IF(E2980="PT",6,(IF(E2980="AE",1,(IF(E2980="CM",2,(IF(E2980="DP",3,(IF(E2980="AN",1,(IF(E2980="CO",2,(IF(E2980="IM",3,(IF(E2980="MI",4,(IF(E2980="RP",5,(IF(E2980="SC",6,0)))))))))))))))))))))))))))))))))))))))</f>
        <v>5</v>
      </c>
      <c r="G2980" s="52">
        <v>1</v>
      </c>
      <c r="H2980" s="90" t="s">
        <v>115</v>
      </c>
      <c r="I2980" s="94" t="s">
        <v>4107</v>
      </c>
      <c r="J2980" s="86" t="s">
        <v>4021</v>
      </c>
      <c r="K2980" s="101" t="s">
        <v>4385</v>
      </c>
      <c r="L2980" s="117">
        <f>IF(O2980="","",N2980*O2980*M2980)</f>
        <v>0</v>
      </c>
      <c r="M2980" s="108">
        <v>1</v>
      </c>
      <c r="N2980" s="95">
        <v>1</v>
      </c>
      <c r="O2980" s="109">
        <f>IF(Key!D$1="ON",P2980,IF(SUM(Q2980:DL2980)&lt;1,"",SUM(Q2980:DL2980)/COUNTIF(Q2980:DL2980,"&gt;0")))</f>
        <v>0</v>
      </c>
      <c r="P2980" s="109">
        <f>SUMIFS(Q2980:DK2980,Q$1:DK$1,Dashboard!$K$31)</f>
        <v>0</v>
      </c>
      <c r="U2980" s="95">
        <v>33</v>
      </c>
      <c r="AA2980" s="95">
        <v>25</v>
      </c>
      <c r="AH2980" s="95">
        <v>75</v>
      </c>
    </row>
    <row r="2981" spans="1:34" x14ac:dyDescent="0.3">
      <c r="A2981" s="89" t="str">
        <f>CONCATENATE(D2981,".",F2981,"-",G2981,".",H2981,"")</f>
        <v>2.5-1.1</v>
      </c>
      <c r="B2981" s="89" t="str">
        <f>IF(CONCATENATE(I2981,Key!F$2)=CONCATENATE(INDEX(Dashboard!J:J,MATCH(I2981,Dashboard!J:J,0),1),INDEX(Dashboard!J:K,MATCH(I2981,Dashboard!J:J,0),2)),"ON",IF(Dashboard!K$32="ALL","ON","-"))</f>
        <v>-</v>
      </c>
      <c r="C2981" s="96" t="s">
        <v>152</v>
      </c>
      <c r="D2981" s="89">
        <f>IF(C2981="ID",1,(IF(C2981="PR",2,(IF(C2981="DE",3,(IF(C2981="RS",4,(IF(C2981="RC",5,0)))))))))</f>
        <v>2</v>
      </c>
      <c r="E2981" s="89" t="s">
        <v>269</v>
      </c>
      <c r="F2981" s="89">
        <f>IF(E2981="AM",1,(IF(E2981="BE",2,(IF(E2981="GV",3,(IF(E2981="RA",4,(IF(E2981="RM",5,(IF(E2981="AC",1,(IF(E2981="AT",2,(IF(E2981="DS",3,(IF(E2981="IP",4,(IF(E2981="MA",5,(IF(E2981="PT",6,(IF(E2981="AE",1,(IF(E2981="CM",2,(IF(E2981="DP",3,(IF(E2981="AN",1,(IF(E2981="CO",2,(IF(E2981="IM",3,(IF(E2981="MI",4,(IF(E2981="RP",5,(IF(E2981="SC",6,0)))))))))))))))))))))))))))))))))))))))</f>
        <v>5</v>
      </c>
      <c r="G2981" s="52">
        <v>1</v>
      </c>
      <c r="H2981" s="90" t="s">
        <v>115</v>
      </c>
      <c r="I2981" s="94" t="s">
        <v>52</v>
      </c>
      <c r="J2981" s="88" t="s">
        <v>3439</v>
      </c>
      <c r="K2981" s="103" t="s">
        <v>3440</v>
      </c>
      <c r="L2981" s="117">
        <f>IF(O2981="","",N2981*O2981*M2981)</f>
        <v>0</v>
      </c>
      <c r="M2981" s="108">
        <v>1</v>
      </c>
      <c r="N2981" s="95">
        <v>1</v>
      </c>
      <c r="O2981" s="109">
        <f>IF(Key!D$1="ON",P2981,IF(SUM(Q2981:DL2981)&lt;1,"",SUM(Q2981:DL2981)/COUNTIF(Q2981:DL2981,"&gt;0")))</f>
        <v>0</v>
      </c>
      <c r="P2981" s="109">
        <f>SUMIFS(Q2981:DK2981,Q$1:DK$1,Dashboard!$K$31)</f>
        <v>0</v>
      </c>
      <c r="U2981" s="95">
        <v>33</v>
      </c>
      <c r="AA2981" s="95">
        <v>25</v>
      </c>
      <c r="AH2981" s="95">
        <v>75</v>
      </c>
    </row>
    <row r="2982" spans="1:34" x14ac:dyDescent="0.3">
      <c r="A2982" s="89" t="str">
        <f>CONCATENATE(D2982,".",F2982,"-",G2982,".",H2982,"")</f>
        <v>2.5-1.1</v>
      </c>
      <c r="B2982" s="89" t="str">
        <f>IF(CONCATENATE(I2982,Key!F$2)=CONCATENATE(INDEX(Dashboard!J:J,MATCH(I2982,Dashboard!J:J,0),1),INDEX(Dashboard!J:K,MATCH(I2982,Dashboard!J:J,0),2)),"ON",IF(Dashboard!K$32="ALL","ON","-"))</f>
        <v>-</v>
      </c>
      <c r="C2982" s="88" t="s">
        <v>152</v>
      </c>
      <c r="D2982" s="89">
        <f>IF(C2982="ID",1,(IF(C2982="PR",2,(IF(C2982="DE",3,(IF(C2982="RS",4,(IF(C2982="RC",5,0)))))))))</f>
        <v>2</v>
      </c>
      <c r="E2982" s="89" t="s">
        <v>269</v>
      </c>
      <c r="F2982" s="89">
        <f>IF(E2982="AM",1,(IF(E2982="BE",2,(IF(E2982="GV",3,(IF(E2982="RA",4,(IF(E2982="RM",5,(IF(E2982="AC",1,(IF(E2982="AT",2,(IF(E2982="DS",3,(IF(E2982="IP",4,(IF(E2982="MA",5,(IF(E2982="PT",6,(IF(E2982="AE",1,(IF(E2982="CM",2,(IF(E2982="DP",3,(IF(E2982="AN",1,(IF(E2982="CO",2,(IF(E2982="IM",3,(IF(E2982="MI",4,(IF(E2982="RP",5,(IF(E2982="SC",6,0)))))))))))))))))))))))))))))))))))))))</f>
        <v>5</v>
      </c>
      <c r="G2982" s="52">
        <v>1</v>
      </c>
      <c r="H2982" s="90" t="s">
        <v>115</v>
      </c>
      <c r="I2982" s="94" t="s">
        <v>60</v>
      </c>
      <c r="J2982" s="87" t="s">
        <v>3255</v>
      </c>
      <c r="K2982" s="51" t="s">
        <v>5368</v>
      </c>
      <c r="L2982" s="117">
        <f>IF(O2982="","",N2982*O2982*M2982)</f>
        <v>0</v>
      </c>
      <c r="M2982" s="108">
        <v>1</v>
      </c>
      <c r="N2982" s="95">
        <v>1</v>
      </c>
      <c r="O2982" s="109">
        <f>IF(Key!D$1="ON",P2982,IF(SUM(Q2982:DL2982)&lt;1,"",SUM(Q2982:DL2982)/COUNTIF(Q2982:DL2982,"&gt;0")))</f>
        <v>0</v>
      </c>
      <c r="P2982" s="109">
        <f>SUMIFS(Q2982:DK2982,Q$1:DK$1,Dashboard!$K$31)</f>
        <v>0</v>
      </c>
      <c r="U2982" s="95">
        <v>33</v>
      </c>
      <c r="AA2982" s="95">
        <v>25</v>
      </c>
      <c r="AH2982" s="95">
        <v>75</v>
      </c>
    </row>
    <row r="2983" spans="1:34" ht="15.6" x14ac:dyDescent="0.3">
      <c r="A2983" s="89" t="str">
        <f>CONCATENATE(D2983,".",F2983,"-",G2983,".",H2983,"")</f>
        <v>2.5-1.1</v>
      </c>
      <c r="B2983" s="89" t="str">
        <f>IF(CONCATENATE(I2983,Key!F$2)=CONCATENATE(INDEX(Dashboard!J:J,MATCH(I2983,Dashboard!J:J,0),1),INDEX(Dashboard!J:K,MATCH(I2983,Dashboard!J:J,0),2)),"ON",IF(Dashboard!K$32="ALL","ON","-"))</f>
        <v>-</v>
      </c>
      <c r="C2983" s="88" t="s">
        <v>152</v>
      </c>
      <c r="D2983" s="89">
        <f>IF(C2983="ID",1,(IF(C2983="PR",2,(IF(C2983="DE",3,(IF(C2983="RS",4,(IF(C2983="RC",5,0)))))))))</f>
        <v>2</v>
      </c>
      <c r="E2983" s="89" t="s">
        <v>269</v>
      </c>
      <c r="F2983" s="89">
        <f>IF(E2983="AM",1,(IF(E2983="BE",2,(IF(E2983="GV",3,(IF(E2983="RA",4,(IF(E2983="RM",5,(IF(E2983="AC",1,(IF(E2983="AT",2,(IF(E2983="DS",3,(IF(E2983="IP",4,(IF(E2983="MA",5,(IF(E2983="PT",6,(IF(E2983="AE",1,(IF(E2983="CM",2,(IF(E2983="DP",3,(IF(E2983="AN",1,(IF(E2983="CO",2,(IF(E2983="IM",3,(IF(E2983="MI",4,(IF(E2983="RP",5,(IF(E2983="SC",6,0)))))))))))))))))))))))))))))))))))))))</f>
        <v>5</v>
      </c>
      <c r="G2983" s="52">
        <v>1</v>
      </c>
      <c r="H2983" s="89">
        <v>1</v>
      </c>
      <c r="I2983" s="94" t="s">
        <v>60</v>
      </c>
      <c r="J2983" s="88" t="s">
        <v>3210</v>
      </c>
      <c r="K2983" s="51" t="s">
        <v>5323</v>
      </c>
      <c r="L2983" s="117">
        <f>IF(O2983="","",N2983*O2983*M2983)</f>
        <v>0</v>
      </c>
      <c r="M2983" s="108">
        <v>1</v>
      </c>
      <c r="N2983" s="95">
        <v>1</v>
      </c>
      <c r="O2983" s="109">
        <f>IF(Key!D$1="ON",P2983,IF(SUM(Q2983:DL2983)&lt;1,"",SUM(Q2983:DL2983)/COUNTIF(Q2983:DL2983,"&gt;0")))</f>
        <v>0</v>
      </c>
      <c r="P2983" s="109">
        <f>SUMIFS(Q2983:DK2983,Q$1:DK$1,Dashboard!$K$31)</f>
        <v>0</v>
      </c>
      <c r="U2983" s="95">
        <v>33</v>
      </c>
      <c r="AA2983" s="95">
        <v>25</v>
      </c>
      <c r="AH2983" s="95">
        <v>75</v>
      </c>
    </row>
    <row r="2984" spans="1:34" x14ac:dyDescent="0.3">
      <c r="A2984" s="89" t="str">
        <f>CONCATENATE(D2984,".",F2984,"-",G2984,".",H2984,"")</f>
        <v>2.5-1.1</v>
      </c>
      <c r="B2984" s="89" t="str">
        <f>IF(CONCATENATE(I2984,Key!F$2)=CONCATENATE(INDEX(Dashboard!J:J,MATCH(I2984,Dashboard!J:J,0),1),INDEX(Dashboard!J:K,MATCH(I2984,Dashboard!J:J,0),2)),"ON",IF(Dashboard!K$32="ALL","ON","-"))</f>
        <v>-</v>
      </c>
      <c r="C2984" s="88" t="s">
        <v>152</v>
      </c>
      <c r="D2984" s="89">
        <f>IF(C2984="ID",1,(IF(C2984="PR",2,(IF(C2984="DE",3,(IF(C2984="RS",4,(IF(C2984="RC",5,0)))))))))</f>
        <v>2</v>
      </c>
      <c r="E2984" s="89" t="s">
        <v>269</v>
      </c>
      <c r="F2984" s="89">
        <f>IF(E2984="AM",1,(IF(E2984="BE",2,(IF(E2984="GV",3,(IF(E2984="RA",4,(IF(E2984="RM",5,(IF(E2984="AC",1,(IF(E2984="AT",2,(IF(E2984="DS",3,(IF(E2984="IP",4,(IF(E2984="MA",5,(IF(E2984="PT",6,(IF(E2984="AE",1,(IF(E2984="CM",2,(IF(E2984="DP",3,(IF(E2984="AN",1,(IF(E2984="CO",2,(IF(E2984="IM",3,(IF(E2984="MI",4,(IF(E2984="RP",5,(IF(E2984="SC",6,0)))))))))))))))))))))))))))))))))))))))</f>
        <v>5</v>
      </c>
      <c r="G2984" s="52">
        <v>1</v>
      </c>
      <c r="H2984" s="89">
        <v>1</v>
      </c>
      <c r="I2984" s="94" t="s">
        <v>60</v>
      </c>
      <c r="J2984" s="88" t="s">
        <v>3199</v>
      </c>
      <c r="K2984" s="51" t="s">
        <v>5312</v>
      </c>
      <c r="L2984" s="117">
        <f>IF(O2984="","",N2984*O2984*M2984)</f>
        <v>0</v>
      </c>
      <c r="M2984" s="108">
        <v>1</v>
      </c>
      <c r="N2984" s="95">
        <v>1</v>
      </c>
      <c r="O2984" s="109">
        <f>IF(Key!D$1="ON",P2984,IF(SUM(Q2984:DL2984)&lt;1,"",SUM(Q2984:DL2984)/COUNTIF(Q2984:DL2984,"&gt;0")))</f>
        <v>0</v>
      </c>
      <c r="P2984" s="109">
        <f>SUMIFS(Q2984:DK2984,Q$1:DK$1,Dashboard!$K$31)</f>
        <v>0</v>
      </c>
      <c r="U2984" s="95">
        <v>33</v>
      </c>
      <c r="AA2984" s="95">
        <v>25</v>
      </c>
      <c r="AH2984" s="95">
        <v>75</v>
      </c>
    </row>
    <row r="2985" spans="1:34" x14ac:dyDescent="0.3">
      <c r="A2985" s="89" t="str">
        <f>CONCATENATE(D2985,".",F2985,"-",G2985,".",H2985,"")</f>
        <v>2.5-1.1</v>
      </c>
      <c r="B2985" s="89" t="str">
        <f>IF(CONCATENATE(I2985,Key!F$2)=CONCATENATE(INDEX(Dashboard!J:J,MATCH(I2985,Dashboard!J:J,0),1),INDEX(Dashboard!J:K,MATCH(I2985,Dashboard!J:J,0),2)),"ON",IF(Dashboard!K$32="ALL","ON","-"))</f>
        <v>-</v>
      </c>
      <c r="C2985" s="88" t="s">
        <v>152</v>
      </c>
      <c r="D2985" s="89">
        <f>IF(C2985="ID",1,(IF(C2985="PR",2,(IF(C2985="DE",3,(IF(C2985="RS",4,(IF(C2985="RC",5,0)))))))))</f>
        <v>2</v>
      </c>
      <c r="E2985" s="89" t="s">
        <v>269</v>
      </c>
      <c r="F2985" s="89">
        <f>IF(E2985="AM",1,(IF(E2985="BE",2,(IF(E2985="GV",3,(IF(E2985="RA",4,(IF(E2985="RM",5,(IF(E2985="AC",1,(IF(E2985="AT",2,(IF(E2985="DS",3,(IF(E2985="IP",4,(IF(E2985="MA",5,(IF(E2985="PT",6,(IF(E2985="AE",1,(IF(E2985="CM",2,(IF(E2985="DP",3,(IF(E2985="AN",1,(IF(E2985="CO",2,(IF(E2985="IM",3,(IF(E2985="MI",4,(IF(E2985="RP",5,(IF(E2985="SC",6,0)))))))))))))))))))))))))))))))))))))))</f>
        <v>5</v>
      </c>
      <c r="G2985" s="52">
        <v>1</v>
      </c>
      <c r="H2985" s="89">
        <v>1</v>
      </c>
      <c r="I2985" s="94" t="s">
        <v>60</v>
      </c>
      <c r="J2985" s="88" t="s">
        <v>3145</v>
      </c>
      <c r="K2985" s="51" t="s">
        <v>5258</v>
      </c>
      <c r="L2985" s="117">
        <f>IF(O2985="","",N2985*O2985*M2985)</f>
        <v>0</v>
      </c>
      <c r="M2985" s="108">
        <v>1</v>
      </c>
      <c r="N2985" s="95">
        <v>1</v>
      </c>
      <c r="O2985" s="109">
        <f>IF(Key!D$1="ON",P2985,IF(SUM(Q2985:DL2985)&lt;1,"",SUM(Q2985:DL2985)/COUNTIF(Q2985:DL2985,"&gt;0")))</f>
        <v>0</v>
      </c>
      <c r="P2985" s="109">
        <f>SUMIFS(Q2985:DK2985,Q$1:DK$1,Dashboard!$K$31)</f>
        <v>0</v>
      </c>
      <c r="U2985" s="95">
        <v>33</v>
      </c>
      <c r="AA2985" s="95">
        <v>25</v>
      </c>
      <c r="AH2985" s="95">
        <v>75</v>
      </c>
    </row>
    <row r="2986" spans="1:34" x14ac:dyDescent="0.3">
      <c r="A2986" s="89" t="str">
        <f>CONCATENATE(D2986,".",F2986,"-",G2986,".",H2986,"")</f>
        <v>2.5-1.1</v>
      </c>
      <c r="B2986" s="89" t="str">
        <f>IF(CONCATENATE(I2986,Key!F$2)=CONCATENATE(INDEX(Dashboard!J:J,MATCH(I2986,Dashboard!J:J,0),1),INDEX(Dashboard!J:K,MATCH(I2986,Dashboard!J:J,0),2)),"ON",IF(Dashboard!K$32="ALL","ON","-"))</f>
        <v>-</v>
      </c>
      <c r="C2986" s="88" t="s">
        <v>152</v>
      </c>
      <c r="D2986" s="89">
        <f>IF(C2986="ID",1,(IF(C2986="PR",2,(IF(C2986="DE",3,(IF(C2986="RS",4,(IF(C2986="RC",5,0)))))))))</f>
        <v>2</v>
      </c>
      <c r="E2986" s="89" t="s">
        <v>269</v>
      </c>
      <c r="F2986" s="89">
        <f>IF(E2986="AM",1,(IF(E2986="BE",2,(IF(E2986="GV",3,(IF(E2986="RA",4,(IF(E2986="RM",5,(IF(E2986="AC",1,(IF(E2986="AT",2,(IF(E2986="DS",3,(IF(E2986="IP",4,(IF(E2986="MA",5,(IF(E2986="PT",6,(IF(E2986="AE",1,(IF(E2986="CM",2,(IF(E2986="DP",3,(IF(E2986="AN",1,(IF(E2986="CO",2,(IF(E2986="IM",3,(IF(E2986="MI",4,(IF(E2986="RP",5,(IF(E2986="SC",6,0)))))))))))))))))))))))))))))))))))))))</f>
        <v>5</v>
      </c>
      <c r="G2986" s="52">
        <v>1</v>
      </c>
      <c r="H2986" s="89">
        <v>1</v>
      </c>
      <c r="I2986" s="94" t="s">
        <v>60</v>
      </c>
      <c r="J2986" s="88" t="s">
        <v>3158</v>
      </c>
      <c r="K2986" s="51" t="s">
        <v>5271</v>
      </c>
      <c r="L2986" s="117">
        <f>IF(O2986="","",N2986*O2986*M2986)</f>
        <v>0</v>
      </c>
      <c r="M2986" s="108">
        <v>1</v>
      </c>
      <c r="N2986" s="95">
        <v>1</v>
      </c>
      <c r="O2986" s="109">
        <f>IF(Key!D$1="ON",P2986,IF(SUM(Q2986:DL2986)&lt;1,"",SUM(Q2986:DL2986)/COUNTIF(Q2986:DL2986,"&gt;0")))</f>
        <v>0</v>
      </c>
      <c r="P2986" s="109">
        <f>SUMIFS(Q2986:DK2986,Q$1:DK$1,Dashboard!$K$31)</f>
        <v>0</v>
      </c>
      <c r="U2986" s="95">
        <v>33</v>
      </c>
      <c r="AA2986" s="95">
        <v>25</v>
      </c>
      <c r="AH2986" s="95">
        <v>75</v>
      </c>
    </row>
    <row r="2987" spans="1:34" x14ac:dyDescent="0.3">
      <c r="A2987" s="89" t="str">
        <f>CONCATENATE(D2987,".",F2987,"-",G2987,".",H2987,"")</f>
        <v>2.5-1.1</v>
      </c>
      <c r="B2987" s="89" t="str">
        <f>IF(CONCATENATE(I2987,Key!F$2)=CONCATENATE(INDEX(Dashboard!J:J,MATCH(I2987,Dashboard!J:J,0),1),INDEX(Dashboard!J:K,MATCH(I2987,Dashboard!J:J,0),2)),"ON",IF(Dashboard!K$32="ALL","ON","-"))</f>
        <v>-</v>
      </c>
      <c r="C2987" s="88" t="s">
        <v>152</v>
      </c>
      <c r="D2987" s="89">
        <f>IF(C2987="ID",1,(IF(C2987="PR",2,(IF(C2987="DE",3,(IF(C2987="RS",4,(IF(C2987="RC",5,0)))))))))</f>
        <v>2</v>
      </c>
      <c r="E2987" s="89" t="s">
        <v>269</v>
      </c>
      <c r="F2987" s="89">
        <f>IF(E2987="AM",1,(IF(E2987="BE",2,(IF(E2987="GV",3,(IF(E2987="RA",4,(IF(E2987="RM",5,(IF(E2987="AC",1,(IF(E2987="AT",2,(IF(E2987="DS",3,(IF(E2987="IP",4,(IF(E2987="MA",5,(IF(E2987="PT",6,(IF(E2987="AE",1,(IF(E2987="CM",2,(IF(E2987="DP",3,(IF(E2987="AN",1,(IF(E2987="CO",2,(IF(E2987="IM",3,(IF(E2987="MI",4,(IF(E2987="RP",5,(IF(E2987="SC",6,0)))))))))))))))))))))))))))))))))))))))</f>
        <v>5</v>
      </c>
      <c r="G2987" s="98">
        <v>1</v>
      </c>
      <c r="H2987" s="99">
        <v>1</v>
      </c>
      <c r="I2987" s="94" t="s">
        <v>73</v>
      </c>
      <c r="J2987" s="86" t="s">
        <v>4178</v>
      </c>
      <c r="K2987" s="107" t="s">
        <v>4305</v>
      </c>
      <c r="L2987" s="117">
        <f>IF(O2987="","",N2987*O2987*M2987)</f>
        <v>0</v>
      </c>
      <c r="M2987" s="108">
        <v>1</v>
      </c>
      <c r="N2987" s="95">
        <v>1</v>
      </c>
      <c r="O2987" s="109">
        <f>IF(Key!D$1="ON",P2987,IF(SUM(Q2987:DL2987)&lt;1,"",SUM(Q2987:DL2987)/COUNTIF(Q2987:DL2987,"&gt;0")))</f>
        <v>0</v>
      </c>
      <c r="P2987" s="109">
        <f>SUMIFS(Q2987:DK2987,Q$1:DK$1,Dashboard!$K$31)</f>
        <v>0</v>
      </c>
      <c r="U2987" s="95">
        <v>33</v>
      </c>
      <c r="AA2987" s="95">
        <v>25</v>
      </c>
      <c r="AH2987" s="95">
        <v>75</v>
      </c>
    </row>
    <row r="2988" spans="1:34" x14ac:dyDescent="0.3">
      <c r="A2988" s="89" t="str">
        <f>CONCATENATE(D2988,".",F2988,"-",G2988,".",H2988,"")</f>
        <v>2.5-1.1</v>
      </c>
      <c r="B2988" s="89" t="str">
        <f>IF(CONCATENATE(I2988,Key!F$2)=CONCATENATE(INDEX(Dashboard!J:J,MATCH(I2988,Dashboard!J:J,0),1),INDEX(Dashboard!J:K,MATCH(I2988,Dashboard!J:J,0),2)),"ON",IF(Dashboard!K$32="ALL","ON","-"))</f>
        <v>-</v>
      </c>
      <c r="C2988" s="88" t="s">
        <v>152</v>
      </c>
      <c r="D2988" s="89">
        <f>IF(C2988="ID",1,(IF(C2988="PR",2,(IF(C2988="DE",3,(IF(C2988="RS",4,(IF(C2988="RC",5,0)))))))))</f>
        <v>2</v>
      </c>
      <c r="E2988" s="89" t="s">
        <v>269</v>
      </c>
      <c r="F2988" s="89">
        <f>IF(E2988="AM",1,(IF(E2988="BE",2,(IF(E2988="GV",3,(IF(E2988="RA",4,(IF(E2988="RM",5,(IF(E2988="AC",1,(IF(E2988="AT",2,(IF(E2988="DS",3,(IF(E2988="IP",4,(IF(E2988="MA",5,(IF(E2988="PT",6,(IF(E2988="AE",1,(IF(E2988="CM",2,(IF(E2988="DP",3,(IF(E2988="AN",1,(IF(E2988="CO",2,(IF(E2988="IM",3,(IF(E2988="MI",4,(IF(E2988="RP",5,(IF(E2988="SC",6,0)))))))))))))))))))))))))))))))))))))))</f>
        <v>5</v>
      </c>
      <c r="G2988" s="98">
        <v>1</v>
      </c>
      <c r="H2988" s="99">
        <v>1</v>
      </c>
      <c r="I2988" s="94" t="s">
        <v>73</v>
      </c>
      <c r="J2988" s="86" t="s">
        <v>4179</v>
      </c>
      <c r="K2988" s="107" t="s">
        <v>4306</v>
      </c>
      <c r="L2988" s="117">
        <f>IF(O2988="","",N2988*O2988*M2988)</f>
        <v>0</v>
      </c>
      <c r="M2988" s="108">
        <v>1</v>
      </c>
      <c r="N2988" s="95">
        <v>1</v>
      </c>
      <c r="O2988" s="109">
        <f>IF(Key!D$1="ON",P2988,IF(SUM(Q2988:DL2988)&lt;1,"",SUM(Q2988:DL2988)/COUNTIF(Q2988:DL2988,"&gt;0")))</f>
        <v>0</v>
      </c>
      <c r="P2988" s="109">
        <f>SUMIFS(Q2988:DK2988,Q$1:DK$1,Dashboard!$K$31)</f>
        <v>0</v>
      </c>
      <c r="U2988" s="95">
        <v>33</v>
      </c>
      <c r="AA2988" s="95">
        <v>25</v>
      </c>
      <c r="AH2988" s="95">
        <v>75</v>
      </c>
    </row>
    <row r="2989" spans="1:34" x14ac:dyDescent="0.3">
      <c r="A2989" s="89" t="str">
        <f>CONCATENATE(D2989,".",F2989,"-",G2989,".",H2989,"")</f>
        <v>2.5-1.1</v>
      </c>
      <c r="B2989" s="89" t="str">
        <f>IF(CONCATENATE(I2989,Key!F$2)=CONCATENATE(INDEX(Dashboard!J:J,MATCH(I2989,Dashboard!J:J,0),1),INDEX(Dashboard!J:K,MATCH(I2989,Dashboard!J:J,0),2)),"ON",IF(Dashboard!K$32="ALL","ON","-"))</f>
        <v>-</v>
      </c>
      <c r="C2989" s="88" t="s">
        <v>152</v>
      </c>
      <c r="D2989" s="89">
        <f>IF(C2989="ID",1,(IF(C2989="PR",2,(IF(C2989="DE",3,(IF(C2989="RS",4,(IF(C2989="RC",5,0)))))))))</f>
        <v>2</v>
      </c>
      <c r="E2989" s="89" t="s">
        <v>269</v>
      </c>
      <c r="F2989" s="89">
        <f>IF(E2989="AM",1,(IF(E2989="BE",2,(IF(E2989="GV",3,(IF(E2989="RA",4,(IF(E2989="RM",5,(IF(E2989="AC",1,(IF(E2989="AT",2,(IF(E2989="DS",3,(IF(E2989="IP",4,(IF(E2989="MA",5,(IF(E2989="PT",6,(IF(E2989="AE",1,(IF(E2989="CM",2,(IF(E2989="DP",3,(IF(E2989="AN",1,(IF(E2989="CO",2,(IF(E2989="IM",3,(IF(E2989="MI",4,(IF(E2989="RP",5,(IF(E2989="SC",6,0)))))))))))))))))))))))))))))))))))))))</f>
        <v>5</v>
      </c>
      <c r="G2989" s="98">
        <v>1</v>
      </c>
      <c r="H2989" s="99">
        <v>1</v>
      </c>
      <c r="I2989" s="94" t="s">
        <v>73</v>
      </c>
      <c r="J2989" s="86" t="s">
        <v>4180</v>
      </c>
      <c r="K2989" s="107" t="s">
        <v>4307</v>
      </c>
      <c r="L2989" s="117">
        <f>IF(O2989="","",N2989*O2989*M2989)</f>
        <v>0</v>
      </c>
      <c r="M2989" s="108">
        <v>1</v>
      </c>
      <c r="N2989" s="95">
        <v>1</v>
      </c>
      <c r="O2989" s="109">
        <f>IF(Key!D$1="ON",P2989,IF(SUM(Q2989:DL2989)&lt;1,"",SUM(Q2989:DL2989)/COUNTIF(Q2989:DL2989,"&gt;0")))</f>
        <v>0</v>
      </c>
      <c r="P2989" s="109">
        <f>SUMIFS(Q2989:DK2989,Q$1:DK$1,Dashboard!$K$31)</f>
        <v>0</v>
      </c>
      <c r="U2989" s="95">
        <v>33</v>
      </c>
      <c r="AA2989" s="95">
        <v>25</v>
      </c>
      <c r="AH2989" s="95">
        <v>75</v>
      </c>
    </row>
    <row r="2990" spans="1:34" ht="15.6" x14ac:dyDescent="0.3">
      <c r="A2990" s="89" t="str">
        <f>CONCATENATE(D2990,".",F2990,"-",G2990,".",H2990,"")</f>
        <v>2.5-1.1</v>
      </c>
      <c r="B2990" s="89" t="str">
        <f>IF(CONCATENATE(I2990,Key!F$2)=CONCATENATE(INDEX(Dashboard!J:J,MATCH(I2990,Dashboard!J:J,0),1),INDEX(Dashboard!J:K,MATCH(I2990,Dashboard!J:J,0),2)),"ON",IF(Dashboard!K$32="ALL","ON","-"))</f>
        <v>-</v>
      </c>
      <c r="C2990" s="88" t="s">
        <v>152</v>
      </c>
      <c r="D2990" s="89">
        <f>IF(C2990="ID",1,(IF(C2990="PR",2,(IF(C2990="DE",3,(IF(C2990="RS",4,(IF(C2990="RC",5,0)))))))))</f>
        <v>2</v>
      </c>
      <c r="E2990" s="89" t="s">
        <v>269</v>
      </c>
      <c r="F2990" s="89">
        <f>IF(E2990="AM",1,(IF(E2990="BE",2,(IF(E2990="GV",3,(IF(E2990="RA",4,(IF(E2990="RM",5,(IF(E2990="AC",1,(IF(E2990="AT",2,(IF(E2990="DS",3,(IF(E2990="IP",4,(IF(E2990="MA",5,(IF(E2990="PT",6,(IF(E2990="AE",1,(IF(E2990="CM",2,(IF(E2990="DP",3,(IF(E2990="AN",1,(IF(E2990="CO",2,(IF(E2990="IM",3,(IF(E2990="MI",4,(IF(E2990="RP",5,(IF(E2990="SC",6,0)))))))))))))))))))))))))))))))))))))))</f>
        <v>5</v>
      </c>
      <c r="G2990" s="98">
        <v>1</v>
      </c>
      <c r="H2990" s="99">
        <v>1</v>
      </c>
      <c r="I2990" s="94" t="s">
        <v>73</v>
      </c>
      <c r="J2990" s="86" t="s">
        <v>4181</v>
      </c>
      <c r="K2990" s="107" t="s">
        <v>4308</v>
      </c>
      <c r="L2990" s="117">
        <f>IF(O2990="","",N2990*O2990*M2990)</f>
        <v>0</v>
      </c>
      <c r="M2990" s="108">
        <v>1</v>
      </c>
      <c r="N2990" s="95">
        <v>1</v>
      </c>
      <c r="O2990" s="109">
        <f>IF(Key!D$1="ON",P2990,IF(SUM(Q2990:DL2990)&lt;1,"",SUM(Q2990:DL2990)/COUNTIF(Q2990:DL2990,"&gt;0")))</f>
        <v>0</v>
      </c>
      <c r="P2990" s="109">
        <f>SUMIFS(Q2990:DK2990,Q$1:DK$1,Dashboard!$K$31)</f>
        <v>0</v>
      </c>
      <c r="U2990" s="95">
        <v>33</v>
      </c>
      <c r="AA2990" s="95">
        <v>25</v>
      </c>
      <c r="AH2990" s="95">
        <v>75</v>
      </c>
    </row>
    <row r="2991" spans="1:34" x14ac:dyDescent="0.3">
      <c r="A2991" s="89" t="str">
        <f>CONCATENATE(D2991,".",F2991,"-",G2991,".",H2991,"")</f>
        <v>2.5-1.1</v>
      </c>
      <c r="B2991" s="89" t="str">
        <f>IF(CONCATENATE(I2991,Key!F$2)=CONCATENATE(INDEX(Dashboard!J:J,MATCH(I2991,Dashboard!J:J,0),1),INDEX(Dashboard!J:K,MATCH(I2991,Dashboard!J:J,0),2)),"ON",IF(Dashboard!K$32="ALL","ON","-"))</f>
        <v>-</v>
      </c>
      <c r="C2991" s="88" t="s">
        <v>152</v>
      </c>
      <c r="D2991" s="89">
        <f>IF(C2991="ID",1,(IF(C2991="PR",2,(IF(C2991="DE",3,(IF(C2991="RS",4,(IF(C2991="RC",5,0)))))))))</f>
        <v>2</v>
      </c>
      <c r="E2991" s="89" t="s">
        <v>269</v>
      </c>
      <c r="F2991" s="89">
        <f>IF(E2991="AM",1,(IF(E2991="BE",2,(IF(E2991="GV",3,(IF(E2991="RA",4,(IF(E2991="RM",5,(IF(E2991="AC",1,(IF(E2991="AT",2,(IF(E2991="DS",3,(IF(E2991="IP",4,(IF(E2991="MA",5,(IF(E2991="PT",6,(IF(E2991="AE",1,(IF(E2991="CM",2,(IF(E2991="DP",3,(IF(E2991="AN",1,(IF(E2991="CO",2,(IF(E2991="IM",3,(IF(E2991="MI",4,(IF(E2991="RP",5,(IF(E2991="SC",6,0)))))))))))))))))))))))))))))))))))))))</f>
        <v>5</v>
      </c>
      <c r="G2991" s="98">
        <v>1</v>
      </c>
      <c r="H2991" s="99">
        <v>1</v>
      </c>
      <c r="I2991" s="94" t="s">
        <v>73</v>
      </c>
      <c r="J2991" s="86" t="s">
        <v>4184</v>
      </c>
      <c r="K2991" s="107" t="s">
        <v>4310</v>
      </c>
      <c r="L2991" s="117">
        <f>IF(O2991="","",N2991*O2991*M2991)</f>
        <v>0</v>
      </c>
      <c r="M2991" s="108">
        <v>1</v>
      </c>
      <c r="N2991" s="95">
        <v>1</v>
      </c>
      <c r="O2991" s="109">
        <f>IF(Key!D$1="ON",P2991,IF(SUM(Q2991:DL2991)&lt;1,"",SUM(Q2991:DL2991)/COUNTIF(Q2991:DL2991,"&gt;0")))</f>
        <v>0</v>
      </c>
      <c r="P2991" s="109">
        <f>SUMIFS(Q2991:DK2991,Q$1:DK$1,Dashboard!$K$31)</f>
        <v>0</v>
      </c>
      <c r="U2991" s="95">
        <v>33</v>
      </c>
      <c r="AA2991" s="95">
        <v>25</v>
      </c>
      <c r="AH2991" s="95">
        <v>75</v>
      </c>
    </row>
    <row r="2992" spans="1:34" ht="15.6" x14ac:dyDescent="0.3">
      <c r="A2992" s="89" t="str">
        <f>CONCATENATE(D2992,".",F2992,"-",G2992,".",H2992,"")</f>
        <v>2.5-1.1</v>
      </c>
      <c r="B2992" s="89" t="str">
        <f>IF(CONCATENATE(I2992,Key!F$2)=CONCATENATE(INDEX(Dashboard!J:J,MATCH(I2992,Dashboard!J:J,0),1),INDEX(Dashboard!J:K,MATCH(I2992,Dashboard!J:J,0),2)),"ON",IF(Dashboard!K$32="ALL","ON","-"))</f>
        <v>-</v>
      </c>
      <c r="C2992" s="96" t="s">
        <v>152</v>
      </c>
      <c r="D2992" s="89">
        <f>IF(C2992="ID",1,(IF(C2992="PR",2,(IF(C2992="DE",3,(IF(C2992="RS",4,(IF(C2992="RC",5,0)))))))))</f>
        <v>2</v>
      </c>
      <c r="E2992" s="89" t="s">
        <v>269</v>
      </c>
      <c r="F2992" s="89">
        <f>IF(E2992="AM",1,(IF(E2992="BE",2,(IF(E2992="GV",3,(IF(E2992="RA",4,(IF(E2992="RM",5,(IF(E2992="AC",1,(IF(E2992="AT",2,(IF(E2992="DS",3,(IF(E2992="IP",4,(IF(E2992="MA",5,(IF(E2992="PT",6,(IF(E2992="AE",1,(IF(E2992="CM",2,(IF(E2992="DP",3,(IF(E2992="AN",1,(IF(E2992="CO",2,(IF(E2992="IM",3,(IF(E2992="MI",4,(IF(E2992="RP",5,(IF(E2992="SC",6,0)))))))))))))))))))))))))))))))))))))))</f>
        <v>5</v>
      </c>
      <c r="G2992" s="52">
        <v>1</v>
      </c>
      <c r="H2992" s="90" t="s">
        <v>115</v>
      </c>
      <c r="I2992" s="94" t="s">
        <v>77</v>
      </c>
      <c r="J2992" s="87" t="s">
        <v>1676</v>
      </c>
      <c r="K2992" s="102" t="s">
        <v>2612</v>
      </c>
      <c r="L2992" s="117">
        <f>IF(O2992="","",N2992*O2992*M2992)</f>
        <v>0</v>
      </c>
      <c r="M2992" s="108">
        <v>1</v>
      </c>
      <c r="N2992" s="95">
        <v>1</v>
      </c>
      <c r="O2992" s="109">
        <f>IF(Key!D$1="ON",P2992,IF(SUM(Q2992:DL2992)&lt;1,"",SUM(Q2992:DL2992)/COUNTIF(Q2992:DL2992,"&gt;0")))</f>
        <v>0</v>
      </c>
      <c r="P2992" s="109">
        <f>SUMIFS(Q2992:DK2992,Q$1:DK$1,Dashboard!$K$31)</f>
        <v>0</v>
      </c>
      <c r="U2992" s="95">
        <v>33</v>
      </c>
      <c r="AA2992" s="95">
        <v>25</v>
      </c>
      <c r="AH2992" s="95">
        <v>75</v>
      </c>
    </row>
    <row r="2993" spans="1:34" x14ac:dyDescent="0.3">
      <c r="A2993" s="89" t="str">
        <f>CONCATENATE(D2993,".",F2993,"-",G2993,".",H2993,"")</f>
        <v>2.5-1.1</v>
      </c>
      <c r="B2993" s="89" t="str">
        <f>IF(CONCATENATE(I2993,Key!F$2)=CONCATENATE(INDEX(Dashboard!J:J,MATCH(I2993,Dashboard!J:J,0),1),INDEX(Dashboard!J:K,MATCH(I2993,Dashboard!J:J,0),2)),"ON",IF(Dashboard!K$32="ALL","ON","-"))</f>
        <v>-</v>
      </c>
      <c r="C2993" s="88" t="s">
        <v>152</v>
      </c>
      <c r="D2993" s="89">
        <f>IF(C2993="ID",1,(IF(C2993="PR",2,(IF(C2993="DE",3,(IF(C2993="RS",4,(IF(C2993="RC",5,0)))))))))</f>
        <v>2</v>
      </c>
      <c r="E2993" s="89" t="s">
        <v>269</v>
      </c>
      <c r="F2993" s="89">
        <f>IF(E2993="AM",1,(IF(E2993="BE",2,(IF(E2993="GV",3,(IF(E2993="RA",4,(IF(E2993="RM",5,(IF(E2993="AC",1,(IF(E2993="AT",2,(IF(E2993="DS",3,(IF(E2993="IP",4,(IF(E2993="MA",5,(IF(E2993="PT",6,(IF(E2993="AE",1,(IF(E2993="CM",2,(IF(E2993="DP",3,(IF(E2993="AN",1,(IF(E2993="CO",2,(IF(E2993="IM",3,(IF(E2993="MI",4,(IF(E2993="RP",5,(IF(E2993="SC",6,0)))))))))))))))))))))))))))))))))))))))</f>
        <v>5</v>
      </c>
      <c r="G2993" s="52">
        <v>1</v>
      </c>
      <c r="H2993" s="90" t="s">
        <v>115</v>
      </c>
      <c r="I2993" s="94" t="s">
        <v>77</v>
      </c>
      <c r="J2993" s="87" t="s">
        <v>1678</v>
      </c>
      <c r="K2993" s="102" t="s">
        <v>2613</v>
      </c>
      <c r="L2993" s="117">
        <f>IF(O2993="","",N2993*O2993*M2993)</f>
        <v>0</v>
      </c>
      <c r="M2993" s="108">
        <v>1</v>
      </c>
      <c r="N2993" s="95">
        <v>1</v>
      </c>
      <c r="O2993" s="109">
        <f>IF(Key!D$1="ON",P2993,IF(SUM(Q2993:DL2993)&lt;1,"",SUM(Q2993:DL2993)/COUNTIF(Q2993:DL2993,"&gt;0")))</f>
        <v>0</v>
      </c>
      <c r="P2993" s="109">
        <f>SUMIFS(Q2993:DK2993,Q$1:DK$1,Dashboard!$K$31)</f>
        <v>0</v>
      </c>
      <c r="U2993" s="95">
        <v>33</v>
      </c>
      <c r="AA2993" s="95">
        <v>25</v>
      </c>
      <c r="AH2993" s="95">
        <v>75</v>
      </c>
    </row>
    <row r="2994" spans="1:34" x14ac:dyDescent="0.3">
      <c r="A2994" s="89" t="str">
        <f>CONCATENATE(D2994,".",F2994,"-",G2994,".",H2994,"")</f>
        <v>2.5-1.1</v>
      </c>
      <c r="B2994" s="89" t="str">
        <f>IF(CONCATENATE(I2994,Key!F$2)=CONCATENATE(INDEX(Dashboard!J:J,MATCH(I2994,Dashboard!J:J,0),1),INDEX(Dashboard!J:K,MATCH(I2994,Dashboard!J:J,0),2)),"ON",IF(Dashboard!K$32="ALL","ON","-"))</f>
        <v>-</v>
      </c>
      <c r="C2994" s="96" t="s">
        <v>152</v>
      </c>
      <c r="D2994" s="89">
        <f>IF(C2994="ID",1,(IF(C2994="PR",2,(IF(C2994="DE",3,(IF(C2994="RS",4,(IF(C2994="RC",5,0)))))))))</f>
        <v>2</v>
      </c>
      <c r="E2994" s="89" t="s">
        <v>269</v>
      </c>
      <c r="F2994" s="89">
        <f>IF(E2994="AM",1,(IF(E2994="BE",2,(IF(E2994="GV",3,(IF(E2994="RA",4,(IF(E2994="RM",5,(IF(E2994="AC",1,(IF(E2994="AT",2,(IF(E2994="DS",3,(IF(E2994="IP",4,(IF(E2994="MA",5,(IF(E2994="PT",6,(IF(E2994="AE",1,(IF(E2994="CM",2,(IF(E2994="DP",3,(IF(E2994="AN",1,(IF(E2994="CO",2,(IF(E2994="IM",3,(IF(E2994="MI",4,(IF(E2994="RP",5,(IF(E2994="SC",6,0)))))))))))))))))))))))))))))))))))))))</f>
        <v>5</v>
      </c>
      <c r="G2994" s="52">
        <v>1</v>
      </c>
      <c r="H2994" s="90" t="s">
        <v>115</v>
      </c>
      <c r="I2994" s="94" t="s">
        <v>77</v>
      </c>
      <c r="J2994" s="87" t="s">
        <v>1679</v>
      </c>
      <c r="K2994" s="102" t="s">
        <v>2614</v>
      </c>
      <c r="L2994" s="117">
        <f>IF(O2994="","",N2994*O2994*M2994)</f>
        <v>0</v>
      </c>
      <c r="M2994" s="108">
        <v>1</v>
      </c>
      <c r="N2994" s="95">
        <v>1</v>
      </c>
      <c r="O2994" s="109">
        <f>IF(Key!D$1="ON",P2994,IF(SUM(Q2994:DL2994)&lt;1,"",SUM(Q2994:DL2994)/COUNTIF(Q2994:DL2994,"&gt;0")))</f>
        <v>0</v>
      </c>
      <c r="P2994" s="109">
        <f>SUMIFS(Q2994:DK2994,Q$1:DK$1,Dashboard!$K$31)</f>
        <v>0</v>
      </c>
      <c r="U2994" s="95">
        <v>33</v>
      </c>
      <c r="AA2994" s="95">
        <v>25</v>
      </c>
      <c r="AH2994" s="95">
        <v>75</v>
      </c>
    </row>
    <row r="2995" spans="1:34" ht="15.6" x14ac:dyDescent="0.3">
      <c r="A2995" s="89" t="str">
        <f>CONCATENATE(D2995,".",F2995,"-",G2995,".",H2995,"")</f>
        <v>2.5-1.1</v>
      </c>
      <c r="B2995" s="89" t="str">
        <f>IF(CONCATENATE(I2995,Key!F$2)=CONCATENATE(INDEX(Dashboard!J:J,MATCH(I2995,Dashboard!J:J,0),1),INDEX(Dashboard!J:K,MATCH(I2995,Dashboard!J:J,0),2)),"ON",IF(Dashboard!K$32="ALL","ON","-"))</f>
        <v>-</v>
      </c>
      <c r="C2995" s="88" t="s">
        <v>152</v>
      </c>
      <c r="D2995" s="89">
        <f>IF(C2995="ID",1,(IF(C2995="PR",2,(IF(C2995="DE",3,(IF(C2995="RS",4,(IF(C2995="RC",5,0)))))))))</f>
        <v>2</v>
      </c>
      <c r="E2995" s="89" t="s">
        <v>269</v>
      </c>
      <c r="F2995" s="89">
        <f>IF(E2995="AM",1,(IF(E2995="BE",2,(IF(E2995="GV",3,(IF(E2995="RA",4,(IF(E2995="RM",5,(IF(E2995="AC",1,(IF(E2995="AT",2,(IF(E2995="DS",3,(IF(E2995="IP",4,(IF(E2995="MA",5,(IF(E2995="PT",6,(IF(E2995="AE",1,(IF(E2995="CM",2,(IF(E2995="DP",3,(IF(E2995="AN",1,(IF(E2995="CO",2,(IF(E2995="IM",3,(IF(E2995="MI",4,(IF(E2995="RP",5,(IF(E2995="SC",6,0)))))))))))))))))))))))))))))))))))))))</f>
        <v>5</v>
      </c>
      <c r="G2995" s="52">
        <v>1</v>
      </c>
      <c r="H2995" s="90" t="s">
        <v>115</v>
      </c>
      <c r="I2995" s="94" t="s">
        <v>77</v>
      </c>
      <c r="J2995" s="87" t="s">
        <v>1681</v>
      </c>
      <c r="K2995" s="102" t="s">
        <v>2615</v>
      </c>
      <c r="L2995" s="117">
        <f>IF(O2995="","",N2995*O2995*M2995)</f>
        <v>0</v>
      </c>
      <c r="M2995" s="108">
        <v>1</v>
      </c>
      <c r="N2995" s="95">
        <v>1</v>
      </c>
      <c r="O2995" s="109">
        <f>IF(Key!D$1="ON",P2995,IF(SUM(Q2995:DL2995)&lt;1,"",SUM(Q2995:DL2995)/COUNTIF(Q2995:DL2995,"&gt;0")))</f>
        <v>0</v>
      </c>
      <c r="P2995" s="109">
        <f>SUMIFS(Q2995:DK2995,Q$1:DK$1,Dashboard!$K$31)</f>
        <v>0</v>
      </c>
      <c r="U2995" s="95">
        <v>33</v>
      </c>
      <c r="AA2995" s="95">
        <v>25</v>
      </c>
      <c r="AH2995" s="95">
        <v>75</v>
      </c>
    </row>
    <row r="2996" spans="1:34" ht="15.6" x14ac:dyDescent="0.3">
      <c r="A2996" s="89" t="str">
        <f>CONCATENATE(D2996,".",F2996,"-",G2996,".",H2996,"")</f>
        <v>2.5-1.1</v>
      </c>
      <c r="B2996" s="89" t="str">
        <f>IF(CONCATENATE(I2996,Key!F$2)=CONCATENATE(INDEX(Dashboard!J:J,MATCH(I2996,Dashboard!J:J,0),1),INDEX(Dashboard!J:K,MATCH(I2996,Dashboard!J:J,0),2)),"ON",IF(Dashboard!K$32="ALL","ON","-"))</f>
        <v>-</v>
      </c>
      <c r="C2996" s="88" t="s">
        <v>152</v>
      </c>
      <c r="D2996" s="89">
        <f>IF(C2996="ID",1,(IF(C2996="PR",2,(IF(C2996="DE",3,(IF(C2996="RS",4,(IF(C2996="RC",5,0)))))))))</f>
        <v>2</v>
      </c>
      <c r="E2996" s="89" t="s">
        <v>269</v>
      </c>
      <c r="F2996" s="89">
        <f>IF(E2996="AM",1,(IF(E2996="BE",2,(IF(E2996="GV",3,(IF(E2996="RA",4,(IF(E2996="RM",5,(IF(E2996="AC",1,(IF(E2996="AT",2,(IF(E2996="DS",3,(IF(E2996="IP",4,(IF(E2996="MA",5,(IF(E2996="PT",6,(IF(E2996="AE",1,(IF(E2996="CM",2,(IF(E2996="DP",3,(IF(E2996="AN",1,(IF(E2996="CO",2,(IF(E2996="IM",3,(IF(E2996="MI",4,(IF(E2996="RP",5,(IF(E2996="SC",6,0)))))))))))))))))))))))))))))))))))))))</f>
        <v>5</v>
      </c>
      <c r="G2996" s="52">
        <v>1</v>
      </c>
      <c r="H2996" s="90" t="s">
        <v>115</v>
      </c>
      <c r="I2996" s="94" t="s">
        <v>77</v>
      </c>
      <c r="J2996" s="87" t="s">
        <v>1682</v>
      </c>
      <c r="K2996" s="102" t="s">
        <v>2616</v>
      </c>
      <c r="L2996" s="117">
        <f>IF(O2996="","",N2996*O2996*M2996)</f>
        <v>0</v>
      </c>
      <c r="M2996" s="108">
        <v>1</v>
      </c>
      <c r="N2996" s="95">
        <v>1</v>
      </c>
      <c r="O2996" s="109">
        <f>IF(Key!D$1="ON",P2996,IF(SUM(Q2996:DL2996)&lt;1,"",SUM(Q2996:DL2996)/COUNTIF(Q2996:DL2996,"&gt;0")))</f>
        <v>0</v>
      </c>
      <c r="P2996" s="109">
        <f>SUMIFS(Q2996:DK2996,Q$1:DK$1,Dashboard!$K$31)</f>
        <v>0</v>
      </c>
      <c r="U2996" s="95">
        <v>33</v>
      </c>
      <c r="AA2996" s="95">
        <v>25</v>
      </c>
      <c r="AH2996" s="95">
        <v>75</v>
      </c>
    </row>
    <row r="2997" spans="1:34" ht="15.6" x14ac:dyDescent="0.3">
      <c r="A2997" s="89" t="str">
        <f>CONCATENATE(D2997,".",F2997,"-",G2997,".",H2997,"")</f>
        <v>2.5-1.1</v>
      </c>
      <c r="B2997" s="89" t="str">
        <f>IF(CONCATENATE(I2997,Key!F$2)=CONCATENATE(INDEX(Dashboard!J:J,MATCH(I2997,Dashboard!J:J,0),1),INDEX(Dashboard!J:K,MATCH(I2997,Dashboard!J:J,0),2)),"ON",IF(Dashboard!K$32="ALL","ON","-"))</f>
        <v>-</v>
      </c>
      <c r="C2997" s="88" t="s">
        <v>152</v>
      </c>
      <c r="D2997" s="89">
        <f>IF(C2997="ID",1,(IF(C2997="PR",2,(IF(C2997="DE",3,(IF(C2997="RS",4,(IF(C2997="RC",5,0)))))))))</f>
        <v>2</v>
      </c>
      <c r="E2997" s="89" t="s">
        <v>269</v>
      </c>
      <c r="F2997" s="89">
        <f>IF(E2997="AM",1,(IF(E2997="BE",2,(IF(E2997="GV",3,(IF(E2997="RA",4,(IF(E2997="RM",5,(IF(E2997="AC",1,(IF(E2997="AT",2,(IF(E2997="DS",3,(IF(E2997="IP",4,(IF(E2997="MA",5,(IF(E2997="PT",6,(IF(E2997="AE",1,(IF(E2997="CM",2,(IF(E2997="DP",3,(IF(E2997="AN",1,(IF(E2997="CO",2,(IF(E2997="IM",3,(IF(E2997="MI",4,(IF(E2997="RP",5,(IF(E2997="SC",6,0)))))))))))))))))))))))))))))))))))))))</f>
        <v>5</v>
      </c>
      <c r="G2997" s="52">
        <v>1</v>
      </c>
      <c r="H2997" s="90" t="s">
        <v>115</v>
      </c>
      <c r="I2997" s="94" t="s">
        <v>77</v>
      </c>
      <c r="J2997" s="87" t="s">
        <v>1683</v>
      </c>
      <c r="K2997" s="102" t="s">
        <v>2617</v>
      </c>
      <c r="L2997" s="117">
        <f>IF(O2997="","",N2997*O2997*M2997)</f>
        <v>0</v>
      </c>
      <c r="M2997" s="108">
        <v>1</v>
      </c>
      <c r="N2997" s="95">
        <v>1</v>
      </c>
      <c r="O2997" s="109">
        <f>IF(Key!D$1="ON",P2997,IF(SUM(Q2997:DL2997)&lt;1,"",SUM(Q2997:DL2997)/COUNTIF(Q2997:DL2997,"&gt;0")))</f>
        <v>0</v>
      </c>
      <c r="P2997" s="109">
        <f>SUMIFS(Q2997:DK2997,Q$1:DK$1,Dashboard!$K$31)</f>
        <v>0</v>
      </c>
      <c r="U2997" s="95">
        <v>33</v>
      </c>
      <c r="AA2997" s="95">
        <v>25</v>
      </c>
      <c r="AH2997" s="95">
        <v>75</v>
      </c>
    </row>
    <row r="2998" spans="1:34" x14ac:dyDescent="0.3">
      <c r="A2998" s="89" t="str">
        <f>CONCATENATE(D2998,".",F2998,"-",G2998,".",H2998,"")</f>
        <v>2.5-1.1</v>
      </c>
      <c r="B2998" s="89" t="str">
        <f>IF(CONCATENATE(I2998,Key!F$2)=CONCATENATE(INDEX(Dashboard!J:J,MATCH(I2998,Dashboard!J:J,0),1),INDEX(Dashboard!J:K,MATCH(I2998,Dashboard!J:J,0),2)),"ON",IF(Dashboard!K$32="ALL","ON","-"))</f>
        <v>-</v>
      </c>
      <c r="C2998" s="88" t="s">
        <v>152</v>
      </c>
      <c r="D2998" s="89">
        <f>IF(C2998="ID",1,(IF(C2998="PR",2,(IF(C2998="DE",3,(IF(C2998="RS",4,(IF(C2998="RC",5,0)))))))))</f>
        <v>2</v>
      </c>
      <c r="E2998" s="89" t="s">
        <v>269</v>
      </c>
      <c r="F2998" s="89">
        <f>IF(E2998="AM",1,(IF(E2998="BE",2,(IF(E2998="GV",3,(IF(E2998="RA",4,(IF(E2998="RM",5,(IF(E2998="AC",1,(IF(E2998="AT",2,(IF(E2998="DS",3,(IF(E2998="IP",4,(IF(E2998="MA",5,(IF(E2998="PT",6,(IF(E2998="AE",1,(IF(E2998="CM",2,(IF(E2998="DP",3,(IF(E2998="AN",1,(IF(E2998="CO",2,(IF(E2998="IM",3,(IF(E2998="MI",4,(IF(E2998="RP",5,(IF(E2998="SC",6,0)))))))))))))))))))))))))))))))))))))))</f>
        <v>5</v>
      </c>
      <c r="G2998" s="52">
        <v>1</v>
      </c>
      <c r="H2998" s="90" t="s">
        <v>115</v>
      </c>
      <c r="I2998" s="94" t="s">
        <v>77</v>
      </c>
      <c r="J2998" s="87" t="s">
        <v>1684</v>
      </c>
      <c r="K2998" s="102" t="s">
        <v>2618</v>
      </c>
      <c r="L2998" s="117">
        <f>IF(O2998="","",N2998*O2998*M2998)</f>
        <v>0</v>
      </c>
      <c r="M2998" s="108">
        <v>1</v>
      </c>
      <c r="N2998" s="95">
        <v>1</v>
      </c>
      <c r="O2998" s="109">
        <f>IF(Key!D$1="ON",P2998,IF(SUM(Q2998:DL2998)&lt;1,"",SUM(Q2998:DL2998)/COUNTIF(Q2998:DL2998,"&gt;0")))</f>
        <v>0</v>
      </c>
      <c r="P2998" s="109">
        <f>SUMIFS(Q2998:DK2998,Q$1:DK$1,Dashboard!$K$31)</f>
        <v>0</v>
      </c>
      <c r="U2998" s="95">
        <v>33</v>
      </c>
      <c r="AA2998" s="95">
        <v>25</v>
      </c>
      <c r="AH2998" s="95">
        <v>75</v>
      </c>
    </row>
    <row r="2999" spans="1:34" x14ac:dyDescent="0.3">
      <c r="A2999" s="89" t="str">
        <f>CONCATENATE(D2999,".",F2999,"-",G2999,".",H2999,"")</f>
        <v>2.5-1.1</v>
      </c>
      <c r="B2999" s="89" t="str">
        <f>IF(CONCATENATE(I2999,Key!F$2)=CONCATENATE(INDEX(Dashboard!J:J,MATCH(I2999,Dashboard!J:J,0),1),INDEX(Dashboard!J:K,MATCH(I2999,Dashboard!J:J,0),2)),"ON",IF(Dashboard!K$32="ALL","ON","-"))</f>
        <v>-</v>
      </c>
      <c r="C2999" s="96" t="s">
        <v>152</v>
      </c>
      <c r="D2999" s="89">
        <f>IF(C2999="ID",1,(IF(C2999="PR",2,(IF(C2999="DE",3,(IF(C2999="RS",4,(IF(C2999="RC",5,0)))))))))</f>
        <v>2</v>
      </c>
      <c r="E2999" s="89" t="s">
        <v>269</v>
      </c>
      <c r="F2999" s="89">
        <f>IF(E2999="AM",1,(IF(E2999="BE",2,(IF(E2999="GV",3,(IF(E2999="RA",4,(IF(E2999="RM",5,(IF(E2999="AC",1,(IF(E2999="AT",2,(IF(E2999="DS",3,(IF(E2999="IP",4,(IF(E2999="MA",5,(IF(E2999="PT",6,(IF(E2999="AE",1,(IF(E2999="CM",2,(IF(E2999="DP",3,(IF(E2999="AN",1,(IF(E2999="CO",2,(IF(E2999="IM",3,(IF(E2999="MI",4,(IF(E2999="RP",5,(IF(E2999="SC",6,0)))))))))))))))))))))))))))))))))))))))</f>
        <v>5</v>
      </c>
      <c r="G2999" s="52">
        <v>1</v>
      </c>
      <c r="H2999" s="90" t="s">
        <v>115</v>
      </c>
      <c r="I2999" s="94" t="s">
        <v>77</v>
      </c>
      <c r="J2999" s="87" t="s">
        <v>1685</v>
      </c>
      <c r="K2999" s="102" t="s">
        <v>2619</v>
      </c>
      <c r="L2999" s="117">
        <f>IF(O2999="","",N2999*O2999*M2999)</f>
        <v>0</v>
      </c>
      <c r="M2999" s="108">
        <v>1</v>
      </c>
      <c r="N2999" s="95">
        <v>1</v>
      </c>
      <c r="O2999" s="109">
        <f>IF(Key!D$1="ON",P2999,IF(SUM(Q2999:DL2999)&lt;1,"",SUM(Q2999:DL2999)/COUNTIF(Q2999:DL2999,"&gt;0")))</f>
        <v>0</v>
      </c>
      <c r="P2999" s="109">
        <f>SUMIFS(Q2999:DK2999,Q$1:DK$1,Dashboard!$K$31)</f>
        <v>0</v>
      </c>
      <c r="U2999" s="95">
        <v>33</v>
      </c>
      <c r="AA2999" s="95">
        <v>25</v>
      </c>
      <c r="AH2999" s="95">
        <v>75</v>
      </c>
    </row>
    <row r="3000" spans="1:34" x14ac:dyDescent="0.3">
      <c r="A3000" s="89" t="str">
        <f>CONCATENATE(D3000,".",F3000,"-",G3000,".",H3000,"")</f>
        <v>2.5-1.1</v>
      </c>
      <c r="B3000" s="89" t="str">
        <f>IF(CONCATENATE(I3000,Key!F$2)=CONCATENATE(INDEX(Dashboard!J:J,MATCH(I3000,Dashboard!J:J,0),1),INDEX(Dashboard!J:K,MATCH(I3000,Dashboard!J:J,0),2)),"ON",IF(Dashboard!K$32="ALL","ON","-"))</f>
        <v>-</v>
      </c>
      <c r="C3000" s="88" t="s">
        <v>152</v>
      </c>
      <c r="D3000" s="89">
        <f>IF(C3000="ID",1,(IF(C3000="PR",2,(IF(C3000="DE",3,(IF(C3000="RS",4,(IF(C3000="RC",5,0)))))))))</f>
        <v>2</v>
      </c>
      <c r="E3000" s="89" t="s">
        <v>269</v>
      </c>
      <c r="F3000" s="89">
        <f>IF(E3000="AM",1,(IF(E3000="BE",2,(IF(E3000="GV",3,(IF(E3000="RA",4,(IF(E3000="RM",5,(IF(E3000="AC",1,(IF(E3000="AT",2,(IF(E3000="DS",3,(IF(E3000="IP",4,(IF(E3000="MA",5,(IF(E3000="PT",6,(IF(E3000="AE",1,(IF(E3000="CM",2,(IF(E3000="DP",3,(IF(E3000="AN",1,(IF(E3000="CO",2,(IF(E3000="IM",3,(IF(E3000="MI",4,(IF(E3000="RP",5,(IF(E3000="SC",6,0)))))))))))))))))))))))))))))))))))))))</f>
        <v>5</v>
      </c>
      <c r="G3000" s="52">
        <v>1</v>
      </c>
      <c r="H3000" s="90" t="s">
        <v>115</v>
      </c>
      <c r="I3000" s="94" t="s">
        <v>77</v>
      </c>
      <c r="J3000" s="87" t="s">
        <v>1687</v>
      </c>
      <c r="K3000" s="102" t="s">
        <v>2620</v>
      </c>
      <c r="L3000" s="117">
        <f>IF(O3000="","",N3000*O3000*M3000)</f>
        <v>0</v>
      </c>
      <c r="M3000" s="108">
        <v>1</v>
      </c>
      <c r="N3000" s="95">
        <v>1</v>
      </c>
      <c r="O3000" s="109">
        <f>IF(Key!D$1="ON",P3000,IF(SUM(Q3000:DL3000)&lt;1,"",SUM(Q3000:DL3000)/COUNTIF(Q3000:DL3000,"&gt;0")))</f>
        <v>0</v>
      </c>
      <c r="P3000" s="109">
        <f>SUMIFS(Q3000:DK3000,Q$1:DK$1,Dashboard!$K$31)</f>
        <v>0</v>
      </c>
      <c r="U3000" s="95">
        <v>33</v>
      </c>
      <c r="AA3000" s="95">
        <v>25</v>
      </c>
      <c r="AH3000" s="95">
        <v>75</v>
      </c>
    </row>
    <row r="3001" spans="1:34" x14ac:dyDescent="0.3">
      <c r="A3001" s="89" t="str">
        <f>CONCATENATE(D3001,".",F3001,"-",G3001,".",H3001,"")</f>
        <v>2.5-1.1</v>
      </c>
      <c r="B3001" s="89" t="str">
        <f>IF(CONCATENATE(I3001,Key!F$2)=CONCATENATE(INDEX(Dashboard!J:J,MATCH(I3001,Dashboard!J:J,0),1),INDEX(Dashboard!J:K,MATCH(I3001,Dashboard!J:J,0),2)),"ON",IF(Dashboard!K$32="ALL","ON","-"))</f>
        <v>-</v>
      </c>
      <c r="C3001" s="88" t="s">
        <v>152</v>
      </c>
      <c r="D3001" s="89">
        <f>IF(C3001="ID",1,(IF(C3001="PR",2,(IF(C3001="DE",3,(IF(C3001="RS",4,(IF(C3001="RC",5,0)))))))))</f>
        <v>2</v>
      </c>
      <c r="E3001" s="89" t="s">
        <v>269</v>
      </c>
      <c r="F3001" s="89">
        <f>IF(E3001="AM",1,(IF(E3001="BE",2,(IF(E3001="GV",3,(IF(E3001="RA",4,(IF(E3001="RM",5,(IF(E3001="AC",1,(IF(E3001="AT",2,(IF(E3001="DS",3,(IF(E3001="IP",4,(IF(E3001="MA",5,(IF(E3001="PT",6,(IF(E3001="AE",1,(IF(E3001="CM",2,(IF(E3001="DP",3,(IF(E3001="AN",1,(IF(E3001="CO",2,(IF(E3001="IM",3,(IF(E3001="MI",4,(IF(E3001="RP",5,(IF(E3001="SC",6,0)))))))))))))))))))))))))))))))))))))))</f>
        <v>5</v>
      </c>
      <c r="G3001" s="52">
        <v>1</v>
      </c>
      <c r="H3001" s="90" t="s">
        <v>115</v>
      </c>
      <c r="I3001" s="94" t="s">
        <v>77</v>
      </c>
      <c r="J3001" s="87" t="s">
        <v>1688</v>
      </c>
      <c r="K3001" s="102" t="s">
        <v>2621</v>
      </c>
      <c r="L3001" s="117">
        <f>IF(O3001="","",N3001*O3001*M3001)</f>
        <v>0</v>
      </c>
      <c r="M3001" s="108">
        <v>1</v>
      </c>
      <c r="N3001" s="95">
        <v>1</v>
      </c>
      <c r="O3001" s="109">
        <f>IF(Key!D$1="ON",P3001,IF(SUM(Q3001:DL3001)&lt;1,"",SUM(Q3001:DL3001)/COUNTIF(Q3001:DL3001,"&gt;0")))</f>
        <v>0</v>
      </c>
      <c r="P3001" s="109">
        <f>SUMIFS(Q3001:DK3001,Q$1:DK$1,Dashboard!$K$31)</f>
        <v>0</v>
      </c>
      <c r="U3001" s="95">
        <v>33</v>
      </c>
      <c r="AA3001" s="95">
        <v>25</v>
      </c>
      <c r="AH3001" s="95">
        <v>75</v>
      </c>
    </row>
    <row r="3002" spans="1:34" x14ac:dyDescent="0.3">
      <c r="A3002" s="89" t="str">
        <f>CONCATENATE(D3002,".",F3002,"-",G3002,".",H3002,"")</f>
        <v>2.5-1.1</v>
      </c>
      <c r="B3002" s="89" t="str">
        <f>IF(CONCATENATE(I3002,Key!F$2)=CONCATENATE(INDEX(Dashboard!J:J,MATCH(I3002,Dashboard!J:J,0),1),INDEX(Dashboard!J:K,MATCH(I3002,Dashboard!J:J,0),2)),"ON",IF(Dashboard!K$32="ALL","ON","-"))</f>
        <v>-</v>
      </c>
      <c r="C3002" s="88" t="s">
        <v>152</v>
      </c>
      <c r="D3002" s="89">
        <f>IF(C3002="ID",1,(IF(C3002="PR",2,(IF(C3002="DE",3,(IF(C3002="RS",4,(IF(C3002="RC",5,0)))))))))</f>
        <v>2</v>
      </c>
      <c r="E3002" s="89" t="s">
        <v>269</v>
      </c>
      <c r="F3002" s="89">
        <f>IF(E3002="AM",1,(IF(E3002="BE",2,(IF(E3002="GV",3,(IF(E3002="RA",4,(IF(E3002="RM",5,(IF(E3002="AC",1,(IF(E3002="AT",2,(IF(E3002="DS",3,(IF(E3002="IP",4,(IF(E3002="MA",5,(IF(E3002="PT",6,(IF(E3002="AE",1,(IF(E3002="CM",2,(IF(E3002="DP",3,(IF(E3002="AN",1,(IF(E3002="CO",2,(IF(E3002="IM",3,(IF(E3002="MI",4,(IF(E3002="RP",5,(IF(E3002="SC",6,0)))))))))))))))))))))))))))))))))))))))</f>
        <v>5</v>
      </c>
      <c r="G3002" s="52">
        <v>1</v>
      </c>
      <c r="H3002" s="90" t="s">
        <v>115</v>
      </c>
      <c r="I3002" s="94" t="s">
        <v>77</v>
      </c>
      <c r="J3002" s="87" t="s">
        <v>1689</v>
      </c>
      <c r="K3002" s="102" t="s">
        <v>2622</v>
      </c>
      <c r="L3002" s="117">
        <f>IF(O3002="","",N3002*O3002*M3002)</f>
        <v>0</v>
      </c>
      <c r="M3002" s="108">
        <v>1</v>
      </c>
      <c r="N3002" s="95">
        <v>1</v>
      </c>
      <c r="O3002" s="109">
        <f>IF(Key!D$1="ON",P3002,IF(SUM(Q3002:DL3002)&lt;1,"",SUM(Q3002:DL3002)/COUNTIF(Q3002:DL3002,"&gt;0")))</f>
        <v>0</v>
      </c>
      <c r="P3002" s="109">
        <f>SUMIFS(Q3002:DK3002,Q$1:DK$1,Dashboard!$K$31)</f>
        <v>0</v>
      </c>
      <c r="U3002" s="95">
        <v>33</v>
      </c>
      <c r="AA3002" s="95">
        <v>25</v>
      </c>
      <c r="AH3002" s="95">
        <v>75</v>
      </c>
    </row>
    <row r="3003" spans="1:34" x14ac:dyDescent="0.3">
      <c r="A3003" s="89" t="str">
        <f>CONCATENATE(D3003,".",F3003,"-",G3003,".",H3003,"")</f>
        <v>2.5-1.1</v>
      </c>
      <c r="B3003" s="89" t="str">
        <f>IF(CONCATENATE(I3003,Key!F$2)=CONCATENATE(INDEX(Dashboard!J:J,MATCH(I3003,Dashboard!J:J,0),1),INDEX(Dashboard!J:K,MATCH(I3003,Dashboard!J:J,0),2)),"ON",IF(Dashboard!K$32="ALL","ON","-"))</f>
        <v>-</v>
      </c>
      <c r="C3003" s="88" t="s">
        <v>152</v>
      </c>
      <c r="D3003" s="89">
        <f>IF(C3003="ID",1,(IF(C3003="PR",2,(IF(C3003="DE",3,(IF(C3003="RS",4,(IF(C3003="RC",5,0)))))))))</f>
        <v>2</v>
      </c>
      <c r="E3003" s="89" t="s">
        <v>269</v>
      </c>
      <c r="F3003" s="89">
        <f>IF(E3003="AM",1,(IF(E3003="BE",2,(IF(E3003="GV",3,(IF(E3003="RA",4,(IF(E3003="RM",5,(IF(E3003="AC",1,(IF(E3003="AT",2,(IF(E3003="DS",3,(IF(E3003="IP",4,(IF(E3003="MA",5,(IF(E3003="PT",6,(IF(E3003="AE",1,(IF(E3003="CM",2,(IF(E3003="DP",3,(IF(E3003="AN",1,(IF(E3003="CO",2,(IF(E3003="IM",3,(IF(E3003="MI",4,(IF(E3003="RP",5,(IF(E3003="SC",6,0)))))))))))))))))))))))))))))))))))))))</f>
        <v>5</v>
      </c>
      <c r="G3003" s="52">
        <v>1</v>
      </c>
      <c r="H3003" s="90" t="s">
        <v>115</v>
      </c>
      <c r="I3003" s="94" t="s">
        <v>77</v>
      </c>
      <c r="J3003" s="87" t="s">
        <v>1690</v>
      </c>
      <c r="K3003" s="102" t="s">
        <v>2623</v>
      </c>
      <c r="L3003" s="117">
        <f>IF(O3003="","",N3003*O3003*M3003)</f>
        <v>0</v>
      </c>
      <c r="M3003" s="108">
        <v>1</v>
      </c>
      <c r="N3003" s="95">
        <v>1</v>
      </c>
      <c r="O3003" s="109">
        <f>IF(Key!D$1="ON",P3003,IF(SUM(Q3003:DL3003)&lt;1,"",SUM(Q3003:DL3003)/COUNTIF(Q3003:DL3003,"&gt;0")))</f>
        <v>0</v>
      </c>
      <c r="P3003" s="109">
        <f>SUMIFS(Q3003:DK3003,Q$1:DK$1,Dashboard!$K$31)</f>
        <v>0</v>
      </c>
      <c r="U3003" s="95">
        <v>33</v>
      </c>
      <c r="AA3003" s="95">
        <v>25</v>
      </c>
      <c r="AH3003" s="95">
        <v>75</v>
      </c>
    </row>
    <row r="3004" spans="1:34" x14ac:dyDescent="0.3">
      <c r="A3004" s="89" t="str">
        <f>CONCATENATE(D3004,".",F3004,"-",G3004,".",H3004,"")</f>
        <v>2.5-1.1</v>
      </c>
      <c r="B3004" s="89" t="str">
        <f>IF(CONCATENATE(I3004,Key!F$2)=CONCATENATE(INDEX(Dashboard!J:J,MATCH(I3004,Dashboard!J:J,0),1),INDEX(Dashboard!J:K,MATCH(I3004,Dashboard!J:J,0),2)),"ON",IF(Dashboard!K$32="ALL","ON","-"))</f>
        <v>-</v>
      </c>
      <c r="C3004" s="88" t="s">
        <v>152</v>
      </c>
      <c r="D3004" s="89">
        <f>IF(C3004="ID",1,(IF(C3004="PR",2,(IF(C3004="DE",3,(IF(C3004="RS",4,(IF(C3004="RC",5,0)))))))))</f>
        <v>2</v>
      </c>
      <c r="E3004" s="89" t="s">
        <v>269</v>
      </c>
      <c r="F3004" s="89">
        <f>IF(E3004="AM",1,(IF(E3004="BE",2,(IF(E3004="GV",3,(IF(E3004="RA",4,(IF(E3004="RM",5,(IF(E3004="AC",1,(IF(E3004="AT",2,(IF(E3004="DS",3,(IF(E3004="IP",4,(IF(E3004="MA",5,(IF(E3004="PT",6,(IF(E3004="AE",1,(IF(E3004="CM",2,(IF(E3004="DP",3,(IF(E3004="AN",1,(IF(E3004="CO",2,(IF(E3004="IM",3,(IF(E3004="MI",4,(IF(E3004="RP",5,(IF(E3004="SC",6,0)))))))))))))))))))))))))))))))))))))))</f>
        <v>5</v>
      </c>
      <c r="G3004" s="52">
        <v>1</v>
      </c>
      <c r="H3004" s="90" t="s">
        <v>115</v>
      </c>
      <c r="I3004" s="94" t="s">
        <v>77</v>
      </c>
      <c r="J3004" s="87" t="s">
        <v>1691</v>
      </c>
      <c r="K3004" s="102" t="s">
        <v>2624</v>
      </c>
      <c r="L3004" s="117">
        <f>IF(O3004="","",N3004*O3004*M3004)</f>
        <v>0</v>
      </c>
      <c r="M3004" s="108">
        <v>1</v>
      </c>
      <c r="N3004" s="95">
        <v>1</v>
      </c>
      <c r="O3004" s="109">
        <f>IF(Key!D$1="ON",P3004,IF(SUM(Q3004:DL3004)&lt;1,"",SUM(Q3004:DL3004)/COUNTIF(Q3004:DL3004,"&gt;0")))</f>
        <v>0</v>
      </c>
      <c r="P3004" s="109">
        <f>SUMIFS(Q3004:DK3004,Q$1:DK$1,Dashboard!$K$31)</f>
        <v>0</v>
      </c>
      <c r="U3004" s="95">
        <v>33</v>
      </c>
      <c r="AA3004" s="95">
        <v>25</v>
      </c>
      <c r="AH3004" s="95">
        <v>75</v>
      </c>
    </row>
    <row r="3005" spans="1:34" x14ac:dyDescent="0.3">
      <c r="A3005" s="89" t="str">
        <f>CONCATENATE(D3005,".",F3005,"-",G3005,".",H3005,"")</f>
        <v>2.5-1.1</v>
      </c>
      <c r="B3005" s="89" t="str">
        <f>IF(CONCATENATE(I3005,Key!F$2)=CONCATENATE(INDEX(Dashboard!J:J,MATCH(I3005,Dashboard!J:J,0),1),INDEX(Dashboard!J:K,MATCH(I3005,Dashboard!J:J,0),2)),"ON",IF(Dashboard!K$32="ALL","ON","-"))</f>
        <v>-</v>
      </c>
      <c r="C3005" s="88" t="s">
        <v>152</v>
      </c>
      <c r="D3005" s="89">
        <f>IF(C3005="ID",1,(IF(C3005="PR",2,(IF(C3005="DE",3,(IF(C3005="RS",4,(IF(C3005="RC",5,0)))))))))</f>
        <v>2</v>
      </c>
      <c r="E3005" s="89" t="s">
        <v>269</v>
      </c>
      <c r="F3005" s="89">
        <f>IF(E3005="AM",1,(IF(E3005="BE",2,(IF(E3005="GV",3,(IF(E3005="RA",4,(IF(E3005="RM",5,(IF(E3005="AC",1,(IF(E3005="AT",2,(IF(E3005="DS",3,(IF(E3005="IP",4,(IF(E3005="MA",5,(IF(E3005="PT",6,(IF(E3005="AE",1,(IF(E3005="CM",2,(IF(E3005="DP",3,(IF(E3005="AN",1,(IF(E3005="CO",2,(IF(E3005="IM",3,(IF(E3005="MI",4,(IF(E3005="RP",5,(IF(E3005="SC",6,0)))))))))))))))))))))))))))))))))))))))</f>
        <v>5</v>
      </c>
      <c r="G3005" s="52">
        <v>1</v>
      </c>
      <c r="H3005" s="90" t="s">
        <v>115</v>
      </c>
      <c r="I3005" s="94" t="s">
        <v>77</v>
      </c>
      <c r="J3005" s="87" t="s">
        <v>1693</v>
      </c>
      <c r="K3005" s="102" t="s">
        <v>2625</v>
      </c>
      <c r="L3005" s="117">
        <f>IF(O3005="","",N3005*O3005*M3005)</f>
        <v>0</v>
      </c>
      <c r="M3005" s="108">
        <v>1</v>
      </c>
      <c r="N3005" s="95">
        <v>1</v>
      </c>
      <c r="O3005" s="109">
        <f>IF(Key!D$1="ON",P3005,IF(SUM(Q3005:DL3005)&lt;1,"",SUM(Q3005:DL3005)/COUNTIF(Q3005:DL3005,"&gt;0")))</f>
        <v>0</v>
      </c>
      <c r="P3005" s="109">
        <f>SUMIFS(Q3005:DK3005,Q$1:DK$1,Dashboard!$K$31)</f>
        <v>0</v>
      </c>
      <c r="U3005" s="95">
        <v>33</v>
      </c>
      <c r="AA3005" s="95">
        <v>25</v>
      </c>
      <c r="AH3005" s="95">
        <v>75</v>
      </c>
    </row>
    <row r="3006" spans="1:34" x14ac:dyDescent="0.3">
      <c r="A3006" s="89" t="str">
        <f>CONCATENATE(D3006,".",F3006,"-",G3006,".",H3006,"")</f>
        <v>2.5-1.1</v>
      </c>
      <c r="B3006" s="89" t="str">
        <f>IF(CONCATENATE(I3006,Key!F$2)=CONCATENATE(INDEX(Dashboard!J:J,MATCH(I3006,Dashboard!J:J,0),1),INDEX(Dashboard!J:K,MATCH(I3006,Dashboard!J:J,0),2)),"ON",IF(Dashboard!K$32="ALL","ON","-"))</f>
        <v>-</v>
      </c>
      <c r="C3006" s="88" t="s">
        <v>152</v>
      </c>
      <c r="D3006" s="89">
        <f>IF(C3006="ID",1,(IF(C3006="PR",2,(IF(C3006="DE",3,(IF(C3006="RS",4,(IF(C3006="RC",5,0)))))))))</f>
        <v>2</v>
      </c>
      <c r="E3006" s="89" t="s">
        <v>269</v>
      </c>
      <c r="F3006" s="89">
        <f>IF(E3006="AM",1,(IF(E3006="BE",2,(IF(E3006="GV",3,(IF(E3006="RA",4,(IF(E3006="RM",5,(IF(E3006="AC",1,(IF(E3006="AT",2,(IF(E3006="DS",3,(IF(E3006="IP",4,(IF(E3006="MA",5,(IF(E3006="PT",6,(IF(E3006="AE",1,(IF(E3006="CM",2,(IF(E3006="DP",3,(IF(E3006="AN",1,(IF(E3006="CO",2,(IF(E3006="IM",3,(IF(E3006="MI",4,(IF(E3006="RP",5,(IF(E3006="SC",6,0)))))))))))))))))))))))))))))))))))))))</f>
        <v>5</v>
      </c>
      <c r="G3006" s="52">
        <v>1</v>
      </c>
      <c r="H3006" s="90" t="s">
        <v>115</v>
      </c>
      <c r="I3006" s="94" t="s">
        <v>77</v>
      </c>
      <c r="J3006" s="87" t="s">
        <v>1694</v>
      </c>
      <c r="K3006" s="102" t="s">
        <v>2626</v>
      </c>
      <c r="L3006" s="117">
        <f>IF(O3006="","",N3006*O3006*M3006)</f>
        <v>0</v>
      </c>
      <c r="M3006" s="108">
        <v>1</v>
      </c>
      <c r="N3006" s="95">
        <v>1</v>
      </c>
      <c r="O3006" s="109">
        <f>IF(Key!D$1="ON",P3006,IF(SUM(Q3006:DL3006)&lt;1,"",SUM(Q3006:DL3006)/COUNTIF(Q3006:DL3006,"&gt;0")))</f>
        <v>0</v>
      </c>
      <c r="P3006" s="109">
        <f>SUMIFS(Q3006:DK3006,Q$1:DK$1,Dashboard!$K$31)</f>
        <v>0</v>
      </c>
      <c r="U3006" s="95">
        <v>33</v>
      </c>
      <c r="AA3006" s="95">
        <v>25</v>
      </c>
      <c r="AH3006" s="95">
        <v>75</v>
      </c>
    </row>
    <row r="3007" spans="1:34" x14ac:dyDescent="0.3">
      <c r="A3007" s="89" t="str">
        <f>CONCATENATE(D3007,".",F3007,"-",G3007,".",H3007,"")</f>
        <v>2.5-1.1</v>
      </c>
      <c r="B3007" s="89" t="str">
        <f>IF(CONCATENATE(I3007,Key!F$2)=CONCATENATE(INDEX(Dashboard!J:J,MATCH(I3007,Dashboard!J:J,0),1),INDEX(Dashboard!J:K,MATCH(I3007,Dashboard!J:J,0),2)),"ON",IF(Dashboard!K$32="ALL","ON","-"))</f>
        <v>-</v>
      </c>
      <c r="C3007" s="88" t="s">
        <v>152</v>
      </c>
      <c r="D3007" s="89">
        <f>IF(C3007="ID",1,(IF(C3007="PR",2,(IF(C3007="DE",3,(IF(C3007="RS",4,(IF(C3007="RC",5,0)))))))))</f>
        <v>2</v>
      </c>
      <c r="E3007" s="89" t="s">
        <v>269</v>
      </c>
      <c r="F3007" s="89">
        <f>IF(E3007="AM",1,(IF(E3007="BE",2,(IF(E3007="GV",3,(IF(E3007="RA",4,(IF(E3007="RM",5,(IF(E3007="AC",1,(IF(E3007="AT",2,(IF(E3007="DS",3,(IF(E3007="IP",4,(IF(E3007="MA",5,(IF(E3007="PT",6,(IF(E3007="AE",1,(IF(E3007="CM",2,(IF(E3007="DP",3,(IF(E3007="AN",1,(IF(E3007="CO",2,(IF(E3007="IM",3,(IF(E3007="MI",4,(IF(E3007="RP",5,(IF(E3007="SC",6,0)))))))))))))))))))))))))))))))))))))))</f>
        <v>5</v>
      </c>
      <c r="G3007" s="52">
        <v>1</v>
      </c>
      <c r="H3007" s="90" t="s">
        <v>115</v>
      </c>
      <c r="I3007" s="94" t="s">
        <v>77</v>
      </c>
      <c r="J3007" s="87" t="s">
        <v>1695</v>
      </c>
      <c r="K3007" s="102" t="s">
        <v>2627</v>
      </c>
      <c r="L3007" s="117">
        <f>IF(O3007="","",N3007*O3007*M3007)</f>
        <v>0</v>
      </c>
      <c r="M3007" s="108">
        <v>1</v>
      </c>
      <c r="N3007" s="95">
        <v>1</v>
      </c>
      <c r="O3007" s="109">
        <f>IF(Key!D$1="ON",P3007,IF(SUM(Q3007:DL3007)&lt;1,"",SUM(Q3007:DL3007)/COUNTIF(Q3007:DL3007,"&gt;0")))</f>
        <v>0</v>
      </c>
      <c r="P3007" s="109">
        <f>SUMIFS(Q3007:DK3007,Q$1:DK$1,Dashboard!$K$31)</f>
        <v>0</v>
      </c>
      <c r="U3007" s="95">
        <v>33</v>
      </c>
      <c r="AA3007" s="95">
        <v>25</v>
      </c>
      <c r="AH3007" s="95">
        <v>75</v>
      </c>
    </row>
    <row r="3008" spans="1:34" ht="15.6" x14ac:dyDescent="0.3">
      <c r="A3008" s="89" t="str">
        <f>CONCATENATE(D3008,".",F3008,"-",G3008,".",H3008,"")</f>
        <v>2.5-1.1</v>
      </c>
      <c r="B3008" s="89" t="str">
        <f>IF(CONCATENATE(I3008,Key!F$2)=CONCATENATE(INDEX(Dashboard!J:J,MATCH(I3008,Dashboard!J:J,0),1),INDEX(Dashboard!J:K,MATCH(I3008,Dashboard!J:J,0),2)),"ON",IF(Dashboard!K$32="ALL","ON","-"))</f>
        <v>-</v>
      </c>
      <c r="C3008" s="88" t="s">
        <v>152</v>
      </c>
      <c r="D3008" s="89">
        <f>IF(C3008="ID",1,(IF(C3008="PR",2,(IF(C3008="DE",3,(IF(C3008="RS",4,(IF(C3008="RC",5,0)))))))))</f>
        <v>2</v>
      </c>
      <c r="E3008" s="89" t="s">
        <v>269</v>
      </c>
      <c r="F3008" s="89">
        <f>IF(E3008="AM",1,(IF(E3008="BE",2,(IF(E3008="GV",3,(IF(E3008="RA",4,(IF(E3008="RM",5,(IF(E3008="AC",1,(IF(E3008="AT",2,(IF(E3008="DS",3,(IF(E3008="IP",4,(IF(E3008="MA",5,(IF(E3008="PT",6,(IF(E3008="AE",1,(IF(E3008="CM",2,(IF(E3008="DP",3,(IF(E3008="AN",1,(IF(E3008="CO",2,(IF(E3008="IM",3,(IF(E3008="MI",4,(IF(E3008="RP",5,(IF(E3008="SC",6,0)))))))))))))))))))))))))))))))))))))))</f>
        <v>5</v>
      </c>
      <c r="G3008" s="52">
        <v>1</v>
      </c>
      <c r="H3008" s="90" t="s">
        <v>115</v>
      </c>
      <c r="I3008" s="94" t="s">
        <v>77</v>
      </c>
      <c r="J3008" s="87" t="s">
        <v>1696</v>
      </c>
      <c r="K3008" s="102" t="s">
        <v>2628</v>
      </c>
      <c r="L3008" s="117">
        <f>IF(O3008="","",N3008*O3008*M3008)</f>
        <v>0</v>
      </c>
      <c r="M3008" s="108">
        <v>1</v>
      </c>
      <c r="N3008" s="95">
        <v>1</v>
      </c>
      <c r="O3008" s="109">
        <f>IF(Key!D$1="ON",P3008,IF(SUM(Q3008:DL3008)&lt;1,"",SUM(Q3008:DL3008)/COUNTIF(Q3008:DL3008,"&gt;0")))</f>
        <v>0</v>
      </c>
      <c r="P3008" s="109">
        <f>SUMIFS(Q3008:DK3008,Q$1:DK$1,Dashboard!$K$31)</f>
        <v>0</v>
      </c>
      <c r="U3008" s="95">
        <v>33</v>
      </c>
      <c r="AA3008" s="95">
        <v>25</v>
      </c>
      <c r="AH3008" s="95">
        <v>75</v>
      </c>
    </row>
    <row r="3009" spans="1:34" ht="15.6" x14ac:dyDescent="0.3">
      <c r="A3009" s="89" t="str">
        <f>CONCATENATE(D3009,".",F3009,"-",G3009,".",H3009,"")</f>
        <v>2.5-1.1</v>
      </c>
      <c r="B3009" s="89" t="str">
        <f>IF(CONCATENATE(I3009,Key!F$2)=CONCATENATE(INDEX(Dashboard!J:J,MATCH(I3009,Dashboard!J:J,0),1),INDEX(Dashboard!J:K,MATCH(I3009,Dashboard!J:J,0),2)),"ON",IF(Dashboard!K$32="ALL","ON","-"))</f>
        <v>-</v>
      </c>
      <c r="C3009" s="88" t="s">
        <v>152</v>
      </c>
      <c r="D3009" s="89">
        <f>IF(C3009="ID",1,(IF(C3009="PR",2,(IF(C3009="DE",3,(IF(C3009="RS",4,(IF(C3009="RC",5,0)))))))))</f>
        <v>2</v>
      </c>
      <c r="E3009" s="89" t="s">
        <v>269</v>
      </c>
      <c r="F3009" s="89">
        <f>IF(E3009="AM",1,(IF(E3009="BE",2,(IF(E3009="GV",3,(IF(E3009="RA",4,(IF(E3009="RM",5,(IF(E3009="AC",1,(IF(E3009="AT",2,(IF(E3009="DS",3,(IF(E3009="IP",4,(IF(E3009="MA",5,(IF(E3009="PT",6,(IF(E3009="AE",1,(IF(E3009="CM",2,(IF(E3009="DP",3,(IF(E3009="AN",1,(IF(E3009="CO",2,(IF(E3009="IM",3,(IF(E3009="MI",4,(IF(E3009="RP",5,(IF(E3009="SC",6,0)))))))))))))))))))))))))))))))))))))))</f>
        <v>5</v>
      </c>
      <c r="G3009" s="52">
        <v>1</v>
      </c>
      <c r="H3009" s="89">
        <v>1</v>
      </c>
      <c r="I3009" s="94" t="s">
        <v>85</v>
      </c>
      <c r="J3009" s="135" t="s">
        <v>706</v>
      </c>
      <c r="K3009" s="143" t="s">
        <v>707</v>
      </c>
      <c r="L3009" s="117">
        <f>IF(O3009="","",N3009*O3009*M3009)</f>
        <v>0</v>
      </c>
      <c r="M3009" s="108">
        <v>1</v>
      </c>
      <c r="N3009" s="95">
        <v>1</v>
      </c>
      <c r="O3009" s="109">
        <f>IF(Key!D$1="ON",P3009,IF(SUM(Q3009:DL3009)&lt;1,"",SUM(Q3009:DL3009)/COUNTIF(Q3009:DL3009,"&gt;0")))</f>
        <v>0</v>
      </c>
      <c r="P3009" s="109">
        <f>SUMIFS(Q3009:DK3009,Q$1:DK$1,Dashboard!$K$31)</f>
        <v>0</v>
      </c>
      <c r="U3009" s="95">
        <v>33</v>
      </c>
      <c r="AA3009" s="95">
        <v>25</v>
      </c>
      <c r="AH3009" s="95">
        <v>75</v>
      </c>
    </row>
    <row r="3010" spans="1:34" x14ac:dyDescent="0.3">
      <c r="A3010" s="89" t="str">
        <f>CONCATENATE(D3010,".",F3010,"-",G3010,".",H3010,"")</f>
        <v>2.5-1.1</v>
      </c>
      <c r="B3010" s="89" t="str">
        <f>IF(CONCATENATE(I3010,Key!F$2)=CONCATENATE(INDEX(Dashboard!J:J,MATCH(I3010,Dashboard!J:J,0),1),INDEX(Dashboard!J:K,MATCH(I3010,Dashboard!J:J,0),2)),"ON",IF(Dashboard!K$32="ALL","ON","-"))</f>
        <v>-</v>
      </c>
      <c r="C3010" s="88" t="s">
        <v>152</v>
      </c>
      <c r="D3010" s="89">
        <f>IF(C3010="ID",1,(IF(C3010="PR",2,(IF(C3010="DE",3,(IF(C3010="RS",4,(IF(C3010="RC",5,0)))))))))</f>
        <v>2</v>
      </c>
      <c r="E3010" s="89" t="s">
        <v>269</v>
      </c>
      <c r="F3010" s="89">
        <f>IF(E3010="AM",1,(IF(E3010="BE",2,(IF(E3010="GV",3,(IF(E3010="RA",4,(IF(E3010="RM",5,(IF(E3010="AC",1,(IF(E3010="AT",2,(IF(E3010="DS",3,(IF(E3010="IP",4,(IF(E3010="MA",5,(IF(E3010="PT",6,(IF(E3010="AE",1,(IF(E3010="CM",2,(IF(E3010="DP",3,(IF(E3010="AN",1,(IF(E3010="CO",2,(IF(E3010="IM",3,(IF(E3010="MI",4,(IF(E3010="RP",5,(IF(E3010="SC",6,0)))))))))))))))))))))))))))))))))))))))</f>
        <v>5</v>
      </c>
      <c r="G3010" s="52">
        <v>1</v>
      </c>
      <c r="H3010" s="90" t="s">
        <v>115</v>
      </c>
      <c r="I3010" s="94" t="s">
        <v>85</v>
      </c>
      <c r="J3010" s="135" t="s">
        <v>891</v>
      </c>
      <c r="K3010" s="143" t="s">
        <v>4998</v>
      </c>
      <c r="L3010" s="117">
        <f>IF(O3010="","",N3010*O3010*M3010)</f>
        <v>0</v>
      </c>
      <c r="M3010" s="108">
        <v>1</v>
      </c>
      <c r="N3010" s="95">
        <v>1</v>
      </c>
      <c r="O3010" s="109">
        <f>IF(Key!D$1="ON",P3010,IF(SUM(Q3010:DL3010)&lt;1,"",SUM(Q3010:DL3010)/COUNTIF(Q3010:DL3010,"&gt;0")))</f>
        <v>0</v>
      </c>
      <c r="P3010" s="109">
        <f>SUMIFS(Q3010:DK3010,Q$1:DK$1,Dashboard!$K$31)</f>
        <v>0</v>
      </c>
      <c r="U3010" s="95">
        <v>33</v>
      </c>
      <c r="AA3010" s="95">
        <v>25</v>
      </c>
      <c r="AH3010" s="95">
        <v>75</v>
      </c>
    </row>
    <row r="3011" spans="1:34" x14ac:dyDescent="0.3">
      <c r="A3011" s="89" t="str">
        <f>CONCATENATE(D3011,".",F3011,"-",G3011,".",H3011,"")</f>
        <v>2.5-1.1</v>
      </c>
      <c r="B3011" s="89" t="str">
        <f>IF(CONCATENATE(I3011,Key!F$2)=CONCATENATE(INDEX(Dashboard!J:J,MATCH(I3011,Dashboard!J:J,0),1),INDEX(Dashboard!J:K,MATCH(I3011,Dashboard!J:J,0),2)),"ON",IF(Dashboard!K$32="ALL","ON","-"))</f>
        <v>-</v>
      </c>
      <c r="C3011" s="127" t="s">
        <v>152</v>
      </c>
      <c r="D3011" s="89">
        <f>IF(C3011="ID",1,(IF(C3011="PR",2,(IF(C3011="DE",3,(IF(C3011="RS",4,(IF(C3011="RC",5,0)))))))))</f>
        <v>2</v>
      </c>
      <c r="E3011" s="89" t="s">
        <v>269</v>
      </c>
      <c r="F3011" s="89">
        <f>IF(E3011="AM",1,(IF(E3011="BE",2,(IF(E3011="GV",3,(IF(E3011="RA",4,(IF(E3011="RM",5,(IF(E3011="AC",1,(IF(E3011="AT",2,(IF(E3011="DS",3,(IF(E3011="IP",4,(IF(E3011="MA",5,(IF(E3011="PT",6,(IF(E3011="AE",1,(IF(E3011="CM",2,(IF(E3011="DP",3,(IF(E3011="AN",1,(IF(E3011="CO",2,(IF(E3011="IM",3,(IF(E3011="MI",4,(IF(E3011="RP",5,(IF(E3011="SC",6,0)))))))))))))))))))))))))))))))))))))))</f>
        <v>5</v>
      </c>
      <c r="G3011" s="52">
        <v>1</v>
      </c>
      <c r="H3011" s="90" t="s">
        <v>115</v>
      </c>
      <c r="I3011" s="94" t="s">
        <v>85</v>
      </c>
      <c r="J3011" s="87" t="s">
        <v>1678</v>
      </c>
      <c r="K3011" s="119" t="s">
        <v>4814</v>
      </c>
      <c r="L3011" s="117">
        <f>IF(O3011="","",N3011*O3011*M3011)</f>
        <v>0</v>
      </c>
      <c r="M3011" s="108">
        <v>1</v>
      </c>
      <c r="N3011" s="95">
        <v>1</v>
      </c>
      <c r="O3011" s="109">
        <f>IF(Key!D$1="ON",P3011,IF(SUM(Q3011:DL3011)&lt;1,"",SUM(Q3011:DL3011)/COUNTIF(Q3011:DL3011,"&gt;0")))</f>
        <v>0</v>
      </c>
      <c r="P3011" s="109">
        <f>SUMIFS(Q3011:DK3011,Q$1:DK$1,Dashboard!$K$31)</f>
        <v>0</v>
      </c>
      <c r="U3011" s="95">
        <v>33</v>
      </c>
      <c r="AA3011" s="95">
        <v>25</v>
      </c>
      <c r="AH3011" s="95">
        <v>75</v>
      </c>
    </row>
    <row r="3012" spans="1:34" x14ac:dyDescent="0.3">
      <c r="A3012" s="89" t="str">
        <f>CONCATENATE(D3012,".",F3012,"-",G3012,".",H3012,"")</f>
        <v>2.5-1.1</v>
      </c>
      <c r="B3012" s="89" t="str">
        <f>IF(CONCATENATE(I3012,Key!F$2)=CONCATENATE(INDEX(Dashboard!J:J,MATCH(I3012,Dashboard!J:J,0),1),INDEX(Dashboard!J:K,MATCH(I3012,Dashboard!J:J,0),2)),"ON",IF(Dashboard!K$32="ALL","ON","-"))</f>
        <v>-</v>
      </c>
      <c r="C3012" s="88" t="s">
        <v>152</v>
      </c>
      <c r="D3012" s="89">
        <f>IF(C3012="ID",1,(IF(C3012="PR",2,(IF(C3012="DE",3,(IF(C3012="RS",4,(IF(C3012="RC",5,0)))))))))</f>
        <v>2</v>
      </c>
      <c r="E3012" s="89" t="s">
        <v>269</v>
      </c>
      <c r="F3012" s="89">
        <f>IF(E3012="AM",1,(IF(E3012="BE",2,(IF(E3012="GV",3,(IF(E3012="RA",4,(IF(E3012="RM",5,(IF(E3012="AC",1,(IF(E3012="AT",2,(IF(E3012="DS",3,(IF(E3012="IP",4,(IF(E3012="MA",5,(IF(E3012="PT",6,(IF(E3012="AE",1,(IF(E3012="CM",2,(IF(E3012="DP",3,(IF(E3012="AN",1,(IF(E3012="CO",2,(IF(E3012="IM",3,(IF(E3012="MI",4,(IF(E3012="RP",5,(IF(E3012="SC",6,0)))))))))))))))))))))))))))))))))))))))</f>
        <v>5</v>
      </c>
      <c r="G3012" s="52">
        <v>1</v>
      </c>
      <c r="H3012" s="90" t="s">
        <v>115</v>
      </c>
      <c r="I3012" s="94" t="s">
        <v>85</v>
      </c>
      <c r="J3012" s="87" t="s">
        <v>1695</v>
      </c>
      <c r="K3012" s="119" t="s">
        <v>4833</v>
      </c>
      <c r="L3012" s="117">
        <f>IF(O3012="","",N3012*O3012*M3012)</f>
        <v>0</v>
      </c>
      <c r="M3012" s="108">
        <v>1</v>
      </c>
      <c r="N3012" s="95">
        <v>1</v>
      </c>
      <c r="O3012" s="109">
        <f>IF(Key!D$1="ON",P3012,IF(SUM(Q3012:DL3012)&lt;1,"",SUM(Q3012:DL3012)/COUNTIF(Q3012:DL3012,"&gt;0")))</f>
        <v>0</v>
      </c>
      <c r="P3012" s="109">
        <f>SUMIFS(Q3012:DK3012,Q$1:DK$1,Dashboard!$K$31)</f>
        <v>0</v>
      </c>
      <c r="U3012" s="95">
        <v>33</v>
      </c>
      <c r="AA3012" s="95">
        <v>25</v>
      </c>
      <c r="AH3012" s="95">
        <v>75</v>
      </c>
    </row>
    <row r="3013" spans="1:34" x14ac:dyDescent="0.3">
      <c r="A3013" s="89" t="str">
        <f>CONCATENATE(D3013,".",F3013,"-",G3013,".",H3013,"")</f>
        <v>2.5-1.1</v>
      </c>
      <c r="B3013" s="89" t="str">
        <f>IF(CONCATENATE(I3013,Key!F$2)=CONCATENATE(INDEX(Dashboard!J:J,MATCH(I3013,Dashboard!J:J,0),1),INDEX(Dashboard!J:K,MATCH(I3013,Dashboard!J:J,0),2)),"ON",IF(Dashboard!K$32="ALL","ON","-"))</f>
        <v>-</v>
      </c>
      <c r="C3013" s="88" t="s">
        <v>152</v>
      </c>
      <c r="D3013" s="89">
        <f>IF(C3013="ID",1,(IF(C3013="PR",2,(IF(C3013="DE",3,(IF(C3013="RS",4,(IF(C3013="RC",5,0)))))))))</f>
        <v>2</v>
      </c>
      <c r="E3013" s="89" t="s">
        <v>269</v>
      </c>
      <c r="F3013" s="89">
        <f>IF(E3013="AM",1,(IF(E3013="BE",2,(IF(E3013="GV",3,(IF(E3013="RA",4,(IF(E3013="RM",5,(IF(E3013="AC",1,(IF(E3013="AT",2,(IF(E3013="DS",3,(IF(E3013="IP",4,(IF(E3013="MA",5,(IF(E3013="PT",6,(IF(E3013="AE",1,(IF(E3013="CM",2,(IF(E3013="DP",3,(IF(E3013="AN",1,(IF(E3013="CO",2,(IF(E3013="IM",3,(IF(E3013="MI",4,(IF(E3013="RP",5,(IF(E3013="SC",6,0)))))))))))))))))))))))))))))))))))))))</f>
        <v>5</v>
      </c>
      <c r="G3013" s="52">
        <v>1</v>
      </c>
      <c r="H3013" s="90" t="s">
        <v>115</v>
      </c>
      <c r="I3013" s="94" t="s">
        <v>85</v>
      </c>
      <c r="J3013" s="87" t="s">
        <v>1688</v>
      </c>
      <c r="K3013" s="119" t="s">
        <v>4828</v>
      </c>
      <c r="L3013" s="117">
        <f>IF(O3013="","",N3013*O3013*M3013)</f>
        <v>0</v>
      </c>
      <c r="M3013" s="108">
        <v>1</v>
      </c>
      <c r="N3013" s="95">
        <v>1</v>
      </c>
      <c r="O3013" s="109">
        <f>IF(Key!D$1="ON",P3013,IF(SUM(Q3013:DL3013)&lt;1,"",SUM(Q3013:DL3013)/COUNTIF(Q3013:DL3013,"&gt;0")))</f>
        <v>0</v>
      </c>
      <c r="P3013" s="109">
        <f>SUMIFS(Q3013:DK3013,Q$1:DK$1,Dashboard!$K$31)</f>
        <v>0</v>
      </c>
      <c r="U3013" s="95">
        <v>33</v>
      </c>
      <c r="AA3013" s="95">
        <v>25</v>
      </c>
      <c r="AH3013" s="95">
        <v>75</v>
      </c>
    </row>
    <row r="3014" spans="1:34" x14ac:dyDescent="0.3">
      <c r="A3014" s="89" t="str">
        <f>CONCATENATE(D3014,".",F3014,"-",G3014,".",H3014,"")</f>
        <v>2.5-1.1</v>
      </c>
      <c r="B3014" s="89" t="str">
        <f>IF(CONCATENATE(I3014,Key!F$2)=CONCATENATE(INDEX(Dashboard!J:J,MATCH(I3014,Dashboard!J:J,0),1),INDEX(Dashboard!J:K,MATCH(I3014,Dashboard!J:J,0),2)),"ON",IF(Dashboard!K$32="ALL","ON","-"))</f>
        <v>-</v>
      </c>
      <c r="C3014" s="96" t="s">
        <v>152</v>
      </c>
      <c r="D3014" s="89">
        <f>IF(C3014="ID",1,(IF(C3014="PR",2,(IF(C3014="DE",3,(IF(C3014="RS",4,(IF(C3014="RC",5,0)))))))))</f>
        <v>2</v>
      </c>
      <c r="E3014" s="89" t="s">
        <v>269</v>
      </c>
      <c r="F3014" s="89">
        <f>IF(E3014="AM",1,(IF(E3014="BE",2,(IF(E3014="GV",3,(IF(E3014="RA",4,(IF(E3014="RM",5,(IF(E3014="AC",1,(IF(E3014="AT",2,(IF(E3014="DS",3,(IF(E3014="IP",4,(IF(E3014="MA",5,(IF(E3014="PT",6,(IF(E3014="AE",1,(IF(E3014="CM",2,(IF(E3014="DP",3,(IF(E3014="AN",1,(IF(E3014="CO",2,(IF(E3014="IM",3,(IF(E3014="MI",4,(IF(E3014="RP",5,(IF(E3014="SC",6,0)))))))))))))))))))))))))))))))))))))))</f>
        <v>5</v>
      </c>
      <c r="G3014" s="52">
        <v>1</v>
      </c>
      <c r="H3014" s="90" t="s">
        <v>115</v>
      </c>
      <c r="I3014" s="94" t="s">
        <v>85</v>
      </c>
      <c r="J3014" s="87" t="s">
        <v>1676</v>
      </c>
      <c r="K3014" s="119" t="s">
        <v>1677</v>
      </c>
      <c r="L3014" s="117">
        <f>IF(O3014="","",N3014*O3014*M3014)</f>
        <v>0</v>
      </c>
      <c r="M3014" s="108">
        <v>1</v>
      </c>
      <c r="N3014" s="95">
        <v>1</v>
      </c>
      <c r="O3014" s="109">
        <f>IF(Key!D$1="ON",P3014,IF(SUM(Q3014:DL3014)&lt;1,"",SUM(Q3014:DL3014)/COUNTIF(Q3014:DL3014,"&gt;0")))</f>
        <v>0</v>
      </c>
      <c r="P3014" s="109">
        <f>SUMIFS(Q3014:DK3014,Q$1:DK$1,Dashboard!$K$31)</f>
        <v>0</v>
      </c>
      <c r="U3014" s="95">
        <v>33</v>
      </c>
      <c r="AA3014" s="95">
        <v>25</v>
      </c>
      <c r="AH3014" s="95">
        <v>75</v>
      </c>
    </row>
    <row r="3015" spans="1:34" x14ac:dyDescent="0.3">
      <c r="A3015" s="89" t="str">
        <f>CONCATENATE(D3015,".",F3015,"-",G3015,".",H3015,"")</f>
        <v>2.5-1.1</v>
      </c>
      <c r="B3015" s="89" t="str">
        <f>IF(CONCATENATE(I3015,Key!F$2)=CONCATENATE(INDEX(Dashboard!J:J,MATCH(I3015,Dashboard!J:J,0),1),INDEX(Dashboard!J:K,MATCH(I3015,Dashboard!J:J,0),2)),"ON",IF(Dashboard!K$32="ALL","ON","-"))</f>
        <v>-</v>
      </c>
      <c r="C3015" s="88" t="s">
        <v>152</v>
      </c>
      <c r="D3015" s="89">
        <f>IF(C3015="ID",1,(IF(C3015="PR",2,(IF(C3015="DE",3,(IF(C3015="RS",4,(IF(C3015="RC",5,0)))))))))</f>
        <v>2</v>
      </c>
      <c r="E3015" s="89" t="s">
        <v>269</v>
      </c>
      <c r="F3015" s="89">
        <f>IF(E3015="AM",1,(IF(E3015="BE",2,(IF(E3015="GV",3,(IF(E3015="RA",4,(IF(E3015="RM",5,(IF(E3015="AC",1,(IF(E3015="AT",2,(IF(E3015="DS",3,(IF(E3015="IP",4,(IF(E3015="MA",5,(IF(E3015="PT",6,(IF(E3015="AE",1,(IF(E3015="CM",2,(IF(E3015="DP",3,(IF(E3015="AN",1,(IF(E3015="CO",2,(IF(E3015="IM",3,(IF(E3015="MI",4,(IF(E3015="RP",5,(IF(E3015="SC",6,0)))))))))))))))))))))))))))))))))))))))</f>
        <v>5</v>
      </c>
      <c r="G3015" s="52">
        <v>1</v>
      </c>
      <c r="H3015" s="90" t="s">
        <v>115</v>
      </c>
      <c r="I3015" s="94" t="s">
        <v>85</v>
      </c>
      <c r="J3015" s="87" t="s">
        <v>1689</v>
      </c>
      <c r="K3015" s="119" t="s">
        <v>4829</v>
      </c>
      <c r="L3015" s="117">
        <f>IF(O3015="","",N3015*O3015*M3015)</f>
        <v>0</v>
      </c>
      <c r="M3015" s="108">
        <v>1</v>
      </c>
      <c r="N3015" s="95">
        <v>1</v>
      </c>
      <c r="O3015" s="109">
        <f>IF(Key!D$1="ON",P3015,IF(SUM(Q3015:DL3015)&lt;1,"",SUM(Q3015:DL3015)/COUNTIF(Q3015:DL3015,"&gt;0")))</f>
        <v>0</v>
      </c>
      <c r="P3015" s="109">
        <f>SUMIFS(Q3015:DK3015,Q$1:DK$1,Dashboard!$K$31)</f>
        <v>0</v>
      </c>
      <c r="U3015" s="95">
        <v>33</v>
      </c>
      <c r="AA3015" s="95">
        <v>25</v>
      </c>
      <c r="AH3015" s="95">
        <v>75</v>
      </c>
    </row>
    <row r="3016" spans="1:34" x14ac:dyDescent="0.3">
      <c r="A3016" s="89" t="str">
        <f>CONCATENATE(D3016,".",F3016,"-",G3016,".",H3016,"")</f>
        <v>2.5-1.1</v>
      </c>
      <c r="B3016" s="89" t="str">
        <f>IF(CONCATENATE(I3016,Key!F$2)=CONCATENATE(INDEX(Dashboard!J:J,MATCH(I3016,Dashboard!J:J,0),1),INDEX(Dashboard!J:K,MATCH(I3016,Dashboard!J:J,0),2)),"ON",IF(Dashboard!K$32="ALL","ON","-"))</f>
        <v>-</v>
      </c>
      <c r="C3016" s="88" t="s">
        <v>152</v>
      </c>
      <c r="D3016" s="89">
        <f>IF(C3016="ID",1,(IF(C3016="PR",2,(IF(C3016="DE",3,(IF(C3016="RS",4,(IF(C3016="RC",5,0)))))))))</f>
        <v>2</v>
      </c>
      <c r="E3016" s="89" t="s">
        <v>269</v>
      </c>
      <c r="F3016" s="89">
        <f>IF(E3016="AM",1,(IF(E3016="BE",2,(IF(E3016="GV",3,(IF(E3016="RA",4,(IF(E3016="RM",5,(IF(E3016="AC",1,(IF(E3016="AT",2,(IF(E3016="DS",3,(IF(E3016="IP",4,(IF(E3016="MA",5,(IF(E3016="PT",6,(IF(E3016="AE",1,(IF(E3016="CM",2,(IF(E3016="DP",3,(IF(E3016="AN",1,(IF(E3016="CO",2,(IF(E3016="IM",3,(IF(E3016="MI",4,(IF(E3016="RP",5,(IF(E3016="SC",6,0)))))))))))))))))))))))))))))))))))))))</f>
        <v>5</v>
      </c>
      <c r="G3016" s="52">
        <v>1</v>
      </c>
      <c r="H3016" s="90" t="s">
        <v>115</v>
      </c>
      <c r="I3016" s="94" t="s">
        <v>85</v>
      </c>
      <c r="J3016" s="87" t="s">
        <v>1687</v>
      </c>
      <c r="K3016" s="119" t="s">
        <v>4826</v>
      </c>
      <c r="L3016" s="117">
        <f>IF(O3016="","",N3016*O3016*M3016)</f>
        <v>0</v>
      </c>
      <c r="M3016" s="108">
        <v>1</v>
      </c>
      <c r="N3016" s="95">
        <v>1</v>
      </c>
      <c r="O3016" s="109">
        <f>IF(Key!D$1="ON",P3016,IF(SUM(Q3016:DL3016)&lt;1,"",SUM(Q3016:DL3016)/COUNTIF(Q3016:DL3016,"&gt;0")))</f>
        <v>0</v>
      </c>
      <c r="P3016" s="109">
        <f>SUMIFS(Q3016:DK3016,Q$1:DK$1,Dashboard!$K$31)</f>
        <v>0</v>
      </c>
      <c r="U3016" s="95">
        <v>33</v>
      </c>
      <c r="AA3016" s="95">
        <v>25</v>
      </c>
      <c r="AH3016" s="95">
        <v>75</v>
      </c>
    </row>
    <row r="3017" spans="1:34" x14ac:dyDescent="0.3">
      <c r="A3017" s="89" t="str">
        <f>CONCATENATE(D3017,".",F3017,"-",G3017,".",H3017,"")</f>
        <v>2.5-1.1</v>
      </c>
      <c r="B3017" s="89" t="str">
        <f>IF(CONCATENATE(I3017,Key!F$2)=CONCATENATE(INDEX(Dashboard!J:J,MATCH(I3017,Dashboard!J:J,0),1),INDEX(Dashboard!J:K,MATCH(I3017,Dashboard!J:J,0),2)),"ON",IF(Dashboard!K$32="ALL","ON","-"))</f>
        <v>-</v>
      </c>
      <c r="C3017" s="88" t="s">
        <v>152</v>
      </c>
      <c r="D3017" s="89">
        <f>IF(C3017="ID",1,(IF(C3017="PR",2,(IF(C3017="DE",3,(IF(C3017="RS",4,(IF(C3017="RC",5,0)))))))))</f>
        <v>2</v>
      </c>
      <c r="E3017" s="89" t="s">
        <v>269</v>
      </c>
      <c r="F3017" s="89">
        <f>IF(E3017="AM",1,(IF(E3017="BE",2,(IF(E3017="GV",3,(IF(E3017="RA",4,(IF(E3017="RM",5,(IF(E3017="AC",1,(IF(E3017="AT",2,(IF(E3017="DS",3,(IF(E3017="IP",4,(IF(E3017="MA",5,(IF(E3017="PT",6,(IF(E3017="AE",1,(IF(E3017="CM",2,(IF(E3017="DP",3,(IF(E3017="AN",1,(IF(E3017="CO",2,(IF(E3017="IM",3,(IF(E3017="MI",4,(IF(E3017="RP",5,(IF(E3017="SC",6,0)))))))))))))))))))))))))))))))))))))))</f>
        <v>5</v>
      </c>
      <c r="G3017" s="52">
        <v>1</v>
      </c>
      <c r="H3017" s="90" t="s">
        <v>115</v>
      </c>
      <c r="I3017" s="94" t="s">
        <v>85</v>
      </c>
      <c r="J3017" s="87" t="s">
        <v>1682</v>
      </c>
      <c r="K3017" s="119" t="s">
        <v>4816</v>
      </c>
      <c r="L3017" s="117">
        <f>IF(O3017="","",N3017*O3017*M3017)</f>
        <v>0</v>
      </c>
      <c r="M3017" s="108">
        <v>1</v>
      </c>
      <c r="N3017" s="95">
        <v>1</v>
      </c>
      <c r="O3017" s="109">
        <f>IF(Key!D$1="ON",P3017,IF(SUM(Q3017:DL3017)&lt;1,"",SUM(Q3017:DL3017)/COUNTIF(Q3017:DL3017,"&gt;0")))</f>
        <v>0</v>
      </c>
      <c r="P3017" s="109">
        <f>SUMIFS(Q3017:DK3017,Q$1:DK$1,Dashboard!$K$31)</f>
        <v>0</v>
      </c>
      <c r="U3017" s="95">
        <v>33</v>
      </c>
      <c r="AA3017" s="95">
        <v>25</v>
      </c>
      <c r="AH3017" s="95">
        <v>75</v>
      </c>
    </row>
    <row r="3018" spans="1:34" x14ac:dyDescent="0.3">
      <c r="A3018" s="89" t="str">
        <f>CONCATENATE(D3018,".",F3018,"-",G3018,".",H3018,"")</f>
        <v>2.5-1.1</v>
      </c>
      <c r="B3018" s="89" t="str">
        <f>IF(CONCATENATE(I3018,Key!F$2)=CONCATENATE(INDEX(Dashboard!J:J,MATCH(I3018,Dashboard!J:J,0),1),INDEX(Dashboard!J:K,MATCH(I3018,Dashboard!J:J,0),2)),"ON",IF(Dashboard!K$32="ALL","ON","-"))</f>
        <v>-</v>
      </c>
      <c r="C3018" s="88" t="s">
        <v>152</v>
      </c>
      <c r="D3018" s="89">
        <f>IF(C3018="ID",1,(IF(C3018="PR",2,(IF(C3018="DE",3,(IF(C3018="RS",4,(IF(C3018="RC",5,0)))))))))</f>
        <v>2</v>
      </c>
      <c r="E3018" s="89" t="s">
        <v>269</v>
      </c>
      <c r="F3018" s="89">
        <f>IF(E3018="AM",1,(IF(E3018="BE",2,(IF(E3018="GV",3,(IF(E3018="RA",4,(IF(E3018="RM",5,(IF(E3018="AC",1,(IF(E3018="AT",2,(IF(E3018="DS",3,(IF(E3018="IP",4,(IF(E3018="MA",5,(IF(E3018="PT",6,(IF(E3018="AE",1,(IF(E3018="CM",2,(IF(E3018="DP",3,(IF(E3018="AN",1,(IF(E3018="CO",2,(IF(E3018="IM",3,(IF(E3018="MI",4,(IF(E3018="RP",5,(IF(E3018="SC",6,0)))))))))))))))))))))))))))))))))))))))</f>
        <v>5</v>
      </c>
      <c r="G3018" s="52">
        <v>1</v>
      </c>
      <c r="H3018" s="90" t="s">
        <v>115</v>
      </c>
      <c r="I3018" s="94" t="s">
        <v>85</v>
      </c>
      <c r="J3018" s="87" t="s">
        <v>1681</v>
      </c>
      <c r="K3018" s="119" t="s">
        <v>4815</v>
      </c>
      <c r="L3018" s="117">
        <f>IF(O3018="","",N3018*O3018*M3018)</f>
        <v>0</v>
      </c>
      <c r="M3018" s="108">
        <v>1</v>
      </c>
      <c r="N3018" s="95">
        <v>1</v>
      </c>
      <c r="O3018" s="109">
        <f>IF(Key!D$1="ON",P3018,IF(SUM(Q3018:DL3018)&lt;1,"",SUM(Q3018:DL3018)/COUNTIF(Q3018:DL3018,"&gt;0")))</f>
        <v>0</v>
      </c>
      <c r="P3018" s="109">
        <f>SUMIFS(Q3018:DK3018,Q$1:DK$1,Dashboard!$K$31)</f>
        <v>0</v>
      </c>
      <c r="U3018" s="95">
        <v>33</v>
      </c>
      <c r="AA3018" s="95">
        <v>25</v>
      </c>
      <c r="AH3018" s="95">
        <v>75</v>
      </c>
    </row>
    <row r="3019" spans="1:34" x14ac:dyDescent="0.3">
      <c r="A3019" s="89" t="str">
        <f>CONCATENATE(D3019,".",F3019,"-",G3019,".",H3019,"")</f>
        <v>2.5-1.1</v>
      </c>
      <c r="B3019" s="89" t="str">
        <f>IF(CONCATENATE(I3019,Key!F$2)=CONCATENATE(INDEX(Dashboard!J:J,MATCH(I3019,Dashboard!J:J,0),1),INDEX(Dashboard!J:K,MATCH(I3019,Dashboard!J:J,0),2)),"ON",IF(Dashboard!K$32="ALL","ON","-"))</f>
        <v>-</v>
      </c>
      <c r="C3019" s="96" t="s">
        <v>152</v>
      </c>
      <c r="D3019" s="89">
        <f>IF(C3019="ID",1,(IF(C3019="PR",2,(IF(C3019="DE",3,(IF(C3019="RS",4,(IF(C3019="RC",5,0)))))))))</f>
        <v>2</v>
      </c>
      <c r="E3019" s="89" t="s">
        <v>269</v>
      </c>
      <c r="F3019" s="89">
        <f>IF(E3019="AM",1,(IF(E3019="BE",2,(IF(E3019="GV",3,(IF(E3019="RA",4,(IF(E3019="RM",5,(IF(E3019="AC",1,(IF(E3019="AT",2,(IF(E3019="DS",3,(IF(E3019="IP",4,(IF(E3019="MA",5,(IF(E3019="PT",6,(IF(E3019="AE",1,(IF(E3019="CM",2,(IF(E3019="DP",3,(IF(E3019="AN",1,(IF(E3019="CO",2,(IF(E3019="IM",3,(IF(E3019="MI",4,(IF(E3019="RP",5,(IF(E3019="SC",6,0)))))))))))))))))))))))))))))))))))))))</f>
        <v>5</v>
      </c>
      <c r="G3019" s="52">
        <v>1</v>
      </c>
      <c r="H3019" s="90" t="s">
        <v>115</v>
      </c>
      <c r="I3019" s="94" t="s">
        <v>85</v>
      </c>
      <c r="J3019" s="87" t="s">
        <v>1685</v>
      </c>
      <c r="K3019" s="119" t="s">
        <v>1686</v>
      </c>
      <c r="L3019" s="117">
        <f>IF(O3019="","",N3019*O3019*M3019)</f>
        <v>0</v>
      </c>
      <c r="M3019" s="108">
        <v>1</v>
      </c>
      <c r="N3019" s="95">
        <v>1</v>
      </c>
      <c r="O3019" s="109">
        <f>IF(Key!D$1="ON",P3019,IF(SUM(Q3019:DL3019)&lt;1,"",SUM(Q3019:DL3019)/COUNTIF(Q3019:DL3019,"&gt;0")))</f>
        <v>0</v>
      </c>
      <c r="P3019" s="109">
        <f>SUMIFS(Q3019:DK3019,Q$1:DK$1,Dashboard!$K$31)</f>
        <v>0</v>
      </c>
      <c r="U3019" s="95">
        <v>33</v>
      </c>
      <c r="AA3019" s="95">
        <v>25</v>
      </c>
      <c r="AH3019" s="95">
        <v>75</v>
      </c>
    </row>
    <row r="3020" spans="1:34" x14ac:dyDescent="0.3">
      <c r="A3020" s="89" t="str">
        <f>CONCATENATE(D3020,".",F3020,"-",G3020,".",H3020,"")</f>
        <v>2.5-1.1</v>
      </c>
      <c r="B3020" s="89" t="str">
        <f>IF(CONCATENATE(I3020,Key!F$2)=CONCATENATE(INDEX(Dashboard!J:J,MATCH(I3020,Dashboard!J:J,0),1),INDEX(Dashboard!J:K,MATCH(I3020,Dashboard!J:J,0),2)),"ON",IF(Dashboard!K$32="ALL","ON","-"))</f>
        <v>-</v>
      </c>
      <c r="C3020" s="96" t="s">
        <v>152</v>
      </c>
      <c r="D3020" s="89">
        <f>IF(C3020="ID",1,(IF(C3020="PR",2,(IF(C3020="DE",3,(IF(C3020="RS",4,(IF(C3020="RC",5,0)))))))))</f>
        <v>2</v>
      </c>
      <c r="E3020" s="89" t="s">
        <v>269</v>
      </c>
      <c r="F3020" s="89">
        <f>IF(E3020="AM",1,(IF(E3020="BE",2,(IF(E3020="GV",3,(IF(E3020="RA",4,(IF(E3020="RM",5,(IF(E3020="AC",1,(IF(E3020="AT",2,(IF(E3020="DS",3,(IF(E3020="IP",4,(IF(E3020="MA",5,(IF(E3020="PT",6,(IF(E3020="AE",1,(IF(E3020="CM",2,(IF(E3020="DP",3,(IF(E3020="AN",1,(IF(E3020="CO",2,(IF(E3020="IM",3,(IF(E3020="MI",4,(IF(E3020="RP",5,(IF(E3020="SC",6,0)))))))))))))))))))))))))))))))))))))))</f>
        <v>5</v>
      </c>
      <c r="G3020" s="52">
        <v>1</v>
      </c>
      <c r="H3020" s="90" t="s">
        <v>115</v>
      </c>
      <c r="I3020" s="94" t="s">
        <v>85</v>
      </c>
      <c r="J3020" s="87" t="s">
        <v>1679</v>
      </c>
      <c r="K3020" s="119" t="s">
        <v>1680</v>
      </c>
      <c r="L3020" s="117">
        <f>IF(O3020="","",N3020*O3020*M3020)</f>
        <v>0</v>
      </c>
      <c r="M3020" s="108">
        <v>1</v>
      </c>
      <c r="N3020" s="95">
        <v>1</v>
      </c>
      <c r="O3020" s="109">
        <f>IF(Key!D$1="ON",P3020,IF(SUM(Q3020:DL3020)&lt;1,"",SUM(Q3020:DL3020)/COUNTIF(Q3020:DL3020,"&gt;0")))</f>
        <v>0</v>
      </c>
      <c r="P3020" s="109">
        <f>SUMIFS(Q3020:DK3020,Q$1:DK$1,Dashboard!$K$31)</f>
        <v>0</v>
      </c>
      <c r="U3020" s="95">
        <v>33</v>
      </c>
      <c r="AA3020" s="95">
        <v>25</v>
      </c>
      <c r="AH3020" s="95">
        <v>75</v>
      </c>
    </row>
    <row r="3021" spans="1:34" x14ac:dyDescent="0.3">
      <c r="A3021" s="89" t="str">
        <f>CONCATENATE(D3021,".",F3021,"-",G3021,".",H3021,"")</f>
        <v>2.5-1.1</v>
      </c>
      <c r="B3021" s="89" t="str">
        <f>IF(CONCATENATE(I3021,Key!F$2)=CONCATENATE(INDEX(Dashboard!J:J,MATCH(I3021,Dashboard!J:J,0),1),INDEX(Dashboard!J:K,MATCH(I3021,Dashboard!J:J,0),2)),"ON",IF(Dashboard!K$32="ALL","ON","-"))</f>
        <v>-</v>
      </c>
      <c r="C3021" s="88" t="s">
        <v>152</v>
      </c>
      <c r="D3021" s="89">
        <f>IF(C3021="ID",1,(IF(C3021="PR",2,(IF(C3021="DE",3,(IF(C3021="RS",4,(IF(C3021="RC",5,0)))))))))</f>
        <v>2</v>
      </c>
      <c r="E3021" s="89" t="s">
        <v>269</v>
      </c>
      <c r="F3021" s="89">
        <f>IF(E3021="AM",1,(IF(E3021="BE",2,(IF(E3021="GV",3,(IF(E3021="RA",4,(IF(E3021="RM",5,(IF(E3021="AC",1,(IF(E3021="AT",2,(IF(E3021="DS",3,(IF(E3021="IP",4,(IF(E3021="MA",5,(IF(E3021="PT",6,(IF(E3021="AE",1,(IF(E3021="CM",2,(IF(E3021="DP",3,(IF(E3021="AN",1,(IF(E3021="CO",2,(IF(E3021="IM",3,(IF(E3021="MI",4,(IF(E3021="RP",5,(IF(E3021="SC",6,0)))))))))))))))))))))))))))))))))))))))</f>
        <v>5</v>
      </c>
      <c r="G3021" s="52">
        <v>1</v>
      </c>
      <c r="H3021" s="90" t="s">
        <v>115</v>
      </c>
      <c r="I3021" s="94" t="s">
        <v>85</v>
      </c>
      <c r="J3021" s="87" t="s">
        <v>1690</v>
      </c>
      <c r="K3021" s="119" t="s">
        <v>4830</v>
      </c>
      <c r="L3021" s="117">
        <f>IF(O3021="","",N3021*O3021*M3021)</f>
        <v>0</v>
      </c>
      <c r="M3021" s="108">
        <v>1</v>
      </c>
      <c r="N3021" s="95">
        <v>1</v>
      </c>
      <c r="O3021" s="109">
        <f>IF(Key!D$1="ON",P3021,IF(SUM(Q3021:DL3021)&lt;1,"",SUM(Q3021:DL3021)/COUNTIF(Q3021:DL3021,"&gt;0")))</f>
        <v>0</v>
      </c>
      <c r="P3021" s="109">
        <f>SUMIFS(Q3021:DK3021,Q$1:DK$1,Dashboard!$K$31)</f>
        <v>0</v>
      </c>
      <c r="U3021" s="95">
        <v>33</v>
      </c>
      <c r="AA3021" s="95">
        <v>25</v>
      </c>
      <c r="AH3021" s="95">
        <v>75</v>
      </c>
    </row>
    <row r="3022" spans="1:34" x14ac:dyDescent="0.3">
      <c r="A3022" s="89" t="str">
        <f>CONCATENATE(D3022,".",F3022,"-",G3022,".",H3022,"")</f>
        <v>2.5-1.1</v>
      </c>
      <c r="B3022" s="89" t="str">
        <f>IF(CONCATENATE(I3022,Key!F$2)=CONCATENATE(INDEX(Dashboard!J:J,MATCH(I3022,Dashboard!J:J,0),1),INDEX(Dashboard!J:K,MATCH(I3022,Dashboard!J:J,0),2)),"ON",IF(Dashboard!K$32="ALL","ON","-"))</f>
        <v>-</v>
      </c>
      <c r="C3022" s="88" t="s">
        <v>152</v>
      </c>
      <c r="D3022" s="89">
        <f>IF(C3022="ID",1,(IF(C3022="PR",2,(IF(C3022="DE",3,(IF(C3022="RS",4,(IF(C3022="RC",5,0)))))))))</f>
        <v>2</v>
      </c>
      <c r="E3022" s="89" t="s">
        <v>269</v>
      </c>
      <c r="F3022" s="89">
        <f>IF(E3022="AM",1,(IF(E3022="BE",2,(IF(E3022="GV",3,(IF(E3022="RA",4,(IF(E3022="RM",5,(IF(E3022="AC",1,(IF(E3022="AT",2,(IF(E3022="DS",3,(IF(E3022="IP",4,(IF(E3022="MA",5,(IF(E3022="PT",6,(IF(E3022="AE",1,(IF(E3022="CM",2,(IF(E3022="DP",3,(IF(E3022="AN",1,(IF(E3022="CO",2,(IF(E3022="IM",3,(IF(E3022="MI",4,(IF(E3022="RP",5,(IF(E3022="SC",6,0)))))))))))))))))))))))))))))))))))))))</f>
        <v>5</v>
      </c>
      <c r="G3022" s="52">
        <v>1</v>
      </c>
      <c r="H3022" s="90" t="s">
        <v>115</v>
      </c>
      <c r="I3022" s="94" t="s">
        <v>85</v>
      </c>
      <c r="J3022" s="87" t="s">
        <v>1694</v>
      </c>
      <c r="K3022" s="119" t="s">
        <v>4832</v>
      </c>
      <c r="L3022" s="117">
        <f>IF(O3022="","",N3022*O3022*M3022)</f>
        <v>0</v>
      </c>
      <c r="M3022" s="108">
        <v>1</v>
      </c>
      <c r="N3022" s="95">
        <v>1</v>
      </c>
      <c r="O3022" s="109">
        <f>IF(Key!D$1="ON",P3022,IF(SUM(Q3022:DL3022)&lt;1,"",SUM(Q3022:DL3022)/COUNTIF(Q3022:DL3022,"&gt;0")))</f>
        <v>0</v>
      </c>
      <c r="P3022" s="109">
        <f>SUMIFS(Q3022:DK3022,Q$1:DK$1,Dashboard!$K$31)</f>
        <v>0</v>
      </c>
      <c r="U3022" s="95">
        <v>33</v>
      </c>
      <c r="AA3022" s="95">
        <v>25</v>
      </c>
      <c r="AH3022" s="95">
        <v>75</v>
      </c>
    </row>
    <row r="3023" spans="1:34" x14ac:dyDescent="0.3">
      <c r="A3023" s="89" t="str">
        <f>CONCATENATE(D3023,".",F3023,"-",G3023,".",H3023,"")</f>
        <v>2.5-1.1</v>
      </c>
      <c r="B3023" s="89" t="str">
        <f>IF(CONCATENATE(I3023,Key!F$2)=CONCATENATE(INDEX(Dashboard!J:J,MATCH(I3023,Dashboard!J:J,0),1),INDEX(Dashboard!J:K,MATCH(I3023,Dashboard!J:J,0),2)),"ON",IF(Dashboard!K$32="ALL","ON","-"))</f>
        <v>-</v>
      </c>
      <c r="C3023" s="88" t="s">
        <v>152</v>
      </c>
      <c r="D3023" s="89">
        <f>IF(C3023="ID",1,(IF(C3023="PR",2,(IF(C3023="DE",3,(IF(C3023="RS",4,(IF(C3023="RC",5,0)))))))))</f>
        <v>2</v>
      </c>
      <c r="E3023" s="89" t="s">
        <v>269</v>
      </c>
      <c r="F3023" s="89">
        <f>IF(E3023="AM",1,(IF(E3023="BE",2,(IF(E3023="GV",3,(IF(E3023="RA",4,(IF(E3023="RM",5,(IF(E3023="AC",1,(IF(E3023="AT",2,(IF(E3023="DS",3,(IF(E3023="IP",4,(IF(E3023="MA",5,(IF(E3023="PT",6,(IF(E3023="AE",1,(IF(E3023="CM",2,(IF(E3023="DP",3,(IF(E3023="AN",1,(IF(E3023="CO",2,(IF(E3023="IM",3,(IF(E3023="MI",4,(IF(E3023="RP",5,(IF(E3023="SC",6,0)))))))))))))))))))))))))))))))))))))))</f>
        <v>5</v>
      </c>
      <c r="G3023" s="52">
        <v>1</v>
      </c>
      <c r="H3023" s="90" t="s">
        <v>115</v>
      </c>
      <c r="I3023" s="94" t="s">
        <v>85</v>
      </c>
      <c r="J3023" s="87" t="s">
        <v>1683</v>
      </c>
      <c r="K3023" s="119" t="s">
        <v>4817</v>
      </c>
      <c r="L3023" s="117">
        <f>IF(O3023="","",N3023*O3023*M3023)</f>
        <v>0</v>
      </c>
      <c r="M3023" s="108">
        <v>1</v>
      </c>
      <c r="N3023" s="95">
        <v>1</v>
      </c>
      <c r="O3023" s="109">
        <f>IF(Key!D$1="ON",P3023,IF(SUM(Q3023:DL3023)&lt;1,"",SUM(Q3023:DL3023)/COUNTIF(Q3023:DL3023,"&gt;0")))</f>
        <v>0</v>
      </c>
      <c r="P3023" s="109">
        <f>SUMIFS(Q3023:DK3023,Q$1:DK$1,Dashboard!$K$31)</f>
        <v>0</v>
      </c>
      <c r="U3023" s="95">
        <v>33</v>
      </c>
      <c r="AA3023" s="95">
        <v>25</v>
      </c>
      <c r="AH3023" s="95">
        <v>75</v>
      </c>
    </row>
    <row r="3024" spans="1:34" x14ac:dyDescent="0.3">
      <c r="A3024" s="89" t="str">
        <f>CONCATENATE(D3024,".",F3024,"-",G3024,".",H3024,"")</f>
        <v>2.5-1.1</v>
      </c>
      <c r="B3024" s="89" t="str">
        <f>IF(CONCATENATE(I3024,Key!F$2)=CONCATENATE(INDEX(Dashboard!J:J,MATCH(I3024,Dashboard!J:J,0),1),INDEX(Dashboard!J:K,MATCH(I3024,Dashboard!J:J,0),2)),"ON",IF(Dashboard!K$32="ALL","ON","-"))</f>
        <v>-</v>
      </c>
      <c r="C3024" s="88" t="s">
        <v>152</v>
      </c>
      <c r="D3024" s="89">
        <f>IF(C3024="ID",1,(IF(C3024="PR",2,(IF(C3024="DE",3,(IF(C3024="RS",4,(IF(C3024="RC",5,0)))))))))</f>
        <v>2</v>
      </c>
      <c r="E3024" s="89" t="s">
        <v>269</v>
      </c>
      <c r="F3024" s="89">
        <f>IF(E3024="AM",1,(IF(E3024="BE",2,(IF(E3024="GV",3,(IF(E3024="RA",4,(IF(E3024="RM",5,(IF(E3024="AC",1,(IF(E3024="AT",2,(IF(E3024="DS",3,(IF(E3024="IP",4,(IF(E3024="MA",5,(IF(E3024="PT",6,(IF(E3024="AE",1,(IF(E3024="CM",2,(IF(E3024="DP",3,(IF(E3024="AN",1,(IF(E3024="CO",2,(IF(E3024="IM",3,(IF(E3024="MI",4,(IF(E3024="RP",5,(IF(E3024="SC",6,0)))))))))))))))))))))))))))))))))))))))</f>
        <v>5</v>
      </c>
      <c r="G3024" s="52">
        <v>1</v>
      </c>
      <c r="H3024" s="90" t="s">
        <v>115</v>
      </c>
      <c r="I3024" s="94" t="s">
        <v>85</v>
      </c>
      <c r="J3024" s="87" t="s">
        <v>1693</v>
      </c>
      <c r="K3024" s="119" t="s">
        <v>4831</v>
      </c>
      <c r="L3024" s="117">
        <f>IF(O3024="","",N3024*O3024*M3024)</f>
        <v>0</v>
      </c>
      <c r="M3024" s="108">
        <v>1</v>
      </c>
      <c r="N3024" s="95">
        <v>1</v>
      </c>
      <c r="O3024" s="109">
        <f>IF(Key!D$1="ON",P3024,IF(SUM(Q3024:DL3024)&lt;1,"",SUM(Q3024:DL3024)/COUNTIF(Q3024:DL3024,"&gt;0")))</f>
        <v>0</v>
      </c>
      <c r="P3024" s="109">
        <f>SUMIFS(Q3024:DK3024,Q$1:DK$1,Dashboard!$K$31)</f>
        <v>0</v>
      </c>
      <c r="U3024" s="95">
        <v>33</v>
      </c>
      <c r="AA3024" s="95">
        <v>25</v>
      </c>
      <c r="AH3024" s="95">
        <v>75</v>
      </c>
    </row>
    <row r="3025" spans="1:34" x14ac:dyDescent="0.3">
      <c r="A3025" s="89" t="str">
        <f>CONCATENATE(D3025,".",F3025,"-",G3025,".",H3025,"")</f>
        <v>2.5-1.1</v>
      </c>
      <c r="B3025" s="89" t="str">
        <f>IF(CONCATENATE(I3025,Key!F$2)=CONCATENATE(INDEX(Dashboard!J:J,MATCH(I3025,Dashboard!J:J,0),1),INDEX(Dashboard!J:K,MATCH(I3025,Dashboard!J:J,0),2)),"ON",IF(Dashboard!K$32="ALL","ON","-"))</f>
        <v>-</v>
      </c>
      <c r="C3025" s="88" t="s">
        <v>152</v>
      </c>
      <c r="D3025" s="89">
        <f>IF(C3025="ID",1,(IF(C3025="PR",2,(IF(C3025="DE",3,(IF(C3025="RS",4,(IF(C3025="RC",5,0)))))))))</f>
        <v>2</v>
      </c>
      <c r="E3025" s="89" t="s">
        <v>269</v>
      </c>
      <c r="F3025" s="89">
        <f>IF(E3025="AM",1,(IF(E3025="BE",2,(IF(E3025="GV",3,(IF(E3025="RA",4,(IF(E3025="RM",5,(IF(E3025="AC",1,(IF(E3025="AT",2,(IF(E3025="DS",3,(IF(E3025="IP",4,(IF(E3025="MA",5,(IF(E3025="PT",6,(IF(E3025="AE",1,(IF(E3025="CM",2,(IF(E3025="DP",3,(IF(E3025="AN",1,(IF(E3025="CO",2,(IF(E3025="IM",3,(IF(E3025="MI",4,(IF(E3025="RP",5,(IF(E3025="SC",6,0)))))))))))))))))))))))))))))))))))))))</f>
        <v>5</v>
      </c>
      <c r="G3025" s="52">
        <v>1</v>
      </c>
      <c r="H3025" s="90" t="s">
        <v>115</v>
      </c>
      <c r="I3025" s="94" t="s">
        <v>85</v>
      </c>
      <c r="J3025" s="87" t="s">
        <v>1684</v>
      </c>
      <c r="K3025" s="119" t="s">
        <v>4818</v>
      </c>
      <c r="L3025" s="117">
        <f>IF(O3025="","",N3025*O3025*M3025)</f>
        <v>0</v>
      </c>
      <c r="M3025" s="108">
        <v>1</v>
      </c>
      <c r="N3025" s="95">
        <v>1</v>
      </c>
      <c r="O3025" s="109">
        <f>IF(Key!D$1="ON",P3025,IF(SUM(Q3025:DL3025)&lt;1,"",SUM(Q3025:DL3025)/COUNTIF(Q3025:DL3025,"&gt;0")))</f>
        <v>0</v>
      </c>
      <c r="P3025" s="109">
        <f>SUMIFS(Q3025:DK3025,Q$1:DK$1,Dashboard!$K$31)</f>
        <v>0</v>
      </c>
      <c r="U3025" s="95">
        <v>33</v>
      </c>
      <c r="AA3025" s="95">
        <v>25</v>
      </c>
      <c r="AH3025" s="95">
        <v>75</v>
      </c>
    </row>
    <row r="3026" spans="1:34" x14ac:dyDescent="0.3">
      <c r="A3026" s="89" t="str">
        <f>CONCATENATE(D3026,".",F3026,"-",G3026,".",H3026,"")</f>
        <v>2.5-1.1</v>
      </c>
      <c r="B3026" s="89" t="str">
        <f>IF(CONCATENATE(I3026,Key!F$2)=CONCATENATE(INDEX(Dashboard!J:J,MATCH(I3026,Dashboard!J:J,0),1),INDEX(Dashboard!J:K,MATCH(I3026,Dashboard!J:J,0),2)),"ON",IF(Dashboard!K$32="ALL","ON","-"))</f>
        <v>-</v>
      </c>
      <c r="C3026" s="88" t="s">
        <v>152</v>
      </c>
      <c r="D3026" s="89">
        <f>IF(C3026="ID",1,(IF(C3026="PR",2,(IF(C3026="DE",3,(IF(C3026="RS",4,(IF(C3026="RC",5,0)))))))))</f>
        <v>2</v>
      </c>
      <c r="E3026" s="89" t="s">
        <v>269</v>
      </c>
      <c r="F3026" s="89">
        <f>IF(E3026="AM",1,(IF(E3026="BE",2,(IF(E3026="GV",3,(IF(E3026="RA",4,(IF(E3026="RM",5,(IF(E3026="AC",1,(IF(E3026="AT",2,(IF(E3026="DS",3,(IF(E3026="IP",4,(IF(E3026="MA",5,(IF(E3026="PT",6,(IF(E3026="AE",1,(IF(E3026="CM",2,(IF(E3026="DP",3,(IF(E3026="AN",1,(IF(E3026="CO",2,(IF(E3026="IM",3,(IF(E3026="MI",4,(IF(E3026="RP",5,(IF(E3026="SC",6,0)))))))))))))))))))))))))))))))))))))))</f>
        <v>5</v>
      </c>
      <c r="G3026" s="52">
        <v>1</v>
      </c>
      <c r="H3026" s="90" t="s">
        <v>115</v>
      </c>
      <c r="I3026" s="94" t="s">
        <v>85</v>
      </c>
      <c r="J3026" s="87" t="s">
        <v>1691</v>
      </c>
      <c r="K3026" s="119" t="s">
        <v>1692</v>
      </c>
      <c r="L3026" s="117">
        <f>IF(O3026="","",N3026*O3026*M3026)</f>
        <v>0</v>
      </c>
      <c r="M3026" s="108">
        <v>1</v>
      </c>
      <c r="N3026" s="95">
        <v>1</v>
      </c>
      <c r="O3026" s="109">
        <f>IF(Key!D$1="ON",P3026,IF(SUM(Q3026:DL3026)&lt;1,"",SUM(Q3026:DL3026)/COUNTIF(Q3026:DL3026,"&gt;0")))</f>
        <v>0</v>
      </c>
      <c r="P3026" s="109">
        <f>SUMIFS(Q3026:DK3026,Q$1:DK$1,Dashboard!$K$31)</f>
        <v>0</v>
      </c>
      <c r="U3026" s="95">
        <v>33</v>
      </c>
      <c r="AA3026" s="95">
        <v>25</v>
      </c>
      <c r="AH3026" s="95">
        <v>75</v>
      </c>
    </row>
    <row r="3027" spans="1:34" x14ac:dyDescent="0.3">
      <c r="A3027" s="89" t="str">
        <f>CONCATENATE(D3027,".",F3027,"-",G3027,".",H3027,"")</f>
        <v>2.5-1.1</v>
      </c>
      <c r="B3027" s="89" t="str">
        <f>IF(CONCATENATE(I3027,Key!F$2)=CONCATENATE(INDEX(Dashboard!J:J,MATCH(I3027,Dashboard!J:J,0),1),INDEX(Dashboard!J:K,MATCH(I3027,Dashboard!J:J,0),2)),"ON",IF(Dashboard!K$32="ALL","ON","-"))</f>
        <v>-</v>
      </c>
      <c r="C3027" s="96" t="s">
        <v>152</v>
      </c>
      <c r="D3027" s="89">
        <f>IF(C3027="ID",1,(IF(C3027="PR",2,(IF(C3027="DE",3,(IF(C3027="RS",4,(IF(C3027="RC",5,0)))))))))</f>
        <v>2</v>
      </c>
      <c r="E3027" s="89" t="s">
        <v>269</v>
      </c>
      <c r="F3027" s="89">
        <f>IF(E3027="AM",1,(IF(E3027="BE",2,(IF(E3027="GV",3,(IF(E3027="RA",4,(IF(E3027="RM",5,(IF(E3027="AC",1,(IF(E3027="AT",2,(IF(E3027="DS",3,(IF(E3027="IP",4,(IF(E3027="MA",5,(IF(E3027="PT",6,(IF(E3027="AE",1,(IF(E3027="CM",2,(IF(E3027="DP",3,(IF(E3027="AN",1,(IF(E3027="CO",2,(IF(E3027="IM",3,(IF(E3027="MI",4,(IF(E3027="RP",5,(IF(E3027="SC",6,0)))))))))))))))))))))))))))))))))))))))</f>
        <v>5</v>
      </c>
      <c r="G3027" s="52">
        <v>1</v>
      </c>
      <c r="H3027" s="90" t="s">
        <v>115</v>
      </c>
      <c r="I3027" s="94" t="s">
        <v>92</v>
      </c>
      <c r="J3027" s="88" t="s">
        <v>270</v>
      </c>
      <c r="K3027" s="102" t="s">
        <v>5226</v>
      </c>
      <c r="L3027" s="117">
        <f>IF(O3027="","",N3027*O3027*M3027)</f>
        <v>0</v>
      </c>
      <c r="M3027" s="108">
        <v>1</v>
      </c>
      <c r="N3027" s="95">
        <v>1</v>
      </c>
      <c r="O3027" s="109">
        <f>IF(Key!D$1="ON",P3027,IF(SUM(Q3027:DL3027)&lt;1,"",SUM(Q3027:DL3027)/COUNTIF(Q3027:DL3027,"&gt;0")))</f>
        <v>0</v>
      </c>
      <c r="P3027" s="109">
        <f>SUMIFS(Q3027:DK3027,Q$1:DK$1,Dashboard!$K$31)</f>
        <v>0</v>
      </c>
      <c r="U3027" s="95">
        <v>33</v>
      </c>
      <c r="AA3027" s="95">
        <v>25</v>
      </c>
      <c r="AH3027" s="95">
        <v>75</v>
      </c>
    </row>
    <row r="3028" spans="1:34" ht="15.6" x14ac:dyDescent="0.3">
      <c r="A3028" s="89" t="str">
        <f>CONCATENATE(D3028,".",F3028,"-",G3028,".",H3028,"")</f>
        <v>2.5-1.2</v>
      </c>
      <c r="B3028" s="89" t="str">
        <f>IF(CONCATENATE(I3028,Key!F$2)=CONCATENATE(INDEX(Dashboard!J:J,MATCH(I3028,Dashboard!J:J,0),1),INDEX(Dashboard!J:K,MATCH(I3028,Dashboard!J:J,0),2)),"ON",IF(Dashboard!K$32="ALL","ON","-"))</f>
        <v>-</v>
      </c>
      <c r="C3028" s="88" t="s">
        <v>152</v>
      </c>
      <c r="D3028" s="89">
        <f>IF(C3028="ID",1,(IF(C3028="PR",2,(IF(C3028="DE",3,(IF(C3028="RS",4,(IF(C3028="RC",5,0)))))))))</f>
        <v>2</v>
      </c>
      <c r="E3028" s="89" t="s">
        <v>269</v>
      </c>
      <c r="F3028" s="89">
        <f>IF(E3028="AM",1,(IF(E3028="BE",2,(IF(E3028="GV",3,(IF(E3028="RA",4,(IF(E3028="RM",5,(IF(E3028="AC",1,(IF(E3028="AT",2,(IF(E3028="DS",3,(IF(E3028="IP",4,(IF(E3028="MA",5,(IF(E3028="PT",6,(IF(E3028="AE",1,(IF(E3028="CM",2,(IF(E3028="DP",3,(IF(E3028="AN",1,(IF(E3028="CO",2,(IF(E3028="IM",3,(IF(E3028="MI",4,(IF(E3028="RP",5,(IF(E3028="SC",6,0)))))))))))))))))))))))))))))))))))))))</f>
        <v>5</v>
      </c>
      <c r="G3028" s="52">
        <v>1</v>
      </c>
      <c r="H3028" s="90" t="s">
        <v>112</v>
      </c>
      <c r="I3028" s="94" t="s">
        <v>77</v>
      </c>
      <c r="J3028" s="87" t="s">
        <v>1697</v>
      </c>
      <c r="K3028" s="102" t="s">
        <v>2629</v>
      </c>
      <c r="L3028" s="117">
        <f>IF(O3028="","",N3028*O3028*M3028)</f>
        <v>0</v>
      </c>
      <c r="M3028" s="108">
        <v>1</v>
      </c>
      <c r="N3028" s="95">
        <v>1</v>
      </c>
      <c r="O3028" s="109">
        <f>IF(Key!D$1="ON",P3028,IF(SUM(Q3028:DL3028)&lt;1,"",SUM(Q3028:DL3028)/COUNTIF(Q3028:DL3028,"&gt;0")))</f>
        <v>0</v>
      </c>
      <c r="P3028" s="109">
        <f>SUMIFS(Q3028:DK3028,Q$1:DK$1,Dashboard!$K$31)</f>
        <v>0</v>
      </c>
      <c r="U3028" s="95">
        <v>33</v>
      </c>
      <c r="AA3028" s="95">
        <v>25</v>
      </c>
      <c r="AH3028" s="95">
        <v>75</v>
      </c>
    </row>
    <row r="3029" spans="1:34" x14ac:dyDescent="0.3">
      <c r="A3029" s="89" t="str">
        <f>CONCATENATE(D3029,".",F3029,"-",G3029,".",H3029,"")</f>
        <v>2.5-1.2</v>
      </c>
      <c r="B3029" s="89" t="str">
        <f>IF(CONCATENATE(I3029,Key!F$2)=CONCATENATE(INDEX(Dashboard!J:J,MATCH(I3029,Dashboard!J:J,0),1),INDEX(Dashboard!J:K,MATCH(I3029,Dashboard!J:J,0),2)),"ON",IF(Dashboard!K$32="ALL","ON","-"))</f>
        <v>-</v>
      </c>
      <c r="C3029" s="88" t="s">
        <v>152</v>
      </c>
      <c r="D3029" s="89">
        <f>IF(C3029="ID",1,(IF(C3029="PR",2,(IF(C3029="DE",3,(IF(C3029="RS",4,(IF(C3029="RC",5,0)))))))))</f>
        <v>2</v>
      </c>
      <c r="E3029" s="89" t="s">
        <v>269</v>
      </c>
      <c r="F3029" s="89">
        <f>IF(E3029="AM",1,(IF(E3029="BE",2,(IF(E3029="GV",3,(IF(E3029="RA",4,(IF(E3029="RM",5,(IF(E3029="AC",1,(IF(E3029="AT",2,(IF(E3029="DS",3,(IF(E3029="IP",4,(IF(E3029="MA",5,(IF(E3029="PT",6,(IF(E3029="AE",1,(IF(E3029="CM",2,(IF(E3029="DP",3,(IF(E3029="AN",1,(IF(E3029="CO",2,(IF(E3029="IM",3,(IF(E3029="MI",4,(IF(E3029="RP",5,(IF(E3029="SC",6,0)))))))))))))))))))))))))))))))))))))))</f>
        <v>5</v>
      </c>
      <c r="G3029" s="52">
        <v>1</v>
      </c>
      <c r="H3029" s="90" t="s">
        <v>112</v>
      </c>
      <c r="I3029" s="94" t="s">
        <v>85</v>
      </c>
      <c r="J3029" s="87" t="s">
        <v>1697</v>
      </c>
      <c r="K3029" s="119" t="s">
        <v>4827</v>
      </c>
      <c r="L3029" s="117">
        <f>IF(O3029="","",N3029*O3029*M3029)</f>
        <v>0</v>
      </c>
      <c r="M3029" s="108">
        <v>1</v>
      </c>
      <c r="N3029" s="95">
        <v>1</v>
      </c>
      <c r="O3029" s="109">
        <f>IF(Key!D$1="ON",P3029,IF(SUM(Q3029:DL3029)&lt;1,"",SUM(Q3029:DL3029)/COUNTIF(Q3029:DL3029,"&gt;0")))</f>
        <v>0</v>
      </c>
      <c r="P3029" s="109">
        <f>SUMIFS(Q3029:DK3029,Q$1:DK$1,Dashboard!$K$31)</f>
        <v>0</v>
      </c>
      <c r="U3029" s="95">
        <v>33</v>
      </c>
      <c r="AA3029" s="95">
        <v>25</v>
      </c>
      <c r="AH3029" s="95">
        <v>75</v>
      </c>
    </row>
    <row r="3030" spans="1:34" ht="15.6" x14ac:dyDescent="0.3">
      <c r="A3030" s="89" t="str">
        <f>CONCATENATE(D3030,".",F3030,"-",G3030,".",H3030,"")</f>
        <v>2.5-2.0</v>
      </c>
      <c r="B3030" s="89" t="str">
        <f>IF(CONCATENATE(I3030,Key!F$2)=CONCATENATE(INDEX(Dashboard!J:J,MATCH(I3030,Dashboard!J:J,0),1),INDEX(Dashboard!J:K,MATCH(I3030,Dashboard!J:J,0),2)),"ON",IF(Dashboard!K$32="ALL","ON","-"))</f>
        <v>-</v>
      </c>
      <c r="C3030" s="88" t="s">
        <v>152</v>
      </c>
      <c r="D3030" s="89">
        <f>IF(C3030="ID",1,(IF(C3030="PR",2,(IF(C3030="DE",3,(IF(C3030="RS",4,(IF(C3030="RC",5,0)))))))))</f>
        <v>2</v>
      </c>
      <c r="E3030" s="89" t="s">
        <v>269</v>
      </c>
      <c r="F3030" s="89">
        <f>IF(E3030="AM",1,(IF(E3030="BE",2,(IF(E3030="GV",3,(IF(E3030="RA",4,(IF(E3030="RM",5,(IF(E3030="AC",1,(IF(E3030="AT",2,(IF(E3030="DS",3,(IF(E3030="IP",4,(IF(E3030="MA",5,(IF(E3030="PT",6,(IF(E3030="AE",1,(IF(E3030="CM",2,(IF(E3030="DP",3,(IF(E3030="AN",1,(IF(E3030="CO",2,(IF(E3030="IM",3,(IF(E3030="MI",4,(IF(E3030="RP",5,(IF(E3030="SC",6,0)))))))))))))))))))))))))))))))))))))))</f>
        <v>5</v>
      </c>
      <c r="G3030" s="52">
        <v>2</v>
      </c>
      <c r="H3030" s="90" t="s">
        <v>347</v>
      </c>
      <c r="I3030" s="94" t="s">
        <v>2835</v>
      </c>
      <c r="J3030" s="53" t="s">
        <v>2991</v>
      </c>
      <c r="K3030" s="150" t="s">
        <v>2992</v>
      </c>
      <c r="L3030" s="117">
        <f>IF(O3030="","",N3030*O3030*M3030)</f>
        <v>0</v>
      </c>
      <c r="M3030" s="108">
        <v>1</v>
      </c>
      <c r="N3030" s="95">
        <v>1</v>
      </c>
      <c r="O3030" s="109">
        <f>IF(Key!D$1="ON",P3030,IF(SUM(Q3030:DL3030)&lt;1,"",SUM(Q3030:DL3030)/COUNTIF(Q3030:DL3030,"&gt;0")))</f>
        <v>0</v>
      </c>
      <c r="P3030" s="109">
        <f>SUMIFS(Q3030:DK3030,Q$1:DK$1,Dashboard!$K$31)</f>
        <v>0</v>
      </c>
      <c r="U3030" s="95">
        <v>33</v>
      </c>
    </row>
    <row r="3031" spans="1:34" ht="15.6" x14ac:dyDescent="0.3">
      <c r="A3031" s="89" t="str">
        <f>CONCATENATE(D3031,".",F3031,"-",G3031,".",H3031,"")</f>
        <v>2.5-2.1</v>
      </c>
      <c r="B3031" s="89" t="str">
        <f>IF(CONCATENATE(I3031,Key!F$2)=CONCATENATE(INDEX(Dashboard!J:J,MATCH(I3031,Dashboard!J:J,0),1),INDEX(Dashboard!J:K,MATCH(I3031,Dashboard!J:J,0),2)),"ON",IF(Dashboard!K$32="ALL","ON","-"))</f>
        <v>ON</v>
      </c>
      <c r="C3031" s="130" t="s">
        <v>152</v>
      </c>
      <c r="D3031" s="89">
        <f>IF(C3031="ID",1,(IF(C3031="PR",2,(IF(C3031="DE",3,(IF(C3031="RS",4,(IF(C3031="RC",5,0)))))))))</f>
        <v>2</v>
      </c>
      <c r="E3031" s="95" t="s">
        <v>269</v>
      </c>
      <c r="F3031" s="89">
        <f>IF(E3031="AM",1,(IF(E3031="BE",2,(IF(E3031="GV",3,(IF(E3031="RA",4,(IF(E3031="RM",5,(IF(E3031="AC",1,(IF(E3031="AT",2,(IF(E3031="DS",3,(IF(E3031="IP",4,(IF(E3031="MA",5,(IF(E3031="PT",6,(IF(E3031="AE",1,(IF(E3031="CM",2,(IF(E3031="DP",3,(IF(E3031="AN",1,(IF(E3031="CO",2,(IF(E3031="IM",3,(IF(E3031="MI",4,(IF(E3031="RP",5,(IF(E3031="SC",6,0)))))))))))))))))))))))))))))))))))))))</f>
        <v>5</v>
      </c>
      <c r="G3031" s="52">
        <v>2</v>
      </c>
      <c r="H3031" s="90" t="s">
        <v>115</v>
      </c>
      <c r="I3031" s="94" t="s">
        <v>4107</v>
      </c>
      <c r="J3031" s="86" t="s">
        <v>4020</v>
      </c>
      <c r="K3031" s="101" t="s">
        <v>4183</v>
      </c>
      <c r="L3031" s="117">
        <f>IF(O3031="","",N3031*O3031*M3031)</f>
        <v>0</v>
      </c>
      <c r="M3031" s="108">
        <v>1</v>
      </c>
      <c r="N3031" s="95">
        <v>1</v>
      </c>
      <c r="O3031" s="109">
        <f>IF(Key!D$1="ON",P3031,IF(SUM(Q3031:DL3031)&lt;1,"",SUM(Q3031:DL3031)/COUNTIF(Q3031:DL3031,"&gt;0")))</f>
        <v>0</v>
      </c>
      <c r="P3031" s="109">
        <f>SUMIFS(Q3031:DK3031,Q$1:DK$1,Dashboard!$K$31)</f>
        <v>0</v>
      </c>
      <c r="U3031" s="95">
        <v>33</v>
      </c>
      <c r="AA3031" s="95">
        <v>25</v>
      </c>
      <c r="AH3031" s="95">
        <v>75</v>
      </c>
    </row>
    <row r="3032" spans="1:34" x14ac:dyDescent="0.3">
      <c r="A3032" s="89" t="str">
        <f>CONCATENATE(D3032,".",F3032,"-",G3032,".",H3032,"")</f>
        <v>2.5-2.1</v>
      </c>
      <c r="B3032" s="89" t="str">
        <f>IF(CONCATENATE(I3032,Key!F$2)=CONCATENATE(INDEX(Dashboard!J:J,MATCH(I3032,Dashboard!J:J,0),1),INDEX(Dashboard!J:K,MATCH(I3032,Dashboard!J:J,0),2)),"ON",IF(Dashboard!K$32="ALL","ON","-"))</f>
        <v>-</v>
      </c>
      <c r="C3032" s="96" t="s">
        <v>152</v>
      </c>
      <c r="D3032" s="89">
        <f>IF(C3032="ID",1,(IF(C3032="PR",2,(IF(C3032="DE",3,(IF(C3032="RS",4,(IF(C3032="RC",5,0)))))))))</f>
        <v>2</v>
      </c>
      <c r="E3032" s="89" t="s">
        <v>269</v>
      </c>
      <c r="F3032" s="89">
        <f>IF(E3032="AM",1,(IF(E3032="BE",2,(IF(E3032="GV",3,(IF(E3032="RA",4,(IF(E3032="RM",5,(IF(E3032="AC",1,(IF(E3032="AT",2,(IF(E3032="DS",3,(IF(E3032="IP",4,(IF(E3032="MA",5,(IF(E3032="PT",6,(IF(E3032="AE",1,(IF(E3032="CM",2,(IF(E3032="DP",3,(IF(E3032="AN",1,(IF(E3032="CO",2,(IF(E3032="IM",3,(IF(E3032="MI",4,(IF(E3032="RP",5,(IF(E3032="SC",6,0)))))))))))))))))))))))))))))))))))))))</f>
        <v>5</v>
      </c>
      <c r="G3032" s="52">
        <v>2</v>
      </c>
      <c r="H3032" s="90" t="s">
        <v>115</v>
      </c>
      <c r="I3032" s="94" t="s">
        <v>52</v>
      </c>
      <c r="J3032" s="88" t="s">
        <v>3383</v>
      </c>
      <c r="K3032" s="103" t="s">
        <v>3384</v>
      </c>
      <c r="L3032" s="117">
        <f>IF(O3032="","",N3032*O3032*M3032)</f>
        <v>0</v>
      </c>
      <c r="M3032" s="108">
        <v>1</v>
      </c>
      <c r="N3032" s="95">
        <v>1</v>
      </c>
      <c r="O3032" s="109">
        <f>IF(Key!D$1="ON",P3032,IF(SUM(Q3032:DL3032)&lt;1,"",SUM(Q3032:DL3032)/COUNTIF(Q3032:DL3032,"&gt;0")))</f>
        <v>0</v>
      </c>
      <c r="P3032" s="109">
        <f>SUMIFS(Q3032:DK3032,Q$1:DK$1,Dashboard!$K$31)</f>
        <v>0</v>
      </c>
      <c r="U3032" s="95">
        <v>33</v>
      </c>
      <c r="AA3032" s="95">
        <v>25</v>
      </c>
      <c r="AH3032" s="95">
        <v>75</v>
      </c>
    </row>
    <row r="3033" spans="1:34" x14ac:dyDescent="0.3">
      <c r="A3033" s="89" t="str">
        <f>CONCATENATE(D3033,".",F3033,"-",G3033,".",H3033,"")</f>
        <v>2.5-2.1</v>
      </c>
      <c r="B3033" s="89" t="str">
        <f>IF(CONCATENATE(I3033,Key!F$2)=CONCATENATE(INDEX(Dashboard!J:J,MATCH(I3033,Dashboard!J:J,0),1),INDEX(Dashboard!J:K,MATCH(I3033,Dashboard!J:J,0),2)),"ON",IF(Dashboard!K$32="ALL","ON","-"))</f>
        <v>-</v>
      </c>
      <c r="C3033" s="96" t="s">
        <v>152</v>
      </c>
      <c r="D3033" s="89">
        <f>IF(C3033="ID",1,(IF(C3033="PR",2,(IF(C3033="DE",3,(IF(C3033="RS",4,(IF(C3033="RC",5,0)))))))))</f>
        <v>2</v>
      </c>
      <c r="E3033" s="89" t="s">
        <v>269</v>
      </c>
      <c r="F3033" s="89">
        <f>IF(E3033="AM",1,(IF(E3033="BE",2,(IF(E3033="GV",3,(IF(E3033="RA",4,(IF(E3033="RM",5,(IF(E3033="AC",1,(IF(E3033="AT",2,(IF(E3033="DS",3,(IF(E3033="IP",4,(IF(E3033="MA",5,(IF(E3033="PT",6,(IF(E3033="AE",1,(IF(E3033="CM",2,(IF(E3033="DP",3,(IF(E3033="AN",1,(IF(E3033="CO",2,(IF(E3033="IM",3,(IF(E3033="MI",4,(IF(E3033="RP",5,(IF(E3033="SC",6,0)))))))))))))))))))))))))))))))))))))))</f>
        <v>5</v>
      </c>
      <c r="G3033" s="52">
        <v>2</v>
      </c>
      <c r="H3033" s="90" t="s">
        <v>115</v>
      </c>
      <c r="I3033" s="94" t="s">
        <v>52</v>
      </c>
      <c r="J3033" s="88" t="s">
        <v>3379</v>
      </c>
      <c r="K3033" s="103" t="s">
        <v>3380</v>
      </c>
      <c r="L3033" s="117">
        <f>IF(O3033="","",N3033*O3033*M3033)</f>
        <v>0</v>
      </c>
      <c r="M3033" s="108">
        <v>1</v>
      </c>
      <c r="N3033" s="95">
        <v>1</v>
      </c>
      <c r="O3033" s="109">
        <f>IF(Key!D$1="ON",P3033,IF(SUM(Q3033:DL3033)&lt;1,"",SUM(Q3033:DL3033)/COUNTIF(Q3033:DL3033,"&gt;0")))</f>
        <v>0</v>
      </c>
      <c r="P3033" s="109">
        <f>SUMIFS(Q3033:DK3033,Q$1:DK$1,Dashboard!$K$31)</f>
        <v>0</v>
      </c>
      <c r="U3033" s="95">
        <v>33</v>
      </c>
      <c r="AA3033" s="95">
        <v>25</v>
      </c>
      <c r="AH3033" s="95">
        <v>75</v>
      </c>
    </row>
    <row r="3034" spans="1:34" ht="15.6" x14ac:dyDescent="0.3">
      <c r="A3034" s="89" t="str">
        <f>CONCATENATE(D3034,".",F3034,"-",G3034,".",H3034,"")</f>
        <v>2.5-2.1</v>
      </c>
      <c r="B3034" s="89" t="str">
        <f>IF(CONCATENATE(I3034,Key!F$2)=CONCATENATE(INDEX(Dashboard!J:J,MATCH(I3034,Dashboard!J:J,0),1),INDEX(Dashboard!J:K,MATCH(I3034,Dashboard!J:J,0),2)),"ON",IF(Dashboard!K$32="ALL","ON","-"))</f>
        <v>-</v>
      </c>
      <c r="C3034" s="96" t="s">
        <v>152</v>
      </c>
      <c r="D3034" s="89">
        <f>IF(C3034="ID",1,(IF(C3034="PR",2,(IF(C3034="DE",3,(IF(C3034="RS",4,(IF(C3034="RC",5,0)))))))))</f>
        <v>2</v>
      </c>
      <c r="E3034" s="89" t="s">
        <v>269</v>
      </c>
      <c r="F3034" s="89">
        <f>IF(E3034="AM",1,(IF(E3034="BE",2,(IF(E3034="GV",3,(IF(E3034="RA",4,(IF(E3034="RM",5,(IF(E3034="AC",1,(IF(E3034="AT",2,(IF(E3034="DS",3,(IF(E3034="IP",4,(IF(E3034="MA",5,(IF(E3034="PT",6,(IF(E3034="AE",1,(IF(E3034="CM",2,(IF(E3034="DP",3,(IF(E3034="AN",1,(IF(E3034="CO",2,(IF(E3034="IM",3,(IF(E3034="MI",4,(IF(E3034="RP",5,(IF(E3034="SC",6,0)))))))))))))))))))))))))))))))))))))))</f>
        <v>5</v>
      </c>
      <c r="G3034" s="52">
        <v>2</v>
      </c>
      <c r="H3034" s="90" t="s">
        <v>115</v>
      </c>
      <c r="I3034" s="94" t="s">
        <v>52</v>
      </c>
      <c r="J3034" s="88" t="s">
        <v>3429</v>
      </c>
      <c r="K3034" s="103" t="s">
        <v>3430</v>
      </c>
      <c r="L3034" s="117">
        <f>IF(O3034="","",N3034*O3034*M3034)</f>
        <v>0</v>
      </c>
      <c r="M3034" s="108">
        <v>1</v>
      </c>
      <c r="N3034" s="95">
        <v>1</v>
      </c>
      <c r="O3034" s="109">
        <f>IF(Key!D$1="ON",P3034,IF(SUM(Q3034:DL3034)&lt;1,"",SUM(Q3034:DL3034)/COUNTIF(Q3034:DL3034,"&gt;0")))</f>
        <v>0</v>
      </c>
      <c r="P3034" s="109">
        <f>SUMIFS(Q3034:DK3034,Q$1:DK$1,Dashboard!$K$31)</f>
        <v>0</v>
      </c>
      <c r="U3034" s="95">
        <v>33</v>
      </c>
      <c r="AA3034" s="95">
        <v>25</v>
      </c>
      <c r="AH3034" s="95">
        <v>75</v>
      </c>
    </row>
    <row r="3035" spans="1:34" x14ac:dyDescent="0.3">
      <c r="A3035" s="89" t="str">
        <f>CONCATENATE(D3035,".",F3035,"-",G3035,".",H3035,"")</f>
        <v>2.5-2.1</v>
      </c>
      <c r="B3035" s="89" t="str">
        <f>IF(CONCATENATE(I3035,Key!F$2)=CONCATENATE(INDEX(Dashboard!J:J,MATCH(I3035,Dashboard!J:J,0),1),INDEX(Dashboard!J:K,MATCH(I3035,Dashboard!J:J,0),2)),"ON",IF(Dashboard!K$32="ALL","ON","-"))</f>
        <v>-</v>
      </c>
      <c r="C3035" s="96" t="s">
        <v>152</v>
      </c>
      <c r="D3035" s="89">
        <f>IF(C3035="ID",1,(IF(C3035="PR",2,(IF(C3035="DE",3,(IF(C3035="RS",4,(IF(C3035="RC",5,0)))))))))</f>
        <v>2</v>
      </c>
      <c r="E3035" s="89" t="s">
        <v>269</v>
      </c>
      <c r="F3035" s="89">
        <f>IF(E3035="AM",1,(IF(E3035="BE",2,(IF(E3035="GV",3,(IF(E3035="RA",4,(IF(E3035="RM",5,(IF(E3035="AC",1,(IF(E3035="AT",2,(IF(E3035="DS",3,(IF(E3035="IP",4,(IF(E3035="MA",5,(IF(E3035="PT",6,(IF(E3035="AE",1,(IF(E3035="CM",2,(IF(E3035="DP",3,(IF(E3035="AN",1,(IF(E3035="CO",2,(IF(E3035="IM",3,(IF(E3035="MI",4,(IF(E3035="RP",5,(IF(E3035="SC",6,0)))))))))))))))))))))))))))))))))))))))</f>
        <v>5</v>
      </c>
      <c r="G3035" s="52">
        <v>2</v>
      </c>
      <c r="H3035" s="90" t="s">
        <v>115</v>
      </c>
      <c r="I3035" s="94" t="s">
        <v>52</v>
      </c>
      <c r="J3035" s="88" t="s">
        <v>3381</v>
      </c>
      <c r="K3035" s="103" t="s">
        <v>3382</v>
      </c>
      <c r="L3035" s="117">
        <f>IF(O3035="","",N3035*O3035*M3035)</f>
        <v>0</v>
      </c>
      <c r="M3035" s="108">
        <v>1</v>
      </c>
      <c r="N3035" s="95">
        <v>1</v>
      </c>
      <c r="O3035" s="109">
        <f>IF(Key!D$1="ON",P3035,IF(SUM(Q3035:DL3035)&lt;1,"",SUM(Q3035:DL3035)/COUNTIF(Q3035:DL3035,"&gt;0")))</f>
        <v>0</v>
      </c>
      <c r="P3035" s="109">
        <f>SUMIFS(Q3035:DK3035,Q$1:DK$1,Dashboard!$K$31)</f>
        <v>0</v>
      </c>
      <c r="U3035" s="95">
        <v>33</v>
      </c>
      <c r="AA3035" s="95">
        <v>25</v>
      </c>
      <c r="AH3035" s="95">
        <v>75</v>
      </c>
    </row>
    <row r="3036" spans="1:34" ht="15.6" x14ac:dyDescent="0.3">
      <c r="A3036" s="89" t="str">
        <f>CONCATENATE(D3036,".",F3036,"-",G3036,".",H3036,"")</f>
        <v>2.5-2.1</v>
      </c>
      <c r="B3036" s="89" t="str">
        <f>IF(CONCATENATE(I3036,Key!F$2)=CONCATENATE(INDEX(Dashboard!J:J,MATCH(I3036,Dashboard!J:J,0),1),INDEX(Dashboard!J:K,MATCH(I3036,Dashboard!J:J,0),2)),"ON",IF(Dashboard!K$32="ALL","ON","-"))</f>
        <v>-</v>
      </c>
      <c r="C3036" s="96" t="s">
        <v>152</v>
      </c>
      <c r="D3036" s="89">
        <f>IF(C3036="ID",1,(IF(C3036="PR",2,(IF(C3036="DE",3,(IF(C3036="RS",4,(IF(C3036="RC",5,0)))))))))</f>
        <v>2</v>
      </c>
      <c r="E3036" s="89" t="s">
        <v>269</v>
      </c>
      <c r="F3036" s="89">
        <f>IF(E3036="AM",1,(IF(E3036="BE",2,(IF(E3036="GV",3,(IF(E3036="RA",4,(IF(E3036="RM",5,(IF(E3036="AC",1,(IF(E3036="AT",2,(IF(E3036="DS",3,(IF(E3036="IP",4,(IF(E3036="MA",5,(IF(E3036="PT",6,(IF(E3036="AE",1,(IF(E3036="CM",2,(IF(E3036="DP",3,(IF(E3036="AN",1,(IF(E3036="CO",2,(IF(E3036="IM",3,(IF(E3036="MI",4,(IF(E3036="RP",5,(IF(E3036="SC",6,0)))))))))))))))))))))))))))))))))))))))</f>
        <v>5</v>
      </c>
      <c r="G3036" s="52">
        <v>2</v>
      </c>
      <c r="H3036" s="90" t="s">
        <v>115</v>
      </c>
      <c r="I3036" s="94" t="s">
        <v>52</v>
      </c>
      <c r="J3036" s="88" t="s">
        <v>3303</v>
      </c>
      <c r="K3036" s="103" t="s">
        <v>3304</v>
      </c>
      <c r="L3036" s="117">
        <f>IF(O3036="","",N3036*O3036*M3036)</f>
        <v>0</v>
      </c>
      <c r="M3036" s="108">
        <v>1</v>
      </c>
      <c r="N3036" s="95">
        <v>1</v>
      </c>
      <c r="O3036" s="109">
        <f>IF(Key!D$1="ON",P3036,IF(SUM(Q3036:DL3036)&lt;1,"",SUM(Q3036:DL3036)/COUNTIF(Q3036:DL3036,"&gt;0")))</f>
        <v>0</v>
      </c>
      <c r="P3036" s="109">
        <f>SUMIFS(Q3036:DK3036,Q$1:DK$1,Dashboard!$K$31)</f>
        <v>0</v>
      </c>
      <c r="U3036" s="95">
        <v>33</v>
      </c>
      <c r="AA3036" s="95">
        <v>25</v>
      </c>
      <c r="AH3036" s="95">
        <v>75</v>
      </c>
    </row>
    <row r="3037" spans="1:34" ht="15.6" x14ac:dyDescent="0.3">
      <c r="A3037" s="89" t="str">
        <f>CONCATENATE(D3037,".",F3037,"-",G3037,".",H3037,"")</f>
        <v>2.5-2.1</v>
      </c>
      <c r="B3037" s="89" t="str">
        <f>IF(CONCATENATE(I3037,Key!F$2)=CONCATENATE(INDEX(Dashboard!J:J,MATCH(I3037,Dashboard!J:J,0),1),INDEX(Dashboard!J:K,MATCH(I3037,Dashboard!J:J,0),2)),"ON",IF(Dashboard!K$32="ALL","ON","-"))</f>
        <v>-</v>
      </c>
      <c r="C3037" s="96" t="s">
        <v>152</v>
      </c>
      <c r="D3037" s="89">
        <f>IF(C3037="ID",1,(IF(C3037="PR",2,(IF(C3037="DE",3,(IF(C3037="RS",4,(IF(C3037="RC",5,0)))))))))</f>
        <v>2</v>
      </c>
      <c r="E3037" s="89" t="s">
        <v>269</v>
      </c>
      <c r="F3037" s="89">
        <f>IF(E3037="AM",1,(IF(E3037="BE",2,(IF(E3037="GV",3,(IF(E3037="RA",4,(IF(E3037="RM",5,(IF(E3037="AC",1,(IF(E3037="AT",2,(IF(E3037="DS",3,(IF(E3037="IP",4,(IF(E3037="MA",5,(IF(E3037="PT",6,(IF(E3037="AE",1,(IF(E3037="CM",2,(IF(E3037="DP",3,(IF(E3037="AN",1,(IF(E3037="CO",2,(IF(E3037="IM",3,(IF(E3037="MI",4,(IF(E3037="RP",5,(IF(E3037="SC",6,0)))))))))))))))))))))))))))))))))))))))</f>
        <v>5</v>
      </c>
      <c r="G3037" s="52">
        <v>2</v>
      </c>
      <c r="H3037" s="90" t="s">
        <v>115</v>
      </c>
      <c r="I3037" s="94" t="s">
        <v>52</v>
      </c>
      <c r="J3037" s="88" t="s">
        <v>3441</v>
      </c>
      <c r="K3037" s="103" t="s">
        <v>3442</v>
      </c>
      <c r="L3037" s="117">
        <f>IF(O3037="","",N3037*O3037*M3037)</f>
        <v>0</v>
      </c>
      <c r="M3037" s="108">
        <v>1</v>
      </c>
      <c r="N3037" s="95">
        <v>1</v>
      </c>
      <c r="O3037" s="109">
        <f>IF(Key!D$1="ON",P3037,IF(SUM(Q3037:DL3037)&lt;1,"",SUM(Q3037:DL3037)/COUNTIF(Q3037:DL3037,"&gt;0")))</f>
        <v>0</v>
      </c>
      <c r="P3037" s="109">
        <f>SUMIFS(Q3037:DK3037,Q$1:DK$1,Dashboard!$K$31)</f>
        <v>0</v>
      </c>
      <c r="U3037" s="95">
        <v>33</v>
      </c>
      <c r="AA3037" s="95">
        <v>25</v>
      </c>
      <c r="AH3037" s="95">
        <v>75</v>
      </c>
    </row>
    <row r="3038" spans="1:34" ht="15.6" x14ac:dyDescent="0.3">
      <c r="A3038" s="89" t="str">
        <f>CONCATENATE(D3038,".",F3038,"-",G3038,".",H3038,"")</f>
        <v>2.5-2.1</v>
      </c>
      <c r="B3038" s="89" t="str">
        <f>IF(CONCATENATE(I3038,Key!F$2)=CONCATENATE(INDEX(Dashboard!J:J,MATCH(I3038,Dashboard!J:J,0),1),INDEX(Dashboard!J:K,MATCH(I3038,Dashboard!J:J,0),2)),"ON",IF(Dashboard!K$32="ALL","ON","-"))</f>
        <v>-</v>
      </c>
      <c r="C3038" s="88" t="s">
        <v>152</v>
      </c>
      <c r="D3038" s="89">
        <f>IF(C3038="ID",1,(IF(C3038="PR",2,(IF(C3038="DE",3,(IF(C3038="RS",4,(IF(C3038="RC",5,0)))))))))</f>
        <v>2</v>
      </c>
      <c r="E3038" s="89" t="s">
        <v>269</v>
      </c>
      <c r="F3038" s="89">
        <f>IF(E3038="AM",1,(IF(E3038="BE",2,(IF(E3038="GV",3,(IF(E3038="RA",4,(IF(E3038="RM",5,(IF(E3038="AC",1,(IF(E3038="AT",2,(IF(E3038="DS",3,(IF(E3038="IP",4,(IF(E3038="MA",5,(IF(E3038="PT",6,(IF(E3038="AE",1,(IF(E3038="CM",2,(IF(E3038="DP",3,(IF(E3038="AN",1,(IF(E3038="CO",2,(IF(E3038="IM",3,(IF(E3038="MI",4,(IF(E3038="RP",5,(IF(E3038="SC",6,0)))))))))))))))))))))))))))))))))))))))</f>
        <v>5</v>
      </c>
      <c r="G3038" s="52">
        <v>2</v>
      </c>
      <c r="H3038" s="90" t="s">
        <v>115</v>
      </c>
      <c r="I3038" s="94" t="s">
        <v>60</v>
      </c>
      <c r="J3038" s="87" t="s">
        <v>3256</v>
      </c>
      <c r="K3038" s="51" t="s">
        <v>5369</v>
      </c>
      <c r="L3038" s="117">
        <f>IF(O3038="","",N3038*O3038*M3038)</f>
        <v>0</v>
      </c>
      <c r="M3038" s="108">
        <v>1</v>
      </c>
      <c r="N3038" s="95">
        <v>1</v>
      </c>
      <c r="O3038" s="109">
        <f>IF(Key!D$1="ON",P3038,IF(SUM(Q3038:DL3038)&lt;1,"",SUM(Q3038:DL3038)/COUNTIF(Q3038:DL3038,"&gt;0")))</f>
        <v>0</v>
      </c>
      <c r="P3038" s="109">
        <f>SUMIFS(Q3038:DK3038,Q$1:DK$1,Dashboard!$K$31)</f>
        <v>0</v>
      </c>
      <c r="U3038" s="95">
        <v>33</v>
      </c>
      <c r="AA3038" s="95">
        <v>25</v>
      </c>
      <c r="AH3038" s="95">
        <v>75</v>
      </c>
    </row>
    <row r="3039" spans="1:34" x14ac:dyDescent="0.3">
      <c r="A3039" s="89" t="str">
        <f>CONCATENATE(D3039,".",F3039,"-",G3039,".",H3039,"")</f>
        <v>2.5-2.1</v>
      </c>
      <c r="B3039" s="89" t="str">
        <f>IF(CONCATENATE(I3039,Key!F$2)=CONCATENATE(INDEX(Dashboard!J:J,MATCH(I3039,Dashboard!J:J,0),1),INDEX(Dashboard!J:K,MATCH(I3039,Dashboard!J:J,0),2)),"ON",IF(Dashboard!K$32="ALL","ON","-"))</f>
        <v>-</v>
      </c>
      <c r="C3039" s="88" t="s">
        <v>152</v>
      </c>
      <c r="D3039" s="89">
        <f>IF(C3039="ID",1,(IF(C3039="PR",2,(IF(C3039="DE",3,(IF(C3039="RS",4,(IF(C3039="RC",5,0)))))))))</f>
        <v>2</v>
      </c>
      <c r="E3039" s="89" t="s">
        <v>269</v>
      </c>
      <c r="F3039" s="89">
        <f>IF(E3039="AM",1,(IF(E3039="BE",2,(IF(E3039="GV",3,(IF(E3039="RA",4,(IF(E3039="RM",5,(IF(E3039="AC",1,(IF(E3039="AT",2,(IF(E3039="DS",3,(IF(E3039="IP",4,(IF(E3039="MA",5,(IF(E3039="PT",6,(IF(E3039="AE",1,(IF(E3039="CM",2,(IF(E3039="DP",3,(IF(E3039="AN",1,(IF(E3039="CO",2,(IF(E3039="IM",3,(IF(E3039="MI",4,(IF(E3039="RP",5,(IF(E3039="SC",6,0)))))))))))))))))))))))))))))))))))))))</f>
        <v>5</v>
      </c>
      <c r="G3039" s="52">
        <v>2</v>
      </c>
      <c r="H3039" s="90" t="s">
        <v>115</v>
      </c>
      <c r="I3039" s="94" t="s">
        <v>60</v>
      </c>
      <c r="J3039" s="87" t="s">
        <v>3165</v>
      </c>
      <c r="K3039" s="51" t="s">
        <v>5278</v>
      </c>
      <c r="L3039" s="117">
        <f>IF(O3039="","",N3039*O3039*M3039)</f>
        <v>0</v>
      </c>
      <c r="M3039" s="108">
        <v>1</v>
      </c>
      <c r="N3039" s="95">
        <v>1</v>
      </c>
      <c r="O3039" s="109">
        <f>IF(Key!D$1="ON",P3039,IF(SUM(Q3039:DL3039)&lt;1,"",SUM(Q3039:DL3039)/COUNTIF(Q3039:DL3039,"&gt;0")))</f>
        <v>0</v>
      </c>
      <c r="P3039" s="109">
        <f>SUMIFS(Q3039:DK3039,Q$1:DK$1,Dashboard!$K$31)</f>
        <v>0</v>
      </c>
      <c r="U3039" s="95">
        <v>33</v>
      </c>
      <c r="AA3039" s="95">
        <v>25</v>
      </c>
      <c r="AH3039" s="95">
        <v>75</v>
      </c>
    </row>
    <row r="3040" spans="1:34" x14ac:dyDescent="0.3">
      <c r="A3040" s="89" t="str">
        <f>CONCATENATE(D3040,".",F3040,"-",G3040,".",H3040,"")</f>
        <v>2.5-2.1</v>
      </c>
      <c r="B3040" s="89" t="str">
        <f>IF(CONCATENATE(I3040,Key!F$2)=CONCATENATE(INDEX(Dashboard!J:J,MATCH(I3040,Dashboard!J:J,0),1),INDEX(Dashboard!J:K,MATCH(I3040,Dashboard!J:J,0),2)),"ON",IF(Dashboard!K$32="ALL","ON","-"))</f>
        <v>-</v>
      </c>
      <c r="C3040" s="88" t="s">
        <v>152</v>
      </c>
      <c r="D3040" s="89">
        <f>IF(C3040="ID",1,(IF(C3040="PR",2,(IF(C3040="DE",3,(IF(C3040="RS",4,(IF(C3040="RC",5,0)))))))))</f>
        <v>2</v>
      </c>
      <c r="E3040" s="89" t="s">
        <v>269</v>
      </c>
      <c r="F3040" s="89">
        <f>IF(E3040="AM",1,(IF(E3040="BE",2,(IF(E3040="GV",3,(IF(E3040="RA",4,(IF(E3040="RM",5,(IF(E3040="AC",1,(IF(E3040="AT",2,(IF(E3040="DS",3,(IF(E3040="IP",4,(IF(E3040="MA",5,(IF(E3040="PT",6,(IF(E3040="AE",1,(IF(E3040="CM",2,(IF(E3040="DP",3,(IF(E3040="AN",1,(IF(E3040="CO",2,(IF(E3040="IM",3,(IF(E3040="MI",4,(IF(E3040="RP",5,(IF(E3040="SC",6,0)))))))))))))))))))))))))))))))))))))))</f>
        <v>5</v>
      </c>
      <c r="G3040" s="52">
        <v>2</v>
      </c>
      <c r="H3040" s="89">
        <v>1</v>
      </c>
      <c r="I3040" s="94" t="s">
        <v>60</v>
      </c>
      <c r="J3040" s="88" t="s">
        <v>3132</v>
      </c>
      <c r="K3040" s="51" t="s">
        <v>5245</v>
      </c>
      <c r="L3040" s="117">
        <f>IF(O3040="","",N3040*O3040*M3040)</f>
        <v>0</v>
      </c>
      <c r="M3040" s="108">
        <v>1</v>
      </c>
      <c r="N3040" s="95">
        <v>1</v>
      </c>
      <c r="O3040" s="109">
        <f>IF(Key!D$1="ON",P3040,IF(SUM(Q3040:DL3040)&lt;1,"",SUM(Q3040:DL3040)/COUNTIF(Q3040:DL3040,"&gt;0")))</f>
        <v>0</v>
      </c>
      <c r="P3040" s="109">
        <f>SUMIFS(Q3040:DK3040,Q$1:DK$1,Dashboard!$K$31)</f>
        <v>0</v>
      </c>
      <c r="U3040" s="95">
        <v>33</v>
      </c>
      <c r="AA3040" s="95">
        <v>25</v>
      </c>
      <c r="AH3040" s="95">
        <v>75</v>
      </c>
    </row>
    <row r="3041" spans="1:34" x14ac:dyDescent="0.3">
      <c r="A3041" s="89" t="str">
        <f>CONCATENATE(D3041,".",F3041,"-",G3041,".",H3041,"")</f>
        <v>2.5-2.1</v>
      </c>
      <c r="B3041" s="89" t="str">
        <f>IF(CONCATENATE(I3041,Key!F$2)=CONCATENATE(INDEX(Dashboard!J:J,MATCH(I3041,Dashboard!J:J,0),1),INDEX(Dashboard!J:K,MATCH(I3041,Dashboard!J:J,0),2)),"ON",IF(Dashboard!K$32="ALL","ON","-"))</f>
        <v>-</v>
      </c>
      <c r="C3041" s="88" t="s">
        <v>152</v>
      </c>
      <c r="D3041" s="89">
        <f>IF(C3041="ID",1,(IF(C3041="PR",2,(IF(C3041="DE",3,(IF(C3041="RS",4,(IF(C3041="RC",5,0)))))))))</f>
        <v>2</v>
      </c>
      <c r="E3041" s="89" t="s">
        <v>269</v>
      </c>
      <c r="F3041" s="89">
        <f>IF(E3041="AM",1,(IF(E3041="BE",2,(IF(E3041="GV",3,(IF(E3041="RA",4,(IF(E3041="RM",5,(IF(E3041="AC",1,(IF(E3041="AT",2,(IF(E3041="DS",3,(IF(E3041="IP",4,(IF(E3041="MA",5,(IF(E3041="PT",6,(IF(E3041="AE",1,(IF(E3041="CM",2,(IF(E3041="DP",3,(IF(E3041="AN",1,(IF(E3041="CO",2,(IF(E3041="IM",3,(IF(E3041="MI",4,(IF(E3041="RP",5,(IF(E3041="SC",6,0)))))))))))))))))))))))))))))))))))))))</f>
        <v>5</v>
      </c>
      <c r="G3041" s="98">
        <v>2</v>
      </c>
      <c r="H3041" s="99">
        <v>1</v>
      </c>
      <c r="I3041" s="94" t="s">
        <v>73</v>
      </c>
      <c r="J3041" s="86" t="s">
        <v>4182</v>
      </c>
      <c r="K3041" s="107" t="s">
        <v>4309</v>
      </c>
      <c r="L3041" s="117">
        <f>IF(O3041="","",N3041*O3041*M3041)</f>
        <v>0</v>
      </c>
      <c r="M3041" s="108">
        <v>1</v>
      </c>
      <c r="N3041" s="95">
        <v>1</v>
      </c>
      <c r="O3041" s="109">
        <f>IF(Key!D$1="ON",P3041,IF(SUM(Q3041:DL3041)&lt;1,"",SUM(Q3041:DL3041)/COUNTIF(Q3041:DL3041,"&gt;0")))</f>
        <v>0</v>
      </c>
      <c r="P3041" s="109">
        <f>SUMIFS(Q3041:DK3041,Q$1:DK$1,Dashboard!$K$31)</f>
        <v>0</v>
      </c>
      <c r="U3041" s="95">
        <v>33</v>
      </c>
      <c r="AA3041" s="95">
        <v>25</v>
      </c>
      <c r="AH3041" s="95">
        <v>75</v>
      </c>
    </row>
    <row r="3042" spans="1:34" ht="15.6" x14ac:dyDescent="0.3">
      <c r="A3042" s="89" t="str">
        <f>CONCATENATE(D3042,".",F3042,"-",G3042,".",H3042,"")</f>
        <v>2.5-2.1</v>
      </c>
      <c r="B3042" s="89" t="str">
        <f>IF(CONCATENATE(I3042,Key!F$2)=CONCATENATE(INDEX(Dashboard!J:J,MATCH(I3042,Dashboard!J:J,0),1),INDEX(Dashboard!J:K,MATCH(I3042,Dashboard!J:J,0),2)),"ON",IF(Dashboard!K$32="ALL","ON","-"))</f>
        <v>-</v>
      </c>
      <c r="C3042" s="96" t="s">
        <v>152</v>
      </c>
      <c r="D3042" s="89">
        <f>IF(C3042="ID",1,(IF(C3042="PR",2,(IF(C3042="DE",3,(IF(C3042="RS",4,(IF(C3042="RC",5,0)))))))))</f>
        <v>2</v>
      </c>
      <c r="E3042" s="89" t="s">
        <v>269</v>
      </c>
      <c r="F3042" s="89">
        <f>IF(E3042="AM",1,(IF(E3042="BE",2,(IF(E3042="GV",3,(IF(E3042="RA",4,(IF(E3042="RM",5,(IF(E3042="AC",1,(IF(E3042="AT",2,(IF(E3042="DS",3,(IF(E3042="IP",4,(IF(E3042="MA",5,(IF(E3042="PT",6,(IF(E3042="AE",1,(IF(E3042="CM",2,(IF(E3042="DP",3,(IF(E3042="AN",1,(IF(E3042="CO",2,(IF(E3042="IM",3,(IF(E3042="MI",4,(IF(E3042="RP",5,(IF(E3042="SC",6,0)))))))))))))))))))))))))))))))))))))))</f>
        <v>5</v>
      </c>
      <c r="G3042" s="52">
        <v>2</v>
      </c>
      <c r="H3042" s="90" t="s">
        <v>115</v>
      </c>
      <c r="I3042" s="94" t="s">
        <v>77</v>
      </c>
      <c r="J3042" s="87" t="s">
        <v>1698</v>
      </c>
      <c r="K3042" s="102" t="s">
        <v>2630</v>
      </c>
      <c r="L3042" s="117">
        <f>IF(O3042="","",N3042*O3042*M3042)</f>
        <v>0</v>
      </c>
      <c r="M3042" s="108">
        <v>1</v>
      </c>
      <c r="N3042" s="95">
        <v>1</v>
      </c>
      <c r="O3042" s="109">
        <f>IF(Key!D$1="ON",P3042,IF(SUM(Q3042:DL3042)&lt;1,"",SUM(Q3042:DL3042)/COUNTIF(Q3042:DL3042,"&gt;0")))</f>
        <v>0</v>
      </c>
      <c r="P3042" s="109">
        <f>SUMIFS(Q3042:DK3042,Q$1:DK$1,Dashboard!$K$31)</f>
        <v>0</v>
      </c>
      <c r="U3042" s="95">
        <v>33</v>
      </c>
      <c r="AA3042" s="95">
        <v>25</v>
      </c>
      <c r="AH3042" s="95">
        <v>75</v>
      </c>
    </row>
    <row r="3043" spans="1:34" x14ac:dyDescent="0.3">
      <c r="A3043" s="89" t="str">
        <f>CONCATENATE(D3043,".",F3043,"-",G3043,".",H3043,"")</f>
        <v>2.5-2.1</v>
      </c>
      <c r="B3043" s="89" t="str">
        <f>IF(CONCATENATE(I3043,Key!F$2)=CONCATENATE(INDEX(Dashboard!J:J,MATCH(I3043,Dashboard!J:J,0),1),INDEX(Dashboard!J:K,MATCH(I3043,Dashboard!J:J,0),2)),"ON",IF(Dashboard!K$32="ALL","ON","-"))</f>
        <v>-</v>
      </c>
      <c r="C3043" s="88" t="s">
        <v>152</v>
      </c>
      <c r="D3043" s="89">
        <f>IF(C3043="ID",1,(IF(C3043="PR",2,(IF(C3043="DE",3,(IF(C3043="RS",4,(IF(C3043="RC",5,0)))))))))</f>
        <v>2</v>
      </c>
      <c r="E3043" s="89" t="s">
        <v>269</v>
      </c>
      <c r="F3043" s="89">
        <f>IF(E3043="AM",1,(IF(E3043="BE",2,(IF(E3043="GV",3,(IF(E3043="RA",4,(IF(E3043="RM",5,(IF(E3043="AC",1,(IF(E3043="AT",2,(IF(E3043="DS",3,(IF(E3043="IP",4,(IF(E3043="MA",5,(IF(E3043="PT",6,(IF(E3043="AE",1,(IF(E3043="CM",2,(IF(E3043="DP",3,(IF(E3043="AN",1,(IF(E3043="CO",2,(IF(E3043="IM",3,(IF(E3043="MI",4,(IF(E3043="RP",5,(IF(E3043="SC",6,0)))))))))))))))))))))))))))))))))))))))</f>
        <v>5</v>
      </c>
      <c r="G3043" s="52">
        <v>2</v>
      </c>
      <c r="H3043" s="90" t="s">
        <v>115</v>
      </c>
      <c r="I3043" s="94" t="s">
        <v>77</v>
      </c>
      <c r="J3043" s="87" t="s">
        <v>1700</v>
      </c>
      <c r="K3043" s="102" t="s">
        <v>2631</v>
      </c>
      <c r="L3043" s="117">
        <f>IF(O3043="","",N3043*O3043*M3043)</f>
        <v>0</v>
      </c>
      <c r="M3043" s="108">
        <v>1</v>
      </c>
      <c r="N3043" s="95">
        <v>1</v>
      </c>
      <c r="O3043" s="109">
        <f>IF(Key!D$1="ON",P3043,IF(SUM(Q3043:DL3043)&lt;1,"",SUM(Q3043:DL3043)/COUNTIF(Q3043:DL3043,"&gt;0")))</f>
        <v>0</v>
      </c>
      <c r="P3043" s="109">
        <f>SUMIFS(Q3043:DK3043,Q$1:DK$1,Dashboard!$K$31)</f>
        <v>0</v>
      </c>
      <c r="U3043" s="95">
        <v>33</v>
      </c>
      <c r="AA3043" s="95">
        <v>25</v>
      </c>
      <c r="AH3043" s="95">
        <v>75</v>
      </c>
    </row>
    <row r="3044" spans="1:34" x14ac:dyDescent="0.3">
      <c r="A3044" s="89" t="str">
        <f>CONCATENATE(D3044,".",F3044,"-",G3044,".",H3044,"")</f>
        <v>2.5-2.1</v>
      </c>
      <c r="B3044" s="89" t="str">
        <f>IF(CONCATENATE(I3044,Key!F$2)=CONCATENATE(INDEX(Dashboard!J:J,MATCH(I3044,Dashboard!J:J,0),1),INDEX(Dashboard!J:K,MATCH(I3044,Dashboard!J:J,0),2)),"ON",IF(Dashboard!K$32="ALL","ON","-"))</f>
        <v>-</v>
      </c>
      <c r="C3044" s="88" t="s">
        <v>152</v>
      </c>
      <c r="D3044" s="89">
        <f>IF(C3044="ID",1,(IF(C3044="PR",2,(IF(C3044="DE",3,(IF(C3044="RS",4,(IF(C3044="RC",5,0)))))))))</f>
        <v>2</v>
      </c>
      <c r="E3044" s="89" t="s">
        <v>269</v>
      </c>
      <c r="F3044" s="89">
        <f>IF(E3044="AM",1,(IF(E3044="BE",2,(IF(E3044="GV",3,(IF(E3044="RA",4,(IF(E3044="RM",5,(IF(E3044="AC",1,(IF(E3044="AT",2,(IF(E3044="DS",3,(IF(E3044="IP",4,(IF(E3044="MA",5,(IF(E3044="PT",6,(IF(E3044="AE",1,(IF(E3044="CM",2,(IF(E3044="DP",3,(IF(E3044="AN",1,(IF(E3044="CO",2,(IF(E3044="IM",3,(IF(E3044="MI",4,(IF(E3044="RP",5,(IF(E3044="SC",6,0)))))))))))))))))))))))))))))))))))))))</f>
        <v>5</v>
      </c>
      <c r="G3044" s="52">
        <v>2</v>
      </c>
      <c r="H3044" s="90" t="s">
        <v>115</v>
      </c>
      <c r="I3044" s="94" t="s">
        <v>77</v>
      </c>
      <c r="J3044" s="87" t="s">
        <v>1701</v>
      </c>
      <c r="K3044" s="102" t="s">
        <v>2632</v>
      </c>
      <c r="L3044" s="117">
        <f>IF(O3044="","",N3044*O3044*M3044)</f>
        <v>0</v>
      </c>
      <c r="M3044" s="108">
        <v>1</v>
      </c>
      <c r="N3044" s="95">
        <v>1</v>
      </c>
      <c r="O3044" s="109">
        <f>IF(Key!D$1="ON",P3044,IF(SUM(Q3044:DL3044)&lt;1,"",SUM(Q3044:DL3044)/COUNTIF(Q3044:DL3044,"&gt;0")))</f>
        <v>0</v>
      </c>
      <c r="P3044" s="109">
        <f>SUMIFS(Q3044:DK3044,Q$1:DK$1,Dashboard!$K$31)</f>
        <v>0</v>
      </c>
      <c r="U3044" s="95">
        <v>33</v>
      </c>
      <c r="AA3044" s="95">
        <v>25</v>
      </c>
      <c r="AH3044" s="95">
        <v>75</v>
      </c>
    </row>
    <row r="3045" spans="1:34" x14ac:dyDescent="0.3">
      <c r="A3045" s="89" t="str">
        <f>CONCATENATE(D3045,".",F3045,"-",G3045,".",H3045,"")</f>
        <v>2.5-2.1</v>
      </c>
      <c r="B3045" s="89" t="str">
        <f>IF(CONCATENATE(I3045,Key!F$2)=CONCATENATE(INDEX(Dashboard!J:J,MATCH(I3045,Dashboard!J:J,0),1),INDEX(Dashboard!J:K,MATCH(I3045,Dashboard!J:J,0),2)),"ON",IF(Dashboard!K$32="ALL","ON","-"))</f>
        <v>-</v>
      </c>
      <c r="C3045" s="88" t="s">
        <v>152</v>
      </c>
      <c r="D3045" s="89">
        <f>IF(C3045="ID",1,(IF(C3045="PR",2,(IF(C3045="DE",3,(IF(C3045="RS",4,(IF(C3045="RC",5,0)))))))))</f>
        <v>2</v>
      </c>
      <c r="E3045" s="89" t="s">
        <v>269</v>
      </c>
      <c r="F3045" s="89">
        <f>IF(E3045="AM",1,(IF(E3045="BE",2,(IF(E3045="GV",3,(IF(E3045="RA",4,(IF(E3045="RM",5,(IF(E3045="AC",1,(IF(E3045="AT",2,(IF(E3045="DS",3,(IF(E3045="IP",4,(IF(E3045="MA",5,(IF(E3045="PT",6,(IF(E3045="AE",1,(IF(E3045="CM",2,(IF(E3045="DP",3,(IF(E3045="AN",1,(IF(E3045="CO",2,(IF(E3045="IM",3,(IF(E3045="MI",4,(IF(E3045="RP",5,(IF(E3045="SC",6,0)))))))))))))))))))))))))))))))))))))))</f>
        <v>5</v>
      </c>
      <c r="G3045" s="52">
        <v>2</v>
      </c>
      <c r="H3045" s="90" t="s">
        <v>115</v>
      </c>
      <c r="I3045" s="94" t="s">
        <v>77</v>
      </c>
      <c r="J3045" s="87" t="s">
        <v>1702</v>
      </c>
      <c r="K3045" s="102" t="s">
        <v>2633</v>
      </c>
      <c r="L3045" s="117">
        <f>IF(O3045="","",N3045*O3045*M3045)</f>
        <v>0</v>
      </c>
      <c r="M3045" s="108">
        <v>1</v>
      </c>
      <c r="N3045" s="95">
        <v>1</v>
      </c>
      <c r="O3045" s="109">
        <f>IF(Key!D$1="ON",P3045,IF(SUM(Q3045:DL3045)&lt;1,"",SUM(Q3045:DL3045)/COUNTIF(Q3045:DL3045,"&gt;0")))</f>
        <v>0</v>
      </c>
      <c r="P3045" s="109">
        <f>SUMIFS(Q3045:DK3045,Q$1:DK$1,Dashboard!$K$31)</f>
        <v>0</v>
      </c>
      <c r="U3045" s="95">
        <v>33</v>
      </c>
      <c r="AA3045" s="95">
        <v>25</v>
      </c>
      <c r="AH3045" s="95">
        <v>75</v>
      </c>
    </row>
    <row r="3046" spans="1:34" x14ac:dyDescent="0.3">
      <c r="A3046" s="89" t="str">
        <f>CONCATENATE(D3046,".",F3046,"-",G3046,".",H3046,"")</f>
        <v>2.5-2.1</v>
      </c>
      <c r="B3046" s="89" t="str">
        <f>IF(CONCATENATE(I3046,Key!F$2)=CONCATENATE(INDEX(Dashboard!J:J,MATCH(I3046,Dashboard!J:J,0),1),INDEX(Dashboard!J:K,MATCH(I3046,Dashboard!J:J,0),2)),"ON",IF(Dashboard!K$32="ALL","ON","-"))</f>
        <v>-</v>
      </c>
      <c r="C3046" s="88" t="s">
        <v>152</v>
      </c>
      <c r="D3046" s="89">
        <f>IF(C3046="ID",1,(IF(C3046="PR",2,(IF(C3046="DE",3,(IF(C3046="RS",4,(IF(C3046="RC",5,0)))))))))</f>
        <v>2</v>
      </c>
      <c r="E3046" s="89" t="s">
        <v>269</v>
      </c>
      <c r="F3046" s="89">
        <f>IF(E3046="AM",1,(IF(E3046="BE",2,(IF(E3046="GV",3,(IF(E3046="RA",4,(IF(E3046="RM",5,(IF(E3046="AC",1,(IF(E3046="AT",2,(IF(E3046="DS",3,(IF(E3046="IP",4,(IF(E3046="MA",5,(IF(E3046="PT",6,(IF(E3046="AE",1,(IF(E3046="CM",2,(IF(E3046="DP",3,(IF(E3046="AN",1,(IF(E3046="CO",2,(IF(E3046="IM",3,(IF(E3046="MI",4,(IF(E3046="RP",5,(IF(E3046="SC",6,0)))))))))))))))))))))))))))))))))))))))</f>
        <v>5</v>
      </c>
      <c r="G3046" s="52">
        <v>2</v>
      </c>
      <c r="H3046" s="90" t="s">
        <v>115</v>
      </c>
      <c r="I3046" s="94" t="s">
        <v>77</v>
      </c>
      <c r="J3046" s="87" t="s">
        <v>1703</v>
      </c>
      <c r="K3046" s="102" t="s">
        <v>2634</v>
      </c>
      <c r="L3046" s="117">
        <f>IF(O3046="","",N3046*O3046*M3046)</f>
        <v>0</v>
      </c>
      <c r="M3046" s="108">
        <v>1</v>
      </c>
      <c r="N3046" s="95">
        <v>1</v>
      </c>
      <c r="O3046" s="109">
        <f>IF(Key!D$1="ON",P3046,IF(SUM(Q3046:DL3046)&lt;1,"",SUM(Q3046:DL3046)/COUNTIF(Q3046:DL3046,"&gt;0")))</f>
        <v>0</v>
      </c>
      <c r="P3046" s="109">
        <f>SUMIFS(Q3046:DK3046,Q$1:DK$1,Dashboard!$K$31)</f>
        <v>0</v>
      </c>
      <c r="U3046" s="95">
        <v>33</v>
      </c>
      <c r="AA3046" s="95">
        <v>25</v>
      </c>
      <c r="AH3046" s="95">
        <v>75</v>
      </c>
    </row>
    <row r="3047" spans="1:34" x14ac:dyDescent="0.3">
      <c r="A3047" s="89" t="str">
        <f>CONCATENATE(D3047,".",F3047,"-",G3047,".",H3047,"")</f>
        <v>2.5-2.1</v>
      </c>
      <c r="B3047" s="89" t="str">
        <f>IF(CONCATENATE(I3047,Key!F$2)=CONCATENATE(INDEX(Dashboard!J:J,MATCH(I3047,Dashboard!J:J,0),1),INDEX(Dashboard!J:K,MATCH(I3047,Dashboard!J:J,0),2)),"ON",IF(Dashboard!K$32="ALL","ON","-"))</f>
        <v>-</v>
      </c>
      <c r="C3047" s="88" t="s">
        <v>152</v>
      </c>
      <c r="D3047" s="89">
        <f>IF(C3047="ID",1,(IF(C3047="PR",2,(IF(C3047="DE",3,(IF(C3047="RS",4,(IF(C3047="RC",5,0)))))))))</f>
        <v>2</v>
      </c>
      <c r="E3047" s="89" t="s">
        <v>269</v>
      </c>
      <c r="F3047" s="89">
        <f>IF(E3047="AM",1,(IF(E3047="BE",2,(IF(E3047="GV",3,(IF(E3047="RA",4,(IF(E3047="RM",5,(IF(E3047="AC",1,(IF(E3047="AT",2,(IF(E3047="DS",3,(IF(E3047="IP",4,(IF(E3047="MA",5,(IF(E3047="PT",6,(IF(E3047="AE",1,(IF(E3047="CM",2,(IF(E3047="DP",3,(IF(E3047="AN",1,(IF(E3047="CO",2,(IF(E3047="IM",3,(IF(E3047="MI",4,(IF(E3047="RP",5,(IF(E3047="SC",6,0)))))))))))))))))))))))))))))))))))))))</f>
        <v>5</v>
      </c>
      <c r="G3047" s="52">
        <v>2</v>
      </c>
      <c r="H3047" s="90" t="s">
        <v>115</v>
      </c>
      <c r="I3047" s="94" t="s">
        <v>77</v>
      </c>
      <c r="J3047" s="87" t="s">
        <v>1704</v>
      </c>
      <c r="K3047" s="102" t="s">
        <v>2635</v>
      </c>
      <c r="L3047" s="117">
        <f>IF(O3047="","",N3047*O3047*M3047)</f>
        <v>0</v>
      </c>
      <c r="M3047" s="108">
        <v>1</v>
      </c>
      <c r="N3047" s="95">
        <v>1</v>
      </c>
      <c r="O3047" s="109">
        <f>IF(Key!D$1="ON",P3047,IF(SUM(Q3047:DL3047)&lt;1,"",SUM(Q3047:DL3047)/COUNTIF(Q3047:DL3047,"&gt;0")))</f>
        <v>0</v>
      </c>
      <c r="P3047" s="109">
        <f>SUMIFS(Q3047:DK3047,Q$1:DK$1,Dashboard!$K$31)</f>
        <v>0</v>
      </c>
      <c r="U3047" s="95">
        <v>33</v>
      </c>
      <c r="AA3047" s="95">
        <v>25</v>
      </c>
      <c r="AH3047" s="95">
        <v>75</v>
      </c>
    </row>
    <row r="3048" spans="1:34" ht="15.6" x14ac:dyDescent="0.3">
      <c r="A3048" s="89" t="str">
        <f>CONCATENATE(D3048,".",F3048,"-",G3048,".",H3048,"")</f>
        <v>2.5-2.1</v>
      </c>
      <c r="B3048" s="89" t="str">
        <f>IF(CONCATENATE(I3048,Key!F$2)=CONCATENATE(INDEX(Dashboard!J:J,MATCH(I3048,Dashboard!J:J,0),1),INDEX(Dashboard!J:K,MATCH(I3048,Dashboard!J:J,0),2)),"ON",IF(Dashboard!K$32="ALL","ON","-"))</f>
        <v>-</v>
      </c>
      <c r="C3048" s="88" t="s">
        <v>152</v>
      </c>
      <c r="D3048" s="89">
        <f>IF(C3048="ID",1,(IF(C3048="PR",2,(IF(C3048="DE",3,(IF(C3048="RS",4,(IF(C3048="RC",5,0)))))))))</f>
        <v>2</v>
      </c>
      <c r="E3048" s="89" t="s">
        <v>269</v>
      </c>
      <c r="F3048" s="89">
        <f>IF(E3048="AM",1,(IF(E3048="BE",2,(IF(E3048="GV",3,(IF(E3048="RA",4,(IF(E3048="RM",5,(IF(E3048="AC",1,(IF(E3048="AT",2,(IF(E3048="DS",3,(IF(E3048="IP",4,(IF(E3048="MA",5,(IF(E3048="PT",6,(IF(E3048="AE",1,(IF(E3048="CM",2,(IF(E3048="DP",3,(IF(E3048="AN",1,(IF(E3048="CO",2,(IF(E3048="IM",3,(IF(E3048="MI",4,(IF(E3048="RP",5,(IF(E3048="SC",6,0)))))))))))))))))))))))))))))))))))))))</f>
        <v>5</v>
      </c>
      <c r="G3048" s="52">
        <v>2</v>
      </c>
      <c r="H3048" s="90" t="s">
        <v>115</v>
      </c>
      <c r="I3048" s="94" t="s">
        <v>77</v>
      </c>
      <c r="J3048" s="87" t="s">
        <v>1705</v>
      </c>
      <c r="K3048" s="102" t="s">
        <v>2636</v>
      </c>
      <c r="L3048" s="117">
        <f>IF(O3048="","",N3048*O3048*M3048)</f>
        <v>0</v>
      </c>
      <c r="M3048" s="108">
        <v>1</v>
      </c>
      <c r="N3048" s="95">
        <v>1</v>
      </c>
      <c r="O3048" s="109">
        <f>IF(Key!D$1="ON",P3048,IF(SUM(Q3048:DL3048)&lt;1,"",SUM(Q3048:DL3048)/COUNTIF(Q3048:DL3048,"&gt;0")))</f>
        <v>0</v>
      </c>
      <c r="P3048" s="109">
        <f>SUMIFS(Q3048:DK3048,Q$1:DK$1,Dashboard!$K$31)</f>
        <v>0</v>
      </c>
      <c r="U3048" s="95">
        <v>33</v>
      </c>
      <c r="AA3048" s="95">
        <v>25</v>
      </c>
      <c r="AH3048" s="95">
        <v>75</v>
      </c>
    </row>
    <row r="3049" spans="1:34" x14ac:dyDescent="0.3">
      <c r="A3049" s="89" t="str">
        <f>CONCATENATE(D3049,".",F3049,"-",G3049,".",H3049,"")</f>
        <v>2.5-2.1</v>
      </c>
      <c r="B3049" s="89" t="str">
        <f>IF(CONCATENATE(I3049,Key!F$2)=CONCATENATE(INDEX(Dashboard!J:J,MATCH(I3049,Dashboard!J:J,0),1),INDEX(Dashboard!J:K,MATCH(I3049,Dashboard!J:J,0),2)),"ON",IF(Dashboard!K$32="ALL","ON","-"))</f>
        <v>-</v>
      </c>
      <c r="C3049" s="88" t="s">
        <v>152</v>
      </c>
      <c r="D3049" s="89">
        <f>IF(C3049="ID",1,(IF(C3049="PR",2,(IF(C3049="DE",3,(IF(C3049="RS",4,(IF(C3049="RC",5,0)))))))))</f>
        <v>2</v>
      </c>
      <c r="E3049" s="89" t="s">
        <v>269</v>
      </c>
      <c r="F3049" s="89">
        <f>IF(E3049="AM",1,(IF(E3049="BE",2,(IF(E3049="GV",3,(IF(E3049="RA",4,(IF(E3049="RM",5,(IF(E3049="AC",1,(IF(E3049="AT",2,(IF(E3049="DS",3,(IF(E3049="IP",4,(IF(E3049="MA",5,(IF(E3049="PT",6,(IF(E3049="AE",1,(IF(E3049="CM",2,(IF(E3049="DP",3,(IF(E3049="AN",1,(IF(E3049="CO",2,(IF(E3049="IM",3,(IF(E3049="MI",4,(IF(E3049="RP",5,(IF(E3049="SC",6,0)))))))))))))))))))))))))))))))))))))))</f>
        <v>5</v>
      </c>
      <c r="G3049" s="52">
        <v>2</v>
      </c>
      <c r="H3049" s="90" t="s">
        <v>115</v>
      </c>
      <c r="I3049" s="94" t="s">
        <v>77</v>
      </c>
      <c r="J3049" s="87" t="s">
        <v>1706</v>
      </c>
      <c r="K3049" s="102" t="s">
        <v>2637</v>
      </c>
      <c r="L3049" s="117">
        <f>IF(O3049="","",N3049*O3049*M3049)</f>
        <v>0</v>
      </c>
      <c r="M3049" s="108">
        <v>1</v>
      </c>
      <c r="N3049" s="95">
        <v>1</v>
      </c>
      <c r="O3049" s="109">
        <f>IF(Key!D$1="ON",P3049,IF(SUM(Q3049:DL3049)&lt;1,"",SUM(Q3049:DL3049)/COUNTIF(Q3049:DL3049,"&gt;0")))</f>
        <v>0</v>
      </c>
      <c r="P3049" s="109">
        <f>SUMIFS(Q3049:DK3049,Q$1:DK$1,Dashboard!$K$31)</f>
        <v>0</v>
      </c>
      <c r="U3049" s="95">
        <v>33</v>
      </c>
      <c r="AA3049" s="95">
        <v>25</v>
      </c>
      <c r="AH3049" s="95">
        <v>75</v>
      </c>
    </row>
    <row r="3050" spans="1:34" ht="15.6" x14ac:dyDescent="0.3">
      <c r="A3050" s="89" t="str">
        <f>CONCATENATE(D3050,".",F3050,"-",G3050,".",H3050,"")</f>
        <v>2.5-2.1</v>
      </c>
      <c r="B3050" s="89" t="str">
        <f>IF(CONCATENATE(I3050,Key!F$2)=CONCATENATE(INDEX(Dashboard!J:J,MATCH(I3050,Dashboard!J:J,0),1),INDEX(Dashboard!J:K,MATCH(I3050,Dashboard!J:J,0),2)),"ON",IF(Dashboard!K$32="ALL","ON","-"))</f>
        <v>-</v>
      </c>
      <c r="C3050" s="88" t="s">
        <v>152</v>
      </c>
      <c r="D3050" s="89">
        <f>IF(C3050="ID",1,(IF(C3050="PR",2,(IF(C3050="DE",3,(IF(C3050="RS",4,(IF(C3050="RC",5,0)))))))))</f>
        <v>2</v>
      </c>
      <c r="E3050" s="89" t="s">
        <v>269</v>
      </c>
      <c r="F3050" s="89">
        <f>IF(E3050="AM",1,(IF(E3050="BE",2,(IF(E3050="GV",3,(IF(E3050="RA",4,(IF(E3050="RM",5,(IF(E3050="AC",1,(IF(E3050="AT",2,(IF(E3050="DS",3,(IF(E3050="IP",4,(IF(E3050="MA",5,(IF(E3050="PT",6,(IF(E3050="AE",1,(IF(E3050="CM",2,(IF(E3050="DP",3,(IF(E3050="AN",1,(IF(E3050="CO",2,(IF(E3050="IM",3,(IF(E3050="MI",4,(IF(E3050="RP",5,(IF(E3050="SC",6,0)))))))))))))))))))))))))))))))))))))))</f>
        <v>5</v>
      </c>
      <c r="G3050" s="52">
        <v>2</v>
      </c>
      <c r="H3050" s="90" t="s">
        <v>115</v>
      </c>
      <c r="I3050" s="94" t="s">
        <v>85</v>
      </c>
      <c r="J3050" s="87" t="s">
        <v>1704</v>
      </c>
      <c r="K3050" s="119" t="s">
        <v>4824</v>
      </c>
      <c r="L3050" s="117">
        <f>IF(O3050="","",N3050*O3050*M3050)</f>
        <v>0</v>
      </c>
      <c r="M3050" s="108">
        <v>1</v>
      </c>
      <c r="N3050" s="95">
        <v>1</v>
      </c>
      <c r="O3050" s="109">
        <f>IF(Key!D$1="ON",P3050,IF(SUM(Q3050:DL3050)&lt;1,"",SUM(Q3050:DL3050)/COUNTIF(Q3050:DL3050,"&gt;0")))</f>
        <v>0</v>
      </c>
      <c r="P3050" s="109">
        <f>SUMIFS(Q3050:DK3050,Q$1:DK$1,Dashboard!$K$31)</f>
        <v>0</v>
      </c>
      <c r="U3050" s="95">
        <v>33</v>
      </c>
      <c r="AA3050" s="95">
        <v>25</v>
      </c>
      <c r="AH3050" s="95">
        <v>75</v>
      </c>
    </row>
    <row r="3051" spans="1:34" ht="15.6" x14ac:dyDescent="0.3">
      <c r="A3051" s="89" t="str">
        <f>CONCATENATE(D3051,".",F3051,"-",G3051,".",H3051,"")</f>
        <v>2.5-2.1</v>
      </c>
      <c r="B3051" s="89" t="str">
        <f>IF(CONCATENATE(I3051,Key!F$2)=CONCATENATE(INDEX(Dashboard!J:J,MATCH(I3051,Dashboard!J:J,0),1),INDEX(Dashboard!J:K,MATCH(I3051,Dashboard!J:J,0),2)),"ON",IF(Dashboard!K$32="ALL","ON","-"))</f>
        <v>-</v>
      </c>
      <c r="C3051" s="88" t="s">
        <v>152</v>
      </c>
      <c r="D3051" s="89">
        <f>IF(C3051="ID",1,(IF(C3051="PR",2,(IF(C3051="DE",3,(IF(C3051="RS",4,(IF(C3051="RC",5,0)))))))))</f>
        <v>2</v>
      </c>
      <c r="E3051" s="89" t="s">
        <v>269</v>
      </c>
      <c r="F3051" s="89">
        <f>IF(E3051="AM",1,(IF(E3051="BE",2,(IF(E3051="GV",3,(IF(E3051="RA",4,(IF(E3051="RM",5,(IF(E3051="AC",1,(IF(E3051="AT",2,(IF(E3051="DS",3,(IF(E3051="IP",4,(IF(E3051="MA",5,(IF(E3051="PT",6,(IF(E3051="AE",1,(IF(E3051="CM",2,(IF(E3051="DP",3,(IF(E3051="AN",1,(IF(E3051="CO",2,(IF(E3051="IM",3,(IF(E3051="MI",4,(IF(E3051="RP",5,(IF(E3051="SC",6,0)))))))))))))))))))))))))))))))))))))))</f>
        <v>5</v>
      </c>
      <c r="G3051" s="52">
        <v>2</v>
      </c>
      <c r="H3051" s="90" t="s">
        <v>115</v>
      </c>
      <c r="I3051" s="94" t="s">
        <v>85</v>
      </c>
      <c r="J3051" s="87" t="s">
        <v>1703</v>
      </c>
      <c r="K3051" s="119" t="s">
        <v>4823</v>
      </c>
      <c r="L3051" s="117">
        <f>IF(O3051="","",N3051*O3051*M3051)</f>
        <v>0</v>
      </c>
      <c r="M3051" s="108">
        <v>1</v>
      </c>
      <c r="N3051" s="95">
        <v>1</v>
      </c>
      <c r="O3051" s="109">
        <f>IF(Key!D$1="ON",P3051,IF(SUM(Q3051:DL3051)&lt;1,"",SUM(Q3051:DL3051)/COUNTIF(Q3051:DL3051,"&gt;0")))</f>
        <v>0</v>
      </c>
      <c r="P3051" s="109">
        <f>SUMIFS(Q3051:DK3051,Q$1:DK$1,Dashboard!$K$31)</f>
        <v>0</v>
      </c>
      <c r="U3051" s="95">
        <v>33</v>
      </c>
      <c r="AA3051" s="95">
        <v>25</v>
      </c>
      <c r="AH3051" s="95">
        <v>75</v>
      </c>
    </row>
    <row r="3052" spans="1:34" x14ac:dyDescent="0.3">
      <c r="A3052" s="89" t="str">
        <f>CONCATENATE(D3052,".",F3052,"-",G3052,".",H3052,"")</f>
        <v>2.5-2.1</v>
      </c>
      <c r="B3052" s="89" t="str">
        <f>IF(CONCATENATE(I3052,Key!F$2)=CONCATENATE(INDEX(Dashboard!J:J,MATCH(I3052,Dashboard!J:J,0),1),INDEX(Dashboard!J:K,MATCH(I3052,Dashboard!J:J,0),2)),"ON",IF(Dashboard!K$32="ALL","ON","-"))</f>
        <v>-</v>
      </c>
      <c r="C3052" s="88" t="s">
        <v>152</v>
      </c>
      <c r="D3052" s="89">
        <f>IF(C3052="ID",1,(IF(C3052="PR",2,(IF(C3052="DE",3,(IF(C3052="RS",4,(IF(C3052="RC",5,0)))))))))</f>
        <v>2</v>
      </c>
      <c r="E3052" s="89" t="s">
        <v>269</v>
      </c>
      <c r="F3052" s="89">
        <f>IF(E3052="AM",1,(IF(E3052="BE",2,(IF(E3052="GV",3,(IF(E3052="RA",4,(IF(E3052="RM",5,(IF(E3052="AC",1,(IF(E3052="AT",2,(IF(E3052="DS",3,(IF(E3052="IP",4,(IF(E3052="MA",5,(IF(E3052="PT",6,(IF(E3052="AE",1,(IF(E3052="CM",2,(IF(E3052="DP",3,(IF(E3052="AN",1,(IF(E3052="CO",2,(IF(E3052="IM",3,(IF(E3052="MI",4,(IF(E3052="RP",5,(IF(E3052="SC",6,0)))))))))))))))))))))))))))))))))))))))</f>
        <v>5</v>
      </c>
      <c r="G3052" s="52">
        <v>2</v>
      </c>
      <c r="H3052" s="90" t="s">
        <v>115</v>
      </c>
      <c r="I3052" s="94" t="s">
        <v>85</v>
      </c>
      <c r="J3052" s="87" t="s">
        <v>1702</v>
      </c>
      <c r="K3052" s="119" t="s">
        <v>4822</v>
      </c>
      <c r="L3052" s="117">
        <f>IF(O3052="","",N3052*O3052*M3052)</f>
        <v>0</v>
      </c>
      <c r="M3052" s="108">
        <v>1</v>
      </c>
      <c r="N3052" s="95">
        <v>1</v>
      </c>
      <c r="O3052" s="109">
        <f>IF(Key!D$1="ON",P3052,IF(SUM(Q3052:DL3052)&lt;1,"",SUM(Q3052:DL3052)/COUNTIF(Q3052:DL3052,"&gt;0")))</f>
        <v>0</v>
      </c>
      <c r="P3052" s="109">
        <f>SUMIFS(Q3052:DK3052,Q$1:DK$1,Dashboard!$K$31)</f>
        <v>0</v>
      </c>
      <c r="U3052" s="95">
        <v>33</v>
      </c>
      <c r="AA3052" s="95">
        <v>25</v>
      </c>
      <c r="AH3052" s="95">
        <v>75</v>
      </c>
    </row>
    <row r="3053" spans="1:34" x14ac:dyDescent="0.3">
      <c r="A3053" s="89" t="str">
        <f>CONCATENATE(D3053,".",F3053,"-",G3053,".",H3053,"")</f>
        <v>2.5-2.1</v>
      </c>
      <c r="B3053" s="89" t="str">
        <f>IF(CONCATENATE(I3053,Key!F$2)=CONCATENATE(INDEX(Dashboard!J:J,MATCH(I3053,Dashboard!J:J,0),1),INDEX(Dashboard!J:K,MATCH(I3053,Dashboard!J:J,0),2)),"ON",IF(Dashboard!K$32="ALL","ON","-"))</f>
        <v>-</v>
      </c>
      <c r="C3053" s="88" t="s">
        <v>152</v>
      </c>
      <c r="D3053" s="89">
        <f>IF(C3053="ID",1,(IF(C3053="PR",2,(IF(C3053="DE",3,(IF(C3053="RS",4,(IF(C3053="RC",5,0)))))))))</f>
        <v>2</v>
      </c>
      <c r="E3053" s="89" t="s">
        <v>269</v>
      </c>
      <c r="F3053" s="89">
        <f>IF(E3053="AM",1,(IF(E3053="BE",2,(IF(E3053="GV",3,(IF(E3053="RA",4,(IF(E3053="RM",5,(IF(E3053="AC",1,(IF(E3053="AT",2,(IF(E3053="DS",3,(IF(E3053="IP",4,(IF(E3053="MA",5,(IF(E3053="PT",6,(IF(E3053="AE",1,(IF(E3053="CM",2,(IF(E3053="DP",3,(IF(E3053="AN",1,(IF(E3053="CO",2,(IF(E3053="IM",3,(IF(E3053="MI",4,(IF(E3053="RP",5,(IF(E3053="SC",6,0)))))))))))))))))))))))))))))))))))))))</f>
        <v>5</v>
      </c>
      <c r="G3053" s="52">
        <v>2</v>
      </c>
      <c r="H3053" s="90" t="s">
        <v>115</v>
      </c>
      <c r="I3053" s="94" t="s">
        <v>85</v>
      </c>
      <c r="J3053" s="87" t="s">
        <v>1705</v>
      </c>
      <c r="K3053" s="119" t="s">
        <v>2400</v>
      </c>
      <c r="L3053" s="117">
        <f>IF(O3053="","",N3053*O3053*M3053)</f>
        <v>0</v>
      </c>
      <c r="M3053" s="108">
        <v>1</v>
      </c>
      <c r="N3053" s="95">
        <v>1</v>
      </c>
      <c r="O3053" s="109">
        <f>IF(Key!D$1="ON",P3053,IF(SUM(Q3053:DL3053)&lt;1,"",SUM(Q3053:DL3053)/COUNTIF(Q3053:DL3053,"&gt;0")))</f>
        <v>0</v>
      </c>
      <c r="P3053" s="109">
        <f>SUMIFS(Q3053:DK3053,Q$1:DK$1,Dashboard!$K$31)</f>
        <v>0</v>
      </c>
      <c r="U3053" s="95">
        <v>33</v>
      </c>
      <c r="AA3053" s="95">
        <v>25</v>
      </c>
      <c r="AH3053" s="95">
        <v>75</v>
      </c>
    </row>
    <row r="3054" spans="1:34" x14ac:dyDescent="0.3">
      <c r="A3054" s="89" t="str">
        <f>CONCATENATE(D3054,".",F3054,"-",G3054,".",H3054,"")</f>
        <v>2.5-2.1</v>
      </c>
      <c r="B3054" s="89" t="str">
        <f>IF(CONCATENATE(I3054,Key!F$2)=CONCATENATE(INDEX(Dashboard!J:J,MATCH(I3054,Dashboard!J:J,0),1),INDEX(Dashboard!J:K,MATCH(I3054,Dashboard!J:J,0),2)),"ON",IF(Dashboard!K$32="ALL","ON","-"))</f>
        <v>-</v>
      </c>
      <c r="C3054" s="88" t="s">
        <v>152</v>
      </c>
      <c r="D3054" s="89">
        <f>IF(C3054="ID",1,(IF(C3054="PR",2,(IF(C3054="DE",3,(IF(C3054="RS",4,(IF(C3054="RC",5,0)))))))))</f>
        <v>2</v>
      </c>
      <c r="E3054" s="89" t="s">
        <v>269</v>
      </c>
      <c r="F3054" s="89">
        <f>IF(E3054="AM",1,(IF(E3054="BE",2,(IF(E3054="GV",3,(IF(E3054="RA",4,(IF(E3054="RM",5,(IF(E3054="AC",1,(IF(E3054="AT",2,(IF(E3054="DS",3,(IF(E3054="IP",4,(IF(E3054="MA",5,(IF(E3054="PT",6,(IF(E3054="AE",1,(IF(E3054="CM",2,(IF(E3054="DP",3,(IF(E3054="AN",1,(IF(E3054="CO",2,(IF(E3054="IM",3,(IF(E3054="MI",4,(IF(E3054="RP",5,(IF(E3054="SC",6,0)))))))))))))))))))))))))))))))))))))))</f>
        <v>5</v>
      </c>
      <c r="G3054" s="52">
        <v>2</v>
      </c>
      <c r="H3054" s="90" t="s">
        <v>115</v>
      </c>
      <c r="I3054" s="94" t="s">
        <v>85</v>
      </c>
      <c r="J3054" s="87" t="s">
        <v>1706</v>
      </c>
      <c r="K3054" s="119" t="s">
        <v>4825</v>
      </c>
      <c r="L3054" s="117">
        <f>IF(O3054="","",N3054*O3054*M3054)</f>
        <v>0</v>
      </c>
      <c r="M3054" s="108">
        <v>1</v>
      </c>
      <c r="N3054" s="95">
        <v>1</v>
      </c>
      <c r="O3054" s="109">
        <f>IF(Key!D$1="ON",P3054,IF(SUM(Q3054:DL3054)&lt;1,"",SUM(Q3054:DL3054)/COUNTIF(Q3054:DL3054,"&gt;0")))</f>
        <v>0</v>
      </c>
      <c r="P3054" s="109">
        <f>SUMIFS(Q3054:DK3054,Q$1:DK$1,Dashboard!$K$31)</f>
        <v>0</v>
      </c>
      <c r="U3054" s="95">
        <v>33</v>
      </c>
      <c r="AA3054" s="95">
        <v>25</v>
      </c>
      <c r="AH3054" s="95">
        <v>75</v>
      </c>
    </row>
    <row r="3055" spans="1:34" x14ac:dyDescent="0.3">
      <c r="A3055" s="89" t="str">
        <f>CONCATENATE(D3055,".",F3055,"-",G3055,".",H3055,"")</f>
        <v>2.5-2.1</v>
      </c>
      <c r="B3055" s="89" t="str">
        <f>IF(CONCATENATE(I3055,Key!F$2)=CONCATENATE(INDEX(Dashboard!J:J,MATCH(I3055,Dashboard!J:J,0),1),INDEX(Dashboard!J:K,MATCH(I3055,Dashboard!J:J,0),2)),"ON",IF(Dashboard!K$32="ALL","ON","-"))</f>
        <v>-</v>
      </c>
      <c r="C3055" s="88" t="s">
        <v>152</v>
      </c>
      <c r="D3055" s="89">
        <f>IF(C3055="ID",1,(IF(C3055="PR",2,(IF(C3055="DE",3,(IF(C3055="RS",4,(IF(C3055="RC",5,0)))))))))</f>
        <v>2</v>
      </c>
      <c r="E3055" s="89" t="s">
        <v>269</v>
      </c>
      <c r="F3055" s="89">
        <f>IF(E3055="AM",1,(IF(E3055="BE",2,(IF(E3055="GV",3,(IF(E3055="RA",4,(IF(E3055="RM",5,(IF(E3055="AC",1,(IF(E3055="AT",2,(IF(E3055="DS",3,(IF(E3055="IP",4,(IF(E3055="MA",5,(IF(E3055="PT",6,(IF(E3055="AE",1,(IF(E3055="CM",2,(IF(E3055="DP",3,(IF(E3055="AN",1,(IF(E3055="CO",2,(IF(E3055="IM",3,(IF(E3055="MI",4,(IF(E3055="RP",5,(IF(E3055="SC",6,0)))))))))))))))))))))))))))))))))))))))</f>
        <v>5</v>
      </c>
      <c r="G3055" s="52">
        <v>2</v>
      </c>
      <c r="H3055" s="90" t="s">
        <v>115</v>
      </c>
      <c r="I3055" s="94" t="s">
        <v>85</v>
      </c>
      <c r="J3055" s="86" t="s">
        <v>704</v>
      </c>
      <c r="K3055" s="119" t="s">
        <v>4819</v>
      </c>
      <c r="L3055" s="117">
        <f>IF(O3055="","",N3055*O3055*M3055)</f>
        <v>0</v>
      </c>
      <c r="M3055" s="108">
        <v>1</v>
      </c>
      <c r="N3055" s="95">
        <v>1</v>
      </c>
      <c r="O3055" s="109">
        <f>IF(Key!D$1="ON",P3055,IF(SUM(Q3055:DL3055)&lt;1,"",SUM(Q3055:DL3055)/COUNTIF(Q3055:DL3055,"&gt;0")))</f>
        <v>0</v>
      </c>
      <c r="P3055" s="109">
        <f>SUMIFS(Q3055:DK3055,Q$1:DK$1,Dashboard!$K$31)</f>
        <v>0</v>
      </c>
      <c r="U3055" s="95">
        <v>33</v>
      </c>
      <c r="AA3055" s="95">
        <v>25</v>
      </c>
      <c r="AH3055" s="95">
        <v>75</v>
      </c>
    </row>
    <row r="3056" spans="1:34" x14ac:dyDescent="0.3">
      <c r="A3056" s="89" t="str">
        <f>CONCATENATE(D3056,".",F3056,"-",G3056,".",H3056,"")</f>
        <v>2.5-2.1</v>
      </c>
      <c r="B3056" s="89" t="str">
        <f>IF(CONCATENATE(I3056,Key!F$2)=CONCATENATE(INDEX(Dashboard!J:J,MATCH(I3056,Dashboard!J:J,0),1),INDEX(Dashboard!J:K,MATCH(I3056,Dashboard!J:J,0),2)),"ON",IF(Dashboard!K$32="ALL","ON","-"))</f>
        <v>-</v>
      </c>
      <c r="C3056" s="88" t="s">
        <v>152</v>
      </c>
      <c r="D3056" s="89">
        <f>IF(C3056="ID",1,(IF(C3056="PR",2,(IF(C3056="DE",3,(IF(C3056="RS",4,(IF(C3056="RC",5,0)))))))))</f>
        <v>2</v>
      </c>
      <c r="E3056" s="89" t="s">
        <v>269</v>
      </c>
      <c r="F3056" s="89">
        <f>IF(E3056="AM",1,(IF(E3056="BE",2,(IF(E3056="GV",3,(IF(E3056="RA",4,(IF(E3056="RM",5,(IF(E3056="AC",1,(IF(E3056="AT",2,(IF(E3056="DS",3,(IF(E3056="IP",4,(IF(E3056="MA",5,(IF(E3056="PT",6,(IF(E3056="AE",1,(IF(E3056="CM",2,(IF(E3056="DP",3,(IF(E3056="AN",1,(IF(E3056="CO",2,(IF(E3056="IM",3,(IF(E3056="MI",4,(IF(E3056="RP",5,(IF(E3056="SC",6,0)))))))))))))))))))))))))))))))))))))))</f>
        <v>5</v>
      </c>
      <c r="G3056" s="52">
        <v>2</v>
      </c>
      <c r="H3056" s="90" t="s">
        <v>115</v>
      </c>
      <c r="I3056" s="94" t="s">
        <v>85</v>
      </c>
      <c r="J3056" s="87" t="s">
        <v>1700</v>
      </c>
      <c r="K3056" s="119" t="s">
        <v>4821</v>
      </c>
      <c r="L3056" s="117">
        <f>IF(O3056="","",N3056*O3056*M3056)</f>
        <v>0</v>
      </c>
      <c r="M3056" s="108">
        <v>1</v>
      </c>
      <c r="N3056" s="95">
        <v>1</v>
      </c>
      <c r="O3056" s="109">
        <f>IF(Key!D$1="ON",P3056,IF(SUM(Q3056:DL3056)&lt;1,"",SUM(Q3056:DL3056)/COUNTIF(Q3056:DL3056,"&gt;0")))</f>
        <v>0</v>
      </c>
      <c r="P3056" s="109">
        <f>SUMIFS(Q3056:DK3056,Q$1:DK$1,Dashboard!$K$31)</f>
        <v>0</v>
      </c>
      <c r="U3056" s="95">
        <v>33</v>
      </c>
      <c r="AA3056" s="95">
        <v>25</v>
      </c>
      <c r="AH3056" s="95">
        <v>75</v>
      </c>
    </row>
    <row r="3057" spans="1:34" ht="15.6" x14ac:dyDescent="0.3">
      <c r="A3057" s="89" t="str">
        <f>CONCATENATE(D3057,".",F3057,"-",G3057,".",H3057,"")</f>
        <v>2.5-2.1</v>
      </c>
      <c r="B3057" s="89" t="str">
        <f>IF(CONCATENATE(I3057,Key!F$2)=CONCATENATE(INDEX(Dashboard!J:J,MATCH(I3057,Dashboard!J:J,0),1),INDEX(Dashboard!J:K,MATCH(I3057,Dashboard!J:J,0),2)),"ON",IF(Dashboard!K$32="ALL","ON","-"))</f>
        <v>-</v>
      </c>
      <c r="C3057" s="96" t="s">
        <v>152</v>
      </c>
      <c r="D3057" s="89">
        <f>IF(C3057="ID",1,(IF(C3057="PR",2,(IF(C3057="DE",3,(IF(C3057="RS",4,(IF(C3057="RC",5,0)))))))))</f>
        <v>2</v>
      </c>
      <c r="E3057" s="89" t="s">
        <v>269</v>
      </c>
      <c r="F3057" s="89">
        <f>IF(E3057="AM",1,(IF(E3057="BE",2,(IF(E3057="GV",3,(IF(E3057="RA",4,(IF(E3057="RM",5,(IF(E3057="AC",1,(IF(E3057="AT",2,(IF(E3057="DS",3,(IF(E3057="IP",4,(IF(E3057="MA",5,(IF(E3057="PT",6,(IF(E3057="AE",1,(IF(E3057="CM",2,(IF(E3057="DP",3,(IF(E3057="AN",1,(IF(E3057="CO",2,(IF(E3057="IM",3,(IF(E3057="MI",4,(IF(E3057="RP",5,(IF(E3057="SC",6,0)))))))))))))))))))))))))))))))))))))))</f>
        <v>5</v>
      </c>
      <c r="G3057" s="52">
        <v>2</v>
      </c>
      <c r="H3057" s="90" t="s">
        <v>115</v>
      </c>
      <c r="I3057" s="94" t="s">
        <v>85</v>
      </c>
      <c r="J3057" s="87" t="s">
        <v>1698</v>
      </c>
      <c r="K3057" s="119" t="s">
        <v>1699</v>
      </c>
      <c r="L3057" s="117">
        <f>IF(O3057="","",N3057*O3057*M3057)</f>
        <v>0</v>
      </c>
      <c r="M3057" s="108">
        <v>1</v>
      </c>
      <c r="N3057" s="95">
        <v>1</v>
      </c>
      <c r="O3057" s="109">
        <f>IF(Key!D$1="ON",P3057,IF(SUM(Q3057:DL3057)&lt;1,"",SUM(Q3057:DL3057)/COUNTIF(Q3057:DL3057,"&gt;0")))</f>
        <v>0</v>
      </c>
      <c r="P3057" s="109">
        <f>SUMIFS(Q3057:DK3057,Q$1:DK$1,Dashboard!$K$31)</f>
        <v>0</v>
      </c>
      <c r="U3057" s="95">
        <v>33</v>
      </c>
      <c r="AA3057" s="95">
        <v>25</v>
      </c>
      <c r="AH3057" s="95">
        <v>75</v>
      </c>
    </row>
    <row r="3058" spans="1:34" ht="15.6" x14ac:dyDescent="0.3">
      <c r="A3058" s="89" t="str">
        <f>CONCATENATE(D3058,".",F3058,"-",G3058,".",H3058,"")</f>
        <v>2.5-2.1</v>
      </c>
      <c r="B3058" s="89" t="str">
        <f>IF(CONCATENATE(I3058,Key!F$2)=CONCATENATE(INDEX(Dashboard!J:J,MATCH(I3058,Dashboard!J:J,0),1),INDEX(Dashboard!J:K,MATCH(I3058,Dashboard!J:J,0),2)),"ON",IF(Dashboard!K$32="ALL","ON","-"))</f>
        <v>-</v>
      </c>
      <c r="C3058" s="96" t="s">
        <v>152</v>
      </c>
      <c r="D3058" s="89">
        <f>IF(C3058="ID",1,(IF(C3058="PR",2,(IF(C3058="DE",3,(IF(C3058="RS",4,(IF(C3058="RC",5,0)))))))))</f>
        <v>2</v>
      </c>
      <c r="E3058" s="89" t="s">
        <v>269</v>
      </c>
      <c r="F3058" s="89">
        <f>IF(E3058="AM",1,(IF(E3058="BE",2,(IF(E3058="GV",3,(IF(E3058="RA",4,(IF(E3058="RM",5,(IF(E3058="AC",1,(IF(E3058="AT",2,(IF(E3058="DS",3,(IF(E3058="IP",4,(IF(E3058="MA",5,(IF(E3058="PT",6,(IF(E3058="AE",1,(IF(E3058="CM",2,(IF(E3058="DP",3,(IF(E3058="AN",1,(IF(E3058="CO",2,(IF(E3058="IM",3,(IF(E3058="MI",4,(IF(E3058="RP",5,(IF(E3058="SC",6,0)))))))))))))))))))))))))))))))))))))))</f>
        <v>5</v>
      </c>
      <c r="G3058" s="52">
        <v>2</v>
      </c>
      <c r="H3058" s="90" t="s">
        <v>115</v>
      </c>
      <c r="I3058" s="94" t="s">
        <v>92</v>
      </c>
      <c r="J3058" s="88" t="s">
        <v>170</v>
      </c>
      <c r="K3058" s="102" t="s">
        <v>5226</v>
      </c>
      <c r="L3058" s="117">
        <f>IF(O3058="","",N3058*O3058*M3058)</f>
        <v>0</v>
      </c>
      <c r="M3058" s="108">
        <v>1</v>
      </c>
      <c r="N3058" s="95">
        <v>1</v>
      </c>
      <c r="O3058" s="109">
        <f>IF(Key!D$1="ON",P3058,IF(SUM(Q3058:DL3058)&lt;1,"",SUM(Q3058:DL3058)/COUNTIF(Q3058:DL3058,"&gt;0")))</f>
        <v>0</v>
      </c>
      <c r="P3058" s="109">
        <f>SUMIFS(Q3058:DK3058,Q$1:DK$1,Dashboard!$K$31)</f>
        <v>0</v>
      </c>
      <c r="U3058" s="95">
        <v>33</v>
      </c>
      <c r="AA3058" s="95">
        <v>25</v>
      </c>
      <c r="AH3058" s="95">
        <v>75</v>
      </c>
    </row>
    <row r="3059" spans="1:34" x14ac:dyDescent="0.3">
      <c r="A3059" s="89" t="str">
        <f>CONCATENATE(D3059,".",F3059,"-",G3059,".",H3059,"")</f>
        <v>2.6-0.0</v>
      </c>
      <c r="B3059" s="89" t="str">
        <f>IF(CONCATENATE(I3059,Key!F$2)=CONCATENATE(INDEX(Dashboard!J:J,MATCH(I3059,Dashboard!J:J,0),1),INDEX(Dashboard!J:K,MATCH(I3059,Dashboard!J:J,0),2)),"ON",IF(Dashboard!K$32="ALL","ON","-"))</f>
        <v>-</v>
      </c>
      <c r="C3059" s="88" t="s">
        <v>152</v>
      </c>
      <c r="D3059" s="89">
        <f>IF(C3059="ID",1,(IF(C3059="PR",2,(IF(C3059="DE",3,(IF(C3059="RS",4,(IF(C3059="RC",5,0)))))))))</f>
        <v>2</v>
      </c>
      <c r="E3059" s="89" t="s">
        <v>271</v>
      </c>
      <c r="F3059" s="89">
        <f>IF(E3059="AM",1,(IF(E3059="BE",2,(IF(E3059="GV",3,(IF(E3059="RA",4,(IF(E3059="RM",5,(IF(E3059="AC",1,(IF(E3059="AT",2,(IF(E3059="DS",3,(IF(E3059="IP",4,(IF(E3059="MA",5,(IF(E3059="PT",6,(IF(E3059="AE",1,(IF(E3059="CM",2,(IF(E3059="DP",3,(IF(E3059="AN",1,(IF(E3059="CO",2,(IF(E3059="IM",3,(IF(E3059="MI",4,(IF(E3059="RP",5,(IF(E3059="SC",6,0)))))))))))))))))))))))))))))))))))))))</f>
        <v>6</v>
      </c>
      <c r="G3059" s="52">
        <v>0</v>
      </c>
      <c r="H3059" s="90" t="s">
        <v>347</v>
      </c>
      <c r="I3059" s="94" t="s">
        <v>2835</v>
      </c>
      <c r="J3059" s="151" t="s">
        <v>2993</v>
      </c>
      <c r="K3059" s="150" t="s">
        <v>2994</v>
      </c>
      <c r="L3059" s="117">
        <f>IF(O3059="","",N3059*O3059*M3059)</f>
        <v>0</v>
      </c>
      <c r="M3059" s="108">
        <v>1</v>
      </c>
      <c r="N3059" s="95">
        <v>1</v>
      </c>
      <c r="O3059" s="109">
        <f>IF(Key!D$1="ON",P3059,IF(SUM(Q3059:DL3059)&lt;1,"",SUM(Q3059:DL3059)/COUNTIF(Q3059:DL3059,"&gt;0")))</f>
        <v>0</v>
      </c>
      <c r="P3059" s="109">
        <f>SUMIFS(Q3059:DK3059,Q$1:DK$1,Dashboard!$K$31)</f>
        <v>0</v>
      </c>
      <c r="Q3059" s="110">
        <v>83</v>
      </c>
      <c r="U3059" s="95">
        <v>33</v>
      </c>
    </row>
    <row r="3060" spans="1:34" x14ac:dyDescent="0.3">
      <c r="A3060" s="89" t="str">
        <f>CONCATENATE(D3060,".",F3060,"-",G3060,".",H3060,"")</f>
        <v>2.6-0.1</v>
      </c>
      <c r="B3060" s="89" t="str">
        <f>IF(CONCATENATE(I3060,Key!F$2)=CONCATENATE(INDEX(Dashboard!J:J,MATCH(I3060,Dashboard!J:J,0),1),INDEX(Dashboard!J:K,MATCH(I3060,Dashboard!J:J,0),2)),"ON",IF(Dashboard!K$32="ALL","ON","-"))</f>
        <v>-</v>
      </c>
      <c r="C3060" s="88" t="s">
        <v>152</v>
      </c>
      <c r="D3060" s="89">
        <f>IF(C3060="ID",1,(IF(C3060="PR",2,(IF(C3060="DE",3,(IF(C3060="RS",4,(IF(C3060="RC",5,0)))))))))</f>
        <v>2</v>
      </c>
      <c r="E3060" s="89" t="s">
        <v>271</v>
      </c>
      <c r="F3060" s="89">
        <f>IF(E3060="AM",1,(IF(E3060="BE",2,(IF(E3060="GV",3,(IF(E3060="RA",4,(IF(E3060="RM",5,(IF(E3060="AC",1,(IF(E3060="AT",2,(IF(E3060="DS",3,(IF(E3060="IP",4,(IF(E3060="MA",5,(IF(E3060="PT",6,(IF(E3060="AE",1,(IF(E3060="CM",2,(IF(E3060="DP",3,(IF(E3060="AN",1,(IF(E3060="CO",2,(IF(E3060="IM",3,(IF(E3060="MI",4,(IF(E3060="RP",5,(IF(E3060="SC",6,0)))))))))))))))))))))))))))))))))))))))</f>
        <v>6</v>
      </c>
      <c r="G3060" s="52">
        <v>0</v>
      </c>
      <c r="H3060" s="90" t="s">
        <v>115</v>
      </c>
      <c r="I3060" s="94" t="s">
        <v>2835</v>
      </c>
      <c r="J3060" s="151" t="s">
        <v>2993</v>
      </c>
      <c r="K3060" s="150" t="s">
        <v>2995</v>
      </c>
      <c r="L3060" s="117">
        <f>IF(O3060="","",N3060*O3060*M3060)</f>
        <v>0</v>
      </c>
      <c r="M3060" s="108">
        <v>1</v>
      </c>
      <c r="N3060" s="95">
        <v>1</v>
      </c>
      <c r="O3060" s="109">
        <f>IF(Key!D$1="ON",P3060,IF(SUM(Q3060:DL3060)&lt;1,"",SUM(Q3060:DL3060)/COUNTIF(Q3060:DL3060,"&gt;0")))</f>
        <v>0</v>
      </c>
      <c r="P3060" s="109">
        <f>SUMIFS(Q3060:DK3060,Q$1:DK$1,Dashboard!$K$31)</f>
        <v>0</v>
      </c>
      <c r="Q3060" s="110">
        <v>83</v>
      </c>
      <c r="U3060" s="95">
        <v>33</v>
      </c>
      <c r="AA3060" s="95">
        <v>50</v>
      </c>
    </row>
    <row r="3061" spans="1:34" ht="15.6" x14ac:dyDescent="0.3">
      <c r="A3061" s="89" t="str">
        <f>CONCATENATE(D3061,".",F3061,"-",G3061,".",H3061,"")</f>
        <v>2.6-1.0</v>
      </c>
      <c r="B3061" s="89" t="str">
        <f>IF(CONCATENATE(I3061,Key!F$2)=CONCATENATE(INDEX(Dashboard!J:J,MATCH(I3061,Dashboard!J:J,0),1),INDEX(Dashboard!J:K,MATCH(I3061,Dashboard!J:J,0),2)),"ON",IF(Dashboard!K$32="ALL","ON","-"))</f>
        <v>-</v>
      </c>
      <c r="C3061" s="88" t="s">
        <v>152</v>
      </c>
      <c r="D3061" s="89">
        <f>IF(C3061="ID",1,(IF(C3061="PR",2,(IF(C3061="DE",3,(IF(C3061="RS",4,(IF(C3061="RC",5,0)))))))))</f>
        <v>2</v>
      </c>
      <c r="E3061" s="89" t="s">
        <v>271</v>
      </c>
      <c r="F3061" s="89">
        <f>IF(E3061="AM",1,(IF(E3061="BE",2,(IF(E3061="GV",3,(IF(E3061="RA",4,(IF(E3061="RM",5,(IF(E3061="AC",1,(IF(E3061="AT",2,(IF(E3061="DS",3,(IF(E3061="IP",4,(IF(E3061="MA",5,(IF(E3061="PT",6,(IF(E3061="AE",1,(IF(E3061="CM",2,(IF(E3061="DP",3,(IF(E3061="AN",1,(IF(E3061="CO",2,(IF(E3061="IM",3,(IF(E3061="MI",4,(IF(E3061="RP",5,(IF(E3061="SC",6,0)))))))))))))))))))))))))))))))))))))))</f>
        <v>6</v>
      </c>
      <c r="G3061" s="52">
        <v>1</v>
      </c>
      <c r="H3061" s="90" t="s">
        <v>347</v>
      </c>
      <c r="I3061" s="94" t="s">
        <v>2835</v>
      </c>
      <c r="J3061" s="53" t="s">
        <v>2996</v>
      </c>
      <c r="K3061" s="150" t="s">
        <v>2997</v>
      </c>
      <c r="L3061" s="117">
        <f>IF(O3061="","",N3061*O3061*M3061)</f>
        <v>0</v>
      </c>
      <c r="M3061" s="108">
        <v>1</v>
      </c>
      <c r="N3061" s="95">
        <v>1</v>
      </c>
      <c r="O3061" s="109">
        <f>IF(Key!D$1="ON",P3061,IF(SUM(Q3061:DL3061)&lt;1,"",SUM(Q3061:DL3061)/COUNTIF(Q3061:DL3061,"&gt;0")))</f>
        <v>0</v>
      </c>
      <c r="P3061" s="109">
        <f>SUMIFS(Q3061:DK3061,Q$1:DK$1,Dashboard!$K$31)</f>
        <v>0</v>
      </c>
      <c r="U3061" s="95">
        <v>33</v>
      </c>
    </row>
    <row r="3062" spans="1:34" ht="15.6" x14ac:dyDescent="0.3">
      <c r="A3062" s="89" t="str">
        <f>CONCATENATE(D3062,".",F3062,"-",G3062,".",H3062,"")</f>
        <v>2.6-1.1</v>
      </c>
      <c r="B3062" s="89" t="str">
        <f>IF(CONCATENATE(I3062,Key!F$2)=CONCATENATE(INDEX(Dashboard!J:J,MATCH(I3062,Dashboard!J:J,0),1),INDEX(Dashboard!J:K,MATCH(I3062,Dashboard!J:J,0),2)),"ON",IF(Dashboard!K$32="ALL","ON","-"))</f>
        <v>ON</v>
      </c>
      <c r="C3062" s="130" t="s">
        <v>152</v>
      </c>
      <c r="D3062" s="89">
        <f>IF(C3062="ID",1,(IF(C3062="PR",2,(IF(C3062="DE",3,(IF(C3062="RS",4,(IF(C3062="RC",5,0)))))))))</f>
        <v>2</v>
      </c>
      <c r="E3062" s="95" t="s">
        <v>271</v>
      </c>
      <c r="F3062" s="89">
        <f>IF(E3062="AM",1,(IF(E3062="BE",2,(IF(E3062="GV",3,(IF(E3062="RA",4,(IF(E3062="RM",5,(IF(E3062="AC",1,(IF(E3062="AT",2,(IF(E3062="DS",3,(IF(E3062="IP",4,(IF(E3062="MA",5,(IF(E3062="PT",6,(IF(E3062="AE",1,(IF(E3062="CM",2,(IF(E3062="DP",3,(IF(E3062="AN",1,(IF(E3062="CO",2,(IF(E3062="IM",3,(IF(E3062="MI",4,(IF(E3062="RP",5,(IF(E3062="SC",6,0)))))))))))))))))))))))))))))))))))))))</f>
        <v>6</v>
      </c>
      <c r="G3062" s="52">
        <v>1</v>
      </c>
      <c r="H3062" s="90" t="s">
        <v>115</v>
      </c>
      <c r="I3062" s="94" t="s">
        <v>4107</v>
      </c>
      <c r="J3062" s="86" t="s">
        <v>3966</v>
      </c>
      <c r="K3062" s="101" t="s">
        <v>4365</v>
      </c>
      <c r="L3062" s="117">
        <f>IF(O3062="","",N3062*O3062*M3062)</f>
        <v>0</v>
      </c>
      <c r="M3062" s="108">
        <v>1</v>
      </c>
      <c r="N3062" s="95">
        <v>1</v>
      </c>
      <c r="O3062" s="109">
        <f>IF(Key!D$1="ON",P3062,IF(SUM(Q3062:DL3062)&lt;1,"",SUM(Q3062:DL3062)/COUNTIF(Q3062:DL3062,"&gt;0")))</f>
        <v>0</v>
      </c>
      <c r="P3062" s="109">
        <f>SUMIFS(Q3062:DK3062,Q$1:DK$1,Dashboard!$K$31)</f>
        <v>0</v>
      </c>
      <c r="U3062" s="95">
        <v>33</v>
      </c>
      <c r="AA3062" s="95">
        <v>25</v>
      </c>
      <c r="AH3062" s="95">
        <v>75</v>
      </c>
    </row>
    <row r="3063" spans="1:34" ht="15.6" x14ac:dyDescent="0.3">
      <c r="A3063" s="89" t="str">
        <f>CONCATENATE(D3063,".",F3063,"-",G3063,".",H3063,"")</f>
        <v>2.6-1.1</v>
      </c>
      <c r="B3063" s="89" t="str">
        <f>IF(CONCATENATE(I3063,Key!F$2)=CONCATENATE(INDEX(Dashboard!J:J,MATCH(I3063,Dashboard!J:J,0),1),INDEX(Dashboard!J:K,MATCH(I3063,Dashboard!J:J,0),2)),"ON",IF(Dashboard!K$32="ALL","ON","-"))</f>
        <v>ON</v>
      </c>
      <c r="C3063" s="130" t="s">
        <v>152</v>
      </c>
      <c r="D3063" s="89">
        <f>IF(C3063="ID",1,(IF(C3063="PR",2,(IF(C3063="DE",3,(IF(C3063="RS",4,(IF(C3063="RC",5,0)))))))))</f>
        <v>2</v>
      </c>
      <c r="E3063" s="95" t="s">
        <v>271</v>
      </c>
      <c r="F3063" s="89">
        <f>IF(E3063="AM",1,(IF(E3063="BE",2,(IF(E3063="GV",3,(IF(E3063="RA",4,(IF(E3063="RM",5,(IF(E3063="AC",1,(IF(E3063="AT",2,(IF(E3063="DS",3,(IF(E3063="IP",4,(IF(E3063="MA",5,(IF(E3063="PT",6,(IF(E3063="AE",1,(IF(E3063="CM",2,(IF(E3063="DP",3,(IF(E3063="AN",1,(IF(E3063="CO",2,(IF(E3063="IM",3,(IF(E3063="MI",4,(IF(E3063="RP",5,(IF(E3063="SC",6,0)))))))))))))))))))))))))))))))))))))))</f>
        <v>6</v>
      </c>
      <c r="G3063" s="52">
        <v>1</v>
      </c>
      <c r="H3063" s="90" t="s">
        <v>115</v>
      </c>
      <c r="I3063" s="94" t="s">
        <v>4107</v>
      </c>
      <c r="J3063" s="86" t="s">
        <v>3967</v>
      </c>
      <c r="K3063" s="101" t="s">
        <v>4354</v>
      </c>
      <c r="L3063" s="117">
        <f>IF(O3063="","",N3063*O3063*M3063)</f>
        <v>0</v>
      </c>
      <c r="M3063" s="108">
        <v>1</v>
      </c>
      <c r="N3063" s="95">
        <v>1</v>
      </c>
      <c r="O3063" s="109">
        <f>IF(Key!D$1="ON",P3063,IF(SUM(Q3063:DL3063)&lt;1,"",SUM(Q3063:DL3063)/COUNTIF(Q3063:DL3063,"&gt;0")))</f>
        <v>0</v>
      </c>
      <c r="P3063" s="109">
        <f>SUMIFS(Q3063:DK3063,Q$1:DK$1,Dashboard!$K$31)</f>
        <v>0</v>
      </c>
      <c r="U3063" s="95">
        <v>33</v>
      </c>
      <c r="AA3063" s="95">
        <v>25</v>
      </c>
      <c r="AH3063" s="95">
        <v>75</v>
      </c>
    </row>
    <row r="3064" spans="1:34" ht="15.6" x14ac:dyDescent="0.3">
      <c r="A3064" s="89" t="str">
        <f>CONCATENATE(D3064,".",F3064,"-",G3064,".",H3064,"")</f>
        <v>2.6-1.1</v>
      </c>
      <c r="B3064" s="89" t="str">
        <f>IF(CONCATENATE(I3064,Key!F$2)=CONCATENATE(INDEX(Dashboard!J:J,MATCH(I3064,Dashboard!J:J,0),1),INDEX(Dashboard!J:K,MATCH(I3064,Dashboard!J:J,0),2)),"ON",IF(Dashboard!K$32="ALL","ON","-"))</f>
        <v>ON</v>
      </c>
      <c r="C3064" s="88" t="s">
        <v>152</v>
      </c>
      <c r="D3064" s="89">
        <f>IF(C3064="ID",1,(IF(C3064="PR",2,(IF(C3064="DE",3,(IF(C3064="RS",4,(IF(C3064="RC",5,0)))))))))</f>
        <v>2</v>
      </c>
      <c r="E3064" s="89" t="s">
        <v>271</v>
      </c>
      <c r="F3064" s="89">
        <f>IF(E3064="AM",1,(IF(E3064="BE",2,(IF(E3064="GV",3,(IF(E3064="RA",4,(IF(E3064="RM",5,(IF(E3064="AC",1,(IF(E3064="AT",2,(IF(E3064="DS",3,(IF(E3064="IP",4,(IF(E3064="MA",5,(IF(E3064="PT",6,(IF(E3064="AE",1,(IF(E3064="CM",2,(IF(E3064="DP",3,(IF(E3064="AN",1,(IF(E3064="CO",2,(IF(E3064="IM",3,(IF(E3064="MI",4,(IF(E3064="RP",5,(IF(E3064="SC",6,0)))))))))))))))))))))))))))))))))))))))</f>
        <v>6</v>
      </c>
      <c r="G3064" s="52">
        <v>1</v>
      </c>
      <c r="H3064" s="90" t="s">
        <v>115</v>
      </c>
      <c r="I3064" s="94" t="s">
        <v>4107</v>
      </c>
      <c r="J3064" s="86" t="s">
        <v>3970</v>
      </c>
      <c r="K3064" s="101" t="s">
        <v>4430</v>
      </c>
      <c r="L3064" s="117">
        <f>IF(O3064="","",N3064*O3064*M3064)</f>
        <v>0</v>
      </c>
      <c r="M3064" s="108">
        <v>1</v>
      </c>
      <c r="N3064" s="95">
        <v>1</v>
      </c>
      <c r="O3064" s="109">
        <f>IF(Key!D$1="ON",P3064,IF(SUM(Q3064:DL3064)&lt;1,"",SUM(Q3064:DL3064)/COUNTIF(Q3064:DL3064,"&gt;0")))</f>
        <v>0</v>
      </c>
      <c r="P3064" s="109">
        <f>SUMIFS(Q3064:DK3064,Q$1:DK$1,Dashboard!$K$31)</f>
        <v>0</v>
      </c>
      <c r="U3064" s="95">
        <v>33</v>
      </c>
      <c r="AA3064" s="95">
        <v>25</v>
      </c>
      <c r="AH3064" s="95">
        <v>75</v>
      </c>
    </row>
    <row r="3065" spans="1:34" ht="15.6" x14ac:dyDescent="0.3">
      <c r="A3065" s="89" t="str">
        <f>CONCATENATE(D3065,".",F3065,"-",G3065,".",H3065,"")</f>
        <v>2.6-1.1</v>
      </c>
      <c r="B3065" s="89" t="str">
        <f>IF(CONCATENATE(I3065,Key!F$2)=CONCATENATE(INDEX(Dashboard!J:J,MATCH(I3065,Dashboard!J:J,0),1),INDEX(Dashboard!J:K,MATCH(I3065,Dashboard!J:J,0),2)),"ON",IF(Dashboard!K$32="ALL","ON","-"))</f>
        <v>ON</v>
      </c>
      <c r="C3065" s="88" t="s">
        <v>152</v>
      </c>
      <c r="D3065" s="89">
        <f>IF(C3065="ID",1,(IF(C3065="PR",2,(IF(C3065="DE",3,(IF(C3065="RS",4,(IF(C3065="RC",5,0)))))))))</f>
        <v>2</v>
      </c>
      <c r="E3065" s="89" t="s">
        <v>271</v>
      </c>
      <c r="F3065" s="89">
        <f>IF(E3065="AM",1,(IF(E3065="BE",2,(IF(E3065="GV",3,(IF(E3065="RA",4,(IF(E3065="RM",5,(IF(E3065="AC",1,(IF(E3065="AT",2,(IF(E3065="DS",3,(IF(E3065="IP",4,(IF(E3065="MA",5,(IF(E3065="PT",6,(IF(E3065="AE",1,(IF(E3065="CM",2,(IF(E3065="DP",3,(IF(E3065="AN",1,(IF(E3065="CO",2,(IF(E3065="IM",3,(IF(E3065="MI",4,(IF(E3065="RP",5,(IF(E3065="SC",6,0)))))))))))))))))))))))))))))))))))))))</f>
        <v>6</v>
      </c>
      <c r="G3065" s="52">
        <v>1</v>
      </c>
      <c r="H3065" s="90" t="s">
        <v>115</v>
      </c>
      <c r="I3065" s="94" t="s">
        <v>4107</v>
      </c>
      <c r="J3065" s="86" t="s">
        <v>3971</v>
      </c>
      <c r="K3065" s="101" t="s">
        <v>4431</v>
      </c>
      <c r="L3065" s="117">
        <f>IF(O3065="","",N3065*O3065*M3065)</f>
        <v>0</v>
      </c>
      <c r="M3065" s="108">
        <v>1</v>
      </c>
      <c r="N3065" s="95">
        <v>1</v>
      </c>
      <c r="O3065" s="109">
        <f>IF(Key!D$1="ON",P3065,IF(SUM(Q3065:DL3065)&lt;1,"",SUM(Q3065:DL3065)/COUNTIF(Q3065:DL3065,"&gt;0")))</f>
        <v>0</v>
      </c>
      <c r="P3065" s="109">
        <f>SUMIFS(Q3065:DK3065,Q$1:DK$1,Dashboard!$K$31)</f>
        <v>0</v>
      </c>
      <c r="U3065" s="95">
        <v>33</v>
      </c>
      <c r="AA3065" s="95">
        <v>25</v>
      </c>
      <c r="AH3065" s="95">
        <v>75</v>
      </c>
    </row>
    <row r="3066" spans="1:34" ht="15.6" x14ac:dyDescent="0.3">
      <c r="A3066" s="89" t="str">
        <f>CONCATENATE(D3066,".",F3066,"-",G3066,".",H3066,"")</f>
        <v>2.6-1.1</v>
      </c>
      <c r="B3066" s="89" t="str">
        <f>IF(CONCATENATE(I3066,Key!F$2)=CONCATENATE(INDEX(Dashboard!J:J,MATCH(I3066,Dashboard!J:J,0),1),INDEX(Dashboard!J:K,MATCH(I3066,Dashboard!J:J,0),2)),"ON",IF(Dashboard!K$32="ALL","ON","-"))</f>
        <v>ON</v>
      </c>
      <c r="C3066" s="88" t="s">
        <v>152</v>
      </c>
      <c r="D3066" s="89">
        <f>IF(C3066="ID",1,(IF(C3066="PR",2,(IF(C3066="DE",3,(IF(C3066="RS",4,(IF(C3066="RC",5,0)))))))))</f>
        <v>2</v>
      </c>
      <c r="E3066" s="89" t="s">
        <v>271</v>
      </c>
      <c r="F3066" s="89">
        <f>IF(E3066="AM",1,(IF(E3066="BE",2,(IF(E3066="GV",3,(IF(E3066="RA",4,(IF(E3066="RM",5,(IF(E3066="AC",1,(IF(E3066="AT",2,(IF(E3066="DS",3,(IF(E3066="IP",4,(IF(E3066="MA",5,(IF(E3066="PT",6,(IF(E3066="AE",1,(IF(E3066="CM",2,(IF(E3066="DP",3,(IF(E3066="AN",1,(IF(E3066="CO",2,(IF(E3066="IM",3,(IF(E3066="MI",4,(IF(E3066="RP",5,(IF(E3066="SC",6,0)))))))))))))))))))))))))))))))))))))))</f>
        <v>6</v>
      </c>
      <c r="G3066" s="52">
        <v>1</v>
      </c>
      <c r="H3066" s="90" t="s">
        <v>115</v>
      </c>
      <c r="I3066" s="94" t="s">
        <v>4107</v>
      </c>
      <c r="J3066" s="86" t="s">
        <v>3972</v>
      </c>
      <c r="K3066" s="101" t="s">
        <v>4368</v>
      </c>
      <c r="L3066" s="117">
        <f>IF(O3066="","",N3066*O3066*M3066)</f>
        <v>0</v>
      </c>
      <c r="M3066" s="108">
        <v>1</v>
      </c>
      <c r="N3066" s="95">
        <v>1</v>
      </c>
      <c r="O3066" s="109">
        <f>IF(Key!D$1="ON",P3066,IF(SUM(Q3066:DL3066)&lt;1,"",SUM(Q3066:DL3066)/COUNTIF(Q3066:DL3066,"&gt;0")))</f>
        <v>0</v>
      </c>
      <c r="P3066" s="109">
        <f>SUMIFS(Q3066:DK3066,Q$1:DK$1,Dashboard!$K$31)</f>
        <v>0</v>
      </c>
      <c r="U3066" s="95">
        <v>33</v>
      </c>
      <c r="AA3066" s="95">
        <v>25</v>
      </c>
      <c r="AH3066" s="95">
        <v>75</v>
      </c>
    </row>
    <row r="3067" spans="1:34" ht="15.6" x14ac:dyDescent="0.3">
      <c r="A3067" s="89" t="str">
        <f>CONCATENATE(D3067,".",F3067,"-",G3067,".",H3067,"")</f>
        <v>2.6-1.1</v>
      </c>
      <c r="B3067" s="89" t="str">
        <f>IF(CONCATENATE(I3067,Key!F$2)=CONCATENATE(INDEX(Dashboard!J:J,MATCH(I3067,Dashboard!J:J,0),1),INDEX(Dashboard!J:K,MATCH(I3067,Dashboard!J:J,0),2)),"ON",IF(Dashboard!K$32="ALL","ON","-"))</f>
        <v>ON</v>
      </c>
      <c r="C3067" s="130" t="s">
        <v>152</v>
      </c>
      <c r="D3067" s="89">
        <f>IF(C3067="ID",1,(IF(C3067="PR",2,(IF(C3067="DE",3,(IF(C3067="RS",4,(IF(C3067="RC",5,0)))))))))</f>
        <v>2</v>
      </c>
      <c r="E3067" s="95" t="s">
        <v>271</v>
      </c>
      <c r="F3067" s="89">
        <f>IF(E3067="AM",1,(IF(E3067="BE",2,(IF(E3067="GV",3,(IF(E3067="RA",4,(IF(E3067="RM",5,(IF(E3067="AC",1,(IF(E3067="AT",2,(IF(E3067="DS",3,(IF(E3067="IP",4,(IF(E3067="MA",5,(IF(E3067="PT",6,(IF(E3067="AE",1,(IF(E3067="CM",2,(IF(E3067="DP",3,(IF(E3067="AN",1,(IF(E3067="CO",2,(IF(E3067="IM",3,(IF(E3067="MI",4,(IF(E3067="RP",5,(IF(E3067="SC",6,0)))))))))))))))))))))))))))))))))))))))</f>
        <v>6</v>
      </c>
      <c r="G3067" s="52">
        <v>1</v>
      </c>
      <c r="H3067" s="90" t="s">
        <v>115</v>
      </c>
      <c r="I3067" s="94" t="s">
        <v>4107</v>
      </c>
      <c r="J3067" s="86" t="s">
        <v>3976</v>
      </c>
      <c r="K3067" s="101" t="s">
        <v>4435</v>
      </c>
      <c r="L3067" s="117">
        <f>IF(O3067="","",N3067*O3067*M3067)</f>
        <v>0</v>
      </c>
      <c r="M3067" s="108">
        <v>1</v>
      </c>
      <c r="N3067" s="95">
        <v>1</v>
      </c>
      <c r="O3067" s="109">
        <f>IF(Key!D$1="ON",P3067,IF(SUM(Q3067:DL3067)&lt;1,"",SUM(Q3067:DL3067)/COUNTIF(Q3067:DL3067,"&gt;0")))</f>
        <v>0</v>
      </c>
      <c r="P3067" s="109">
        <f>SUMIFS(Q3067:DK3067,Q$1:DK$1,Dashboard!$K$31)</f>
        <v>0</v>
      </c>
      <c r="U3067" s="95">
        <v>33</v>
      </c>
      <c r="AA3067" s="95">
        <v>25</v>
      </c>
      <c r="AH3067" s="95">
        <v>75</v>
      </c>
    </row>
    <row r="3068" spans="1:34" x14ac:dyDescent="0.3">
      <c r="A3068" s="89" t="str">
        <f>CONCATENATE(D3068,".",F3068,"-",G3068,".",H3068,"")</f>
        <v>2.6-1.1</v>
      </c>
      <c r="B3068" s="89" t="str">
        <f>IF(CONCATENATE(I3068,Key!F$2)=CONCATENATE(INDEX(Dashboard!J:J,MATCH(I3068,Dashboard!J:J,0),1),INDEX(Dashboard!J:K,MATCH(I3068,Dashboard!J:J,0),2)),"ON",IF(Dashboard!K$32="ALL","ON","-"))</f>
        <v>ON</v>
      </c>
      <c r="C3068" s="88" t="s">
        <v>152</v>
      </c>
      <c r="D3068" s="89">
        <f>IF(C3068="ID",1,(IF(C3068="PR",2,(IF(C3068="DE",3,(IF(C3068="RS",4,(IF(C3068="RC",5,0)))))))))</f>
        <v>2</v>
      </c>
      <c r="E3068" s="89" t="s">
        <v>271</v>
      </c>
      <c r="F3068" s="89">
        <f>IF(E3068="AM",1,(IF(E3068="BE",2,(IF(E3068="GV",3,(IF(E3068="RA",4,(IF(E3068="RM",5,(IF(E3068="AC",1,(IF(E3068="AT",2,(IF(E3068="DS",3,(IF(E3068="IP",4,(IF(E3068="MA",5,(IF(E3068="PT",6,(IF(E3068="AE",1,(IF(E3068="CM",2,(IF(E3068="DP",3,(IF(E3068="AN",1,(IF(E3068="CO",2,(IF(E3068="IM",3,(IF(E3068="MI",4,(IF(E3068="RP",5,(IF(E3068="SC",6,0)))))))))))))))))))))))))))))))))))))))</f>
        <v>6</v>
      </c>
      <c r="G3068" s="52">
        <v>1</v>
      </c>
      <c r="H3068" s="90" t="s">
        <v>115</v>
      </c>
      <c r="I3068" s="94" t="s">
        <v>4107</v>
      </c>
      <c r="J3068" s="86" t="s">
        <v>3977</v>
      </c>
      <c r="K3068" s="101" t="s">
        <v>4369</v>
      </c>
      <c r="L3068" s="117">
        <f>IF(O3068="","",N3068*O3068*M3068)</f>
        <v>0</v>
      </c>
      <c r="M3068" s="108">
        <v>1</v>
      </c>
      <c r="N3068" s="95">
        <v>1</v>
      </c>
      <c r="O3068" s="109">
        <f>IF(Key!D$1="ON",P3068,IF(SUM(Q3068:DL3068)&lt;1,"",SUM(Q3068:DL3068)/COUNTIF(Q3068:DL3068,"&gt;0")))</f>
        <v>0</v>
      </c>
      <c r="P3068" s="109">
        <f>SUMIFS(Q3068:DK3068,Q$1:DK$1,Dashboard!$K$31)</f>
        <v>0</v>
      </c>
      <c r="U3068" s="95">
        <v>33</v>
      </c>
      <c r="AA3068" s="95">
        <v>25</v>
      </c>
      <c r="AH3068" s="95">
        <v>75</v>
      </c>
    </row>
    <row r="3069" spans="1:34" x14ac:dyDescent="0.3">
      <c r="A3069" s="89" t="str">
        <f>CONCATENATE(D3069,".",F3069,"-",G3069,".",H3069,"")</f>
        <v>2.6-1.1</v>
      </c>
      <c r="B3069" s="89" t="str">
        <f>IF(CONCATENATE(I3069,Key!F$2)=CONCATENATE(INDEX(Dashboard!J:J,MATCH(I3069,Dashboard!J:J,0),1),INDEX(Dashboard!J:K,MATCH(I3069,Dashboard!J:J,0),2)),"ON",IF(Dashboard!K$32="ALL","ON","-"))</f>
        <v>-</v>
      </c>
      <c r="C3069" s="96" t="s">
        <v>152</v>
      </c>
      <c r="D3069" s="89">
        <f>IF(C3069="ID",1,(IF(C3069="PR",2,(IF(C3069="DE",3,(IF(C3069="RS",4,(IF(C3069="RC",5,0)))))))))</f>
        <v>2</v>
      </c>
      <c r="E3069" s="89" t="s">
        <v>271</v>
      </c>
      <c r="F3069" s="89">
        <f>IF(E3069="AM",1,(IF(E3069="BE",2,(IF(E3069="GV",3,(IF(E3069="RA",4,(IF(E3069="RM",5,(IF(E3069="AC",1,(IF(E3069="AT",2,(IF(E3069="DS",3,(IF(E3069="IP",4,(IF(E3069="MA",5,(IF(E3069="PT",6,(IF(E3069="AE",1,(IF(E3069="CM",2,(IF(E3069="DP",3,(IF(E3069="AN",1,(IF(E3069="CO",2,(IF(E3069="IM",3,(IF(E3069="MI",4,(IF(E3069="RP",5,(IF(E3069="SC",6,0)))))))))))))))))))))))))))))))))))))))</f>
        <v>6</v>
      </c>
      <c r="G3069" s="52">
        <v>1</v>
      </c>
      <c r="H3069" s="90" t="s">
        <v>115</v>
      </c>
      <c r="I3069" s="94" t="s">
        <v>52</v>
      </c>
      <c r="J3069" s="88" t="s">
        <v>3443</v>
      </c>
      <c r="K3069" s="103" t="s">
        <v>3444</v>
      </c>
      <c r="L3069" s="117">
        <f>IF(O3069="","",N3069*O3069*M3069)</f>
        <v>0</v>
      </c>
      <c r="M3069" s="108">
        <v>1</v>
      </c>
      <c r="N3069" s="95">
        <v>1</v>
      </c>
      <c r="O3069" s="109">
        <f>IF(Key!D$1="ON",P3069,IF(SUM(Q3069:DL3069)&lt;1,"",SUM(Q3069:DL3069)/COUNTIF(Q3069:DL3069,"&gt;0")))</f>
        <v>0</v>
      </c>
      <c r="P3069" s="109">
        <f>SUMIFS(Q3069:DK3069,Q$1:DK$1,Dashboard!$K$31)</f>
        <v>0</v>
      </c>
      <c r="U3069" s="95">
        <v>33</v>
      </c>
      <c r="AA3069" s="95">
        <v>25</v>
      </c>
      <c r="AH3069" s="95">
        <v>75</v>
      </c>
    </row>
    <row r="3070" spans="1:34" x14ac:dyDescent="0.3">
      <c r="A3070" s="89" t="str">
        <f>CONCATENATE(D3070,".",F3070,"-",G3070,".",H3070,"")</f>
        <v>2.6-1.1</v>
      </c>
      <c r="B3070" s="89" t="str">
        <f>IF(CONCATENATE(I3070,Key!F$2)=CONCATENATE(INDEX(Dashboard!J:J,MATCH(I3070,Dashboard!J:J,0),1),INDEX(Dashboard!J:K,MATCH(I3070,Dashboard!J:J,0),2)),"ON",IF(Dashboard!K$32="ALL","ON","-"))</f>
        <v>-</v>
      </c>
      <c r="C3070" s="96" t="s">
        <v>152</v>
      </c>
      <c r="D3070" s="89">
        <f>IF(C3070="ID",1,(IF(C3070="PR",2,(IF(C3070="DE",3,(IF(C3070="RS",4,(IF(C3070="RC",5,0)))))))))</f>
        <v>2</v>
      </c>
      <c r="E3070" s="89" t="s">
        <v>271</v>
      </c>
      <c r="F3070" s="89">
        <f>IF(E3070="AM",1,(IF(E3070="BE",2,(IF(E3070="GV",3,(IF(E3070="RA",4,(IF(E3070="RM",5,(IF(E3070="AC",1,(IF(E3070="AT",2,(IF(E3070="DS",3,(IF(E3070="IP",4,(IF(E3070="MA",5,(IF(E3070="PT",6,(IF(E3070="AE",1,(IF(E3070="CM",2,(IF(E3070="DP",3,(IF(E3070="AN",1,(IF(E3070="CO",2,(IF(E3070="IM",3,(IF(E3070="MI",4,(IF(E3070="RP",5,(IF(E3070="SC",6,0)))))))))))))))))))))))))))))))))))))))</f>
        <v>6</v>
      </c>
      <c r="G3070" s="52">
        <v>1</v>
      </c>
      <c r="H3070" s="90" t="s">
        <v>115</v>
      </c>
      <c r="I3070" s="94" t="s">
        <v>52</v>
      </c>
      <c r="J3070" s="88" t="s">
        <v>3381</v>
      </c>
      <c r="K3070" s="103" t="s">
        <v>3382</v>
      </c>
      <c r="L3070" s="117">
        <f>IF(O3070="","",N3070*O3070*M3070)</f>
        <v>0</v>
      </c>
      <c r="M3070" s="108">
        <v>1</v>
      </c>
      <c r="N3070" s="95">
        <v>1</v>
      </c>
      <c r="O3070" s="109">
        <f>IF(Key!D$1="ON",P3070,IF(SUM(Q3070:DL3070)&lt;1,"",SUM(Q3070:DL3070)/COUNTIF(Q3070:DL3070,"&gt;0")))</f>
        <v>0</v>
      </c>
      <c r="P3070" s="109">
        <f>SUMIFS(Q3070:DK3070,Q$1:DK$1,Dashboard!$K$31)</f>
        <v>0</v>
      </c>
      <c r="U3070" s="95">
        <v>33</v>
      </c>
      <c r="AA3070" s="95">
        <v>25</v>
      </c>
      <c r="AH3070" s="95">
        <v>75</v>
      </c>
    </row>
    <row r="3071" spans="1:34" x14ac:dyDescent="0.3">
      <c r="A3071" s="89" t="str">
        <f>CONCATENATE(D3071,".",F3071,"-",G3071,".",H3071,"")</f>
        <v>2.6-1.1</v>
      </c>
      <c r="B3071" s="89" t="str">
        <f>IF(CONCATENATE(I3071,Key!F$2)=CONCATENATE(INDEX(Dashboard!J:J,MATCH(I3071,Dashboard!J:J,0),1),INDEX(Dashboard!J:K,MATCH(I3071,Dashboard!J:J,0),2)),"ON",IF(Dashboard!K$32="ALL","ON","-"))</f>
        <v>-</v>
      </c>
      <c r="C3071" s="96" t="s">
        <v>152</v>
      </c>
      <c r="D3071" s="89">
        <f>IF(C3071="ID",1,(IF(C3071="PR",2,(IF(C3071="DE",3,(IF(C3071="RS",4,(IF(C3071="RC",5,0)))))))))</f>
        <v>2</v>
      </c>
      <c r="E3071" s="89" t="s">
        <v>271</v>
      </c>
      <c r="F3071" s="89">
        <f>IF(E3071="AM",1,(IF(E3071="BE",2,(IF(E3071="GV",3,(IF(E3071="RA",4,(IF(E3071="RM",5,(IF(E3071="AC",1,(IF(E3071="AT",2,(IF(E3071="DS",3,(IF(E3071="IP",4,(IF(E3071="MA",5,(IF(E3071="PT",6,(IF(E3071="AE",1,(IF(E3071="CM",2,(IF(E3071="DP",3,(IF(E3071="AN",1,(IF(E3071="CO",2,(IF(E3071="IM",3,(IF(E3071="MI",4,(IF(E3071="RP",5,(IF(E3071="SC",6,0)))))))))))))))))))))))))))))))))))))))</f>
        <v>6</v>
      </c>
      <c r="G3071" s="52">
        <v>1</v>
      </c>
      <c r="H3071" s="90" t="s">
        <v>115</v>
      </c>
      <c r="I3071" s="94" t="s">
        <v>52</v>
      </c>
      <c r="J3071" s="88" t="s">
        <v>3441</v>
      </c>
      <c r="K3071" s="103" t="s">
        <v>3442</v>
      </c>
      <c r="L3071" s="117">
        <f>IF(O3071="","",N3071*O3071*M3071)</f>
        <v>0</v>
      </c>
      <c r="M3071" s="108">
        <v>1</v>
      </c>
      <c r="N3071" s="95">
        <v>1</v>
      </c>
      <c r="O3071" s="109">
        <f>IF(Key!D$1="ON",P3071,IF(SUM(Q3071:DL3071)&lt;1,"",SUM(Q3071:DL3071)/COUNTIF(Q3071:DL3071,"&gt;0")))</f>
        <v>0</v>
      </c>
      <c r="P3071" s="109">
        <f>SUMIFS(Q3071:DK3071,Q$1:DK$1,Dashboard!$K$31)</f>
        <v>0</v>
      </c>
      <c r="U3071" s="95">
        <v>33</v>
      </c>
      <c r="AA3071" s="95">
        <v>25</v>
      </c>
      <c r="AH3071" s="95">
        <v>75</v>
      </c>
    </row>
    <row r="3072" spans="1:34" x14ac:dyDescent="0.3">
      <c r="A3072" s="89" t="str">
        <f>CONCATENATE(D3072,".",F3072,"-",G3072,".",H3072,"")</f>
        <v>2.6-1.1</v>
      </c>
      <c r="B3072" s="89" t="str">
        <f>IF(CONCATENATE(I3072,Key!F$2)=CONCATENATE(INDEX(Dashboard!J:J,MATCH(I3072,Dashboard!J:J,0),1),INDEX(Dashboard!J:K,MATCH(I3072,Dashboard!J:J,0),2)),"ON",IF(Dashboard!K$32="ALL","ON","-"))</f>
        <v>-</v>
      </c>
      <c r="C3072" s="88" t="s">
        <v>152</v>
      </c>
      <c r="D3072" s="89">
        <f>IF(C3072="ID",1,(IF(C3072="PR",2,(IF(C3072="DE",3,(IF(C3072="RS",4,(IF(C3072="RC",5,0)))))))))</f>
        <v>2</v>
      </c>
      <c r="E3072" s="89" t="s">
        <v>271</v>
      </c>
      <c r="F3072" s="89">
        <f>IF(E3072="AM",1,(IF(E3072="BE",2,(IF(E3072="GV",3,(IF(E3072="RA",4,(IF(E3072="RM",5,(IF(E3072="AC",1,(IF(E3072="AT",2,(IF(E3072="DS",3,(IF(E3072="IP",4,(IF(E3072="MA",5,(IF(E3072="PT",6,(IF(E3072="AE",1,(IF(E3072="CM",2,(IF(E3072="DP",3,(IF(E3072="AN",1,(IF(E3072="CO",2,(IF(E3072="IM",3,(IF(E3072="MI",4,(IF(E3072="RP",5,(IF(E3072="SC",6,0)))))))))))))))))))))))))))))))))))))))</f>
        <v>6</v>
      </c>
      <c r="G3072" s="52">
        <v>1</v>
      </c>
      <c r="H3072" s="89">
        <v>1</v>
      </c>
      <c r="I3072" s="94" t="s">
        <v>60</v>
      </c>
      <c r="J3072" s="87" t="s">
        <v>3257</v>
      </c>
      <c r="K3072" s="51" t="s">
        <v>5370</v>
      </c>
      <c r="L3072" s="117">
        <f>IF(O3072="","",N3072*O3072*M3072)</f>
        <v>0</v>
      </c>
      <c r="M3072" s="108">
        <v>1</v>
      </c>
      <c r="N3072" s="95">
        <v>1</v>
      </c>
      <c r="O3072" s="109">
        <f>IF(Key!D$1="ON",P3072,IF(SUM(Q3072:DL3072)&lt;1,"",SUM(Q3072:DL3072)/COUNTIF(Q3072:DL3072,"&gt;0")))</f>
        <v>0</v>
      </c>
      <c r="P3072" s="109">
        <f>SUMIFS(Q3072:DK3072,Q$1:DK$1,Dashboard!$K$31)</f>
        <v>0</v>
      </c>
      <c r="U3072" s="95">
        <v>33</v>
      </c>
      <c r="AA3072" s="95">
        <v>25</v>
      </c>
      <c r="AH3072" s="95">
        <v>75</v>
      </c>
    </row>
    <row r="3073" spans="1:34" ht="15.6" x14ac:dyDescent="0.3">
      <c r="A3073" s="89" t="str">
        <f>CONCATENATE(D3073,".",F3073,"-",G3073,".",H3073,"")</f>
        <v>2.6-1.1</v>
      </c>
      <c r="B3073" s="89" t="str">
        <f>IF(CONCATENATE(I3073,Key!F$2)=CONCATENATE(INDEX(Dashboard!J:J,MATCH(I3073,Dashboard!J:J,0),1),INDEX(Dashboard!J:K,MATCH(I3073,Dashboard!J:J,0),2)),"ON",IF(Dashboard!K$32="ALL","ON","-"))</f>
        <v>-</v>
      </c>
      <c r="C3073" s="88" t="s">
        <v>152</v>
      </c>
      <c r="D3073" s="89">
        <f>IF(C3073="ID",1,(IF(C3073="PR",2,(IF(C3073="DE",3,(IF(C3073="RS",4,(IF(C3073="RC",5,0)))))))))</f>
        <v>2</v>
      </c>
      <c r="E3073" s="89" t="s">
        <v>271</v>
      </c>
      <c r="F3073" s="89">
        <f>IF(E3073="AM",1,(IF(E3073="BE",2,(IF(E3073="GV",3,(IF(E3073="RA",4,(IF(E3073="RM",5,(IF(E3073="AC",1,(IF(E3073="AT",2,(IF(E3073="DS",3,(IF(E3073="IP",4,(IF(E3073="MA",5,(IF(E3073="PT",6,(IF(E3073="AE",1,(IF(E3073="CM",2,(IF(E3073="DP",3,(IF(E3073="AN",1,(IF(E3073="CO",2,(IF(E3073="IM",3,(IF(E3073="MI",4,(IF(E3073="RP",5,(IF(E3073="SC",6,0)))))))))))))))))))))))))))))))))))))))</f>
        <v>6</v>
      </c>
      <c r="G3073" s="52">
        <v>1</v>
      </c>
      <c r="H3073" s="90" t="s">
        <v>115</v>
      </c>
      <c r="I3073" s="94" t="s">
        <v>60</v>
      </c>
      <c r="J3073" s="87" t="s">
        <v>3258</v>
      </c>
      <c r="K3073" s="51" t="s">
        <v>5371</v>
      </c>
      <c r="L3073" s="117">
        <f>IF(O3073="","",N3073*O3073*M3073)</f>
        <v>0</v>
      </c>
      <c r="M3073" s="108">
        <v>1</v>
      </c>
      <c r="N3073" s="95">
        <v>1</v>
      </c>
      <c r="O3073" s="109">
        <f>IF(Key!D$1="ON",P3073,IF(SUM(Q3073:DL3073)&lt;1,"",SUM(Q3073:DL3073)/COUNTIF(Q3073:DL3073,"&gt;0")))</f>
        <v>0</v>
      </c>
      <c r="P3073" s="109">
        <f>SUMIFS(Q3073:DK3073,Q$1:DK$1,Dashboard!$K$31)</f>
        <v>0</v>
      </c>
      <c r="U3073" s="95">
        <v>33</v>
      </c>
      <c r="AA3073" s="95">
        <v>25</v>
      </c>
      <c r="AH3073" s="95">
        <v>75</v>
      </c>
    </row>
    <row r="3074" spans="1:34" ht="15.6" x14ac:dyDescent="0.3">
      <c r="A3074" s="89" t="str">
        <f>CONCATENATE(D3074,".",F3074,"-",G3074,".",H3074,"")</f>
        <v>2.6-1.1</v>
      </c>
      <c r="B3074" s="89" t="str">
        <f>IF(CONCATENATE(I3074,Key!F$2)=CONCATENATE(INDEX(Dashboard!J:J,MATCH(I3074,Dashboard!J:J,0),1),INDEX(Dashboard!J:K,MATCH(I3074,Dashboard!J:J,0),2)),"ON",IF(Dashboard!K$32="ALL","ON","-"))</f>
        <v>-</v>
      </c>
      <c r="C3074" s="88" t="s">
        <v>152</v>
      </c>
      <c r="D3074" s="89">
        <f>IF(C3074="ID",1,(IF(C3074="PR",2,(IF(C3074="DE",3,(IF(C3074="RS",4,(IF(C3074="RC",5,0)))))))))</f>
        <v>2</v>
      </c>
      <c r="E3074" s="89" t="s">
        <v>271</v>
      </c>
      <c r="F3074" s="89">
        <f>IF(E3074="AM",1,(IF(E3074="BE",2,(IF(E3074="GV",3,(IF(E3074="RA",4,(IF(E3074="RM",5,(IF(E3074="AC",1,(IF(E3074="AT",2,(IF(E3074="DS",3,(IF(E3074="IP",4,(IF(E3074="MA",5,(IF(E3074="PT",6,(IF(E3074="AE",1,(IF(E3074="CM",2,(IF(E3074="DP",3,(IF(E3074="AN",1,(IF(E3074="CO",2,(IF(E3074="IM",3,(IF(E3074="MI",4,(IF(E3074="RP",5,(IF(E3074="SC",6,0)))))))))))))))))))))))))))))))))))))))</f>
        <v>6</v>
      </c>
      <c r="G3074" s="52">
        <v>1</v>
      </c>
      <c r="H3074" s="90" t="s">
        <v>115</v>
      </c>
      <c r="I3074" s="94" t="s">
        <v>60</v>
      </c>
      <c r="J3074" s="87" t="s">
        <v>3259</v>
      </c>
      <c r="K3074" s="51" t="s">
        <v>5372</v>
      </c>
      <c r="L3074" s="117">
        <f>IF(O3074="","",N3074*O3074*M3074)</f>
        <v>0</v>
      </c>
      <c r="M3074" s="108">
        <v>1</v>
      </c>
      <c r="N3074" s="95">
        <v>1</v>
      </c>
      <c r="O3074" s="109">
        <f>IF(Key!D$1="ON",P3074,IF(SUM(Q3074:DL3074)&lt;1,"",SUM(Q3074:DL3074)/COUNTIF(Q3074:DL3074,"&gt;0")))</f>
        <v>0</v>
      </c>
      <c r="P3074" s="109">
        <f>SUMIFS(Q3074:DK3074,Q$1:DK$1,Dashboard!$K$31)</f>
        <v>0</v>
      </c>
      <c r="U3074" s="95">
        <v>33</v>
      </c>
      <c r="AA3074" s="95">
        <v>25</v>
      </c>
      <c r="AH3074" s="95">
        <v>75</v>
      </c>
    </row>
    <row r="3075" spans="1:34" x14ac:dyDescent="0.3">
      <c r="A3075" s="89" t="str">
        <f>CONCATENATE(D3075,".",F3075,"-",G3075,".",H3075,"")</f>
        <v>2.6-1.1</v>
      </c>
      <c r="B3075" s="89" t="str">
        <f>IF(CONCATENATE(I3075,Key!F$2)=CONCATENATE(INDEX(Dashboard!J:J,MATCH(I3075,Dashboard!J:J,0),1),INDEX(Dashboard!J:K,MATCH(I3075,Dashboard!J:J,0),2)),"ON",IF(Dashboard!K$32="ALL","ON","-"))</f>
        <v>-</v>
      </c>
      <c r="C3075" s="88" t="s">
        <v>152</v>
      </c>
      <c r="D3075" s="89">
        <f>IF(C3075="ID",1,(IF(C3075="PR",2,(IF(C3075="DE",3,(IF(C3075="RS",4,(IF(C3075="RC",5,0)))))))))</f>
        <v>2</v>
      </c>
      <c r="E3075" s="89" t="s">
        <v>271</v>
      </c>
      <c r="F3075" s="89">
        <f>IF(E3075="AM",1,(IF(E3075="BE",2,(IF(E3075="GV",3,(IF(E3075="RA",4,(IF(E3075="RM",5,(IF(E3075="AC",1,(IF(E3075="AT",2,(IF(E3075="DS",3,(IF(E3075="IP",4,(IF(E3075="MA",5,(IF(E3075="PT",6,(IF(E3075="AE",1,(IF(E3075="CM",2,(IF(E3075="DP",3,(IF(E3075="AN",1,(IF(E3075="CO",2,(IF(E3075="IM",3,(IF(E3075="MI",4,(IF(E3075="RP",5,(IF(E3075="SC",6,0)))))))))))))))))))))))))))))))))))))))</f>
        <v>6</v>
      </c>
      <c r="G3075" s="52">
        <v>1</v>
      </c>
      <c r="H3075" s="90" t="s">
        <v>115</v>
      </c>
      <c r="I3075" s="94" t="s">
        <v>60</v>
      </c>
      <c r="J3075" s="87" t="s">
        <v>3260</v>
      </c>
      <c r="K3075" s="51" t="s">
        <v>5373</v>
      </c>
      <c r="L3075" s="117">
        <f>IF(O3075="","",N3075*O3075*M3075)</f>
        <v>0</v>
      </c>
      <c r="M3075" s="108">
        <v>1</v>
      </c>
      <c r="N3075" s="95">
        <v>1</v>
      </c>
      <c r="O3075" s="109">
        <f>IF(Key!D$1="ON",P3075,IF(SUM(Q3075:DL3075)&lt;1,"",SUM(Q3075:DL3075)/COUNTIF(Q3075:DL3075,"&gt;0")))</f>
        <v>0</v>
      </c>
      <c r="P3075" s="109">
        <f>SUMIFS(Q3075:DK3075,Q$1:DK$1,Dashboard!$K$31)</f>
        <v>0</v>
      </c>
      <c r="U3075" s="95">
        <v>33</v>
      </c>
      <c r="AA3075" s="95">
        <v>25</v>
      </c>
      <c r="AH3075" s="95">
        <v>75</v>
      </c>
    </row>
    <row r="3076" spans="1:34" x14ac:dyDescent="0.3">
      <c r="A3076" s="89" t="str">
        <f>CONCATENATE(D3076,".",F3076,"-",G3076,".",H3076,"")</f>
        <v>2.6-1.1</v>
      </c>
      <c r="B3076" s="89" t="str">
        <f>IF(CONCATENATE(I3076,Key!F$2)=CONCATENATE(INDEX(Dashboard!J:J,MATCH(I3076,Dashboard!J:J,0),1),INDEX(Dashboard!J:K,MATCH(I3076,Dashboard!J:J,0),2)),"ON",IF(Dashboard!K$32="ALL","ON","-"))</f>
        <v>-</v>
      </c>
      <c r="C3076" s="88" t="s">
        <v>152</v>
      </c>
      <c r="D3076" s="89">
        <f>IF(C3076="ID",1,(IF(C3076="PR",2,(IF(C3076="DE",3,(IF(C3076="RS",4,(IF(C3076="RC",5,0)))))))))</f>
        <v>2</v>
      </c>
      <c r="E3076" s="89" t="s">
        <v>271</v>
      </c>
      <c r="F3076" s="89">
        <f>IF(E3076="AM",1,(IF(E3076="BE",2,(IF(E3076="GV",3,(IF(E3076="RA",4,(IF(E3076="RM",5,(IF(E3076="AC",1,(IF(E3076="AT",2,(IF(E3076="DS",3,(IF(E3076="IP",4,(IF(E3076="MA",5,(IF(E3076="PT",6,(IF(E3076="AE",1,(IF(E3076="CM",2,(IF(E3076="DP",3,(IF(E3076="AN",1,(IF(E3076="CO",2,(IF(E3076="IM",3,(IF(E3076="MI",4,(IF(E3076="RP",5,(IF(E3076="SC",6,0)))))))))))))))))))))))))))))))))))))))</f>
        <v>6</v>
      </c>
      <c r="G3076" s="52">
        <v>1</v>
      </c>
      <c r="H3076" s="90" t="s">
        <v>115</v>
      </c>
      <c r="I3076" s="94" t="s">
        <v>60</v>
      </c>
      <c r="J3076" s="87" t="s">
        <v>3261</v>
      </c>
      <c r="K3076" s="51" t="s">
        <v>5374</v>
      </c>
      <c r="L3076" s="117">
        <f>IF(O3076="","",N3076*O3076*M3076)</f>
        <v>0</v>
      </c>
      <c r="M3076" s="108">
        <v>1</v>
      </c>
      <c r="N3076" s="95">
        <v>1</v>
      </c>
      <c r="O3076" s="109">
        <f>IF(Key!D$1="ON",P3076,IF(SUM(Q3076:DL3076)&lt;1,"",SUM(Q3076:DL3076)/COUNTIF(Q3076:DL3076,"&gt;0")))</f>
        <v>0</v>
      </c>
      <c r="P3076" s="109">
        <f>SUMIFS(Q3076:DK3076,Q$1:DK$1,Dashboard!$K$31)</f>
        <v>0</v>
      </c>
      <c r="U3076" s="95">
        <v>33</v>
      </c>
      <c r="AA3076" s="95">
        <v>25</v>
      </c>
      <c r="AH3076" s="95">
        <v>75</v>
      </c>
    </row>
    <row r="3077" spans="1:34" x14ac:dyDescent="0.3">
      <c r="A3077" s="89" t="str">
        <f>CONCATENATE(D3077,".",F3077,"-",G3077,".",H3077,"")</f>
        <v>2.6-1.1</v>
      </c>
      <c r="B3077" s="89" t="str">
        <f>IF(CONCATENATE(I3077,Key!F$2)=CONCATENATE(INDEX(Dashboard!J:J,MATCH(I3077,Dashboard!J:J,0),1),INDEX(Dashboard!J:K,MATCH(I3077,Dashboard!J:J,0),2)),"ON",IF(Dashboard!K$32="ALL","ON","-"))</f>
        <v>-</v>
      </c>
      <c r="C3077" s="88" t="s">
        <v>152</v>
      </c>
      <c r="D3077" s="89">
        <f>IF(C3077="ID",1,(IF(C3077="PR",2,(IF(C3077="DE",3,(IF(C3077="RS",4,(IF(C3077="RC",5,0)))))))))</f>
        <v>2</v>
      </c>
      <c r="E3077" s="89" t="s">
        <v>271</v>
      </c>
      <c r="F3077" s="89">
        <f>IF(E3077="AM",1,(IF(E3077="BE",2,(IF(E3077="GV",3,(IF(E3077="RA",4,(IF(E3077="RM",5,(IF(E3077="AC",1,(IF(E3077="AT",2,(IF(E3077="DS",3,(IF(E3077="IP",4,(IF(E3077="MA",5,(IF(E3077="PT",6,(IF(E3077="AE",1,(IF(E3077="CM",2,(IF(E3077="DP",3,(IF(E3077="AN",1,(IF(E3077="CO",2,(IF(E3077="IM",3,(IF(E3077="MI",4,(IF(E3077="RP",5,(IF(E3077="SC",6,0)))))))))))))))))))))))))))))))))))))))</f>
        <v>6</v>
      </c>
      <c r="G3077" s="52">
        <v>1</v>
      </c>
      <c r="H3077" s="90" t="s">
        <v>115</v>
      </c>
      <c r="I3077" s="94" t="s">
        <v>64</v>
      </c>
      <c r="J3077" s="86" t="s">
        <v>656</v>
      </c>
      <c r="K3077" s="103" t="s">
        <v>2643</v>
      </c>
      <c r="L3077" s="117">
        <f>IF(O3077="","",N3077*O3077*M3077)</f>
        <v>0</v>
      </c>
      <c r="M3077" s="108">
        <v>1</v>
      </c>
      <c r="N3077" s="95">
        <v>1</v>
      </c>
      <c r="O3077" s="109">
        <f>IF(Key!D$1="ON",P3077,IF(SUM(Q3077:DL3077)&lt;1,"",SUM(Q3077:DL3077)/COUNTIF(Q3077:DL3077,"&gt;0")))</f>
        <v>0</v>
      </c>
      <c r="P3077" s="109">
        <f>SUMIFS(Q3077:DK3077,Q$1:DK$1,Dashboard!$K$31)</f>
        <v>0</v>
      </c>
      <c r="U3077" s="95">
        <v>33</v>
      </c>
      <c r="AA3077" s="95">
        <v>25</v>
      </c>
      <c r="AH3077" s="95">
        <v>75</v>
      </c>
    </row>
    <row r="3078" spans="1:34" ht="15.6" x14ac:dyDescent="0.3">
      <c r="A3078" s="89" t="str">
        <f>CONCATENATE(D3078,".",F3078,"-",G3078,".",H3078,"")</f>
        <v>2.6-1.1</v>
      </c>
      <c r="B3078" s="89" t="str">
        <f>IF(CONCATENATE(I3078,Key!F$2)=CONCATENATE(INDEX(Dashboard!J:J,MATCH(I3078,Dashboard!J:J,0),1),INDEX(Dashboard!J:K,MATCH(I3078,Dashboard!J:J,0),2)),"ON",IF(Dashboard!K$32="ALL","ON","-"))</f>
        <v>-</v>
      </c>
      <c r="C3078" s="88" t="s">
        <v>152</v>
      </c>
      <c r="D3078" s="89">
        <f>IF(C3078="ID",1,(IF(C3078="PR",2,(IF(C3078="DE",3,(IF(C3078="RS",4,(IF(C3078="RC",5,0)))))))))</f>
        <v>2</v>
      </c>
      <c r="E3078" s="89" t="s">
        <v>271</v>
      </c>
      <c r="F3078" s="89">
        <f>IF(E3078="AM",1,(IF(E3078="BE",2,(IF(E3078="GV",3,(IF(E3078="RA",4,(IF(E3078="RM",5,(IF(E3078="AC",1,(IF(E3078="AT",2,(IF(E3078="DS",3,(IF(E3078="IP",4,(IF(E3078="MA",5,(IF(E3078="PT",6,(IF(E3078="AE",1,(IF(E3078="CM",2,(IF(E3078="DP",3,(IF(E3078="AN",1,(IF(E3078="CO",2,(IF(E3078="IM",3,(IF(E3078="MI",4,(IF(E3078="RP",5,(IF(E3078="SC",6,0)))))))))))))))))))))))))))))))))))))))</f>
        <v>6</v>
      </c>
      <c r="G3078" s="52">
        <v>1</v>
      </c>
      <c r="H3078" s="90" t="s">
        <v>115</v>
      </c>
      <c r="I3078" s="94" t="s">
        <v>64</v>
      </c>
      <c r="J3078" s="86" t="s">
        <v>1714</v>
      </c>
      <c r="K3078" s="103" t="s">
        <v>2644</v>
      </c>
      <c r="L3078" s="117">
        <f>IF(O3078="","",N3078*O3078*M3078)</f>
        <v>0</v>
      </c>
      <c r="M3078" s="108">
        <v>1</v>
      </c>
      <c r="N3078" s="95">
        <v>1</v>
      </c>
      <c r="O3078" s="109">
        <f>IF(Key!D$1="ON",P3078,IF(SUM(Q3078:DL3078)&lt;1,"",SUM(Q3078:DL3078)/COUNTIF(Q3078:DL3078,"&gt;0")))</f>
        <v>0</v>
      </c>
      <c r="P3078" s="109">
        <f>SUMIFS(Q3078:DK3078,Q$1:DK$1,Dashboard!$K$31)</f>
        <v>0</v>
      </c>
      <c r="U3078" s="95">
        <v>33</v>
      </c>
      <c r="AA3078" s="95">
        <v>25</v>
      </c>
      <c r="AH3078" s="95">
        <v>75</v>
      </c>
    </row>
    <row r="3079" spans="1:34" x14ac:dyDescent="0.3">
      <c r="A3079" s="89" t="str">
        <f>CONCATENATE(D3079,".",F3079,"-",G3079,".",H3079,"")</f>
        <v>2.6-1.1</v>
      </c>
      <c r="B3079" s="89" t="str">
        <f>IF(CONCATENATE(I3079,Key!F$2)=CONCATENATE(INDEX(Dashboard!J:J,MATCH(I3079,Dashboard!J:J,0),1),INDEX(Dashboard!J:K,MATCH(I3079,Dashboard!J:J,0),2)),"ON",IF(Dashboard!K$32="ALL","ON","-"))</f>
        <v>-</v>
      </c>
      <c r="C3079" s="88" t="s">
        <v>152</v>
      </c>
      <c r="D3079" s="89">
        <f>IF(C3079="ID",1,(IF(C3079="PR",2,(IF(C3079="DE",3,(IF(C3079="RS",4,(IF(C3079="RC",5,0)))))))))</f>
        <v>2</v>
      </c>
      <c r="E3079" s="89" t="s">
        <v>271</v>
      </c>
      <c r="F3079" s="89">
        <f>IF(E3079="AM",1,(IF(E3079="BE",2,(IF(E3079="GV",3,(IF(E3079="RA",4,(IF(E3079="RM",5,(IF(E3079="AC",1,(IF(E3079="AT",2,(IF(E3079="DS",3,(IF(E3079="IP",4,(IF(E3079="MA",5,(IF(E3079="PT",6,(IF(E3079="AE",1,(IF(E3079="CM",2,(IF(E3079="DP",3,(IF(E3079="AN",1,(IF(E3079="CO",2,(IF(E3079="IM",3,(IF(E3079="MI",4,(IF(E3079="RP",5,(IF(E3079="SC",6,0)))))))))))))))))))))))))))))))))))))))</f>
        <v>6</v>
      </c>
      <c r="G3079" s="52">
        <v>1</v>
      </c>
      <c r="H3079" s="90" t="s">
        <v>115</v>
      </c>
      <c r="I3079" s="94" t="s">
        <v>64</v>
      </c>
      <c r="J3079" s="87" t="s">
        <v>1716</v>
      </c>
      <c r="K3079" s="102" t="s">
        <v>2645</v>
      </c>
      <c r="L3079" s="117">
        <f>IF(O3079="","",N3079*O3079*M3079)</f>
        <v>0</v>
      </c>
      <c r="M3079" s="108">
        <v>1</v>
      </c>
      <c r="N3079" s="95">
        <v>1</v>
      </c>
      <c r="O3079" s="109">
        <f>IF(Key!D$1="ON",P3079,IF(SUM(Q3079:DL3079)&lt;1,"",SUM(Q3079:DL3079)/COUNTIF(Q3079:DL3079,"&gt;0")))</f>
        <v>0</v>
      </c>
      <c r="P3079" s="109">
        <f>SUMIFS(Q3079:DK3079,Q$1:DK$1,Dashboard!$K$31)</f>
        <v>0</v>
      </c>
      <c r="U3079" s="95">
        <v>33</v>
      </c>
      <c r="AA3079" s="95">
        <v>25</v>
      </c>
      <c r="AH3079" s="95">
        <v>75</v>
      </c>
    </row>
    <row r="3080" spans="1:34" x14ac:dyDescent="0.3">
      <c r="A3080" s="89" t="str">
        <f>CONCATENATE(D3080,".",F3080,"-",G3080,".",H3080,"")</f>
        <v>2.6-1.1</v>
      </c>
      <c r="B3080" s="89" t="str">
        <f>IF(CONCATENATE(I3080,Key!F$2)=CONCATENATE(INDEX(Dashboard!J:J,MATCH(I3080,Dashboard!J:J,0),1),INDEX(Dashboard!J:K,MATCH(I3080,Dashboard!J:J,0),2)),"ON",IF(Dashboard!K$32="ALL","ON","-"))</f>
        <v>-</v>
      </c>
      <c r="C3080" s="88" t="s">
        <v>152</v>
      </c>
      <c r="D3080" s="89">
        <f>IF(C3080="ID",1,(IF(C3080="PR",2,(IF(C3080="DE",3,(IF(C3080="RS",4,(IF(C3080="RC",5,0)))))))))</f>
        <v>2</v>
      </c>
      <c r="E3080" s="89" t="s">
        <v>271</v>
      </c>
      <c r="F3080" s="89">
        <f>IF(E3080="AM",1,(IF(E3080="BE",2,(IF(E3080="GV",3,(IF(E3080="RA",4,(IF(E3080="RM",5,(IF(E3080="AC",1,(IF(E3080="AT",2,(IF(E3080="DS",3,(IF(E3080="IP",4,(IF(E3080="MA",5,(IF(E3080="PT",6,(IF(E3080="AE",1,(IF(E3080="CM",2,(IF(E3080="DP",3,(IF(E3080="AN",1,(IF(E3080="CO",2,(IF(E3080="IM",3,(IF(E3080="MI",4,(IF(E3080="RP",5,(IF(E3080="SC",6,0)))))))))))))))))))))))))))))))))))))))</f>
        <v>6</v>
      </c>
      <c r="G3080" s="52">
        <v>1</v>
      </c>
      <c r="H3080" s="90" t="s">
        <v>115</v>
      </c>
      <c r="I3080" s="94" t="s">
        <v>64</v>
      </c>
      <c r="J3080" s="86" t="s">
        <v>1727</v>
      </c>
      <c r="K3080" s="103" t="s">
        <v>2655</v>
      </c>
      <c r="L3080" s="117">
        <f>IF(O3080="","",N3080*O3080*M3080)</f>
        <v>0</v>
      </c>
      <c r="M3080" s="108">
        <v>1</v>
      </c>
      <c r="N3080" s="95">
        <v>1</v>
      </c>
      <c r="O3080" s="109">
        <f>IF(Key!D$1="ON",P3080,IF(SUM(Q3080:DL3080)&lt;1,"",SUM(Q3080:DL3080)/COUNTIF(Q3080:DL3080,"&gt;0")))</f>
        <v>0</v>
      </c>
      <c r="P3080" s="109">
        <f>SUMIFS(Q3080:DK3080,Q$1:DK$1,Dashboard!$K$31)</f>
        <v>0</v>
      </c>
      <c r="U3080" s="95">
        <v>33</v>
      </c>
      <c r="AA3080" s="95">
        <v>25</v>
      </c>
      <c r="AH3080" s="95">
        <v>75</v>
      </c>
    </row>
    <row r="3081" spans="1:34" x14ac:dyDescent="0.3">
      <c r="A3081" s="89" t="str">
        <f>CONCATENATE(D3081,".",F3081,"-",G3081,".",H3081,"")</f>
        <v>2.6-1.1</v>
      </c>
      <c r="B3081" s="89" t="str">
        <f>IF(CONCATENATE(I3081,Key!F$2)=CONCATENATE(INDEX(Dashboard!J:J,MATCH(I3081,Dashboard!J:J,0),1),INDEX(Dashboard!J:K,MATCH(I3081,Dashboard!J:J,0),2)),"ON",IF(Dashboard!K$32="ALL","ON","-"))</f>
        <v>-</v>
      </c>
      <c r="C3081" s="88" t="s">
        <v>152</v>
      </c>
      <c r="D3081" s="89">
        <f>IF(C3081="ID",1,(IF(C3081="PR",2,(IF(C3081="DE",3,(IF(C3081="RS",4,(IF(C3081="RC",5,0)))))))))</f>
        <v>2</v>
      </c>
      <c r="E3081" s="89" t="s">
        <v>271</v>
      </c>
      <c r="F3081" s="89">
        <f>IF(E3081="AM",1,(IF(E3081="BE",2,(IF(E3081="GV",3,(IF(E3081="RA",4,(IF(E3081="RM",5,(IF(E3081="AC",1,(IF(E3081="AT",2,(IF(E3081="DS",3,(IF(E3081="IP",4,(IF(E3081="MA",5,(IF(E3081="PT",6,(IF(E3081="AE",1,(IF(E3081="CM",2,(IF(E3081="DP",3,(IF(E3081="AN",1,(IF(E3081="CO",2,(IF(E3081="IM",3,(IF(E3081="MI",4,(IF(E3081="RP",5,(IF(E3081="SC",6,0)))))))))))))))))))))))))))))))))))))))</f>
        <v>6</v>
      </c>
      <c r="G3081" s="52">
        <v>1</v>
      </c>
      <c r="H3081" s="90" t="s">
        <v>115</v>
      </c>
      <c r="I3081" s="94" t="s">
        <v>64</v>
      </c>
      <c r="J3081" s="87" t="s">
        <v>1729</v>
      </c>
      <c r="K3081" s="103" t="s">
        <v>2656</v>
      </c>
      <c r="L3081" s="117">
        <f>IF(O3081="","",N3081*O3081*M3081)</f>
        <v>0</v>
      </c>
      <c r="M3081" s="108">
        <v>1</v>
      </c>
      <c r="N3081" s="95">
        <v>1</v>
      </c>
      <c r="O3081" s="109">
        <f>IF(Key!D$1="ON",P3081,IF(SUM(Q3081:DL3081)&lt;1,"",SUM(Q3081:DL3081)/COUNTIF(Q3081:DL3081,"&gt;0")))</f>
        <v>0</v>
      </c>
      <c r="P3081" s="109">
        <f>SUMIFS(Q3081:DK3081,Q$1:DK$1,Dashboard!$K$31)</f>
        <v>0</v>
      </c>
      <c r="U3081" s="95">
        <v>33</v>
      </c>
      <c r="AA3081" s="95">
        <v>25</v>
      </c>
      <c r="AH3081" s="95">
        <v>75</v>
      </c>
    </row>
    <row r="3082" spans="1:34" x14ac:dyDescent="0.3">
      <c r="A3082" s="89" t="str">
        <f>CONCATENATE(D3082,".",F3082,"-",G3082,".",H3082,"")</f>
        <v>2.6-1.1</v>
      </c>
      <c r="B3082" s="89" t="str">
        <f>IF(CONCATENATE(I3082,Key!F$2)=CONCATENATE(INDEX(Dashboard!J:J,MATCH(I3082,Dashboard!J:J,0),1),INDEX(Dashboard!J:K,MATCH(I3082,Dashboard!J:J,0),2)),"ON",IF(Dashboard!K$32="ALL","ON","-"))</f>
        <v>-</v>
      </c>
      <c r="C3082" s="88" t="s">
        <v>152</v>
      </c>
      <c r="D3082" s="89">
        <f>IF(C3082="ID",1,(IF(C3082="PR",2,(IF(C3082="DE",3,(IF(C3082="RS",4,(IF(C3082="RC",5,0)))))))))</f>
        <v>2</v>
      </c>
      <c r="E3082" s="89" t="s">
        <v>271</v>
      </c>
      <c r="F3082" s="89">
        <f>IF(E3082="AM",1,(IF(E3082="BE",2,(IF(E3082="GV",3,(IF(E3082="RA",4,(IF(E3082="RM",5,(IF(E3082="AC",1,(IF(E3082="AT",2,(IF(E3082="DS",3,(IF(E3082="IP",4,(IF(E3082="MA",5,(IF(E3082="PT",6,(IF(E3082="AE",1,(IF(E3082="CM",2,(IF(E3082="DP",3,(IF(E3082="AN",1,(IF(E3082="CO",2,(IF(E3082="IM",3,(IF(E3082="MI",4,(IF(E3082="RP",5,(IF(E3082="SC",6,0)))))))))))))))))))))))))))))))))))))))</f>
        <v>6</v>
      </c>
      <c r="G3082" s="52">
        <v>1</v>
      </c>
      <c r="H3082" s="90" t="s">
        <v>115</v>
      </c>
      <c r="I3082" s="94" t="s">
        <v>64</v>
      </c>
      <c r="J3082" s="87" t="s">
        <v>1730</v>
      </c>
      <c r="K3082" s="103" t="s">
        <v>2657</v>
      </c>
      <c r="L3082" s="117">
        <f>IF(O3082="","",N3082*O3082*M3082)</f>
        <v>0</v>
      </c>
      <c r="M3082" s="108">
        <v>1</v>
      </c>
      <c r="N3082" s="95">
        <v>1</v>
      </c>
      <c r="O3082" s="109">
        <f>IF(Key!D$1="ON",P3082,IF(SUM(Q3082:DL3082)&lt;1,"",SUM(Q3082:DL3082)/COUNTIF(Q3082:DL3082,"&gt;0")))</f>
        <v>0</v>
      </c>
      <c r="P3082" s="109">
        <f>SUMIFS(Q3082:DK3082,Q$1:DK$1,Dashboard!$K$31)</f>
        <v>0</v>
      </c>
      <c r="U3082" s="95">
        <v>33</v>
      </c>
      <c r="AA3082" s="95">
        <v>25</v>
      </c>
      <c r="AH3082" s="95">
        <v>75</v>
      </c>
    </row>
    <row r="3083" spans="1:34" x14ac:dyDescent="0.3">
      <c r="A3083" s="89" t="str">
        <f>CONCATENATE(D3083,".",F3083,"-",G3083,".",H3083,"")</f>
        <v>2.6-1.1</v>
      </c>
      <c r="B3083" s="89" t="str">
        <f>IF(CONCATENATE(I3083,Key!F$2)=CONCATENATE(INDEX(Dashboard!J:J,MATCH(I3083,Dashboard!J:J,0),1),INDEX(Dashboard!J:K,MATCH(I3083,Dashboard!J:J,0),2)),"ON",IF(Dashboard!K$32="ALL","ON","-"))</f>
        <v>-</v>
      </c>
      <c r="C3083" s="88" t="s">
        <v>152</v>
      </c>
      <c r="D3083" s="89">
        <f>IF(C3083="ID",1,(IF(C3083="PR",2,(IF(C3083="DE",3,(IF(C3083="RS",4,(IF(C3083="RC",5,0)))))))))</f>
        <v>2</v>
      </c>
      <c r="E3083" s="89" t="s">
        <v>271</v>
      </c>
      <c r="F3083" s="89">
        <f>IF(E3083="AM",1,(IF(E3083="BE",2,(IF(E3083="GV",3,(IF(E3083="RA",4,(IF(E3083="RM",5,(IF(E3083="AC",1,(IF(E3083="AT",2,(IF(E3083="DS",3,(IF(E3083="IP",4,(IF(E3083="MA",5,(IF(E3083="PT",6,(IF(E3083="AE",1,(IF(E3083="CM",2,(IF(E3083="DP",3,(IF(E3083="AN",1,(IF(E3083="CO",2,(IF(E3083="IM",3,(IF(E3083="MI",4,(IF(E3083="RP",5,(IF(E3083="SC",6,0)))))))))))))))))))))))))))))))))))))))</f>
        <v>6</v>
      </c>
      <c r="G3083" s="52">
        <v>1</v>
      </c>
      <c r="H3083" s="90" t="s">
        <v>115</v>
      </c>
      <c r="I3083" s="94" t="s">
        <v>64</v>
      </c>
      <c r="J3083" s="86" t="s">
        <v>1731</v>
      </c>
      <c r="K3083" s="103" t="s">
        <v>2658</v>
      </c>
      <c r="L3083" s="117">
        <f>IF(O3083="","",N3083*O3083*M3083)</f>
        <v>0</v>
      </c>
      <c r="M3083" s="108">
        <v>1</v>
      </c>
      <c r="N3083" s="95">
        <v>1</v>
      </c>
      <c r="O3083" s="109">
        <f>IF(Key!D$1="ON",P3083,IF(SUM(Q3083:DL3083)&lt;1,"",SUM(Q3083:DL3083)/COUNTIF(Q3083:DL3083,"&gt;0")))</f>
        <v>0</v>
      </c>
      <c r="P3083" s="109">
        <f>SUMIFS(Q3083:DK3083,Q$1:DK$1,Dashboard!$K$31)</f>
        <v>0</v>
      </c>
      <c r="U3083" s="95">
        <v>33</v>
      </c>
      <c r="AA3083" s="95">
        <v>25</v>
      </c>
      <c r="AH3083" s="95">
        <v>75</v>
      </c>
    </row>
    <row r="3084" spans="1:34" ht="15.6" x14ac:dyDescent="0.3">
      <c r="A3084" s="89" t="str">
        <f>CONCATENATE(D3084,".",F3084,"-",G3084,".",H3084,"")</f>
        <v>2.6-1.1</v>
      </c>
      <c r="B3084" s="89" t="str">
        <f>IF(CONCATENATE(I3084,Key!F$2)=CONCATENATE(INDEX(Dashboard!J:J,MATCH(I3084,Dashboard!J:J,0),1),INDEX(Dashboard!J:K,MATCH(I3084,Dashboard!J:J,0),2)),"ON",IF(Dashboard!K$32="ALL","ON","-"))</f>
        <v>-</v>
      </c>
      <c r="C3084" s="88" t="s">
        <v>152</v>
      </c>
      <c r="D3084" s="89">
        <f>IF(C3084="ID",1,(IF(C3084="PR",2,(IF(C3084="DE",3,(IF(C3084="RS",4,(IF(C3084="RC",5,0)))))))))</f>
        <v>2</v>
      </c>
      <c r="E3084" s="89" t="s">
        <v>271</v>
      </c>
      <c r="F3084" s="89">
        <f>IF(E3084="AM",1,(IF(E3084="BE",2,(IF(E3084="GV",3,(IF(E3084="RA",4,(IF(E3084="RM",5,(IF(E3084="AC",1,(IF(E3084="AT",2,(IF(E3084="DS",3,(IF(E3084="IP",4,(IF(E3084="MA",5,(IF(E3084="PT",6,(IF(E3084="AE",1,(IF(E3084="CM",2,(IF(E3084="DP",3,(IF(E3084="AN",1,(IF(E3084="CO",2,(IF(E3084="IM",3,(IF(E3084="MI",4,(IF(E3084="RP",5,(IF(E3084="SC",6,0)))))))))))))))))))))))))))))))))))))))</f>
        <v>6</v>
      </c>
      <c r="G3084" s="52">
        <v>1</v>
      </c>
      <c r="H3084" s="90" t="s">
        <v>115</v>
      </c>
      <c r="I3084" s="94" t="s">
        <v>64</v>
      </c>
      <c r="J3084" s="87" t="s">
        <v>1733</v>
      </c>
      <c r="K3084" s="102" t="s">
        <v>2659</v>
      </c>
      <c r="L3084" s="117">
        <f>IF(O3084="","",N3084*O3084*M3084)</f>
        <v>0</v>
      </c>
      <c r="M3084" s="108">
        <v>1</v>
      </c>
      <c r="N3084" s="95">
        <v>1</v>
      </c>
      <c r="O3084" s="109">
        <f>IF(Key!D$1="ON",P3084,IF(SUM(Q3084:DL3084)&lt;1,"",SUM(Q3084:DL3084)/COUNTIF(Q3084:DL3084,"&gt;0")))</f>
        <v>0</v>
      </c>
      <c r="P3084" s="109">
        <f>SUMIFS(Q3084:DK3084,Q$1:DK$1,Dashboard!$K$31)</f>
        <v>0</v>
      </c>
      <c r="U3084" s="95">
        <v>33</v>
      </c>
      <c r="AA3084" s="95">
        <v>25</v>
      </c>
      <c r="AH3084" s="95">
        <v>75</v>
      </c>
    </row>
    <row r="3085" spans="1:34" ht="15.6" x14ac:dyDescent="0.3">
      <c r="A3085" s="89" t="str">
        <f>CONCATENATE(D3085,".",F3085,"-",G3085,".",H3085,"")</f>
        <v>2.6-1.1</v>
      </c>
      <c r="B3085" s="89" t="str">
        <f>IF(CONCATENATE(I3085,Key!F$2)=CONCATENATE(INDEX(Dashboard!J:J,MATCH(I3085,Dashboard!J:J,0),1),INDEX(Dashboard!J:K,MATCH(I3085,Dashboard!J:J,0),2)),"ON",IF(Dashboard!K$32="ALL","ON","-"))</f>
        <v>-</v>
      </c>
      <c r="C3085" s="88" t="s">
        <v>152</v>
      </c>
      <c r="D3085" s="89">
        <f>IF(C3085="ID",1,(IF(C3085="PR",2,(IF(C3085="DE",3,(IF(C3085="RS",4,(IF(C3085="RC",5,0)))))))))</f>
        <v>2</v>
      </c>
      <c r="E3085" s="89" t="s">
        <v>271</v>
      </c>
      <c r="F3085" s="89">
        <f>IF(E3085="AM",1,(IF(E3085="BE",2,(IF(E3085="GV",3,(IF(E3085="RA",4,(IF(E3085="RM",5,(IF(E3085="AC",1,(IF(E3085="AT",2,(IF(E3085="DS",3,(IF(E3085="IP",4,(IF(E3085="MA",5,(IF(E3085="PT",6,(IF(E3085="AE",1,(IF(E3085="CM",2,(IF(E3085="DP",3,(IF(E3085="AN",1,(IF(E3085="CO",2,(IF(E3085="IM",3,(IF(E3085="MI",4,(IF(E3085="RP",5,(IF(E3085="SC",6,0)))))))))))))))))))))))))))))))))))))))</f>
        <v>6</v>
      </c>
      <c r="G3085" s="52">
        <v>1</v>
      </c>
      <c r="H3085" s="90" t="s">
        <v>115</v>
      </c>
      <c r="I3085" s="94" t="s">
        <v>64</v>
      </c>
      <c r="J3085" s="87" t="s">
        <v>1734</v>
      </c>
      <c r="K3085" s="102" t="s">
        <v>2660</v>
      </c>
      <c r="L3085" s="117">
        <f>IF(O3085="","",N3085*O3085*M3085)</f>
        <v>0</v>
      </c>
      <c r="M3085" s="108">
        <v>1</v>
      </c>
      <c r="N3085" s="95">
        <v>1</v>
      </c>
      <c r="O3085" s="109">
        <f>IF(Key!D$1="ON",P3085,IF(SUM(Q3085:DL3085)&lt;1,"",SUM(Q3085:DL3085)/COUNTIF(Q3085:DL3085,"&gt;0")))</f>
        <v>0</v>
      </c>
      <c r="P3085" s="109">
        <f>SUMIFS(Q3085:DK3085,Q$1:DK$1,Dashboard!$K$31)</f>
        <v>0</v>
      </c>
      <c r="U3085" s="95">
        <v>33</v>
      </c>
      <c r="AA3085" s="95">
        <v>25</v>
      </c>
      <c r="AH3085" s="95">
        <v>75</v>
      </c>
    </row>
    <row r="3086" spans="1:34" ht="15.6" x14ac:dyDescent="0.3">
      <c r="A3086" s="89" t="str">
        <f>CONCATENATE(D3086,".",F3086,"-",G3086,".",H3086,"")</f>
        <v>2.6-1.1</v>
      </c>
      <c r="B3086" s="89" t="str">
        <f>IF(CONCATENATE(I3086,Key!F$2)=CONCATENATE(INDEX(Dashboard!J:J,MATCH(I3086,Dashboard!J:J,0),1),INDEX(Dashboard!J:K,MATCH(I3086,Dashboard!J:J,0),2)),"ON",IF(Dashboard!K$32="ALL","ON","-"))</f>
        <v>-</v>
      </c>
      <c r="C3086" s="88" t="s">
        <v>152</v>
      </c>
      <c r="D3086" s="89">
        <f>IF(C3086="ID",1,(IF(C3086="PR",2,(IF(C3086="DE",3,(IF(C3086="RS",4,(IF(C3086="RC",5,0)))))))))</f>
        <v>2</v>
      </c>
      <c r="E3086" s="89" t="s">
        <v>271</v>
      </c>
      <c r="F3086" s="89">
        <f>IF(E3086="AM",1,(IF(E3086="BE",2,(IF(E3086="GV",3,(IF(E3086="RA",4,(IF(E3086="RM",5,(IF(E3086="AC",1,(IF(E3086="AT",2,(IF(E3086="DS",3,(IF(E3086="IP",4,(IF(E3086="MA",5,(IF(E3086="PT",6,(IF(E3086="AE",1,(IF(E3086="CM",2,(IF(E3086="DP",3,(IF(E3086="AN",1,(IF(E3086="CO",2,(IF(E3086="IM",3,(IF(E3086="MI",4,(IF(E3086="RP",5,(IF(E3086="SC",6,0)))))))))))))))))))))))))))))))))))))))</f>
        <v>6</v>
      </c>
      <c r="G3086" s="98">
        <v>1</v>
      </c>
      <c r="H3086" s="99">
        <v>1</v>
      </c>
      <c r="I3086" s="94" t="s">
        <v>73</v>
      </c>
      <c r="J3086" s="86" t="s">
        <v>4147</v>
      </c>
      <c r="K3086" s="107" t="s">
        <v>4273</v>
      </c>
      <c r="L3086" s="117">
        <f>IF(O3086="","",N3086*O3086*M3086)</f>
        <v>0</v>
      </c>
      <c r="M3086" s="108">
        <v>1</v>
      </c>
      <c r="N3086" s="95">
        <v>1</v>
      </c>
      <c r="O3086" s="109">
        <f>IF(Key!D$1="ON",P3086,IF(SUM(Q3086:DL3086)&lt;1,"",SUM(Q3086:DL3086)/COUNTIF(Q3086:DL3086,"&gt;0")))</f>
        <v>0</v>
      </c>
      <c r="P3086" s="109">
        <f>SUMIFS(Q3086:DK3086,Q$1:DK$1,Dashboard!$K$31)</f>
        <v>0</v>
      </c>
      <c r="U3086" s="95">
        <v>33</v>
      </c>
      <c r="AA3086" s="95">
        <v>25</v>
      </c>
      <c r="AH3086" s="95">
        <v>75</v>
      </c>
    </row>
    <row r="3087" spans="1:34" ht="15.6" x14ac:dyDescent="0.3">
      <c r="A3087" s="89" t="str">
        <f>CONCATENATE(D3087,".",F3087,"-",G3087,".",H3087,"")</f>
        <v>2.6-1.1</v>
      </c>
      <c r="B3087" s="89" t="str">
        <f>IF(CONCATENATE(I3087,Key!F$2)=CONCATENATE(INDEX(Dashboard!J:J,MATCH(I3087,Dashboard!J:J,0),1),INDEX(Dashboard!J:K,MATCH(I3087,Dashboard!J:J,0),2)),"ON",IF(Dashboard!K$32="ALL","ON","-"))</f>
        <v>-</v>
      </c>
      <c r="C3087" s="88" t="s">
        <v>152</v>
      </c>
      <c r="D3087" s="89">
        <f>IF(C3087="ID",1,(IF(C3087="PR",2,(IF(C3087="DE",3,(IF(C3087="RS",4,(IF(C3087="RC",5,0)))))))))</f>
        <v>2</v>
      </c>
      <c r="E3087" s="89" t="s">
        <v>271</v>
      </c>
      <c r="F3087" s="89">
        <f>IF(E3087="AM",1,(IF(E3087="BE",2,(IF(E3087="GV",3,(IF(E3087="RA",4,(IF(E3087="RM",5,(IF(E3087="AC",1,(IF(E3087="AT",2,(IF(E3087="DS",3,(IF(E3087="IP",4,(IF(E3087="MA",5,(IF(E3087="PT",6,(IF(E3087="AE",1,(IF(E3087="CM",2,(IF(E3087="DP",3,(IF(E3087="AN",1,(IF(E3087="CO",2,(IF(E3087="IM",3,(IF(E3087="MI",4,(IF(E3087="RP",5,(IF(E3087="SC",6,0)))))))))))))))))))))))))))))))))))))))</f>
        <v>6</v>
      </c>
      <c r="G3087" s="98">
        <v>1</v>
      </c>
      <c r="H3087" s="99">
        <v>1</v>
      </c>
      <c r="I3087" s="94" t="s">
        <v>73</v>
      </c>
      <c r="J3087" s="86" t="s">
        <v>4148</v>
      </c>
      <c r="K3087" s="107" t="s">
        <v>4274</v>
      </c>
      <c r="L3087" s="117">
        <f>IF(O3087="","",N3087*O3087*M3087)</f>
        <v>0</v>
      </c>
      <c r="M3087" s="108">
        <v>1</v>
      </c>
      <c r="N3087" s="95">
        <v>1</v>
      </c>
      <c r="O3087" s="109">
        <f>IF(Key!D$1="ON",P3087,IF(SUM(Q3087:DL3087)&lt;1,"",SUM(Q3087:DL3087)/COUNTIF(Q3087:DL3087,"&gt;0")))</f>
        <v>0</v>
      </c>
      <c r="P3087" s="109">
        <f>SUMIFS(Q3087:DK3087,Q$1:DK$1,Dashboard!$K$31)</f>
        <v>0</v>
      </c>
      <c r="U3087" s="95">
        <v>33</v>
      </c>
      <c r="AA3087" s="95">
        <v>25</v>
      </c>
      <c r="AH3087" s="95">
        <v>75</v>
      </c>
    </row>
    <row r="3088" spans="1:34" ht="15.6" x14ac:dyDescent="0.3">
      <c r="A3088" s="89" t="str">
        <f>CONCATENATE(D3088,".",F3088,"-",G3088,".",H3088,"")</f>
        <v>2.6-1.1</v>
      </c>
      <c r="B3088" s="89" t="str">
        <f>IF(CONCATENATE(I3088,Key!F$2)=CONCATENATE(INDEX(Dashboard!J:J,MATCH(I3088,Dashboard!J:J,0),1),INDEX(Dashboard!J:K,MATCH(I3088,Dashboard!J:J,0),2)),"ON",IF(Dashboard!K$32="ALL","ON","-"))</f>
        <v>-</v>
      </c>
      <c r="C3088" s="88" t="s">
        <v>152</v>
      </c>
      <c r="D3088" s="89">
        <f>IF(C3088="ID",1,(IF(C3088="PR",2,(IF(C3088="DE",3,(IF(C3088="RS",4,(IF(C3088="RC",5,0)))))))))</f>
        <v>2</v>
      </c>
      <c r="E3088" s="89" t="s">
        <v>271</v>
      </c>
      <c r="F3088" s="89">
        <f>IF(E3088="AM",1,(IF(E3088="BE",2,(IF(E3088="GV",3,(IF(E3088="RA",4,(IF(E3088="RM",5,(IF(E3088="AC",1,(IF(E3088="AT",2,(IF(E3088="DS",3,(IF(E3088="IP",4,(IF(E3088="MA",5,(IF(E3088="PT",6,(IF(E3088="AE",1,(IF(E3088="CM",2,(IF(E3088="DP",3,(IF(E3088="AN",1,(IF(E3088="CO",2,(IF(E3088="IM",3,(IF(E3088="MI",4,(IF(E3088="RP",5,(IF(E3088="SC",6,0)))))))))))))))))))))))))))))))))))))))</f>
        <v>6</v>
      </c>
      <c r="G3088" s="98">
        <v>1</v>
      </c>
      <c r="H3088" s="99">
        <v>1</v>
      </c>
      <c r="I3088" s="94" t="s">
        <v>73</v>
      </c>
      <c r="J3088" s="86" t="s">
        <v>4149</v>
      </c>
      <c r="K3088" s="107" t="s">
        <v>4275</v>
      </c>
      <c r="L3088" s="117">
        <f>IF(O3088="","",N3088*O3088*M3088)</f>
        <v>0</v>
      </c>
      <c r="M3088" s="108">
        <v>1</v>
      </c>
      <c r="N3088" s="95">
        <v>1</v>
      </c>
      <c r="O3088" s="109">
        <f>IF(Key!D$1="ON",P3088,IF(SUM(Q3088:DL3088)&lt;1,"",SUM(Q3088:DL3088)/COUNTIF(Q3088:DL3088,"&gt;0")))</f>
        <v>0</v>
      </c>
      <c r="P3088" s="109">
        <f>SUMIFS(Q3088:DK3088,Q$1:DK$1,Dashboard!$K$31)</f>
        <v>0</v>
      </c>
      <c r="U3088" s="95">
        <v>33</v>
      </c>
      <c r="AA3088" s="95">
        <v>25</v>
      </c>
      <c r="AH3088" s="95">
        <v>75</v>
      </c>
    </row>
    <row r="3089" spans="1:34" ht="15.6" x14ac:dyDescent="0.3">
      <c r="A3089" s="89" t="str">
        <f>CONCATENATE(D3089,".",F3089,"-",G3089,".",H3089,"")</f>
        <v>2.6-1.1</v>
      </c>
      <c r="B3089" s="89" t="str">
        <f>IF(CONCATENATE(I3089,Key!F$2)=CONCATENATE(INDEX(Dashboard!J:J,MATCH(I3089,Dashboard!J:J,0),1),INDEX(Dashboard!J:K,MATCH(I3089,Dashboard!J:J,0),2)),"ON",IF(Dashboard!K$32="ALL","ON","-"))</f>
        <v>-</v>
      </c>
      <c r="C3089" s="88" t="s">
        <v>152</v>
      </c>
      <c r="D3089" s="89">
        <f>IF(C3089="ID",1,(IF(C3089="PR",2,(IF(C3089="DE",3,(IF(C3089="RS",4,(IF(C3089="RC",5,0)))))))))</f>
        <v>2</v>
      </c>
      <c r="E3089" s="89" t="s">
        <v>271</v>
      </c>
      <c r="F3089" s="89">
        <f>IF(E3089="AM",1,(IF(E3089="BE",2,(IF(E3089="GV",3,(IF(E3089="RA",4,(IF(E3089="RM",5,(IF(E3089="AC",1,(IF(E3089="AT",2,(IF(E3089="DS",3,(IF(E3089="IP",4,(IF(E3089="MA",5,(IF(E3089="PT",6,(IF(E3089="AE",1,(IF(E3089="CM",2,(IF(E3089="DP",3,(IF(E3089="AN",1,(IF(E3089="CO",2,(IF(E3089="IM",3,(IF(E3089="MI",4,(IF(E3089="RP",5,(IF(E3089="SC",6,0)))))))))))))))))))))))))))))))))))))))</f>
        <v>6</v>
      </c>
      <c r="G3089" s="98">
        <v>1</v>
      </c>
      <c r="H3089" s="99">
        <v>1</v>
      </c>
      <c r="I3089" s="94" t="s">
        <v>73</v>
      </c>
      <c r="J3089" s="86" t="s">
        <v>4150</v>
      </c>
      <c r="K3089" s="107" t="s">
        <v>4276</v>
      </c>
      <c r="L3089" s="117">
        <f>IF(O3089="","",N3089*O3089*M3089)</f>
        <v>0</v>
      </c>
      <c r="M3089" s="108">
        <v>1</v>
      </c>
      <c r="N3089" s="95">
        <v>1</v>
      </c>
      <c r="O3089" s="109">
        <f>IF(Key!D$1="ON",P3089,IF(SUM(Q3089:DL3089)&lt;1,"",SUM(Q3089:DL3089)/COUNTIF(Q3089:DL3089,"&gt;0")))</f>
        <v>0</v>
      </c>
      <c r="P3089" s="109">
        <f>SUMIFS(Q3089:DK3089,Q$1:DK$1,Dashboard!$K$31)</f>
        <v>0</v>
      </c>
      <c r="U3089" s="95">
        <v>33</v>
      </c>
      <c r="AA3089" s="95">
        <v>25</v>
      </c>
      <c r="AH3089" s="95">
        <v>75</v>
      </c>
    </row>
    <row r="3090" spans="1:34" ht="15.6" x14ac:dyDescent="0.3">
      <c r="A3090" s="89" t="str">
        <f>CONCATENATE(D3090,".",F3090,"-",G3090,".",H3090,"")</f>
        <v>2.6-1.1</v>
      </c>
      <c r="B3090" s="89" t="str">
        <f>IF(CONCATENATE(I3090,Key!F$2)=CONCATENATE(INDEX(Dashboard!J:J,MATCH(I3090,Dashboard!J:J,0),1),INDEX(Dashboard!J:K,MATCH(I3090,Dashboard!J:J,0),2)),"ON",IF(Dashboard!K$32="ALL","ON","-"))</f>
        <v>-</v>
      </c>
      <c r="C3090" s="88" t="s">
        <v>152</v>
      </c>
      <c r="D3090" s="89">
        <f>IF(C3090="ID",1,(IF(C3090="PR",2,(IF(C3090="DE",3,(IF(C3090="RS",4,(IF(C3090="RC",5,0)))))))))</f>
        <v>2</v>
      </c>
      <c r="E3090" s="89" t="s">
        <v>271</v>
      </c>
      <c r="F3090" s="89">
        <f>IF(E3090="AM",1,(IF(E3090="BE",2,(IF(E3090="GV",3,(IF(E3090="RA",4,(IF(E3090="RM",5,(IF(E3090="AC",1,(IF(E3090="AT",2,(IF(E3090="DS",3,(IF(E3090="IP",4,(IF(E3090="MA",5,(IF(E3090="PT",6,(IF(E3090="AE",1,(IF(E3090="CM",2,(IF(E3090="DP",3,(IF(E3090="AN",1,(IF(E3090="CO",2,(IF(E3090="IM",3,(IF(E3090="MI",4,(IF(E3090="RP",5,(IF(E3090="SC",6,0)))))))))))))))))))))))))))))))))))))))</f>
        <v>6</v>
      </c>
      <c r="G3090" s="98">
        <v>1</v>
      </c>
      <c r="H3090" s="99">
        <v>1</v>
      </c>
      <c r="I3090" s="94" t="s">
        <v>73</v>
      </c>
      <c r="J3090" s="86" t="s">
        <v>4151</v>
      </c>
      <c r="K3090" s="107" t="s">
        <v>4277</v>
      </c>
      <c r="L3090" s="117">
        <f>IF(O3090="","",N3090*O3090*M3090)</f>
        <v>0</v>
      </c>
      <c r="M3090" s="108">
        <v>1</v>
      </c>
      <c r="N3090" s="95">
        <v>1</v>
      </c>
      <c r="O3090" s="109">
        <f>IF(Key!D$1="ON",P3090,IF(SUM(Q3090:DL3090)&lt;1,"",SUM(Q3090:DL3090)/COUNTIF(Q3090:DL3090,"&gt;0")))</f>
        <v>0</v>
      </c>
      <c r="P3090" s="109">
        <f>SUMIFS(Q3090:DK3090,Q$1:DK$1,Dashboard!$K$31)</f>
        <v>0</v>
      </c>
      <c r="U3090" s="95">
        <v>33</v>
      </c>
      <c r="AA3090" s="95">
        <v>25</v>
      </c>
      <c r="AH3090" s="95">
        <v>75</v>
      </c>
    </row>
    <row r="3091" spans="1:34" x14ac:dyDescent="0.3">
      <c r="A3091" s="89" t="str">
        <f>CONCATENATE(D3091,".",F3091,"-",G3091,".",H3091,"")</f>
        <v>2.6-1.1</v>
      </c>
      <c r="B3091" s="89" t="str">
        <f>IF(CONCATENATE(I3091,Key!F$2)=CONCATENATE(INDEX(Dashboard!J:J,MATCH(I3091,Dashboard!J:J,0),1),INDEX(Dashboard!J:K,MATCH(I3091,Dashboard!J:J,0),2)),"ON",IF(Dashboard!K$32="ALL","ON","-"))</f>
        <v>-</v>
      </c>
      <c r="C3091" s="88" t="s">
        <v>152</v>
      </c>
      <c r="D3091" s="89">
        <f>IF(C3091="ID",1,(IF(C3091="PR",2,(IF(C3091="DE",3,(IF(C3091="RS",4,(IF(C3091="RC",5,0)))))))))</f>
        <v>2</v>
      </c>
      <c r="E3091" s="89" t="s">
        <v>271</v>
      </c>
      <c r="F3091" s="89">
        <f>IF(E3091="AM",1,(IF(E3091="BE",2,(IF(E3091="GV",3,(IF(E3091="RA",4,(IF(E3091="RM",5,(IF(E3091="AC",1,(IF(E3091="AT",2,(IF(E3091="DS",3,(IF(E3091="IP",4,(IF(E3091="MA",5,(IF(E3091="PT",6,(IF(E3091="AE",1,(IF(E3091="CM",2,(IF(E3091="DP",3,(IF(E3091="AN",1,(IF(E3091="CO",2,(IF(E3091="IM",3,(IF(E3091="MI",4,(IF(E3091="RP",5,(IF(E3091="SC",6,0)))))))))))))))))))))))))))))))))))))))</f>
        <v>6</v>
      </c>
      <c r="G3091" s="98">
        <v>1</v>
      </c>
      <c r="H3091" s="99">
        <v>1</v>
      </c>
      <c r="I3091" s="94" t="s">
        <v>73</v>
      </c>
      <c r="J3091" s="86" t="s">
        <v>4152</v>
      </c>
      <c r="K3091" s="107" t="s">
        <v>4278</v>
      </c>
      <c r="L3091" s="117">
        <f>IF(O3091="","",N3091*O3091*M3091)</f>
        <v>0</v>
      </c>
      <c r="M3091" s="108">
        <v>1</v>
      </c>
      <c r="N3091" s="95">
        <v>1</v>
      </c>
      <c r="O3091" s="109">
        <f>IF(Key!D$1="ON",P3091,IF(SUM(Q3091:DL3091)&lt;1,"",SUM(Q3091:DL3091)/COUNTIF(Q3091:DL3091,"&gt;0")))</f>
        <v>0</v>
      </c>
      <c r="P3091" s="109">
        <f>SUMIFS(Q3091:DK3091,Q$1:DK$1,Dashboard!$K$31)</f>
        <v>0</v>
      </c>
      <c r="U3091" s="95">
        <v>33</v>
      </c>
      <c r="AA3091" s="95">
        <v>25</v>
      </c>
      <c r="AH3091" s="95">
        <v>75</v>
      </c>
    </row>
    <row r="3092" spans="1:34" x14ac:dyDescent="0.3">
      <c r="A3092" s="89" t="str">
        <f>CONCATENATE(D3092,".",F3092,"-",G3092,".",H3092,"")</f>
        <v>2.6-1.1</v>
      </c>
      <c r="B3092" s="89" t="str">
        <f>IF(CONCATENATE(I3092,Key!F$2)=CONCATENATE(INDEX(Dashboard!J:J,MATCH(I3092,Dashboard!J:J,0),1),INDEX(Dashboard!J:K,MATCH(I3092,Dashboard!J:J,0),2)),"ON",IF(Dashboard!K$32="ALL","ON","-"))</f>
        <v>-</v>
      </c>
      <c r="C3092" s="88" t="s">
        <v>152</v>
      </c>
      <c r="D3092" s="89">
        <f>IF(C3092="ID",1,(IF(C3092="PR",2,(IF(C3092="DE",3,(IF(C3092="RS",4,(IF(C3092="RC",5,0)))))))))</f>
        <v>2</v>
      </c>
      <c r="E3092" s="89" t="s">
        <v>271</v>
      </c>
      <c r="F3092" s="89">
        <f>IF(E3092="AM",1,(IF(E3092="BE",2,(IF(E3092="GV",3,(IF(E3092="RA",4,(IF(E3092="RM",5,(IF(E3092="AC",1,(IF(E3092="AT",2,(IF(E3092="DS",3,(IF(E3092="IP",4,(IF(E3092="MA",5,(IF(E3092="PT",6,(IF(E3092="AE",1,(IF(E3092="CM",2,(IF(E3092="DP",3,(IF(E3092="AN",1,(IF(E3092="CO",2,(IF(E3092="IM",3,(IF(E3092="MI",4,(IF(E3092="RP",5,(IF(E3092="SC",6,0)))))))))))))))))))))))))))))))))))))))</f>
        <v>6</v>
      </c>
      <c r="G3092" s="98">
        <v>1</v>
      </c>
      <c r="H3092" s="99">
        <v>1</v>
      </c>
      <c r="I3092" s="94" t="s">
        <v>73</v>
      </c>
      <c r="J3092" s="86" t="s">
        <v>4153</v>
      </c>
      <c r="K3092" s="107" t="s">
        <v>4279</v>
      </c>
      <c r="L3092" s="117">
        <f>IF(O3092="","",N3092*O3092*M3092)</f>
        <v>0</v>
      </c>
      <c r="M3092" s="108">
        <v>1</v>
      </c>
      <c r="N3092" s="95">
        <v>1</v>
      </c>
      <c r="O3092" s="109">
        <f>IF(Key!D$1="ON",P3092,IF(SUM(Q3092:DL3092)&lt;1,"",SUM(Q3092:DL3092)/COUNTIF(Q3092:DL3092,"&gt;0")))</f>
        <v>0</v>
      </c>
      <c r="P3092" s="109">
        <f>SUMIFS(Q3092:DK3092,Q$1:DK$1,Dashboard!$K$31)</f>
        <v>0</v>
      </c>
      <c r="U3092" s="95">
        <v>33</v>
      </c>
      <c r="AA3092" s="95">
        <v>25</v>
      </c>
      <c r="AH3092" s="95">
        <v>75</v>
      </c>
    </row>
    <row r="3093" spans="1:34" x14ac:dyDescent="0.3">
      <c r="A3093" s="89" t="str">
        <f>CONCATENATE(D3093,".",F3093,"-",G3093,".",H3093,"")</f>
        <v>2.6-1.1</v>
      </c>
      <c r="B3093" s="89" t="str">
        <f>IF(CONCATENATE(I3093,Key!F$2)=CONCATENATE(INDEX(Dashboard!J:J,MATCH(I3093,Dashboard!J:J,0),1),INDEX(Dashboard!J:K,MATCH(I3093,Dashboard!J:J,0),2)),"ON",IF(Dashboard!K$32="ALL","ON","-"))</f>
        <v>-</v>
      </c>
      <c r="C3093" s="88" t="s">
        <v>152</v>
      </c>
      <c r="D3093" s="89">
        <f>IF(C3093="ID",1,(IF(C3093="PR",2,(IF(C3093="DE",3,(IF(C3093="RS",4,(IF(C3093="RC",5,0)))))))))</f>
        <v>2</v>
      </c>
      <c r="E3093" s="89" t="s">
        <v>271</v>
      </c>
      <c r="F3093" s="89">
        <f>IF(E3093="AM",1,(IF(E3093="BE",2,(IF(E3093="GV",3,(IF(E3093="RA",4,(IF(E3093="RM",5,(IF(E3093="AC",1,(IF(E3093="AT",2,(IF(E3093="DS",3,(IF(E3093="IP",4,(IF(E3093="MA",5,(IF(E3093="PT",6,(IF(E3093="AE",1,(IF(E3093="CM",2,(IF(E3093="DP",3,(IF(E3093="AN",1,(IF(E3093="CO",2,(IF(E3093="IM",3,(IF(E3093="MI",4,(IF(E3093="RP",5,(IF(E3093="SC",6,0)))))))))))))))))))))))))))))))))))))))</f>
        <v>6</v>
      </c>
      <c r="G3093" s="98">
        <v>1</v>
      </c>
      <c r="H3093" s="99">
        <v>1</v>
      </c>
      <c r="I3093" s="94" t="s">
        <v>73</v>
      </c>
      <c r="J3093" s="86" t="s">
        <v>4154</v>
      </c>
      <c r="K3093" s="107" t="s">
        <v>4280</v>
      </c>
      <c r="L3093" s="117">
        <f>IF(O3093="","",N3093*O3093*M3093)</f>
        <v>0</v>
      </c>
      <c r="M3093" s="108">
        <v>1</v>
      </c>
      <c r="N3093" s="95">
        <v>1</v>
      </c>
      <c r="O3093" s="109">
        <f>IF(Key!D$1="ON",P3093,IF(SUM(Q3093:DL3093)&lt;1,"",SUM(Q3093:DL3093)/COUNTIF(Q3093:DL3093,"&gt;0")))</f>
        <v>0</v>
      </c>
      <c r="P3093" s="109">
        <f>SUMIFS(Q3093:DK3093,Q$1:DK$1,Dashboard!$K$31)</f>
        <v>0</v>
      </c>
      <c r="U3093" s="95">
        <v>33</v>
      </c>
      <c r="AA3093" s="95">
        <v>25</v>
      </c>
      <c r="AH3093" s="95">
        <v>75</v>
      </c>
    </row>
    <row r="3094" spans="1:34" x14ac:dyDescent="0.3">
      <c r="A3094" s="89" t="str">
        <f>CONCATENATE(D3094,".",F3094,"-",G3094,".",H3094,"")</f>
        <v>2.6-1.1</v>
      </c>
      <c r="B3094" s="89" t="str">
        <f>IF(CONCATENATE(I3094,Key!F$2)=CONCATENATE(INDEX(Dashboard!J:J,MATCH(I3094,Dashboard!J:J,0),1),INDEX(Dashboard!J:K,MATCH(I3094,Dashboard!J:J,0),2)),"ON",IF(Dashboard!K$32="ALL","ON","-"))</f>
        <v>-</v>
      </c>
      <c r="C3094" s="88" t="s">
        <v>152</v>
      </c>
      <c r="D3094" s="89">
        <f>IF(C3094="ID",1,(IF(C3094="PR",2,(IF(C3094="DE",3,(IF(C3094="RS",4,(IF(C3094="RC",5,0)))))))))</f>
        <v>2</v>
      </c>
      <c r="E3094" s="89" t="s">
        <v>271</v>
      </c>
      <c r="F3094" s="89">
        <f>IF(E3094="AM",1,(IF(E3094="BE",2,(IF(E3094="GV",3,(IF(E3094="RA",4,(IF(E3094="RM",5,(IF(E3094="AC",1,(IF(E3094="AT",2,(IF(E3094="DS",3,(IF(E3094="IP",4,(IF(E3094="MA",5,(IF(E3094="PT",6,(IF(E3094="AE",1,(IF(E3094="CM",2,(IF(E3094="DP",3,(IF(E3094="AN",1,(IF(E3094="CO",2,(IF(E3094="IM",3,(IF(E3094="MI",4,(IF(E3094="RP",5,(IF(E3094="SC",6,0)))))))))))))))))))))))))))))))))))))))</f>
        <v>6</v>
      </c>
      <c r="G3094" s="98">
        <v>1</v>
      </c>
      <c r="H3094" s="99">
        <v>1</v>
      </c>
      <c r="I3094" s="94" t="s">
        <v>73</v>
      </c>
      <c r="J3094" s="86" t="s">
        <v>4155</v>
      </c>
      <c r="K3094" s="107" t="s">
        <v>4281</v>
      </c>
      <c r="L3094" s="117">
        <f>IF(O3094="","",N3094*O3094*M3094)</f>
        <v>0</v>
      </c>
      <c r="M3094" s="108">
        <v>1</v>
      </c>
      <c r="N3094" s="95">
        <v>1</v>
      </c>
      <c r="O3094" s="109">
        <f>IF(Key!D$1="ON",P3094,IF(SUM(Q3094:DL3094)&lt;1,"",SUM(Q3094:DL3094)/COUNTIF(Q3094:DL3094,"&gt;0")))</f>
        <v>0</v>
      </c>
      <c r="P3094" s="109">
        <f>SUMIFS(Q3094:DK3094,Q$1:DK$1,Dashboard!$K$31)</f>
        <v>0</v>
      </c>
      <c r="U3094" s="95">
        <v>33</v>
      </c>
      <c r="AA3094" s="95">
        <v>25</v>
      </c>
      <c r="AH3094" s="95">
        <v>75</v>
      </c>
    </row>
    <row r="3095" spans="1:34" ht="15.6" x14ac:dyDescent="0.3">
      <c r="A3095" s="89" t="str">
        <f>CONCATENATE(D3095,".",F3095,"-",G3095,".",H3095,"")</f>
        <v>2.6-1.1</v>
      </c>
      <c r="B3095" s="89" t="str">
        <f>IF(CONCATENATE(I3095,Key!F$2)=CONCATENATE(INDEX(Dashboard!J:J,MATCH(I3095,Dashboard!J:J,0),1),INDEX(Dashboard!J:K,MATCH(I3095,Dashboard!J:J,0),2)),"ON",IF(Dashboard!K$32="ALL","ON","-"))</f>
        <v>-</v>
      </c>
      <c r="C3095" s="88" t="s">
        <v>152</v>
      </c>
      <c r="D3095" s="89">
        <f>IF(C3095="ID",1,(IF(C3095="PR",2,(IF(C3095="DE",3,(IF(C3095="RS",4,(IF(C3095="RC",5,0)))))))))</f>
        <v>2</v>
      </c>
      <c r="E3095" s="89" t="s">
        <v>271</v>
      </c>
      <c r="F3095" s="89">
        <f>IF(E3095="AM",1,(IF(E3095="BE",2,(IF(E3095="GV",3,(IF(E3095="RA",4,(IF(E3095="RM",5,(IF(E3095="AC",1,(IF(E3095="AT",2,(IF(E3095="DS",3,(IF(E3095="IP",4,(IF(E3095="MA",5,(IF(E3095="PT",6,(IF(E3095="AE",1,(IF(E3095="CM",2,(IF(E3095="DP",3,(IF(E3095="AN",1,(IF(E3095="CO",2,(IF(E3095="IM",3,(IF(E3095="MI",4,(IF(E3095="RP",5,(IF(E3095="SC",6,0)))))))))))))))))))))))))))))))))))))))</f>
        <v>6</v>
      </c>
      <c r="G3095" s="52">
        <v>1</v>
      </c>
      <c r="H3095" s="90" t="s">
        <v>115</v>
      </c>
      <c r="I3095" s="94" t="s">
        <v>77</v>
      </c>
      <c r="J3095" s="87" t="s">
        <v>1707</v>
      </c>
      <c r="K3095" s="55" t="s">
        <v>2638</v>
      </c>
      <c r="L3095" s="117">
        <f>IF(O3095="","",N3095*O3095*M3095)</f>
        <v>0</v>
      </c>
      <c r="M3095" s="108">
        <v>1</v>
      </c>
      <c r="N3095" s="95">
        <v>1</v>
      </c>
      <c r="O3095" s="109">
        <f>IF(Key!D$1="ON",P3095,IF(SUM(Q3095:DL3095)&lt;1,"",SUM(Q3095:DL3095)/COUNTIF(Q3095:DL3095,"&gt;0")))</f>
        <v>0</v>
      </c>
      <c r="P3095" s="109">
        <f>SUMIFS(Q3095:DK3095,Q$1:DK$1,Dashboard!$K$31)</f>
        <v>0</v>
      </c>
      <c r="U3095" s="95">
        <v>33</v>
      </c>
      <c r="AA3095" s="95">
        <v>25</v>
      </c>
      <c r="AH3095" s="95">
        <v>75</v>
      </c>
    </row>
    <row r="3096" spans="1:34" ht="15.6" x14ac:dyDescent="0.3">
      <c r="A3096" s="89" t="str">
        <f>CONCATENATE(D3096,".",F3096,"-",G3096,".",H3096,"")</f>
        <v>2.6-1.1</v>
      </c>
      <c r="B3096" s="89" t="str">
        <f>IF(CONCATENATE(I3096,Key!F$2)=CONCATENATE(INDEX(Dashboard!J:J,MATCH(I3096,Dashboard!J:J,0),1),INDEX(Dashboard!J:K,MATCH(I3096,Dashboard!J:J,0),2)),"ON",IF(Dashboard!K$32="ALL","ON","-"))</f>
        <v>-</v>
      </c>
      <c r="C3096" s="88" t="s">
        <v>152</v>
      </c>
      <c r="D3096" s="89">
        <f>IF(C3096="ID",1,(IF(C3096="PR",2,(IF(C3096="DE",3,(IF(C3096="RS",4,(IF(C3096="RC",5,0)))))))))</f>
        <v>2</v>
      </c>
      <c r="E3096" s="89" t="s">
        <v>271</v>
      </c>
      <c r="F3096" s="89">
        <f>IF(E3096="AM",1,(IF(E3096="BE",2,(IF(E3096="GV",3,(IF(E3096="RA",4,(IF(E3096="RM",5,(IF(E3096="AC",1,(IF(E3096="AT",2,(IF(E3096="DS",3,(IF(E3096="IP",4,(IF(E3096="MA",5,(IF(E3096="PT",6,(IF(E3096="AE",1,(IF(E3096="CM",2,(IF(E3096="DP",3,(IF(E3096="AN",1,(IF(E3096="CO",2,(IF(E3096="IM",3,(IF(E3096="MI",4,(IF(E3096="RP",5,(IF(E3096="SC",6,0)))))))))))))))))))))))))))))))))))))))</f>
        <v>6</v>
      </c>
      <c r="G3096" s="52">
        <v>1</v>
      </c>
      <c r="H3096" s="90" t="s">
        <v>115</v>
      </c>
      <c r="I3096" s="94" t="s">
        <v>77</v>
      </c>
      <c r="J3096" s="87" t="s">
        <v>1709</v>
      </c>
      <c r="K3096" s="103" t="s">
        <v>2639</v>
      </c>
      <c r="L3096" s="117">
        <f>IF(O3096="","",N3096*O3096*M3096)</f>
        <v>0</v>
      </c>
      <c r="M3096" s="108">
        <v>1</v>
      </c>
      <c r="N3096" s="95">
        <v>1</v>
      </c>
      <c r="O3096" s="109">
        <f>IF(Key!D$1="ON",P3096,IF(SUM(Q3096:DL3096)&lt;1,"",SUM(Q3096:DL3096)/COUNTIF(Q3096:DL3096,"&gt;0")))</f>
        <v>0</v>
      </c>
      <c r="P3096" s="109">
        <f>SUMIFS(Q3096:DK3096,Q$1:DK$1,Dashboard!$K$31)</f>
        <v>0</v>
      </c>
      <c r="U3096" s="95">
        <v>33</v>
      </c>
      <c r="AA3096" s="95">
        <v>25</v>
      </c>
      <c r="AH3096" s="95">
        <v>75</v>
      </c>
    </row>
    <row r="3097" spans="1:34" ht="15.6" x14ac:dyDescent="0.3">
      <c r="A3097" s="89" t="str">
        <f>CONCATENATE(D3097,".",F3097,"-",G3097,".",H3097,"")</f>
        <v>2.6-1.1</v>
      </c>
      <c r="B3097" s="89" t="str">
        <f>IF(CONCATENATE(I3097,Key!F$2)=CONCATENATE(INDEX(Dashboard!J:J,MATCH(I3097,Dashboard!J:J,0),1),INDEX(Dashboard!J:K,MATCH(I3097,Dashboard!J:J,0),2)),"ON",IF(Dashboard!K$32="ALL","ON","-"))</f>
        <v>-</v>
      </c>
      <c r="C3097" s="88" t="s">
        <v>152</v>
      </c>
      <c r="D3097" s="89">
        <f>IF(C3097="ID",1,(IF(C3097="PR",2,(IF(C3097="DE",3,(IF(C3097="RS",4,(IF(C3097="RC",5,0)))))))))</f>
        <v>2</v>
      </c>
      <c r="E3097" s="89" t="s">
        <v>271</v>
      </c>
      <c r="F3097" s="89">
        <f>IF(E3097="AM",1,(IF(E3097="BE",2,(IF(E3097="GV",3,(IF(E3097="RA",4,(IF(E3097="RM",5,(IF(E3097="AC",1,(IF(E3097="AT",2,(IF(E3097="DS",3,(IF(E3097="IP",4,(IF(E3097="MA",5,(IF(E3097="PT",6,(IF(E3097="AE",1,(IF(E3097="CM",2,(IF(E3097="DP",3,(IF(E3097="AN",1,(IF(E3097="CO",2,(IF(E3097="IM",3,(IF(E3097="MI",4,(IF(E3097="RP",5,(IF(E3097="SC",6,0)))))))))))))))))))))))))))))))))))))))</f>
        <v>6</v>
      </c>
      <c r="G3097" s="52">
        <v>1</v>
      </c>
      <c r="H3097" s="90" t="s">
        <v>115</v>
      </c>
      <c r="I3097" s="94" t="s">
        <v>77</v>
      </c>
      <c r="J3097" s="87" t="s">
        <v>1710</v>
      </c>
      <c r="K3097" s="102" t="s">
        <v>2640</v>
      </c>
      <c r="L3097" s="117">
        <f>IF(O3097="","",N3097*O3097*M3097)</f>
        <v>0</v>
      </c>
      <c r="M3097" s="108">
        <v>1</v>
      </c>
      <c r="N3097" s="95">
        <v>1</v>
      </c>
      <c r="O3097" s="109">
        <f>IF(Key!D$1="ON",P3097,IF(SUM(Q3097:DL3097)&lt;1,"",SUM(Q3097:DL3097)/COUNTIF(Q3097:DL3097,"&gt;0")))</f>
        <v>0</v>
      </c>
      <c r="P3097" s="109">
        <f>SUMIFS(Q3097:DK3097,Q$1:DK$1,Dashboard!$K$31)</f>
        <v>0</v>
      </c>
      <c r="U3097" s="95">
        <v>33</v>
      </c>
      <c r="AA3097" s="95">
        <v>25</v>
      </c>
      <c r="AH3097" s="95">
        <v>75</v>
      </c>
    </row>
    <row r="3098" spans="1:34" x14ac:dyDescent="0.3">
      <c r="A3098" s="89" t="str">
        <f>CONCATENATE(D3098,".",F3098,"-",G3098,".",H3098,"")</f>
        <v>2.6-1.1</v>
      </c>
      <c r="B3098" s="89" t="str">
        <f>IF(CONCATENATE(I3098,Key!F$2)=CONCATENATE(INDEX(Dashboard!J:J,MATCH(I3098,Dashboard!J:J,0),1),INDEX(Dashboard!J:K,MATCH(I3098,Dashboard!J:J,0),2)),"ON",IF(Dashboard!K$32="ALL","ON","-"))</f>
        <v>-</v>
      </c>
      <c r="C3098" s="88" t="s">
        <v>152</v>
      </c>
      <c r="D3098" s="89">
        <f>IF(C3098="ID",1,(IF(C3098="PR",2,(IF(C3098="DE",3,(IF(C3098="RS",4,(IF(C3098="RC",5,0)))))))))</f>
        <v>2</v>
      </c>
      <c r="E3098" s="89" t="s">
        <v>271</v>
      </c>
      <c r="F3098" s="89">
        <f>IF(E3098="AM",1,(IF(E3098="BE",2,(IF(E3098="GV",3,(IF(E3098="RA",4,(IF(E3098="RM",5,(IF(E3098="AC",1,(IF(E3098="AT",2,(IF(E3098="DS",3,(IF(E3098="IP",4,(IF(E3098="MA",5,(IF(E3098="PT",6,(IF(E3098="AE",1,(IF(E3098="CM",2,(IF(E3098="DP",3,(IF(E3098="AN",1,(IF(E3098="CO",2,(IF(E3098="IM",3,(IF(E3098="MI",4,(IF(E3098="RP",5,(IF(E3098="SC",6,0)))))))))))))))))))))))))))))))))))))))</f>
        <v>6</v>
      </c>
      <c r="G3098" s="52">
        <v>1</v>
      </c>
      <c r="H3098" s="90" t="s">
        <v>115</v>
      </c>
      <c r="I3098" s="94" t="s">
        <v>77</v>
      </c>
      <c r="J3098" s="87" t="s">
        <v>1712</v>
      </c>
      <c r="K3098" s="102" t="s">
        <v>2641</v>
      </c>
      <c r="L3098" s="117">
        <f>IF(O3098="","",N3098*O3098*M3098)</f>
        <v>0</v>
      </c>
      <c r="M3098" s="108">
        <v>1</v>
      </c>
      <c r="N3098" s="95">
        <v>1</v>
      </c>
      <c r="O3098" s="109">
        <f>IF(Key!D$1="ON",P3098,IF(SUM(Q3098:DL3098)&lt;1,"",SUM(Q3098:DL3098)/COUNTIF(Q3098:DL3098,"&gt;0")))</f>
        <v>0</v>
      </c>
      <c r="P3098" s="109">
        <f>SUMIFS(Q3098:DK3098,Q$1:DK$1,Dashboard!$K$31)</f>
        <v>0</v>
      </c>
      <c r="U3098" s="95">
        <v>33</v>
      </c>
      <c r="AA3098" s="95">
        <v>25</v>
      </c>
      <c r="AH3098" s="95">
        <v>75</v>
      </c>
    </row>
    <row r="3099" spans="1:34" x14ac:dyDescent="0.3">
      <c r="A3099" s="89" t="str">
        <f>CONCATENATE(D3099,".",F3099,"-",G3099,".",H3099,"")</f>
        <v>2.6-1.1</v>
      </c>
      <c r="B3099" s="89" t="str">
        <f>IF(CONCATENATE(I3099,Key!F$2)=CONCATENATE(INDEX(Dashboard!J:J,MATCH(I3099,Dashboard!J:J,0),1),INDEX(Dashboard!J:K,MATCH(I3099,Dashboard!J:J,0),2)),"ON",IF(Dashboard!K$32="ALL","ON","-"))</f>
        <v>-</v>
      </c>
      <c r="C3099" s="88" t="s">
        <v>152</v>
      </c>
      <c r="D3099" s="89">
        <f>IF(C3099="ID",1,(IF(C3099="PR",2,(IF(C3099="DE",3,(IF(C3099="RS",4,(IF(C3099="RC",5,0)))))))))</f>
        <v>2</v>
      </c>
      <c r="E3099" s="89" t="s">
        <v>271</v>
      </c>
      <c r="F3099" s="89">
        <f>IF(E3099="AM",1,(IF(E3099="BE",2,(IF(E3099="GV",3,(IF(E3099="RA",4,(IF(E3099="RM",5,(IF(E3099="AC",1,(IF(E3099="AT",2,(IF(E3099="DS",3,(IF(E3099="IP",4,(IF(E3099="MA",5,(IF(E3099="PT",6,(IF(E3099="AE",1,(IF(E3099="CM",2,(IF(E3099="DP",3,(IF(E3099="AN",1,(IF(E3099="CO",2,(IF(E3099="IM",3,(IF(E3099="MI",4,(IF(E3099="RP",5,(IF(E3099="SC",6,0)))))))))))))))))))))))))))))))))))))))</f>
        <v>6</v>
      </c>
      <c r="G3099" s="52">
        <v>1</v>
      </c>
      <c r="H3099" s="90" t="s">
        <v>115</v>
      </c>
      <c r="I3099" s="94" t="s">
        <v>77</v>
      </c>
      <c r="J3099" s="87" t="s">
        <v>1713</v>
      </c>
      <c r="K3099" s="102" t="s">
        <v>2642</v>
      </c>
      <c r="L3099" s="117">
        <f>IF(O3099="","",N3099*O3099*M3099)</f>
        <v>0</v>
      </c>
      <c r="M3099" s="108">
        <v>1</v>
      </c>
      <c r="N3099" s="95">
        <v>1</v>
      </c>
      <c r="O3099" s="109">
        <f>IF(Key!D$1="ON",P3099,IF(SUM(Q3099:DL3099)&lt;1,"",SUM(Q3099:DL3099)/COUNTIF(Q3099:DL3099,"&gt;0")))</f>
        <v>0</v>
      </c>
      <c r="P3099" s="109">
        <f>SUMIFS(Q3099:DK3099,Q$1:DK$1,Dashboard!$K$31)</f>
        <v>0</v>
      </c>
      <c r="U3099" s="95">
        <v>33</v>
      </c>
      <c r="AA3099" s="95">
        <v>25</v>
      </c>
      <c r="AH3099" s="95">
        <v>75</v>
      </c>
    </row>
    <row r="3100" spans="1:34" x14ac:dyDescent="0.3">
      <c r="A3100" s="89" t="str">
        <f>CONCATENATE(D3100,".",F3100,"-",G3100,".",H3100,"")</f>
        <v>2.6-1.1</v>
      </c>
      <c r="B3100" s="89" t="str">
        <f>IF(CONCATENATE(I3100,Key!F$2)=CONCATENATE(INDEX(Dashboard!J:J,MATCH(I3100,Dashboard!J:J,0),1),INDEX(Dashboard!J:K,MATCH(I3100,Dashboard!J:J,0),2)),"ON",IF(Dashboard!K$32="ALL","ON","-"))</f>
        <v>-</v>
      </c>
      <c r="C3100" s="88" t="s">
        <v>152</v>
      </c>
      <c r="D3100" s="89">
        <f>IF(C3100="ID",1,(IF(C3100="PR",2,(IF(C3100="DE",3,(IF(C3100="RS",4,(IF(C3100="RC",5,0)))))))))</f>
        <v>2</v>
      </c>
      <c r="E3100" s="89" t="s">
        <v>271</v>
      </c>
      <c r="F3100" s="89">
        <f>IF(E3100="AM",1,(IF(E3100="BE",2,(IF(E3100="GV",3,(IF(E3100="RA",4,(IF(E3100="RM",5,(IF(E3100="AC",1,(IF(E3100="AT",2,(IF(E3100="DS",3,(IF(E3100="IP",4,(IF(E3100="MA",5,(IF(E3100="PT",6,(IF(E3100="AE",1,(IF(E3100="CM",2,(IF(E3100="DP",3,(IF(E3100="AN",1,(IF(E3100="CO",2,(IF(E3100="IM",3,(IF(E3100="MI",4,(IF(E3100="RP",5,(IF(E3100="SC",6,0)))))))))))))))))))))))))))))))))))))))</f>
        <v>6</v>
      </c>
      <c r="G3100" s="52">
        <v>1</v>
      </c>
      <c r="H3100" s="90" t="s">
        <v>115</v>
      </c>
      <c r="I3100" s="94" t="s">
        <v>77</v>
      </c>
      <c r="J3100" s="87" t="s">
        <v>656</v>
      </c>
      <c r="K3100" s="102" t="s">
        <v>2643</v>
      </c>
      <c r="L3100" s="117">
        <f>IF(O3100="","",N3100*O3100*M3100)</f>
        <v>0</v>
      </c>
      <c r="M3100" s="108">
        <v>1</v>
      </c>
      <c r="N3100" s="95">
        <v>1</v>
      </c>
      <c r="O3100" s="109">
        <f>IF(Key!D$1="ON",P3100,IF(SUM(Q3100:DL3100)&lt;1,"",SUM(Q3100:DL3100)/COUNTIF(Q3100:DL3100,"&gt;0")))</f>
        <v>0</v>
      </c>
      <c r="P3100" s="109">
        <f>SUMIFS(Q3100:DK3100,Q$1:DK$1,Dashboard!$K$31)</f>
        <v>0</v>
      </c>
      <c r="U3100" s="95">
        <v>33</v>
      </c>
      <c r="AA3100" s="95">
        <v>25</v>
      </c>
      <c r="AH3100" s="95">
        <v>75</v>
      </c>
    </row>
    <row r="3101" spans="1:34" ht="15.6" x14ac:dyDescent="0.3">
      <c r="A3101" s="89" t="str">
        <f>CONCATENATE(D3101,".",F3101,"-",G3101,".",H3101,"")</f>
        <v>2.6-1.1</v>
      </c>
      <c r="B3101" s="89" t="str">
        <f>IF(CONCATENATE(I3101,Key!F$2)=CONCATENATE(INDEX(Dashboard!J:J,MATCH(I3101,Dashboard!J:J,0),1),INDEX(Dashboard!J:K,MATCH(I3101,Dashboard!J:J,0),2)),"ON",IF(Dashboard!K$32="ALL","ON","-"))</f>
        <v>-</v>
      </c>
      <c r="C3101" s="88" t="s">
        <v>152</v>
      </c>
      <c r="D3101" s="89">
        <f>IF(C3101="ID",1,(IF(C3101="PR",2,(IF(C3101="DE",3,(IF(C3101="RS",4,(IF(C3101="RC",5,0)))))))))</f>
        <v>2</v>
      </c>
      <c r="E3101" s="89" t="s">
        <v>271</v>
      </c>
      <c r="F3101" s="89">
        <f>IF(E3101="AM",1,(IF(E3101="BE",2,(IF(E3101="GV",3,(IF(E3101="RA",4,(IF(E3101="RM",5,(IF(E3101="AC",1,(IF(E3101="AT",2,(IF(E3101="DS",3,(IF(E3101="IP",4,(IF(E3101="MA",5,(IF(E3101="PT",6,(IF(E3101="AE",1,(IF(E3101="CM",2,(IF(E3101="DP",3,(IF(E3101="AN",1,(IF(E3101="CO",2,(IF(E3101="IM",3,(IF(E3101="MI",4,(IF(E3101="RP",5,(IF(E3101="SC",6,0)))))))))))))))))))))))))))))))))))))))</f>
        <v>6</v>
      </c>
      <c r="G3101" s="52">
        <v>1</v>
      </c>
      <c r="H3101" s="90" t="s">
        <v>115</v>
      </c>
      <c r="I3101" s="94" t="s">
        <v>77</v>
      </c>
      <c r="J3101" s="87" t="s">
        <v>1714</v>
      </c>
      <c r="K3101" s="102" t="s">
        <v>2644</v>
      </c>
      <c r="L3101" s="117">
        <f>IF(O3101="","",N3101*O3101*M3101)</f>
        <v>0</v>
      </c>
      <c r="M3101" s="108">
        <v>1</v>
      </c>
      <c r="N3101" s="95">
        <v>1</v>
      </c>
      <c r="O3101" s="109">
        <f>IF(Key!D$1="ON",P3101,IF(SUM(Q3101:DL3101)&lt;1,"",SUM(Q3101:DL3101)/COUNTIF(Q3101:DL3101,"&gt;0")))</f>
        <v>0</v>
      </c>
      <c r="P3101" s="109">
        <f>SUMIFS(Q3101:DK3101,Q$1:DK$1,Dashboard!$K$31)</f>
        <v>0</v>
      </c>
      <c r="U3101" s="95">
        <v>33</v>
      </c>
      <c r="AA3101" s="95">
        <v>25</v>
      </c>
      <c r="AH3101" s="95">
        <v>75</v>
      </c>
    </row>
    <row r="3102" spans="1:34" ht="15.6" x14ac:dyDescent="0.3">
      <c r="A3102" s="89" t="str">
        <f>CONCATENATE(D3102,".",F3102,"-",G3102,".",H3102,"")</f>
        <v>2.6-1.1</v>
      </c>
      <c r="B3102" s="89" t="str">
        <f>IF(CONCATENATE(I3102,Key!F$2)=CONCATENATE(INDEX(Dashboard!J:J,MATCH(I3102,Dashboard!J:J,0),1),INDEX(Dashboard!J:K,MATCH(I3102,Dashboard!J:J,0),2)),"ON",IF(Dashboard!K$32="ALL","ON","-"))</f>
        <v>-</v>
      </c>
      <c r="C3102" s="88" t="s">
        <v>152</v>
      </c>
      <c r="D3102" s="89">
        <f>IF(C3102="ID",1,(IF(C3102="PR",2,(IF(C3102="DE",3,(IF(C3102="RS",4,(IF(C3102="RC",5,0)))))))))</f>
        <v>2</v>
      </c>
      <c r="E3102" s="89" t="s">
        <v>271</v>
      </c>
      <c r="F3102" s="89">
        <f>IF(E3102="AM",1,(IF(E3102="BE",2,(IF(E3102="GV",3,(IF(E3102="RA",4,(IF(E3102="RM",5,(IF(E3102="AC",1,(IF(E3102="AT",2,(IF(E3102="DS",3,(IF(E3102="IP",4,(IF(E3102="MA",5,(IF(E3102="PT",6,(IF(E3102="AE",1,(IF(E3102="CM",2,(IF(E3102="DP",3,(IF(E3102="AN",1,(IF(E3102="CO",2,(IF(E3102="IM",3,(IF(E3102="MI",4,(IF(E3102="RP",5,(IF(E3102="SC",6,0)))))))))))))))))))))))))))))))))))))))</f>
        <v>6</v>
      </c>
      <c r="G3102" s="52">
        <v>1</v>
      </c>
      <c r="H3102" s="90" t="s">
        <v>115</v>
      </c>
      <c r="I3102" s="94" t="s">
        <v>77</v>
      </c>
      <c r="J3102" s="87" t="s">
        <v>1716</v>
      </c>
      <c r="K3102" s="102" t="s">
        <v>2645</v>
      </c>
      <c r="L3102" s="117">
        <f>IF(O3102="","",N3102*O3102*M3102)</f>
        <v>0</v>
      </c>
      <c r="M3102" s="108">
        <v>1</v>
      </c>
      <c r="N3102" s="95">
        <v>1</v>
      </c>
      <c r="O3102" s="109">
        <f>IF(Key!D$1="ON",P3102,IF(SUM(Q3102:DL3102)&lt;1,"",SUM(Q3102:DL3102)/COUNTIF(Q3102:DL3102,"&gt;0")))</f>
        <v>0</v>
      </c>
      <c r="P3102" s="109">
        <f>SUMIFS(Q3102:DK3102,Q$1:DK$1,Dashboard!$K$31)</f>
        <v>0</v>
      </c>
      <c r="U3102" s="95">
        <v>33</v>
      </c>
      <c r="AA3102" s="95">
        <v>25</v>
      </c>
      <c r="AH3102" s="95">
        <v>75</v>
      </c>
    </row>
    <row r="3103" spans="1:34" ht="15.6" x14ac:dyDescent="0.3">
      <c r="A3103" s="89" t="str">
        <f>CONCATENATE(D3103,".",F3103,"-",G3103,".",H3103,"")</f>
        <v>2.6-1.1</v>
      </c>
      <c r="B3103" s="89" t="str">
        <f>IF(CONCATENATE(I3103,Key!F$2)=CONCATENATE(INDEX(Dashboard!J:J,MATCH(I3103,Dashboard!J:J,0),1),INDEX(Dashboard!J:K,MATCH(I3103,Dashboard!J:J,0),2)),"ON",IF(Dashboard!K$32="ALL","ON","-"))</f>
        <v>-</v>
      </c>
      <c r="C3103" s="88" t="s">
        <v>152</v>
      </c>
      <c r="D3103" s="89">
        <f>IF(C3103="ID",1,(IF(C3103="PR",2,(IF(C3103="DE",3,(IF(C3103="RS",4,(IF(C3103="RC",5,0)))))))))</f>
        <v>2</v>
      </c>
      <c r="E3103" s="89" t="s">
        <v>271</v>
      </c>
      <c r="F3103" s="89">
        <f>IF(E3103="AM",1,(IF(E3103="BE",2,(IF(E3103="GV",3,(IF(E3103="RA",4,(IF(E3103="RM",5,(IF(E3103="AC",1,(IF(E3103="AT",2,(IF(E3103="DS",3,(IF(E3103="IP",4,(IF(E3103="MA",5,(IF(E3103="PT",6,(IF(E3103="AE",1,(IF(E3103="CM",2,(IF(E3103="DP",3,(IF(E3103="AN",1,(IF(E3103="CO",2,(IF(E3103="IM",3,(IF(E3103="MI",4,(IF(E3103="RP",5,(IF(E3103="SC",6,0)))))))))))))))))))))))))))))))))))))))</f>
        <v>6</v>
      </c>
      <c r="G3103" s="52">
        <v>1</v>
      </c>
      <c r="H3103" s="90" t="s">
        <v>115</v>
      </c>
      <c r="I3103" s="94" t="s">
        <v>77</v>
      </c>
      <c r="J3103" s="87" t="s">
        <v>1717</v>
      </c>
      <c r="K3103" s="102" t="s">
        <v>2646</v>
      </c>
      <c r="L3103" s="117">
        <f>IF(O3103="","",N3103*O3103*M3103)</f>
        <v>0</v>
      </c>
      <c r="M3103" s="108">
        <v>1</v>
      </c>
      <c r="N3103" s="95">
        <v>1</v>
      </c>
      <c r="O3103" s="109">
        <f>IF(Key!D$1="ON",P3103,IF(SUM(Q3103:DL3103)&lt;1,"",SUM(Q3103:DL3103)/COUNTIF(Q3103:DL3103,"&gt;0")))</f>
        <v>0</v>
      </c>
      <c r="P3103" s="109">
        <f>SUMIFS(Q3103:DK3103,Q$1:DK$1,Dashboard!$K$31)</f>
        <v>0</v>
      </c>
      <c r="U3103" s="95">
        <v>33</v>
      </c>
      <c r="AA3103" s="95">
        <v>25</v>
      </c>
      <c r="AH3103" s="95">
        <v>75</v>
      </c>
    </row>
    <row r="3104" spans="1:34" ht="15.6" x14ac:dyDescent="0.3">
      <c r="A3104" s="89" t="str">
        <f>CONCATENATE(D3104,".",F3104,"-",G3104,".",H3104,"")</f>
        <v>2.6-1.1</v>
      </c>
      <c r="B3104" s="89" t="str">
        <f>IF(CONCATENATE(I3104,Key!F$2)=CONCATENATE(INDEX(Dashboard!J:J,MATCH(I3104,Dashboard!J:J,0),1),INDEX(Dashboard!J:K,MATCH(I3104,Dashboard!J:J,0),2)),"ON",IF(Dashboard!K$32="ALL","ON","-"))</f>
        <v>-</v>
      </c>
      <c r="C3104" s="88" t="s">
        <v>152</v>
      </c>
      <c r="D3104" s="89">
        <f>IF(C3104="ID",1,(IF(C3104="PR",2,(IF(C3104="DE",3,(IF(C3104="RS",4,(IF(C3104="RC",5,0)))))))))</f>
        <v>2</v>
      </c>
      <c r="E3104" s="89" t="s">
        <v>271</v>
      </c>
      <c r="F3104" s="89">
        <f>IF(E3104="AM",1,(IF(E3104="BE",2,(IF(E3104="GV",3,(IF(E3104="RA",4,(IF(E3104="RM",5,(IF(E3104="AC",1,(IF(E3104="AT",2,(IF(E3104="DS",3,(IF(E3104="IP",4,(IF(E3104="MA",5,(IF(E3104="PT",6,(IF(E3104="AE",1,(IF(E3104="CM",2,(IF(E3104="DP",3,(IF(E3104="AN",1,(IF(E3104="CO",2,(IF(E3104="IM",3,(IF(E3104="MI",4,(IF(E3104="RP",5,(IF(E3104="SC",6,0)))))))))))))))))))))))))))))))))))))))</f>
        <v>6</v>
      </c>
      <c r="G3104" s="52">
        <v>1</v>
      </c>
      <c r="H3104" s="90" t="s">
        <v>115</v>
      </c>
      <c r="I3104" s="94" t="s">
        <v>77</v>
      </c>
      <c r="J3104" s="87" t="s">
        <v>1719</v>
      </c>
      <c r="K3104" s="103" t="s">
        <v>2647</v>
      </c>
      <c r="L3104" s="117">
        <f>IF(O3104="","",N3104*O3104*M3104)</f>
        <v>0</v>
      </c>
      <c r="M3104" s="108">
        <v>1</v>
      </c>
      <c r="N3104" s="95">
        <v>1</v>
      </c>
      <c r="O3104" s="109">
        <f>IF(Key!D$1="ON",P3104,IF(SUM(Q3104:DL3104)&lt;1,"",SUM(Q3104:DL3104)/COUNTIF(Q3104:DL3104,"&gt;0")))</f>
        <v>0</v>
      </c>
      <c r="P3104" s="109">
        <f>SUMIFS(Q3104:DK3104,Q$1:DK$1,Dashboard!$K$31)</f>
        <v>0</v>
      </c>
      <c r="U3104" s="95">
        <v>33</v>
      </c>
      <c r="AA3104" s="95">
        <v>25</v>
      </c>
      <c r="AH3104" s="95">
        <v>75</v>
      </c>
    </row>
    <row r="3105" spans="1:34" x14ac:dyDescent="0.3">
      <c r="A3105" s="89" t="str">
        <f>CONCATENATE(D3105,".",F3105,"-",G3105,".",H3105,"")</f>
        <v>2.6-1.1</v>
      </c>
      <c r="B3105" s="89" t="str">
        <f>IF(CONCATENATE(I3105,Key!F$2)=CONCATENATE(INDEX(Dashboard!J:J,MATCH(I3105,Dashboard!J:J,0),1),INDEX(Dashboard!J:K,MATCH(I3105,Dashboard!J:J,0),2)),"ON",IF(Dashboard!K$32="ALL","ON","-"))</f>
        <v>-</v>
      </c>
      <c r="C3105" s="88" t="s">
        <v>152</v>
      </c>
      <c r="D3105" s="89">
        <f>IF(C3105="ID",1,(IF(C3105="PR",2,(IF(C3105="DE",3,(IF(C3105="RS",4,(IF(C3105="RC",5,0)))))))))</f>
        <v>2</v>
      </c>
      <c r="E3105" s="89" t="s">
        <v>271</v>
      </c>
      <c r="F3105" s="89">
        <f>IF(E3105="AM",1,(IF(E3105="BE",2,(IF(E3105="GV",3,(IF(E3105="RA",4,(IF(E3105="RM",5,(IF(E3105="AC",1,(IF(E3105="AT",2,(IF(E3105="DS",3,(IF(E3105="IP",4,(IF(E3105="MA",5,(IF(E3105="PT",6,(IF(E3105="AE",1,(IF(E3105="CM",2,(IF(E3105="DP",3,(IF(E3105="AN",1,(IF(E3105="CO",2,(IF(E3105="IM",3,(IF(E3105="MI",4,(IF(E3105="RP",5,(IF(E3105="SC",6,0)))))))))))))))))))))))))))))))))))))))</f>
        <v>6</v>
      </c>
      <c r="G3105" s="52">
        <v>1</v>
      </c>
      <c r="H3105" s="90" t="s">
        <v>115</v>
      </c>
      <c r="I3105" s="94" t="s">
        <v>77</v>
      </c>
      <c r="J3105" s="87" t="s">
        <v>1720</v>
      </c>
      <c r="K3105" s="103" t="s">
        <v>2648</v>
      </c>
      <c r="L3105" s="117">
        <f>IF(O3105="","",N3105*O3105*M3105)</f>
        <v>0</v>
      </c>
      <c r="M3105" s="108">
        <v>1</v>
      </c>
      <c r="N3105" s="95">
        <v>1</v>
      </c>
      <c r="O3105" s="109">
        <f>IF(Key!D$1="ON",P3105,IF(SUM(Q3105:DL3105)&lt;1,"",SUM(Q3105:DL3105)/COUNTIF(Q3105:DL3105,"&gt;0")))</f>
        <v>0</v>
      </c>
      <c r="P3105" s="109">
        <f>SUMIFS(Q3105:DK3105,Q$1:DK$1,Dashboard!$K$31)</f>
        <v>0</v>
      </c>
      <c r="U3105" s="95">
        <v>33</v>
      </c>
      <c r="AA3105" s="95">
        <v>25</v>
      </c>
      <c r="AH3105" s="95">
        <v>75</v>
      </c>
    </row>
    <row r="3106" spans="1:34" x14ac:dyDescent="0.3">
      <c r="A3106" s="89" t="str">
        <f>CONCATENATE(D3106,".",F3106,"-",G3106,".",H3106,"")</f>
        <v>2.6-1.1</v>
      </c>
      <c r="B3106" s="89" t="str">
        <f>IF(CONCATENATE(I3106,Key!F$2)=CONCATENATE(INDEX(Dashboard!J:J,MATCH(I3106,Dashboard!J:J,0),1),INDEX(Dashboard!J:K,MATCH(I3106,Dashboard!J:J,0),2)),"ON",IF(Dashboard!K$32="ALL","ON","-"))</f>
        <v>-</v>
      </c>
      <c r="C3106" s="88" t="s">
        <v>152</v>
      </c>
      <c r="D3106" s="89">
        <f>IF(C3106="ID",1,(IF(C3106="PR",2,(IF(C3106="DE",3,(IF(C3106="RS",4,(IF(C3106="RC",5,0)))))))))</f>
        <v>2</v>
      </c>
      <c r="E3106" s="89" t="s">
        <v>271</v>
      </c>
      <c r="F3106" s="89">
        <f>IF(E3106="AM",1,(IF(E3106="BE",2,(IF(E3106="GV",3,(IF(E3106="RA",4,(IF(E3106="RM",5,(IF(E3106="AC",1,(IF(E3106="AT",2,(IF(E3106="DS",3,(IF(E3106="IP",4,(IF(E3106="MA",5,(IF(E3106="PT",6,(IF(E3106="AE",1,(IF(E3106="CM",2,(IF(E3106="DP",3,(IF(E3106="AN",1,(IF(E3106="CO",2,(IF(E3106="IM",3,(IF(E3106="MI",4,(IF(E3106="RP",5,(IF(E3106="SC",6,0)))))))))))))))))))))))))))))))))))))))</f>
        <v>6</v>
      </c>
      <c r="G3106" s="52">
        <v>1</v>
      </c>
      <c r="H3106" s="90" t="s">
        <v>115</v>
      </c>
      <c r="I3106" s="94" t="s">
        <v>77</v>
      </c>
      <c r="J3106" s="87" t="s">
        <v>1721</v>
      </c>
      <c r="K3106" s="103" t="s">
        <v>2649</v>
      </c>
      <c r="L3106" s="117">
        <f>IF(O3106="","",N3106*O3106*M3106)</f>
        <v>0</v>
      </c>
      <c r="M3106" s="108">
        <v>1</v>
      </c>
      <c r="N3106" s="95">
        <v>1</v>
      </c>
      <c r="O3106" s="109">
        <f>IF(Key!D$1="ON",P3106,IF(SUM(Q3106:DL3106)&lt;1,"",SUM(Q3106:DL3106)/COUNTIF(Q3106:DL3106,"&gt;0")))</f>
        <v>0</v>
      </c>
      <c r="P3106" s="109">
        <f>SUMIFS(Q3106:DK3106,Q$1:DK$1,Dashboard!$K$31)</f>
        <v>0</v>
      </c>
      <c r="U3106" s="95">
        <v>33</v>
      </c>
      <c r="AA3106" s="95">
        <v>25</v>
      </c>
      <c r="AH3106" s="95">
        <v>75</v>
      </c>
    </row>
    <row r="3107" spans="1:34" x14ac:dyDescent="0.3">
      <c r="A3107" s="89" t="str">
        <f>CONCATENATE(D3107,".",F3107,"-",G3107,".",H3107,"")</f>
        <v>2.6-1.1</v>
      </c>
      <c r="B3107" s="89" t="str">
        <f>IF(CONCATENATE(I3107,Key!F$2)=CONCATENATE(INDEX(Dashboard!J:J,MATCH(I3107,Dashboard!J:J,0),1),INDEX(Dashboard!J:K,MATCH(I3107,Dashboard!J:J,0),2)),"ON",IF(Dashboard!K$32="ALL","ON","-"))</f>
        <v>-</v>
      </c>
      <c r="C3107" s="88" t="s">
        <v>152</v>
      </c>
      <c r="D3107" s="89">
        <f>IF(C3107="ID",1,(IF(C3107="PR",2,(IF(C3107="DE",3,(IF(C3107="RS",4,(IF(C3107="RC",5,0)))))))))</f>
        <v>2</v>
      </c>
      <c r="E3107" s="89" t="s">
        <v>271</v>
      </c>
      <c r="F3107" s="89">
        <f>IF(E3107="AM",1,(IF(E3107="BE",2,(IF(E3107="GV",3,(IF(E3107="RA",4,(IF(E3107="RM",5,(IF(E3107="AC",1,(IF(E3107="AT",2,(IF(E3107="DS",3,(IF(E3107="IP",4,(IF(E3107="MA",5,(IF(E3107="PT",6,(IF(E3107="AE",1,(IF(E3107="CM",2,(IF(E3107="DP",3,(IF(E3107="AN",1,(IF(E3107="CO",2,(IF(E3107="IM",3,(IF(E3107="MI",4,(IF(E3107="RP",5,(IF(E3107="SC",6,0)))))))))))))))))))))))))))))))))))))))</f>
        <v>6</v>
      </c>
      <c r="G3107" s="52">
        <v>1</v>
      </c>
      <c r="H3107" s="90" t="s">
        <v>115</v>
      </c>
      <c r="I3107" s="94" t="s">
        <v>77</v>
      </c>
      <c r="J3107" s="87" t="s">
        <v>660</v>
      </c>
      <c r="K3107" s="103" t="s">
        <v>5216</v>
      </c>
      <c r="L3107" s="117">
        <f>IF(O3107="","",N3107*O3107*M3107)</f>
        <v>0</v>
      </c>
      <c r="M3107" s="108">
        <v>1</v>
      </c>
      <c r="N3107" s="95">
        <v>1</v>
      </c>
      <c r="O3107" s="109">
        <f>IF(Key!D$1="ON",P3107,IF(SUM(Q3107:DL3107)&lt;1,"",SUM(Q3107:DL3107)/COUNTIF(Q3107:DL3107,"&gt;0")))</f>
        <v>0</v>
      </c>
      <c r="P3107" s="109">
        <f>SUMIFS(Q3107:DK3107,Q$1:DK$1,Dashboard!$K$31)</f>
        <v>0</v>
      </c>
      <c r="U3107" s="95">
        <v>33</v>
      </c>
      <c r="AA3107" s="95">
        <v>25</v>
      </c>
      <c r="AH3107" s="95">
        <v>75</v>
      </c>
    </row>
    <row r="3108" spans="1:34" ht="15.6" x14ac:dyDescent="0.3">
      <c r="A3108" s="89" t="str">
        <f>CONCATENATE(D3108,".",F3108,"-",G3108,".",H3108,"")</f>
        <v>2.6-1.1</v>
      </c>
      <c r="B3108" s="89" t="str">
        <f>IF(CONCATENATE(I3108,Key!F$2)=CONCATENATE(INDEX(Dashboard!J:J,MATCH(I3108,Dashboard!J:J,0),1),INDEX(Dashboard!J:K,MATCH(I3108,Dashboard!J:J,0),2)),"ON",IF(Dashboard!K$32="ALL","ON","-"))</f>
        <v>-</v>
      </c>
      <c r="C3108" s="88" t="s">
        <v>152</v>
      </c>
      <c r="D3108" s="89">
        <f>IF(C3108="ID",1,(IF(C3108="PR",2,(IF(C3108="DE",3,(IF(C3108="RS",4,(IF(C3108="RC",5,0)))))))))</f>
        <v>2</v>
      </c>
      <c r="E3108" s="89" t="s">
        <v>271</v>
      </c>
      <c r="F3108" s="89">
        <f>IF(E3108="AM",1,(IF(E3108="BE",2,(IF(E3108="GV",3,(IF(E3108="RA",4,(IF(E3108="RM",5,(IF(E3108="AC",1,(IF(E3108="AT",2,(IF(E3108="DS",3,(IF(E3108="IP",4,(IF(E3108="MA",5,(IF(E3108="PT",6,(IF(E3108="AE",1,(IF(E3108="CM",2,(IF(E3108="DP",3,(IF(E3108="AN",1,(IF(E3108="CO",2,(IF(E3108="IM",3,(IF(E3108="MI",4,(IF(E3108="RP",5,(IF(E3108="SC",6,0)))))))))))))))))))))))))))))))))))))))</f>
        <v>6</v>
      </c>
      <c r="G3108" s="52">
        <v>1</v>
      </c>
      <c r="H3108" s="90" t="s">
        <v>115</v>
      </c>
      <c r="I3108" s="94" t="s">
        <v>77</v>
      </c>
      <c r="J3108" s="87" t="s">
        <v>1722</v>
      </c>
      <c r="K3108" s="103" t="s">
        <v>2650</v>
      </c>
      <c r="L3108" s="117">
        <f>IF(O3108="","",N3108*O3108*M3108)</f>
        <v>0</v>
      </c>
      <c r="M3108" s="108">
        <v>1</v>
      </c>
      <c r="N3108" s="95">
        <v>1</v>
      </c>
      <c r="O3108" s="109">
        <f>IF(Key!D$1="ON",P3108,IF(SUM(Q3108:DL3108)&lt;1,"",SUM(Q3108:DL3108)/COUNTIF(Q3108:DL3108,"&gt;0")))</f>
        <v>0</v>
      </c>
      <c r="P3108" s="109">
        <f>SUMIFS(Q3108:DK3108,Q$1:DK$1,Dashboard!$K$31)</f>
        <v>0</v>
      </c>
      <c r="U3108" s="95">
        <v>33</v>
      </c>
      <c r="AA3108" s="95">
        <v>25</v>
      </c>
      <c r="AH3108" s="95">
        <v>75</v>
      </c>
    </row>
    <row r="3109" spans="1:34" x14ac:dyDescent="0.3">
      <c r="A3109" s="89" t="str">
        <f>CONCATENATE(D3109,".",F3109,"-",G3109,".",H3109,"")</f>
        <v>2.6-1.1</v>
      </c>
      <c r="B3109" s="89" t="str">
        <f>IF(CONCATENATE(I3109,Key!F$2)=CONCATENATE(INDEX(Dashboard!J:J,MATCH(I3109,Dashboard!J:J,0),1),INDEX(Dashboard!J:K,MATCH(I3109,Dashboard!J:J,0),2)),"ON",IF(Dashboard!K$32="ALL","ON","-"))</f>
        <v>-</v>
      </c>
      <c r="C3109" s="88" t="s">
        <v>152</v>
      </c>
      <c r="D3109" s="89">
        <f>IF(C3109="ID",1,(IF(C3109="PR",2,(IF(C3109="DE",3,(IF(C3109="RS",4,(IF(C3109="RC",5,0)))))))))</f>
        <v>2</v>
      </c>
      <c r="E3109" s="89" t="s">
        <v>271</v>
      </c>
      <c r="F3109" s="89">
        <f>IF(E3109="AM",1,(IF(E3109="BE",2,(IF(E3109="GV",3,(IF(E3109="RA",4,(IF(E3109="RM",5,(IF(E3109="AC",1,(IF(E3109="AT",2,(IF(E3109="DS",3,(IF(E3109="IP",4,(IF(E3109="MA",5,(IF(E3109="PT",6,(IF(E3109="AE",1,(IF(E3109="CM",2,(IF(E3109="DP",3,(IF(E3109="AN",1,(IF(E3109="CO",2,(IF(E3109="IM",3,(IF(E3109="MI",4,(IF(E3109="RP",5,(IF(E3109="SC",6,0)))))))))))))))))))))))))))))))))))))))</f>
        <v>6</v>
      </c>
      <c r="G3109" s="52">
        <v>1</v>
      </c>
      <c r="H3109" s="90" t="s">
        <v>115</v>
      </c>
      <c r="I3109" s="94" t="s">
        <v>77</v>
      </c>
      <c r="J3109" s="87" t="s">
        <v>1723</v>
      </c>
      <c r="K3109" s="103" t="s">
        <v>2651</v>
      </c>
      <c r="L3109" s="117">
        <f>IF(O3109="","",N3109*O3109*M3109)</f>
        <v>0</v>
      </c>
      <c r="M3109" s="108">
        <v>1</v>
      </c>
      <c r="N3109" s="95">
        <v>1</v>
      </c>
      <c r="O3109" s="109">
        <f>IF(Key!D$1="ON",P3109,IF(SUM(Q3109:DL3109)&lt;1,"",SUM(Q3109:DL3109)/COUNTIF(Q3109:DL3109,"&gt;0")))</f>
        <v>0</v>
      </c>
      <c r="P3109" s="109">
        <f>SUMIFS(Q3109:DK3109,Q$1:DK$1,Dashboard!$K$31)</f>
        <v>0</v>
      </c>
      <c r="U3109" s="95">
        <v>33</v>
      </c>
      <c r="AA3109" s="95">
        <v>25</v>
      </c>
      <c r="AH3109" s="95">
        <v>75</v>
      </c>
    </row>
    <row r="3110" spans="1:34" x14ac:dyDescent="0.3">
      <c r="A3110" s="89" t="str">
        <f>CONCATENATE(D3110,".",F3110,"-",G3110,".",H3110,"")</f>
        <v>2.6-1.1</v>
      </c>
      <c r="B3110" s="89" t="str">
        <f>IF(CONCATENATE(I3110,Key!F$2)=CONCATENATE(INDEX(Dashboard!J:J,MATCH(I3110,Dashboard!J:J,0),1),INDEX(Dashboard!J:K,MATCH(I3110,Dashboard!J:J,0),2)),"ON",IF(Dashboard!K$32="ALL","ON","-"))</f>
        <v>-</v>
      </c>
      <c r="C3110" s="88" t="s">
        <v>152</v>
      </c>
      <c r="D3110" s="89">
        <f>IF(C3110="ID",1,(IF(C3110="PR",2,(IF(C3110="DE",3,(IF(C3110="RS",4,(IF(C3110="RC",5,0)))))))))</f>
        <v>2</v>
      </c>
      <c r="E3110" s="89" t="s">
        <v>271</v>
      </c>
      <c r="F3110" s="89">
        <f>IF(E3110="AM",1,(IF(E3110="BE",2,(IF(E3110="GV",3,(IF(E3110="RA",4,(IF(E3110="RM",5,(IF(E3110="AC",1,(IF(E3110="AT",2,(IF(E3110="DS",3,(IF(E3110="IP",4,(IF(E3110="MA",5,(IF(E3110="PT",6,(IF(E3110="AE",1,(IF(E3110="CM",2,(IF(E3110="DP",3,(IF(E3110="AN",1,(IF(E3110="CO",2,(IF(E3110="IM",3,(IF(E3110="MI",4,(IF(E3110="RP",5,(IF(E3110="SC",6,0)))))))))))))))))))))))))))))))))))))))</f>
        <v>6</v>
      </c>
      <c r="G3110" s="52">
        <v>1</v>
      </c>
      <c r="H3110" s="90" t="s">
        <v>115</v>
      </c>
      <c r="I3110" s="94" t="s">
        <v>77</v>
      </c>
      <c r="J3110" s="87" t="s">
        <v>1724</v>
      </c>
      <c r="K3110" s="103" t="s">
        <v>2652</v>
      </c>
      <c r="L3110" s="117">
        <f>IF(O3110="","",N3110*O3110*M3110)</f>
        <v>0</v>
      </c>
      <c r="M3110" s="108">
        <v>1</v>
      </c>
      <c r="N3110" s="95">
        <v>1</v>
      </c>
      <c r="O3110" s="109">
        <f>IF(Key!D$1="ON",P3110,IF(SUM(Q3110:DL3110)&lt;1,"",SUM(Q3110:DL3110)/COUNTIF(Q3110:DL3110,"&gt;0")))</f>
        <v>0</v>
      </c>
      <c r="P3110" s="109">
        <f>SUMIFS(Q3110:DK3110,Q$1:DK$1,Dashboard!$K$31)</f>
        <v>0</v>
      </c>
      <c r="U3110" s="95">
        <v>33</v>
      </c>
      <c r="AA3110" s="95">
        <v>25</v>
      </c>
      <c r="AH3110" s="95">
        <v>75</v>
      </c>
    </row>
    <row r="3111" spans="1:34" x14ac:dyDescent="0.3">
      <c r="A3111" s="89" t="str">
        <f>CONCATENATE(D3111,".",F3111,"-",G3111,".",H3111,"")</f>
        <v>2.6-1.1</v>
      </c>
      <c r="B3111" s="89" t="str">
        <f>IF(CONCATENATE(I3111,Key!F$2)=CONCATENATE(INDEX(Dashboard!J:J,MATCH(I3111,Dashboard!J:J,0),1),INDEX(Dashboard!J:K,MATCH(I3111,Dashboard!J:J,0),2)),"ON",IF(Dashboard!K$32="ALL","ON","-"))</f>
        <v>-</v>
      </c>
      <c r="C3111" s="88" t="s">
        <v>152</v>
      </c>
      <c r="D3111" s="89">
        <f>IF(C3111="ID",1,(IF(C3111="PR",2,(IF(C3111="DE",3,(IF(C3111="RS",4,(IF(C3111="RC",5,0)))))))))</f>
        <v>2</v>
      </c>
      <c r="E3111" s="89" t="s">
        <v>271</v>
      </c>
      <c r="F3111" s="89">
        <f>IF(E3111="AM",1,(IF(E3111="BE",2,(IF(E3111="GV",3,(IF(E3111="RA",4,(IF(E3111="RM",5,(IF(E3111="AC",1,(IF(E3111="AT",2,(IF(E3111="DS",3,(IF(E3111="IP",4,(IF(E3111="MA",5,(IF(E3111="PT",6,(IF(E3111="AE",1,(IF(E3111="CM",2,(IF(E3111="DP",3,(IF(E3111="AN",1,(IF(E3111="CO",2,(IF(E3111="IM",3,(IF(E3111="MI",4,(IF(E3111="RP",5,(IF(E3111="SC",6,0)))))))))))))))))))))))))))))))))))))))</f>
        <v>6</v>
      </c>
      <c r="G3111" s="52">
        <v>1</v>
      </c>
      <c r="H3111" s="90" t="s">
        <v>115</v>
      </c>
      <c r="I3111" s="94" t="s">
        <v>77</v>
      </c>
      <c r="J3111" s="87" t="s">
        <v>1725</v>
      </c>
      <c r="K3111" s="103" t="s">
        <v>2653</v>
      </c>
      <c r="L3111" s="117">
        <f>IF(O3111="","",N3111*O3111*M3111)</f>
        <v>0</v>
      </c>
      <c r="M3111" s="108">
        <v>1</v>
      </c>
      <c r="N3111" s="95">
        <v>1</v>
      </c>
      <c r="O3111" s="109">
        <f>IF(Key!D$1="ON",P3111,IF(SUM(Q3111:DL3111)&lt;1,"",SUM(Q3111:DL3111)/COUNTIF(Q3111:DL3111,"&gt;0")))</f>
        <v>0</v>
      </c>
      <c r="P3111" s="109">
        <f>SUMIFS(Q3111:DK3111,Q$1:DK$1,Dashboard!$K$31)</f>
        <v>0</v>
      </c>
      <c r="U3111" s="95">
        <v>33</v>
      </c>
      <c r="AA3111" s="95">
        <v>25</v>
      </c>
      <c r="AH3111" s="95">
        <v>75</v>
      </c>
    </row>
    <row r="3112" spans="1:34" x14ac:dyDescent="0.3">
      <c r="A3112" s="89" t="str">
        <f>CONCATENATE(D3112,".",F3112,"-",G3112,".",H3112,"")</f>
        <v>2.6-1.1</v>
      </c>
      <c r="B3112" s="89" t="str">
        <f>IF(CONCATENATE(I3112,Key!F$2)=CONCATENATE(INDEX(Dashboard!J:J,MATCH(I3112,Dashboard!J:J,0),1),INDEX(Dashboard!J:K,MATCH(I3112,Dashboard!J:J,0),2)),"ON",IF(Dashboard!K$32="ALL","ON","-"))</f>
        <v>-</v>
      </c>
      <c r="C3112" s="88" t="s">
        <v>152</v>
      </c>
      <c r="D3112" s="89">
        <f>IF(C3112="ID",1,(IF(C3112="PR",2,(IF(C3112="DE",3,(IF(C3112="RS",4,(IF(C3112="RC",5,0)))))))))</f>
        <v>2</v>
      </c>
      <c r="E3112" s="89" t="s">
        <v>271</v>
      </c>
      <c r="F3112" s="89">
        <f>IF(E3112="AM",1,(IF(E3112="BE",2,(IF(E3112="GV",3,(IF(E3112="RA",4,(IF(E3112="RM",5,(IF(E3112="AC",1,(IF(E3112="AT",2,(IF(E3112="DS",3,(IF(E3112="IP",4,(IF(E3112="MA",5,(IF(E3112="PT",6,(IF(E3112="AE",1,(IF(E3112="CM",2,(IF(E3112="DP",3,(IF(E3112="AN",1,(IF(E3112="CO",2,(IF(E3112="IM",3,(IF(E3112="MI",4,(IF(E3112="RP",5,(IF(E3112="SC",6,0)))))))))))))))))))))))))))))))))))))))</f>
        <v>6</v>
      </c>
      <c r="G3112" s="52">
        <v>1</v>
      </c>
      <c r="H3112" s="90" t="s">
        <v>115</v>
      </c>
      <c r="I3112" s="94" t="s">
        <v>77</v>
      </c>
      <c r="J3112" s="87" t="s">
        <v>1726</v>
      </c>
      <c r="K3112" s="103" t="s">
        <v>2654</v>
      </c>
      <c r="L3112" s="117">
        <f>IF(O3112="","",N3112*O3112*M3112)</f>
        <v>0</v>
      </c>
      <c r="M3112" s="108">
        <v>1</v>
      </c>
      <c r="N3112" s="95">
        <v>1</v>
      </c>
      <c r="O3112" s="109">
        <f>IF(Key!D$1="ON",P3112,IF(SUM(Q3112:DL3112)&lt;1,"",SUM(Q3112:DL3112)/COUNTIF(Q3112:DL3112,"&gt;0")))</f>
        <v>0</v>
      </c>
      <c r="P3112" s="109">
        <f>SUMIFS(Q3112:DK3112,Q$1:DK$1,Dashboard!$K$31)</f>
        <v>0</v>
      </c>
      <c r="U3112" s="95">
        <v>33</v>
      </c>
      <c r="AA3112" s="95">
        <v>25</v>
      </c>
      <c r="AH3112" s="95">
        <v>75</v>
      </c>
    </row>
    <row r="3113" spans="1:34" x14ac:dyDescent="0.3">
      <c r="A3113" s="89" t="str">
        <f>CONCATENATE(D3113,".",F3113,"-",G3113,".",H3113,"")</f>
        <v>2.6-1.1</v>
      </c>
      <c r="B3113" s="89" t="str">
        <f>IF(CONCATENATE(I3113,Key!F$2)=CONCATENATE(INDEX(Dashboard!J:J,MATCH(I3113,Dashboard!J:J,0),1),INDEX(Dashboard!J:K,MATCH(I3113,Dashboard!J:J,0),2)),"ON",IF(Dashboard!K$32="ALL","ON","-"))</f>
        <v>-</v>
      </c>
      <c r="C3113" s="88" t="s">
        <v>152</v>
      </c>
      <c r="D3113" s="89">
        <f>IF(C3113="ID",1,(IF(C3113="PR",2,(IF(C3113="DE",3,(IF(C3113="RS",4,(IF(C3113="RC",5,0)))))))))</f>
        <v>2</v>
      </c>
      <c r="E3113" s="89" t="s">
        <v>271</v>
      </c>
      <c r="F3113" s="89">
        <f>IF(E3113="AM",1,(IF(E3113="BE",2,(IF(E3113="GV",3,(IF(E3113="RA",4,(IF(E3113="RM",5,(IF(E3113="AC",1,(IF(E3113="AT",2,(IF(E3113="DS",3,(IF(E3113="IP",4,(IF(E3113="MA",5,(IF(E3113="PT",6,(IF(E3113="AE",1,(IF(E3113="CM",2,(IF(E3113="DP",3,(IF(E3113="AN",1,(IF(E3113="CO",2,(IF(E3113="IM",3,(IF(E3113="MI",4,(IF(E3113="RP",5,(IF(E3113="SC",6,0)))))))))))))))))))))))))))))))))))))))</f>
        <v>6</v>
      </c>
      <c r="G3113" s="52">
        <v>1</v>
      </c>
      <c r="H3113" s="90" t="s">
        <v>115</v>
      </c>
      <c r="I3113" s="94" t="s">
        <v>77</v>
      </c>
      <c r="J3113" s="87" t="s">
        <v>1727</v>
      </c>
      <c r="K3113" s="102" t="s">
        <v>2655</v>
      </c>
      <c r="L3113" s="117">
        <f>IF(O3113="","",N3113*O3113*M3113)</f>
        <v>0</v>
      </c>
      <c r="M3113" s="108">
        <v>1</v>
      </c>
      <c r="N3113" s="95">
        <v>1</v>
      </c>
      <c r="O3113" s="109">
        <f>IF(Key!D$1="ON",P3113,IF(SUM(Q3113:DL3113)&lt;1,"",SUM(Q3113:DL3113)/COUNTIF(Q3113:DL3113,"&gt;0")))</f>
        <v>0</v>
      </c>
      <c r="P3113" s="109">
        <f>SUMIFS(Q3113:DK3113,Q$1:DK$1,Dashboard!$K$31)</f>
        <v>0</v>
      </c>
      <c r="U3113" s="95">
        <v>33</v>
      </c>
      <c r="AA3113" s="95">
        <v>25</v>
      </c>
      <c r="AH3113" s="95">
        <v>75</v>
      </c>
    </row>
    <row r="3114" spans="1:34" x14ac:dyDescent="0.3">
      <c r="A3114" s="89" t="str">
        <f>CONCATENATE(D3114,".",F3114,"-",G3114,".",H3114,"")</f>
        <v>2.6-1.1</v>
      </c>
      <c r="B3114" s="89" t="str">
        <f>IF(CONCATENATE(I3114,Key!F$2)=CONCATENATE(INDEX(Dashboard!J:J,MATCH(I3114,Dashboard!J:J,0),1),INDEX(Dashboard!J:K,MATCH(I3114,Dashboard!J:J,0),2)),"ON",IF(Dashboard!K$32="ALL","ON","-"))</f>
        <v>-</v>
      </c>
      <c r="C3114" s="88" t="s">
        <v>152</v>
      </c>
      <c r="D3114" s="89">
        <f>IF(C3114="ID",1,(IF(C3114="PR",2,(IF(C3114="DE",3,(IF(C3114="RS",4,(IF(C3114="RC",5,0)))))))))</f>
        <v>2</v>
      </c>
      <c r="E3114" s="89" t="s">
        <v>271</v>
      </c>
      <c r="F3114" s="89">
        <f>IF(E3114="AM",1,(IF(E3114="BE",2,(IF(E3114="GV",3,(IF(E3114="RA",4,(IF(E3114="RM",5,(IF(E3114="AC",1,(IF(E3114="AT",2,(IF(E3114="DS",3,(IF(E3114="IP",4,(IF(E3114="MA",5,(IF(E3114="PT",6,(IF(E3114="AE",1,(IF(E3114="CM",2,(IF(E3114="DP",3,(IF(E3114="AN",1,(IF(E3114="CO",2,(IF(E3114="IM",3,(IF(E3114="MI",4,(IF(E3114="RP",5,(IF(E3114="SC",6,0)))))))))))))))))))))))))))))))))))))))</f>
        <v>6</v>
      </c>
      <c r="G3114" s="52">
        <v>1</v>
      </c>
      <c r="H3114" s="90" t="s">
        <v>115</v>
      </c>
      <c r="I3114" s="94" t="s">
        <v>77</v>
      </c>
      <c r="J3114" s="87" t="s">
        <v>1729</v>
      </c>
      <c r="K3114" s="103" t="s">
        <v>2656</v>
      </c>
      <c r="L3114" s="117">
        <f>IF(O3114="","",N3114*O3114*M3114)</f>
        <v>0</v>
      </c>
      <c r="M3114" s="108">
        <v>1</v>
      </c>
      <c r="N3114" s="95">
        <v>1</v>
      </c>
      <c r="O3114" s="109">
        <f>IF(Key!D$1="ON",P3114,IF(SUM(Q3114:DL3114)&lt;1,"",SUM(Q3114:DL3114)/COUNTIF(Q3114:DL3114,"&gt;0")))</f>
        <v>0</v>
      </c>
      <c r="P3114" s="109">
        <f>SUMIFS(Q3114:DK3114,Q$1:DK$1,Dashboard!$K$31)</f>
        <v>0</v>
      </c>
      <c r="U3114" s="95">
        <v>33</v>
      </c>
      <c r="AA3114" s="95">
        <v>25</v>
      </c>
      <c r="AH3114" s="95">
        <v>75</v>
      </c>
    </row>
    <row r="3115" spans="1:34" ht="15.6" x14ac:dyDescent="0.3">
      <c r="A3115" s="89" t="str">
        <f>CONCATENATE(D3115,".",F3115,"-",G3115,".",H3115,"")</f>
        <v>2.6-1.1</v>
      </c>
      <c r="B3115" s="89" t="str">
        <f>IF(CONCATENATE(I3115,Key!F$2)=CONCATENATE(INDEX(Dashboard!J:J,MATCH(I3115,Dashboard!J:J,0),1),INDEX(Dashboard!J:K,MATCH(I3115,Dashboard!J:J,0),2)),"ON",IF(Dashboard!K$32="ALL","ON","-"))</f>
        <v>-</v>
      </c>
      <c r="C3115" s="88" t="s">
        <v>152</v>
      </c>
      <c r="D3115" s="89">
        <f>IF(C3115="ID",1,(IF(C3115="PR",2,(IF(C3115="DE",3,(IF(C3115="RS",4,(IF(C3115="RC",5,0)))))))))</f>
        <v>2</v>
      </c>
      <c r="E3115" s="89" t="s">
        <v>271</v>
      </c>
      <c r="F3115" s="89">
        <f>IF(E3115="AM",1,(IF(E3115="BE",2,(IF(E3115="GV",3,(IF(E3115="RA",4,(IF(E3115="RM",5,(IF(E3115="AC",1,(IF(E3115="AT",2,(IF(E3115="DS",3,(IF(E3115="IP",4,(IF(E3115="MA",5,(IF(E3115="PT",6,(IF(E3115="AE",1,(IF(E3115="CM",2,(IF(E3115="DP",3,(IF(E3115="AN",1,(IF(E3115="CO",2,(IF(E3115="IM",3,(IF(E3115="MI",4,(IF(E3115="RP",5,(IF(E3115="SC",6,0)))))))))))))))))))))))))))))))))))))))</f>
        <v>6</v>
      </c>
      <c r="G3115" s="52">
        <v>1</v>
      </c>
      <c r="H3115" s="90" t="s">
        <v>115</v>
      </c>
      <c r="I3115" s="94" t="s">
        <v>77</v>
      </c>
      <c r="J3115" s="87" t="s">
        <v>1730</v>
      </c>
      <c r="K3115" s="103" t="s">
        <v>2657</v>
      </c>
      <c r="L3115" s="117">
        <f>IF(O3115="","",N3115*O3115*M3115)</f>
        <v>0</v>
      </c>
      <c r="M3115" s="108">
        <v>1</v>
      </c>
      <c r="N3115" s="95">
        <v>1</v>
      </c>
      <c r="O3115" s="109">
        <f>IF(Key!D$1="ON",P3115,IF(SUM(Q3115:DL3115)&lt;1,"",SUM(Q3115:DL3115)/COUNTIF(Q3115:DL3115,"&gt;0")))</f>
        <v>0</v>
      </c>
      <c r="P3115" s="109">
        <f>SUMIFS(Q3115:DK3115,Q$1:DK$1,Dashboard!$K$31)</f>
        <v>0</v>
      </c>
      <c r="U3115" s="95">
        <v>33</v>
      </c>
      <c r="AA3115" s="95">
        <v>25</v>
      </c>
      <c r="AH3115" s="95">
        <v>75</v>
      </c>
    </row>
    <row r="3116" spans="1:34" x14ac:dyDescent="0.3">
      <c r="A3116" s="89" t="str">
        <f>CONCATENATE(D3116,".",F3116,"-",G3116,".",H3116,"")</f>
        <v>2.6-1.1</v>
      </c>
      <c r="B3116" s="89" t="str">
        <f>IF(CONCATENATE(I3116,Key!F$2)=CONCATENATE(INDEX(Dashboard!J:J,MATCH(I3116,Dashboard!J:J,0),1),INDEX(Dashboard!J:K,MATCH(I3116,Dashboard!J:J,0),2)),"ON",IF(Dashboard!K$32="ALL","ON","-"))</f>
        <v>-</v>
      </c>
      <c r="C3116" s="88" t="s">
        <v>152</v>
      </c>
      <c r="D3116" s="89">
        <f>IF(C3116="ID",1,(IF(C3116="PR",2,(IF(C3116="DE",3,(IF(C3116="RS",4,(IF(C3116="RC",5,0)))))))))</f>
        <v>2</v>
      </c>
      <c r="E3116" s="89" t="s">
        <v>271</v>
      </c>
      <c r="F3116" s="89">
        <f>IF(E3116="AM",1,(IF(E3116="BE",2,(IF(E3116="GV",3,(IF(E3116="RA",4,(IF(E3116="RM",5,(IF(E3116="AC",1,(IF(E3116="AT",2,(IF(E3116="DS",3,(IF(E3116="IP",4,(IF(E3116="MA",5,(IF(E3116="PT",6,(IF(E3116="AE",1,(IF(E3116="CM",2,(IF(E3116="DP",3,(IF(E3116="AN",1,(IF(E3116="CO",2,(IF(E3116="IM",3,(IF(E3116="MI",4,(IF(E3116="RP",5,(IF(E3116="SC",6,0)))))))))))))))))))))))))))))))))))))))</f>
        <v>6</v>
      </c>
      <c r="G3116" s="52">
        <v>1</v>
      </c>
      <c r="H3116" s="90" t="s">
        <v>115</v>
      </c>
      <c r="I3116" s="94" t="s">
        <v>77</v>
      </c>
      <c r="J3116" s="87" t="s">
        <v>1731</v>
      </c>
      <c r="K3116" s="102" t="s">
        <v>2658</v>
      </c>
      <c r="L3116" s="117">
        <f>IF(O3116="","",N3116*O3116*M3116)</f>
        <v>0</v>
      </c>
      <c r="M3116" s="108">
        <v>1</v>
      </c>
      <c r="N3116" s="95">
        <v>1</v>
      </c>
      <c r="O3116" s="109">
        <f>IF(Key!D$1="ON",P3116,IF(SUM(Q3116:DL3116)&lt;1,"",SUM(Q3116:DL3116)/COUNTIF(Q3116:DL3116,"&gt;0")))</f>
        <v>0</v>
      </c>
      <c r="P3116" s="109">
        <f>SUMIFS(Q3116:DK3116,Q$1:DK$1,Dashboard!$K$31)</f>
        <v>0</v>
      </c>
      <c r="U3116" s="95">
        <v>33</v>
      </c>
      <c r="AA3116" s="95">
        <v>25</v>
      </c>
      <c r="AH3116" s="95">
        <v>75</v>
      </c>
    </row>
    <row r="3117" spans="1:34" x14ac:dyDescent="0.3">
      <c r="A3117" s="89" t="str">
        <f>CONCATENATE(D3117,".",F3117,"-",G3117,".",H3117,"")</f>
        <v>2.6-1.1</v>
      </c>
      <c r="B3117" s="89" t="str">
        <f>IF(CONCATENATE(I3117,Key!F$2)=CONCATENATE(INDEX(Dashboard!J:J,MATCH(I3117,Dashboard!J:J,0),1),INDEX(Dashboard!J:K,MATCH(I3117,Dashboard!J:J,0),2)),"ON",IF(Dashboard!K$32="ALL","ON","-"))</f>
        <v>-</v>
      </c>
      <c r="C3117" s="88" t="s">
        <v>152</v>
      </c>
      <c r="D3117" s="89">
        <f>IF(C3117="ID",1,(IF(C3117="PR",2,(IF(C3117="DE",3,(IF(C3117="RS",4,(IF(C3117="RC",5,0)))))))))</f>
        <v>2</v>
      </c>
      <c r="E3117" s="89" t="s">
        <v>271</v>
      </c>
      <c r="F3117" s="89">
        <f>IF(E3117="AM",1,(IF(E3117="BE",2,(IF(E3117="GV",3,(IF(E3117="RA",4,(IF(E3117="RM",5,(IF(E3117="AC",1,(IF(E3117="AT",2,(IF(E3117="DS",3,(IF(E3117="IP",4,(IF(E3117="MA",5,(IF(E3117="PT",6,(IF(E3117="AE",1,(IF(E3117="CM",2,(IF(E3117="DP",3,(IF(E3117="AN",1,(IF(E3117="CO",2,(IF(E3117="IM",3,(IF(E3117="MI",4,(IF(E3117="RP",5,(IF(E3117="SC",6,0)))))))))))))))))))))))))))))))))))))))</f>
        <v>6</v>
      </c>
      <c r="G3117" s="52">
        <v>1</v>
      </c>
      <c r="H3117" s="90" t="s">
        <v>115</v>
      </c>
      <c r="I3117" s="94" t="s">
        <v>77</v>
      </c>
      <c r="J3117" s="87" t="s">
        <v>1733</v>
      </c>
      <c r="K3117" s="102" t="s">
        <v>2659</v>
      </c>
      <c r="L3117" s="117">
        <f>IF(O3117="","",N3117*O3117*M3117)</f>
        <v>0</v>
      </c>
      <c r="M3117" s="108">
        <v>1</v>
      </c>
      <c r="N3117" s="95">
        <v>1</v>
      </c>
      <c r="O3117" s="109">
        <f>IF(Key!D$1="ON",P3117,IF(SUM(Q3117:DL3117)&lt;1,"",SUM(Q3117:DL3117)/COUNTIF(Q3117:DL3117,"&gt;0")))</f>
        <v>0</v>
      </c>
      <c r="P3117" s="109">
        <f>SUMIFS(Q3117:DK3117,Q$1:DK$1,Dashboard!$K$31)</f>
        <v>0</v>
      </c>
      <c r="U3117" s="95">
        <v>33</v>
      </c>
      <c r="AA3117" s="95">
        <v>25</v>
      </c>
      <c r="AH3117" s="95">
        <v>75</v>
      </c>
    </row>
    <row r="3118" spans="1:34" x14ac:dyDescent="0.3">
      <c r="A3118" s="89" t="str">
        <f>CONCATENATE(D3118,".",F3118,"-",G3118,".",H3118,"")</f>
        <v>2.6-1.1</v>
      </c>
      <c r="B3118" s="89" t="str">
        <f>IF(CONCATENATE(I3118,Key!F$2)=CONCATENATE(INDEX(Dashboard!J:J,MATCH(I3118,Dashboard!J:J,0),1),INDEX(Dashboard!J:K,MATCH(I3118,Dashboard!J:J,0),2)),"ON",IF(Dashboard!K$32="ALL","ON","-"))</f>
        <v>-</v>
      </c>
      <c r="C3118" s="88" t="s">
        <v>152</v>
      </c>
      <c r="D3118" s="89">
        <f>IF(C3118="ID",1,(IF(C3118="PR",2,(IF(C3118="DE",3,(IF(C3118="RS",4,(IF(C3118="RC",5,0)))))))))</f>
        <v>2</v>
      </c>
      <c r="E3118" s="89" t="s">
        <v>271</v>
      </c>
      <c r="F3118" s="89">
        <f>IF(E3118="AM",1,(IF(E3118="BE",2,(IF(E3118="GV",3,(IF(E3118="RA",4,(IF(E3118="RM",5,(IF(E3118="AC",1,(IF(E3118="AT",2,(IF(E3118="DS",3,(IF(E3118="IP",4,(IF(E3118="MA",5,(IF(E3118="PT",6,(IF(E3118="AE",1,(IF(E3118="CM",2,(IF(E3118="DP",3,(IF(E3118="AN",1,(IF(E3118="CO",2,(IF(E3118="IM",3,(IF(E3118="MI",4,(IF(E3118="RP",5,(IF(E3118="SC",6,0)))))))))))))))))))))))))))))))))))))))</f>
        <v>6</v>
      </c>
      <c r="G3118" s="52">
        <v>1</v>
      </c>
      <c r="H3118" s="90" t="s">
        <v>115</v>
      </c>
      <c r="I3118" s="94" t="s">
        <v>77</v>
      </c>
      <c r="J3118" s="87" t="s">
        <v>1734</v>
      </c>
      <c r="K3118" s="102" t="s">
        <v>2660</v>
      </c>
      <c r="L3118" s="117">
        <f>IF(O3118="","",N3118*O3118*M3118)</f>
        <v>0</v>
      </c>
      <c r="M3118" s="108">
        <v>1</v>
      </c>
      <c r="N3118" s="95">
        <v>1</v>
      </c>
      <c r="O3118" s="109">
        <f>IF(Key!D$1="ON",P3118,IF(SUM(Q3118:DL3118)&lt;1,"",SUM(Q3118:DL3118)/COUNTIF(Q3118:DL3118,"&gt;0")))</f>
        <v>0</v>
      </c>
      <c r="P3118" s="109">
        <f>SUMIFS(Q3118:DK3118,Q$1:DK$1,Dashboard!$K$31)</f>
        <v>0</v>
      </c>
      <c r="U3118" s="95">
        <v>33</v>
      </c>
      <c r="AA3118" s="95">
        <v>25</v>
      </c>
      <c r="AH3118" s="95">
        <v>75</v>
      </c>
    </row>
    <row r="3119" spans="1:34" x14ac:dyDescent="0.3">
      <c r="A3119" s="89" t="str">
        <f>CONCATENATE(D3119,".",F3119,"-",G3119,".",H3119,"")</f>
        <v>2.6-1.1</v>
      </c>
      <c r="B3119" s="89" t="str">
        <f>IF(CONCATENATE(I3119,Key!F$2)=CONCATENATE(INDEX(Dashboard!J:J,MATCH(I3119,Dashboard!J:J,0),1),INDEX(Dashboard!J:K,MATCH(I3119,Dashboard!J:J,0),2)),"ON",IF(Dashboard!K$32="ALL","ON","-"))</f>
        <v>-</v>
      </c>
      <c r="C3119" s="88" t="s">
        <v>152</v>
      </c>
      <c r="D3119" s="89">
        <f>IF(C3119="ID",1,(IF(C3119="PR",2,(IF(C3119="DE",3,(IF(C3119="RS",4,(IF(C3119="RC",5,0)))))))))</f>
        <v>2</v>
      </c>
      <c r="E3119" s="89" t="s">
        <v>271</v>
      </c>
      <c r="F3119" s="89">
        <f>IF(E3119="AM",1,(IF(E3119="BE",2,(IF(E3119="GV",3,(IF(E3119="RA",4,(IF(E3119="RM",5,(IF(E3119="AC",1,(IF(E3119="AT",2,(IF(E3119="DS",3,(IF(E3119="IP",4,(IF(E3119="MA",5,(IF(E3119="PT",6,(IF(E3119="AE",1,(IF(E3119="CM",2,(IF(E3119="DP",3,(IF(E3119="AN",1,(IF(E3119="CO",2,(IF(E3119="IM",3,(IF(E3119="MI",4,(IF(E3119="RP",5,(IF(E3119="SC",6,0)))))))))))))))))))))))))))))))))))))))</f>
        <v>6</v>
      </c>
      <c r="G3119" s="98">
        <v>1</v>
      </c>
      <c r="H3119" s="90" t="s">
        <v>115</v>
      </c>
      <c r="I3119" s="94" t="s">
        <v>81</v>
      </c>
      <c r="J3119" s="129" t="s">
        <v>1958</v>
      </c>
      <c r="K3119" s="103" t="s">
        <v>1959</v>
      </c>
      <c r="L3119" s="117">
        <f>IF(O3119="","",N3119*O3119*M3119)</f>
        <v>0</v>
      </c>
      <c r="M3119" s="108">
        <v>1</v>
      </c>
      <c r="N3119" s="95">
        <v>1</v>
      </c>
      <c r="O3119" s="109">
        <f>IF(Key!D$1="ON",P3119,IF(SUM(Q3119:DL3119)&lt;1,"",SUM(Q3119:DL3119)/COUNTIF(Q3119:DL3119,"&gt;0")))</f>
        <v>0</v>
      </c>
      <c r="P3119" s="109">
        <f>SUMIFS(Q3119:DK3119,Q$1:DK$1,Dashboard!$K$31)</f>
        <v>0</v>
      </c>
      <c r="U3119" s="95">
        <v>33</v>
      </c>
      <c r="AA3119" s="95">
        <v>25</v>
      </c>
      <c r="AH3119" s="95">
        <v>75</v>
      </c>
    </row>
    <row r="3120" spans="1:34" x14ac:dyDescent="0.3">
      <c r="A3120" s="89" t="str">
        <f>CONCATENATE(D3120,".",F3120,"-",G3120,".",H3120,"")</f>
        <v>2.6-1.1</v>
      </c>
      <c r="B3120" s="89" t="str">
        <f>IF(CONCATENATE(I3120,Key!F$2)=CONCATENATE(INDEX(Dashboard!J:J,MATCH(I3120,Dashboard!J:J,0),1),INDEX(Dashboard!J:K,MATCH(I3120,Dashboard!J:J,0),2)),"ON",IF(Dashboard!K$32="ALL","ON","-"))</f>
        <v>-</v>
      </c>
      <c r="C3120" s="96" t="s">
        <v>152</v>
      </c>
      <c r="D3120" s="89">
        <f>IF(C3120="ID",1,(IF(C3120="PR",2,(IF(C3120="DE",3,(IF(C3120="RS",4,(IF(C3120="RC",5,0)))))))))</f>
        <v>2</v>
      </c>
      <c r="E3120" s="89" t="s">
        <v>271</v>
      </c>
      <c r="F3120" s="89">
        <f>IF(E3120="AM",1,(IF(E3120="BE",2,(IF(E3120="GV",3,(IF(E3120="RA",4,(IF(E3120="RM",5,(IF(E3120="AC",1,(IF(E3120="AT",2,(IF(E3120="DS",3,(IF(E3120="IP",4,(IF(E3120="MA",5,(IF(E3120="PT",6,(IF(E3120="AE",1,(IF(E3120="CM",2,(IF(E3120="DP",3,(IF(E3120="AN",1,(IF(E3120="CO",2,(IF(E3120="IM",3,(IF(E3120="MI",4,(IF(E3120="RP",5,(IF(E3120="SC",6,0)))))))))))))))))))))))))))))))))))))))</f>
        <v>6</v>
      </c>
      <c r="G3120" s="52">
        <v>1</v>
      </c>
      <c r="H3120" s="90" t="s">
        <v>115</v>
      </c>
      <c r="I3120" s="94" t="s">
        <v>85</v>
      </c>
      <c r="J3120" s="135" t="s">
        <v>799</v>
      </c>
      <c r="K3120" s="143" t="s">
        <v>4944</v>
      </c>
      <c r="L3120" s="117">
        <f>IF(O3120="","",N3120*O3120*M3120)</f>
        <v>0</v>
      </c>
      <c r="M3120" s="108">
        <v>1</v>
      </c>
      <c r="N3120" s="95">
        <v>1</v>
      </c>
      <c r="O3120" s="109">
        <f>IF(Key!D$1="ON",P3120,IF(SUM(Q3120:DL3120)&lt;1,"",SUM(Q3120:DL3120)/COUNTIF(Q3120:DL3120,"&gt;0")))</f>
        <v>0</v>
      </c>
      <c r="P3120" s="109">
        <f>SUMIFS(Q3120:DK3120,Q$1:DK$1,Dashboard!$K$31)</f>
        <v>0</v>
      </c>
      <c r="U3120" s="95">
        <v>33</v>
      </c>
      <c r="AA3120" s="95">
        <v>25</v>
      </c>
      <c r="AH3120" s="95">
        <v>75</v>
      </c>
    </row>
    <row r="3121" spans="1:34" x14ac:dyDescent="0.3">
      <c r="A3121" s="89" t="str">
        <f>CONCATENATE(D3121,".",F3121,"-",G3121,".",H3121,"")</f>
        <v>2.6-1.1</v>
      </c>
      <c r="B3121" s="89" t="str">
        <f>IF(CONCATENATE(I3121,Key!F$2)=CONCATENATE(INDEX(Dashboard!J:J,MATCH(I3121,Dashboard!J:J,0),1),INDEX(Dashboard!J:K,MATCH(I3121,Dashboard!J:J,0),2)),"ON",IF(Dashboard!K$32="ALL","ON","-"))</f>
        <v>-</v>
      </c>
      <c r="C3121" s="88" t="s">
        <v>152</v>
      </c>
      <c r="D3121" s="89">
        <f>IF(C3121="ID",1,(IF(C3121="PR",2,(IF(C3121="DE",3,(IF(C3121="RS",4,(IF(C3121="RC",5,0)))))))))</f>
        <v>2</v>
      </c>
      <c r="E3121" s="89" t="s">
        <v>271</v>
      </c>
      <c r="F3121" s="89">
        <f>IF(E3121="AM",1,(IF(E3121="BE",2,(IF(E3121="GV",3,(IF(E3121="RA",4,(IF(E3121="RM",5,(IF(E3121="AC",1,(IF(E3121="AT",2,(IF(E3121="DS",3,(IF(E3121="IP",4,(IF(E3121="MA",5,(IF(E3121="PT",6,(IF(E3121="AE",1,(IF(E3121="CM",2,(IF(E3121="DP",3,(IF(E3121="AN",1,(IF(E3121="CO",2,(IF(E3121="IM",3,(IF(E3121="MI",4,(IF(E3121="RP",5,(IF(E3121="SC",6,0)))))))))))))))))))))))))))))))))))))))</f>
        <v>6</v>
      </c>
      <c r="G3121" s="52">
        <v>1</v>
      </c>
      <c r="H3121" s="90" t="s">
        <v>115</v>
      </c>
      <c r="I3121" s="94" t="s">
        <v>85</v>
      </c>
      <c r="J3121" s="87" t="s">
        <v>1716</v>
      </c>
      <c r="K3121" s="119" t="s">
        <v>4606</v>
      </c>
      <c r="L3121" s="117">
        <f>IF(O3121="","",N3121*O3121*M3121)</f>
        <v>0</v>
      </c>
      <c r="M3121" s="108">
        <v>1</v>
      </c>
      <c r="N3121" s="95">
        <v>1</v>
      </c>
      <c r="O3121" s="109">
        <f>IF(Key!D$1="ON",P3121,IF(SUM(Q3121:DL3121)&lt;1,"",SUM(Q3121:DL3121)/COUNTIF(Q3121:DL3121,"&gt;0")))</f>
        <v>0</v>
      </c>
      <c r="P3121" s="109">
        <f>SUMIFS(Q3121:DK3121,Q$1:DK$1,Dashboard!$K$31)</f>
        <v>0</v>
      </c>
      <c r="U3121" s="95">
        <v>33</v>
      </c>
      <c r="AA3121" s="95">
        <v>25</v>
      </c>
      <c r="AH3121" s="95">
        <v>75</v>
      </c>
    </row>
    <row r="3122" spans="1:34" x14ac:dyDescent="0.3">
      <c r="A3122" s="89" t="str">
        <f>CONCATENATE(D3122,".",F3122,"-",G3122,".",H3122,"")</f>
        <v>2.6-1.1</v>
      </c>
      <c r="B3122" s="89" t="str">
        <f>IF(CONCATENATE(I3122,Key!F$2)=CONCATENATE(INDEX(Dashboard!J:J,MATCH(I3122,Dashboard!J:J,0),1),INDEX(Dashboard!J:K,MATCH(I3122,Dashboard!J:J,0),2)),"ON",IF(Dashboard!K$32="ALL","ON","-"))</f>
        <v>-</v>
      </c>
      <c r="C3122" s="88" t="s">
        <v>152</v>
      </c>
      <c r="D3122" s="89">
        <f>IF(C3122="ID",1,(IF(C3122="PR",2,(IF(C3122="DE",3,(IF(C3122="RS",4,(IF(C3122="RC",5,0)))))))))</f>
        <v>2</v>
      </c>
      <c r="E3122" s="89" t="s">
        <v>271</v>
      </c>
      <c r="F3122" s="89">
        <f>IF(E3122="AM",1,(IF(E3122="BE",2,(IF(E3122="GV",3,(IF(E3122="RA",4,(IF(E3122="RM",5,(IF(E3122="AC",1,(IF(E3122="AT",2,(IF(E3122="DS",3,(IF(E3122="IP",4,(IF(E3122="MA",5,(IF(E3122="PT",6,(IF(E3122="AE",1,(IF(E3122="CM",2,(IF(E3122="DP",3,(IF(E3122="AN",1,(IF(E3122="CO",2,(IF(E3122="IM",3,(IF(E3122="MI",4,(IF(E3122="RP",5,(IF(E3122="SC",6,0)))))))))))))))))))))))))))))))))))))))</f>
        <v>6</v>
      </c>
      <c r="G3122" s="52">
        <v>1</v>
      </c>
      <c r="H3122" s="90" t="s">
        <v>115</v>
      </c>
      <c r="I3122" s="94" t="s">
        <v>85</v>
      </c>
      <c r="J3122" s="87" t="s">
        <v>1707</v>
      </c>
      <c r="K3122" s="119" t="s">
        <v>1708</v>
      </c>
      <c r="L3122" s="117">
        <f>IF(O3122="","",N3122*O3122*M3122)</f>
        <v>0</v>
      </c>
      <c r="M3122" s="108">
        <v>1</v>
      </c>
      <c r="N3122" s="95">
        <v>1</v>
      </c>
      <c r="O3122" s="109">
        <f>IF(Key!D$1="ON",P3122,IF(SUM(Q3122:DL3122)&lt;1,"",SUM(Q3122:DL3122)/COUNTIF(Q3122:DL3122,"&gt;0")))</f>
        <v>0</v>
      </c>
      <c r="P3122" s="109">
        <f>SUMIFS(Q3122:DK3122,Q$1:DK$1,Dashboard!$K$31)</f>
        <v>0</v>
      </c>
      <c r="U3122" s="95">
        <v>33</v>
      </c>
      <c r="AA3122" s="95">
        <v>25</v>
      </c>
      <c r="AH3122" s="95">
        <v>75</v>
      </c>
    </row>
    <row r="3123" spans="1:34" x14ac:dyDescent="0.3">
      <c r="A3123" s="89" t="str">
        <f>CONCATENATE(D3123,".",F3123,"-",G3123,".",H3123,"")</f>
        <v>2.6-1.1</v>
      </c>
      <c r="B3123" s="89" t="str">
        <f>IF(CONCATENATE(I3123,Key!F$2)=CONCATENATE(INDEX(Dashboard!J:J,MATCH(I3123,Dashboard!J:J,0),1),INDEX(Dashboard!J:K,MATCH(I3123,Dashboard!J:J,0),2)),"ON",IF(Dashboard!K$32="ALL","ON","-"))</f>
        <v>-</v>
      </c>
      <c r="C3123" s="88" t="s">
        <v>152</v>
      </c>
      <c r="D3123" s="89">
        <f>IF(C3123="ID",1,(IF(C3123="PR",2,(IF(C3123="DE",3,(IF(C3123="RS",4,(IF(C3123="RC",5,0)))))))))</f>
        <v>2</v>
      </c>
      <c r="E3123" s="89" t="s">
        <v>271</v>
      </c>
      <c r="F3123" s="89">
        <f>IF(E3123="AM",1,(IF(E3123="BE",2,(IF(E3123="GV",3,(IF(E3123="RA",4,(IF(E3123="RM",5,(IF(E3123="AC",1,(IF(E3123="AT",2,(IF(E3123="DS",3,(IF(E3123="IP",4,(IF(E3123="MA",5,(IF(E3123="PT",6,(IF(E3123="AE",1,(IF(E3123="CM",2,(IF(E3123="DP",3,(IF(E3123="AN",1,(IF(E3123="CO",2,(IF(E3123="IM",3,(IF(E3123="MI",4,(IF(E3123="RP",5,(IF(E3123="SC",6,0)))))))))))))))))))))))))))))))))))))))</f>
        <v>6</v>
      </c>
      <c r="G3123" s="52">
        <v>1</v>
      </c>
      <c r="H3123" s="90" t="s">
        <v>115</v>
      </c>
      <c r="I3123" s="94" t="s">
        <v>85</v>
      </c>
      <c r="J3123" s="87" t="s">
        <v>1727</v>
      </c>
      <c r="K3123" s="119" t="s">
        <v>1728</v>
      </c>
      <c r="L3123" s="117">
        <f>IF(O3123="","",N3123*O3123*M3123)</f>
        <v>0</v>
      </c>
      <c r="M3123" s="108">
        <v>1</v>
      </c>
      <c r="N3123" s="95">
        <v>1</v>
      </c>
      <c r="O3123" s="109">
        <f>IF(Key!D$1="ON",P3123,IF(SUM(Q3123:DL3123)&lt;1,"",SUM(Q3123:DL3123)/COUNTIF(Q3123:DL3123,"&gt;0")))</f>
        <v>0</v>
      </c>
      <c r="P3123" s="109">
        <f>SUMIFS(Q3123:DK3123,Q$1:DK$1,Dashboard!$K$31)</f>
        <v>0</v>
      </c>
      <c r="U3123" s="95">
        <v>33</v>
      </c>
      <c r="AA3123" s="95">
        <v>25</v>
      </c>
      <c r="AH3123" s="95">
        <v>75</v>
      </c>
    </row>
    <row r="3124" spans="1:34" x14ac:dyDescent="0.3">
      <c r="A3124" s="89" t="str">
        <f>CONCATENATE(D3124,".",F3124,"-",G3124,".",H3124,"")</f>
        <v>2.6-1.1</v>
      </c>
      <c r="B3124" s="89" t="str">
        <f>IF(CONCATENATE(I3124,Key!F$2)=CONCATENATE(INDEX(Dashboard!J:J,MATCH(I3124,Dashboard!J:J,0),1),INDEX(Dashboard!J:K,MATCH(I3124,Dashboard!J:J,0),2)),"ON",IF(Dashboard!K$32="ALL","ON","-"))</f>
        <v>-</v>
      </c>
      <c r="C3124" s="88" t="s">
        <v>152</v>
      </c>
      <c r="D3124" s="89">
        <f>IF(C3124="ID",1,(IF(C3124="PR",2,(IF(C3124="DE",3,(IF(C3124="RS",4,(IF(C3124="RC",5,0)))))))))</f>
        <v>2</v>
      </c>
      <c r="E3124" s="89" t="s">
        <v>271</v>
      </c>
      <c r="F3124" s="89">
        <f>IF(E3124="AM",1,(IF(E3124="BE",2,(IF(E3124="GV",3,(IF(E3124="RA",4,(IF(E3124="RM",5,(IF(E3124="AC",1,(IF(E3124="AT",2,(IF(E3124="DS",3,(IF(E3124="IP",4,(IF(E3124="MA",5,(IF(E3124="PT",6,(IF(E3124="AE",1,(IF(E3124="CM",2,(IF(E3124="DP",3,(IF(E3124="AN",1,(IF(E3124="CO",2,(IF(E3124="IM",3,(IF(E3124="MI",4,(IF(E3124="RP",5,(IF(E3124="SC",6,0)))))))))))))))))))))))))))))))))))))))</f>
        <v>6</v>
      </c>
      <c r="G3124" s="52">
        <v>1</v>
      </c>
      <c r="H3124" s="90" t="s">
        <v>115</v>
      </c>
      <c r="I3124" s="94" t="s">
        <v>85</v>
      </c>
      <c r="J3124" s="87" t="s">
        <v>1717</v>
      </c>
      <c r="K3124" s="119" t="s">
        <v>1718</v>
      </c>
      <c r="L3124" s="117">
        <f>IF(O3124="","",N3124*O3124*M3124)</f>
        <v>0</v>
      </c>
      <c r="M3124" s="108">
        <v>1</v>
      </c>
      <c r="N3124" s="95">
        <v>1</v>
      </c>
      <c r="O3124" s="109">
        <f>IF(Key!D$1="ON",P3124,IF(SUM(Q3124:DL3124)&lt;1,"",SUM(Q3124:DL3124)/COUNTIF(Q3124:DL3124,"&gt;0")))</f>
        <v>0</v>
      </c>
      <c r="P3124" s="109">
        <f>SUMIFS(Q3124:DK3124,Q$1:DK$1,Dashboard!$K$31)</f>
        <v>0</v>
      </c>
      <c r="U3124" s="95">
        <v>33</v>
      </c>
      <c r="AA3124" s="95">
        <v>25</v>
      </c>
      <c r="AH3124" s="95">
        <v>75</v>
      </c>
    </row>
    <row r="3125" spans="1:34" x14ac:dyDescent="0.3">
      <c r="A3125" s="89" t="str">
        <f>CONCATENATE(D3125,".",F3125,"-",G3125,".",H3125,"")</f>
        <v>2.6-1.1</v>
      </c>
      <c r="B3125" s="89" t="str">
        <f>IF(CONCATENATE(I3125,Key!F$2)=CONCATENATE(INDEX(Dashboard!J:J,MATCH(I3125,Dashboard!J:J,0),1),INDEX(Dashboard!J:K,MATCH(I3125,Dashboard!J:J,0),2)),"ON",IF(Dashboard!K$32="ALL","ON","-"))</f>
        <v>-</v>
      </c>
      <c r="C3125" s="88" t="s">
        <v>152</v>
      </c>
      <c r="D3125" s="89">
        <f>IF(C3125="ID",1,(IF(C3125="PR",2,(IF(C3125="DE",3,(IF(C3125="RS",4,(IF(C3125="RC",5,0)))))))))</f>
        <v>2</v>
      </c>
      <c r="E3125" s="89" t="s">
        <v>271</v>
      </c>
      <c r="F3125" s="89">
        <f>IF(E3125="AM",1,(IF(E3125="BE",2,(IF(E3125="GV",3,(IF(E3125="RA",4,(IF(E3125="RM",5,(IF(E3125="AC",1,(IF(E3125="AT",2,(IF(E3125="DS",3,(IF(E3125="IP",4,(IF(E3125="MA",5,(IF(E3125="PT",6,(IF(E3125="AE",1,(IF(E3125="CM",2,(IF(E3125="DP",3,(IF(E3125="AN",1,(IF(E3125="CO",2,(IF(E3125="IM",3,(IF(E3125="MI",4,(IF(E3125="RP",5,(IF(E3125="SC",6,0)))))))))))))))))))))))))))))))))))))))</f>
        <v>6</v>
      </c>
      <c r="G3125" s="52">
        <v>1</v>
      </c>
      <c r="H3125" s="90" t="s">
        <v>115</v>
      </c>
      <c r="I3125" s="94" t="s">
        <v>85</v>
      </c>
      <c r="J3125" s="87" t="s">
        <v>1719</v>
      </c>
      <c r="K3125" s="119" t="s">
        <v>4614</v>
      </c>
      <c r="L3125" s="117">
        <f>IF(O3125="","",N3125*O3125*M3125)</f>
        <v>0</v>
      </c>
      <c r="M3125" s="108">
        <v>1</v>
      </c>
      <c r="N3125" s="95">
        <v>1</v>
      </c>
      <c r="O3125" s="109">
        <f>IF(Key!D$1="ON",P3125,IF(SUM(Q3125:DL3125)&lt;1,"",SUM(Q3125:DL3125)/COUNTIF(Q3125:DL3125,"&gt;0")))</f>
        <v>0</v>
      </c>
      <c r="P3125" s="109">
        <f>SUMIFS(Q3125:DK3125,Q$1:DK$1,Dashboard!$K$31)</f>
        <v>0</v>
      </c>
      <c r="U3125" s="95">
        <v>33</v>
      </c>
      <c r="AA3125" s="95">
        <v>25</v>
      </c>
      <c r="AH3125" s="95">
        <v>75</v>
      </c>
    </row>
    <row r="3126" spans="1:34" x14ac:dyDescent="0.3">
      <c r="A3126" s="89" t="str">
        <f>CONCATENATE(D3126,".",F3126,"-",G3126,".",H3126,"")</f>
        <v>2.6-1.1</v>
      </c>
      <c r="B3126" s="89" t="str">
        <f>IF(CONCATENATE(I3126,Key!F$2)=CONCATENATE(INDEX(Dashboard!J:J,MATCH(I3126,Dashboard!J:J,0),1),INDEX(Dashboard!J:K,MATCH(I3126,Dashboard!J:J,0),2)),"ON",IF(Dashboard!K$32="ALL","ON","-"))</f>
        <v>-</v>
      </c>
      <c r="C3126" s="88" t="s">
        <v>152</v>
      </c>
      <c r="D3126" s="89">
        <f>IF(C3126="ID",1,(IF(C3126="PR",2,(IF(C3126="DE",3,(IF(C3126="RS",4,(IF(C3126="RC",5,0)))))))))</f>
        <v>2</v>
      </c>
      <c r="E3126" s="89" t="s">
        <v>271</v>
      </c>
      <c r="F3126" s="89">
        <f>IF(E3126="AM",1,(IF(E3126="BE",2,(IF(E3126="GV",3,(IF(E3126="RA",4,(IF(E3126="RM",5,(IF(E3126="AC",1,(IF(E3126="AT",2,(IF(E3126="DS",3,(IF(E3126="IP",4,(IF(E3126="MA",5,(IF(E3126="PT",6,(IF(E3126="AE",1,(IF(E3126="CM",2,(IF(E3126="DP",3,(IF(E3126="AN",1,(IF(E3126="CO",2,(IF(E3126="IM",3,(IF(E3126="MI",4,(IF(E3126="RP",5,(IF(E3126="SC",6,0)))))))))))))))))))))))))))))))))))))))</f>
        <v>6</v>
      </c>
      <c r="G3126" s="52">
        <v>1</v>
      </c>
      <c r="H3126" s="90" t="s">
        <v>115</v>
      </c>
      <c r="I3126" s="94" t="s">
        <v>85</v>
      </c>
      <c r="J3126" s="87" t="s">
        <v>1729</v>
      </c>
      <c r="K3126" s="119" t="s">
        <v>4622</v>
      </c>
      <c r="L3126" s="117">
        <f>IF(O3126="","",N3126*O3126*M3126)</f>
        <v>0</v>
      </c>
      <c r="M3126" s="108">
        <v>1</v>
      </c>
      <c r="N3126" s="95">
        <v>1</v>
      </c>
      <c r="O3126" s="109">
        <f>IF(Key!D$1="ON",P3126,IF(SUM(Q3126:DL3126)&lt;1,"",SUM(Q3126:DL3126)/COUNTIF(Q3126:DL3126,"&gt;0")))</f>
        <v>0</v>
      </c>
      <c r="P3126" s="109">
        <f>SUMIFS(Q3126:DK3126,Q$1:DK$1,Dashboard!$K$31)</f>
        <v>0</v>
      </c>
      <c r="U3126" s="95">
        <v>33</v>
      </c>
      <c r="AA3126" s="95">
        <v>25</v>
      </c>
      <c r="AH3126" s="95">
        <v>75</v>
      </c>
    </row>
    <row r="3127" spans="1:34" x14ac:dyDescent="0.3">
      <c r="A3127" s="89" t="str">
        <f>CONCATENATE(D3127,".",F3127,"-",G3127,".",H3127,"")</f>
        <v>2.6-1.1</v>
      </c>
      <c r="B3127" s="89" t="str">
        <f>IF(CONCATENATE(I3127,Key!F$2)=CONCATENATE(INDEX(Dashboard!J:J,MATCH(I3127,Dashboard!J:J,0),1),INDEX(Dashboard!J:K,MATCH(I3127,Dashboard!J:J,0),2)),"ON",IF(Dashboard!K$32="ALL","ON","-"))</f>
        <v>-</v>
      </c>
      <c r="C3127" s="88" t="s">
        <v>152</v>
      </c>
      <c r="D3127" s="89">
        <f>IF(C3127="ID",1,(IF(C3127="PR",2,(IF(C3127="DE",3,(IF(C3127="RS",4,(IF(C3127="RC",5,0)))))))))</f>
        <v>2</v>
      </c>
      <c r="E3127" s="89" t="s">
        <v>271</v>
      </c>
      <c r="F3127" s="89">
        <f>IF(E3127="AM",1,(IF(E3127="BE",2,(IF(E3127="GV",3,(IF(E3127="RA",4,(IF(E3127="RM",5,(IF(E3127="AC",1,(IF(E3127="AT",2,(IF(E3127="DS",3,(IF(E3127="IP",4,(IF(E3127="MA",5,(IF(E3127="PT",6,(IF(E3127="AE",1,(IF(E3127="CM",2,(IF(E3127="DP",3,(IF(E3127="AN",1,(IF(E3127="CO",2,(IF(E3127="IM",3,(IF(E3127="MI",4,(IF(E3127="RP",5,(IF(E3127="SC",6,0)))))))))))))))))))))))))))))))))))))))</f>
        <v>6</v>
      </c>
      <c r="G3127" s="52">
        <v>1</v>
      </c>
      <c r="H3127" s="90" t="s">
        <v>115</v>
      </c>
      <c r="I3127" s="94" t="s">
        <v>85</v>
      </c>
      <c r="J3127" s="87" t="s">
        <v>1736</v>
      </c>
      <c r="K3127" s="119" t="s">
        <v>5123</v>
      </c>
      <c r="L3127" s="117">
        <f>IF(O3127="","",N3127*O3127*M3127)</f>
        <v>0</v>
      </c>
      <c r="M3127" s="108">
        <v>1</v>
      </c>
      <c r="N3127" s="95">
        <v>1</v>
      </c>
      <c r="O3127" s="109">
        <f>IF(Key!D$1="ON",P3127,IF(SUM(Q3127:DL3127)&lt;1,"",SUM(Q3127:DL3127)/COUNTIF(Q3127:DL3127,"&gt;0")))</f>
        <v>0</v>
      </c>
      <c r="P3127" s="109">
        <f>SUMIFS(Q3127:DK3127,Q$1:DK$1,Dashboard!$K$31)</f>
        <v>0</v>
      </c>
      <c r="U3127" s="95">
        <v>33</v>
      </c>
      <c r="AA3127" s="95">
        <v>25</v>
      </c>
      <c r="AH3127" s="95">
        <v>75</v>
      </c>
    </row>
    <row r="3128" spans="1:34" ht="15.6" x14ac:dyDescent="0.3">
      <c r="A3128" s="89" t="str">
        <f>CONCATENATE(D3128,".",F3128,"-",G3128,".",H3128,"")</f>
        <v>2.6-1.1</v>
      </c>
      <c r="B3128" s="89" t="str">
        <f>IF(CONCATENATE(I3128,Key!F$2)=CONCATENATE(INDEX(Dashboard!J:J,MATCH(I3128,Dashboard!J:J,0),1),INDEX(Dashboard!J:K,MATCH(I3128,Dashboard!J:J,0),2)),"ON",IF(Dashboard!K$32="ALL","ON","-"))</f>
        <v>-</v>
      </c>
      <c r="C3128" s="88" t="s">
        <v>152</v>
      </c>
      <c r="D3128" s="89">
        <f>IF(C3128="ID",1,(IF(C3128="PR",2,(IF(C3128="DE",3,(IF(C3128="RS",4,(IF(C3128="RC",5,0)))))))))</f>
        <v>2</v>
      </c>
      <c r="E3128" s="89" t="s">
        <v>271</v>
      </c>
      <c r="F3128" s="89">
        <f>IF(E3128="AM",1,(IF(E3128="BE",2,(IF(E3128="GV",3,(IF(E3128="RA",4,(IF(E3128="RM",5,(IF(E3128="AC",1,(IF(E3128="AT",2,(IF(E3128="DS",3,(IF(E3128="IP",4,(IF(E3128="MA",5,(IF(E3128="PT",6,(IF(E3128="AE",1,(IF(E3128="CM",2,(IF(E3128="DP",3,(IF(E3128="AN",1,(IF(E3128="CO",2,(IF(E3128="IM",3,(IF(E3128="MI",4,(IF(E3128="RP",5,(IF(E3128="SC",6,0)))))))))))))))))))))))))))))))))))))))</f>
        <v>6</v>
      </c>
      <c r="G3128" s="52">
        <v>1</v>
      </c>
      <c r="H3128" s="90" t="s">
        <v>115</v>
      </c>
      <c r="I3128" s="94" t="s">
        <v>85</v>
      </c>
      <c r="J3128" s="87" t="s">
        <v>1714</v>
      </c>
      <c r="K3128" s="119" t="s">
        <v>1715</v>
      </c>
      <c r="L3128" s="117">
        <f>IF(O3128="","",N3128*O3128*M3128)</f>
        <v>0</v>
      </c>
      <c r="M3128" s="108">
        <v>1</v>
      </c>
      <c r="N3128" s="95">
        <v>1</v>
      </c>
      <c r="O3128" s="109">
        <f>IF(Key!D$1="ON",P3128,IF(SUM(Q3128:DL3128)&lt;1,"",SUM(Q3128:DL3128)/COUNTIF(Q3128:DL3128,"&gt;0")))</f>
        <v>0</v>
      </c>
      <c r="P3128" s="109">
        <f>SUMIFS(Q3128:DK3128,Q$1:DK$1,Dashboard!$K$31)</f>
        <v>0</v>
      </c>
      <c r="U3128" s="95">
        <v>33</v>
      </c>
      <c r="AA3128" s="95">
        <v>25</v>
      </c>
      <c r="AH3128" s="95">
        <v>75</v>
      </c>
    </row>
    <row r="3129" spans="1:34" ht="15.6" x14ac:dyDescent="0.3">
      <c r="A3129" s="89" t="str">
        <f>CONCATENATE(D3129,".",F3129,"-",G3129,".",H3129,"")</f>
        <v>2.6-1.1</v>
      </c>
      <c r="B3129" s="89" t="str">
        <f>IF(CONCATENATE(I3129,Key!F$2)=CONCATENATE(INDEX(Dashboard!J:J,MATCH(I3129,Dashboard!J:J,0),1),INDEX(Dashboard!J:K,MATCH(I3129,Dashboard!J:J,0),2)),"ON",IF(Dashboard!K$32="ALL","ON","-"))</f>
        <v>-</v>
      </c>
      <c r="C3129" s="88" t="s">
        <v>152</v>
      </c>
      <c r="D3129" s="89">
        <f>IF(C3129="ID",1,(IF(C3129="PR",2,(IF(C3129="DE",3,(IF(C3129="RS",4,(IF(C3129="RC",5,0)))))))))</f>
        <v>2</v>
      </c>
      <c r="E3129" s="89" t="s">
        <v>271</v>
      </c>
      <c r="F3129" s="89">
        <f>IF(E3129="AM",1,(IF(E3129="BE",2,(IF(E3129="GV",3,(IF(E3129="RA",4,(IF(E3129="RM",5,(IF(E3129="AC",1,(IF(E3129="AT",2,(IF(E3129="DS",3,(IF(E3129="IP",4,(IF(E3129="MA",5,(IF(E3129="PT",6,(IF(E3129="AE",1,(IF(E3129="CM",2,(IF(E3129="DP",3,(IF(E3129="AN",1,(IF(E3129="CO",2,(IF(E3129="IM",3,(IF(E3129="MI",4,(IF(E3129="RP",5,(IF(E3129="SC",6,0)))))))))))))))))))))))))))))))))))))))</f>
        <v>6</v>
      </c>
      <c r="G3129" s="52">
        <v>1</v>
      </c>
      <c r="H3129" s="90" t="s">
        <v>115</v>
      </c>
      <c r="I3129" s="94" t="s">
        <v>85</v>
      </c>
      <c r="J3129" s="87" t="s">
        <v>1721</v>
      </c>
      <c r="K3129" s="119" t="s">
        <v>4615</v>
      </c>
      <c r="L3129" s="117">
        <f>IF(O3129="","",N3129*O3129*M3129)</f>
        <v>0</v>
      </c>
      <c r="M3129" s="108">
        <v>1</v>
      </c>
      <c r="N3129" s="95">
        <v>1</v>
      </c>
      <c r="O3129" s="109">
        <f>IF(Key!D$1="ON",P3129,IF(SUM(Q3129:DL3129)&lt;1,"",SUM(Q3129:DL3129)/COUNTIF(Q3129:DL3129,"&gt;0")))</f>
        <v>0</v>
      </c>
      <c r="P3129" s="109">
        <f>SUMIFS(Q3129:DK3129,Q$1:DK$1,Dashboard!$K$31)</f>
        <v>0</v>
      </c>
      <c r="U3129" s="95">
        <v>33</v>
      </c>
      <c r="AA3129" s="95">
        <v>25</v>
      </c>
      <c r="AH3129" s="95">
        <v>75</v>
      </c>
    </row>
    <row r="3130" spans="1:34" ht="15.6" x14ac:dyDescent="0.3">
      <c r="A3130" s="89" t="str">
        <f>CONCATENATE(D3130,".",F3130,"-",G3130,".",H3130,"")</f>
        <v>2.6-1.1</v>
      </c>
      <c r="B3130" s="89" t="str">
        <f>IF(CONCATENATE(I3130,Key!F$2)=CONCATENATE(INDEX(Dashboard!J:J,MATCH(I3130,Dashboard!J:J,0),1),INDEX(Dashboard!J:K,MATCH(I3130,Dashboard!J:J,0),2)),"ON",IF(Dashboard!K$32="ALL","ON","-"))</f>
        <v>-</v>
      </c>
      <c r="C3130" s="88" t="s">
        <v>152</v>
      </c>
      <c r="D3130" s="89">
        <f>IF(C3130="ID",1,(IF(C3130="PR",2,(IF(C3130="DE",3,(IF(C3130="RS",4,(IF(C3130="RC",5,0)))))))))</f>
        <v>2</v>
      </c>
      <c r="E3130" s="89" t="s">
        <v>271</v>
      </c>
      <c r="F3130" s="89">
        <f>IF(E3130="AM",1,(IF(E3130="BE",2,(IF(E3130="GV",3,(IF(E3130="RA",4,(IF(E3130="RM",5,(IF(E3130="AC",1,(IF(E3130="AT",2,(IF(E3130="DS",3,(IF(E3130="IP",4,(IF(E3130="MA",5,(IF(E3130="PT",6,(IF(E3130="AE",1,(IF(E3130="CM",2,(IF(E3130="DP",3,(IF(E3130="AN",1,(IF(E3130="CO",2,(IF(E3130="IM",3,(IF(E3130="MI",4,(IF(E3130="RP",5,(IF(E3130="SC",6,0)))))))))))))))))))))))))))))))))))))))</f>
        <v>6</v>
      </c>
      <c r="G3130" s="52">
        <v>1</v>
      </c>
      <c r="H3130" s="90" t="s">
        <v>115</v>
      </c>
      <c r="I3130" s="94" t="s">
        <v>85</v>
      </c>
      <c r="J3130" s="87" t="s">
        <v>1726</v>
      </c>
      <c r="K3130" s="119" t="s">
        <v>4621</v>
      </c>
      <c r="L3130" s="117">
        <f>IF(O3130="","",N3130*O3130*M3130)</f>
        <v>0</v>
      </c>
      <c r="M3130" s="108">
        <v>1</v>
      </c>
      <c r="N3130" s="95">
        <v>1</v>
      </c>
      <c r="O3130" s="109">
        <f>IF(Key!D$1="ON",P3130,IF(SUM(Q3130:DL3130)&lt;1,"",SUM(Q3130:DL3130)/COUNTIF(Q3130:DL3130,"&gt;0")))</f>
        <v>0</v>
      </c>
      <c r="P3130" s="109">
        <f>SUMIFS(Q3130:DK3130,Q$1:DK$1,Dashboard!$K$31)</f>
        <v>0</v>
      </c>
      <c r="U3130" s="95">
        <v>33</v>
      </c>
      <c r="AA3130" s="95">
        <v>25</v>
      </c>
      <c r="AH3130" s="95">
        <v>75</v>
      </c>
    </row>
    <row r="3131" spans="1:34" ht="15.6" x14ac:dyDescent="0.3">
      <c r="A3131" s="89" t="str">
        <f>CONCATENATE(D3131,".",F3131,"-",G3131,".",H3131,"")</f>
        <v>2.6-1.1</v>
      </c>
      <c r="B3131" s="89" t="str">
        <f>IF(CONCATENATE(I3131,Key!F$2)=CONCATENATE(INDEX(Dashboard!J:J,MATCH(I3131,Dashboard!J:J,0),1),INDEX(Dashboard!J:K,MATCH(I3131,Dashboard!J:J,0),2)),"ON",IF(Dashboard!K$32="ALL","ON","-"))</f>
        <v>-</v>
      </c>
      <c r="C3131" s="88" t="s">
        <v>152</v>
      </c>
      <c r="D3131" s="89">
        <f>IF(C3131="ID",1,(IF(C3131="PR",2,(IF(C3131="DE",3,(IF(C3131="RS",4,(IF(C3131="RC",5,0)))))))))</f>
        <v>2</v>
      </c>
      <c r="E3131" s="89" t="s">
        <v>271</v>
      </c>
      <c r="F3131" s="89">
        <f>IF(E3131="AM",1,(IF(E3131="BE",2,(IF(E3131="GV",3,(IF(E3131="RA",4,(IF(E3131="RM",5,(IF(E3131="AC",1,(IF(E3131="AT",2,(IF(E3131="DS",3,(IF(E3131="IP",4,(IF(E3131="MA",5,(IF(E3131="PT",6,(IF(E3131="AE",1,(IF(E3131="CM",2,(IF(E3131="DP",3,(IF(E3131="AN",1,(IF(E3131="CO",2,(IF(E3131="IM",3,(IF(E3131="MI",4,(IF(E3131="RP",5,(IF(E3131="SC",6,0)))))))))))))))))))))))))))))))))))))))</f>
        <v>6</v>
      </c>
      <c r="G3131" s="52">
        <v>1</v>
      </c>
      <c r="H3131" s="90" t="s">
        <v>115</v>
      </c>
      <c r="I3131" s="94" t="s">
        <v>85</v>
      </c>
      <c r="J3131" s="87" t="s">
        <v>1723</v>
      </c>
      <c r="K3131" s="119" t="s">
        <v>4618</v>
      </c>
      <c r="L3131" s="117">
        <f>IF(O3131="","",N3131*O3131*M3131)</f>
        <v>0</v>
      </c>
      <c r="M3131" s="108">
        <v>1</v>
      </c>
      <c r="N3131" s="95">
        <v>1</v>
      </c>
      <c r="O3131" s="109">
        <f>IF(Key!D$1="ON",P3131,IF(SUM(Q3131:DL3131)&lt;1,"",SUM(Q3131:DL3131)/COUNTIF(Q3131:DL3131,"&gt;0")))</f>
        <v>0</v>
      </c>
      <c r="P3131" s="109">
        <f>SUMIFS(Q3131:DK3131,Q$1:DK$1,Dashboard!$K$31)</f>
        <v>0</v>
      </c>
      <c r="U3131" s="95">
        <v>33</v>
      </c>
      <c r="AA3131" s="95">
        <v>25</v>
      </c>
      <c r="AH3131" s="95">
        <v>75</v>
      </c>
    </row>
    <row r="3132" spans="1:34" x14ac:dyDescent="0.3">
      <c r="A3132" s="89" t="str">
        <f>CONCATENATE(D3132,".",F3132,"-",G3132,".",H3132,"")</f>
        <v>2.6-1.1</v>
      </c>
      <c r="B3132" s="89" t="str">
        <f>IF(CONCATENATE(I3132,Key!F$2)=CONCATENATE(INDEX(Dashboard!J:J,MATCH(I3132,Dashboard!J:J,0),1),INDEX(Dashboard!J:K,MATCH(I3132,Dashboard!J:J,0),2)),"ON",IF(Dashboard!K$32="ALL","ON","-"))</f>
        <v>-</v>
      </c>
      <c r="C3132" s="88" t="s">
        <v>152</v>
      </c>
      <c r="D3132" s="89">
        <f>IF(C3132="ID",1,(IF(C3132="PR",2,(IF(C3132="DE",3,(IF(C3132="RS",4,(IF(C3132="RC",5,0)))))))))</f>
        <v>2</v>
      </c>
      <c r="E3132" s="89" t="s">
        <v>271</v>
      </c>
      <c r="F3132" s="89">
        <f>IF(E3132="AM",1,(IF(E3132="BE",2,(IF(E3132="GV",3,(IF(E3132="RA",4,(IF(E3132="RM",5,(IF(E3132="AC",1,(IF(E3132="AT",2,(IF(E3132="DS",3,(IF(E3132="IP",4,(IF(E3132="MA",5,(IF(E3132="PT",6,(IF(E3132="AE",1,(IF(E3132="CM",2,(IF(E3132="DP",3,(IF(E3132="AN",1,(IF(E3132="CO",2,(IF(E3132="IM",3,(IF(E3132="MI",4,(IF(E3132="RP",5,(IF(E3132="SC",6,0)))))))))))))))))))))))))))))))))))))))</f>
        <v>6</v>
      </c>
      <c r="G3132" s="52">
        <v>1</v>
      </c>
      <c r="H3132" s="90" t="s">
        <v>115</v>
      </c>
      <c r="I3132" s="94" t="s">
        <v>85</v>
      </c>
      <c r="J3132" s="86" t="s">
        <v>656</v>
      </c>
      <c r="K3132" s="119" t="s">
        <v>657</v>
      </c>
      <c r="L3132" s="117">
        <f>IF(O3132="","",N3132*O3132*M3132)</f>
        <v>0</v>
      </c>
      <c r="M3132" s="108">
        <v>1</v>
      </c>
      <c r="N3132" s="95">
        <v>1</v>
      </c>
      <c r="O3132" s="109">
        <f>IF(Key!D$1="ON",P3132,IF(SUM(Q3132:DL3132)&lt;1,"",SUM(Q3132:DL3132)/COUNTIF(Q3132:DL3132,"&gt;0")))</f>
        <v>0</v>
      </c>
      <c r="P3132" s="109">
        <f>SUMIFS(Q3132:DK3132,Q$1:DK$1,Dashboard!$K$31)</f>
        <v>0</v>
      </c>
      <c r="U3132" s="95">
        <v>33</v>
      </c>
      <c r="AA3132" s="95">
        <v>25</v>
      </c>
      <c r="AH3132" s="95">
        <v>75</v>
      </c>
    </row>
    <row r="3133" spans="1:34" x14ac:dyDescent="0.3">
      <c r="A3133" s="89" t="str">
        <f>CONCATENATE(D3133,".",F3133,"-",G3133,".",H3133,"")</f>
        <v>2.6-1.1</v>
      </c>
      <c r="B3133" s="89" t="str">
        <f>IF(CONCATENATE(I3133,Key!F$2)=CONCATENATE(INDEX(Dashboard!J:J,MATCH(I3133,Dashboard!J:J,0),1),INDEX(Dashboard!J:K,MATCH(I3133,Dashboard!J:J,0),2)),"ON",IF(Dashboard!K$32="ALL","ON","-"))</f>
        <v>-</v>
      </c>
      <c r="C3133" s="88" t="s">
        <v>152</v>
      </c>
      <c r="D3133" s="89">
        <f>IF(C3133="ID",1,(IF(C3133="PR",2,(IF(C3133="DE",3,(IF(C3133="RS",4,(IF(C3133="RC",5,0)))))))))</f>
        <v>2</v>
      </c>
      <c r="E3133" s="89" t="s">
        <v>271</v>
      </c>
      <c r="F3133" s="89">
        <f>IF(E3133="AM",1,(IF(E3133="BE",2,(IF(E3133="GV",3,(IF(E3133="RA",4,(IF(E3133="RM",5,(IF(E3133="AC",1,(IF(E3133="AT",2,(IF(E3133="DS",3,(IF(E3133="IP",4,(IF(E3133="MA",5,(IF(E3133="PT",6,(IF(E3133="AE",1,(IF(E3133="CM",2,(IF(E3133="DP",3,(IF(E3133="AN",1,(IF(E3133="CO",2,(IF(E3133="IM",3,(IF(E3133="MI",4,(IF(E3133="RP",5,(IF(E3133="SC",6,0)))))))))))))))))))))))))))))))))))))))</f>
        <v>6</v>
      </c>
      <c r="G3133" s="52">
        <v>1</v>
      </c>
      <c r="H3133" s="90" t="s">
        <v>115</v>
      </c>
      <c r="I3133" s="94" t="s">
        <v>85</v>
      </c>
      <c r="J3133" s="87" t="s">
        <v>1725</v>
      </c>
      <c r="K3133" s="119" t="s">
        <v>4620</v>
      </c>
      <c r="L3133" s="117">
        <f>IF(O3133="","",N3133*O3133*M3133)</f>
        <v>0</v>
      </c>
      <c r="M3133" s="108">
        <v>1</v>
      </c>
      <c r="N3133" s="95">
        <v>1</v>
      </c>
      <c r="O3133" s="109">
        <f>IF(Key!D$1="ON",P3133,IF(SUM(Q3133:DL3133)&lt;1,"",SUM(Q3133:DL3133)/COUNTIF(Q3133:DL3133,"&gt;0")))</f>
        <v>0</v>
      </c>
      <c r="P3133" s="109">
        <f>SUMIFS(Q3133:DK3133,Q$1:DK$1,Dashboard!$K$31)</f>
        <v>0</v>
      </c>
      <c r="U3133" s="95">
        <v>33</v>
      </c>
      <c r="AA3133" s="95">
        <v>25</v>
      </c>
      <c r="AH3133" s="95">
        <v>75</v>
      </c>
    </row>
    <row r="3134" spans="1:34" x14ac:dyDescent="0.3">
      <c r="A3134" s="89" t="str">
        <f>CONCATENATE(D3134,".",F3134,"-",G3134,".",H3134,"")</f>
        <v>2.6-1.1</v>
      </c>
      <c r="B3134" s="89" t="str">
        <f>IF(CONCATENATE(I3134,Key!F$2)=CONCATENATE(INDEX(Dashboard!J:J,MATCH(I3134,Dashboard!J:J,0),1),INDEX(Dashboard!J:K,MATCH(I3134,Dashboard!J:J,0),2)),"ON",IF(Dashboard!K$32="ALL","ON","-"))</f>
        <v>-</v>
      </c>
      <c r="C3134" s="88" t="s">
        <v>152</v>
      </c>
      <c r="D3134" s="89">
        <f>IF(C3134="ID",1,(IF(C3134="PR",2,(IF(C3134="DE",3,(IF(C3134="RS",4,(IF(C3134="RC",5,0)))))))))</f>
        <v>2</v>
      </c>
      <c r="E3134" s="89" t="s">
        <v>271</v>
      </c>
      <c r="F3134" s="89">
        <f>IF(E3134="AM",1,(IF(E3134="BE",2,(IF(E3134="GV",3,(IF(E3134="RA",4,(IF(E3134="RM",5,(IF(E3134="AC",1,(IF(E3134="AT",2,(IF(E3134="DS",3,(IF(E3134="IP",4,(IF(E3134="MA",5,(IF(E3134="PT",6,(IF(E3134="AE",1,(IF(E3134="CM",2,(IF(E3134="DP",3,(IF(E3134="AN",1,(IF(E3134="CO",2,(IF(E3134="IM",3,(IF(E3134="MI",4,(IF(E3134="RP",5,(IF(E3134="SC",6,0)))))))))))))))))))))))))))))))))))))))</f>
        <v>6</v>
      </c>
      <c r="G3134" s="52">
        <v>1</v>
      </c>
      <c r="H3134" s="90" t="s">
        <v>115</v>
      </c>
      <c r="I3134" s="94" t="s">
        <v>85</v>
      </c>
      <c r="J3134" s="87" t="s">
        <v>1722</v>
      </c>
      <c r="K3134" s="119" t="s">
        <v>4617</v>
      </c>
      <c r="L3134" s="117">
        <f>IF(O3134="","",N3134*O3134*M3134)</f>
        <v>0</v>
      </c>
      <c r="M3134" s="108">
        <v>1</v>
      </c>
      <c r="N3134" s="95">
        <v>1</v>
      </c>
      <c r="O3134" s="109">
        <f>IF(Key!D$1="ON",P3134,IF(SUM(Q3134:DL3134)&lt;1,"",SUM(Q3134:DL3134)/COUNTIF(Q3134:DL3134,"&gt;0")))</f>
        <v>0</v>
      </c>
      <c r="P3134" s="109">
        <f>SUMIFS(Q3134:DK3134,Q$1:DK$1,Dashboard!$K$31)</f>
        <v>0</v>
      </c>
      <c r="U3134" s="95">
        <v>33</v>
      </c>
      <c r="AA3134" s="95">
        <v>25</v>
      </c>
      <c r="AH3134" s="95">
        <v>75</v>
      </c>
    </row>
    <row r="3135" spans="1:34" x14ac:dyDescent="0.3">
      <c r="A3135" s="89" t="str">
        <f>CONCATENATE(D3135,".",F3135,"-",G3135,".",H3135,"")</f>
        <v>2.6-1.1</v>
      </c>
      <c r="B3135" s="89" t="str">
        <f>IF(CONCATENATE(I3135,Key!F$2)=CONCATENATE(INDEX(Dashboard!J:J,MATCH(I3135,Dashboard!J:J,0),1),INDEX(Dashboard!J:K,MATCH(I3135,Dashboard!J:J,0),2)),"ON",IF(Dashboard!K$32="ALL","ON","-"))</f>
        <v>-</v>
      </c>
      <c r="C3135" s="88" t="s">
        <v>152</v>
      </c>
      <c r="D3135" s="89">
        <f>IF(C3135="ID",1,(IF(C3135="PR",2,(IF(C3135="DE",3,(IF(C3135="RS",4,(IF(C3135="RC",5,0)))))))))</f>
        <v>2</v>
      </c>
      <c r="E3135" s="89" t="s">
        <v>271</v>
      </c>
      <c r="F3135" s="89">
        <f>IF(E3135="AM",1,(IF(E3135="BE",2,(IF(E3135="GV",3,(IF(E3135="RA",4,(IF(E3135="RM",5,(IF(E3135="AC",1,(IF(E3135="AT",2,(IF(E3135="DS",3,(IF(E3135="IP",4,(IF(E3135="MA",5,(IF(E3135="PT",6,(IF(E3135="AE",1,(IF(E3135="CM",2,(IF(E3135="DP",3,(IF(E3135="AN",1,(IF(E3135="CO",2,(IF(E3135="IM",3,(IF(E3135="MI",4,(IF(E3135="RP",5,(IF(E3135="SC",6,0)))))))))))))))))))))))))))))))))))))))</f>
        <v>6</v>
      </c>
      <c r="G3135" s="52">
        <v>1</v>
      </c>
      <c r="H3135" s="90" t="s">
        <v>115</v>
      </c>
      <c r="I3135" s="94" t="s">
        <v>85</v>
      </c>
      <c r="J3135" s="87" t="s">
        <v>1724</v>
      </c>
      <c r="K3135" s="119" t="s">
        <v>4619</v>
      </c>
      <c r="L3135" s="117">
        <f>IF(O3135="","",N3135*O3135*M3135)</f>
        <v>0</v>
      </c>
      <c r="M3135" s="108">
        <v>1</v>
      </c>
      <c r="N3135" s="95">
        <v>1</v>
      </c>
      <c r="O3135" s="109">
        <f>IF(Key!D$1="ON",P3135,IF(SUM(Q3135:DL3135)&lt;1,"",SUM(Q3135:DL3135)/COUNTIF(Q3135:DL3135,"&gt;0")))</f>
        <v>0</v>
      </c>
      <c r="P3135" s="109">
        <f>SUMIFS(Q3135:DK3135,Q$1:DK$1,Dashboard!$K$31)</f>
        <v>0</v>
      </c>
      <c r="U3135" s="95">
        <v>33</v>
      </c>
      <c r="AA3135" s="95">
        <v>25</v>
      </c>
      <c r="AH3135" s="95">
        <v>75</v>
      </c>
    </row>
    <row r="3136" spans="1:34" x14ac:dyDescent="0.3">
      <c r="A3136" s="89" t="str">
        <f>CONCATENATE(D3136,".",F3136,"-",G3136,".",H3136,"")</f>
        <v>2.6-1.1</v>
      </c>
      <c r="B3136" s="89" t="str">
        <f>IF(CONCATENATE(I3136,Key!F$2)=CONCATENATE(INDEX(Dashboard!J:J,MATCH(I3136,Dashboard!J:J,0),1),INDEX(Dashboard!J:K,MATCH(I3136,Dashboard!J:J,0),2)),"ON",IF(Dashboard!K$32="ALL","ON","-"))</f>
        <v>-</v>
      </c>
      <c r="C3136" s="88" t="s">
        <v>152</v>
      </c>
      <c r="D3136" s="89">
        <f>IF(C3136="ID",1,(IF(C3136="PR",2,(IF(C3136="DE",3,(IF(C3136="RS",4,(IF(C3136="RC",5,0)))))))))</f>
        <v>2</v>
      </c>
      <c r="E3136" s="89" t="s">
        <v>271</v>
      </c>
      <c r="F3136" s="89">
        <f>IF(E3136="AM",1,(IF(E3136="BE",2,(IF(E3136="GV",3,(IF(E3136="RA",4,(IF(E3136="RM",5,(IF(E3136="AC",1,(IF(E3136="AT",2,(IF(E3136="DS",3,(IF(E3136="IP",4,(IF(E3136="MA",5,(IF(E3136="PT",6,(IF(E3136="AE",1,(IF(E3136="CM",2,(IF(E3136="DP",3,(IF(E3136="AN",1,(IF(E3136="CO",2,(IF(E3136="IM",3,(IF(E3136="MI",4,(IF(E3136="RP",5,(IF(E3136="SC",6,0)))))))))))))))))))))))))))))))))))))))</f>
        <v>6</v>
      </c>
      <c r="G3136" s="52">
        <v>1</v>
      </c>
      <c r="H3136" s="90" t="s">
        <v>115</v>
      </c>
      <c r="I3136" s="94" t="s">
        <v>85</v>
      </c>
      <c r="J3136" s="87" t="s">
        <v>1735</v>
      </c>
      <c r="K3136" s="119" t="s">
        <v>5081</v>
      </c>
      <c r="L3136" s="117">
        <f>IF(O3136="","",N3136*O3136*M3136)</f>
        <v>0</v>
      </c>
      <c r="M3136" s="108">
        <v>1</v>
      </c>
      <c r="N3136" s="95">
        <v>1</v>
      </c>
      <c r="O3136" s="109">
        <f>IF(Key!D$1="ON",P3136,IF(SUM(Q3136:DL3136)&lt;1,"",SUM(Q3136:DL3136)/COUNTIF(Q3136:DL3136,"&gt;0")))</f>
        <v>0</v>
      </c>
      <c r="P3136" s="109">
        <f>SUMIFS(Q3136:DK3136,Q$1:DK$1,Dashboard!$K$31)</f>
        <v>0</v>
      </c>
      <c r="U3136" s="95">
        <v>33</v>
      </c>
      <c r="AA3136" s="95">
        <v>25</v>
      </c>
      <c r="AH3136" s="95">
        <v>75</v>
      </c>
    </row>
    <row r="3137" spans="1:34" x14ac:dyDescent="0.3">
      <c r="A3137" s="89" t="str">
        <f>CONCATENATE(D3137,".",F3137,"-",G3137,".",H3137,"")</f>
        <v>2.6-1.1</v>
      </c>
      <c r="B3137" s="89" t="str">
        <f>IF(CONCATENATE(I3137,Key!F$2)=CONCATENATE(INDEX(Dashboard!J:J,MATCH(I3137,Dashboard!J:J,0),1),INDEX(Dashboard!J:K,MATCH(I3137,Dashboard!J:J,0),2)),"ON",IF(Dashboard!K$32="ALL","ON","-"))</f>
        <v>-</v>
      </c>
      <c r="C3137" s="88" t="s">
        <v>152</v>
      </c>
      <c r="D3137" s="89">
        <f>IF(C3137="ID",1,(IF(C3137="PR",2,(IF(C3137="DE",3,(IF(C3137="RS",4,(IF(C3137="RC",5,0)))))))))</f>
        <v>2</v>
      </c>
      <c r="E3137" s="89" t="s">
        <v>271</v>
      </c>
      <c r="F3137" s="89">
        <f>IF(E3137="AM",1,(IF(E3137="BE",2,(IF(E3137="GV",3,(IF(E3137="RA",4,(IF(E3137="RM",5,(IF(E3137="AC",1,(IF(E3137="AT",2,(IF(E3137="DS",3,(IF(E3137="IP",4,(IF(E3137="MA",5,(IF(E3137="PT",6,(IF(E3137="AE",1,(IF(E3137="CM",2,(IF(E3137="DP",3,(IF(E3137="AN",1,(IF(E3137="CO",2,(IF(E3137="IM",3,(IF(E3137="MI",4,(IF(E3137="RP",5,(IF(E3137="SC",6,0)))))))))))))))))))))))))))))))))))))))</f>
        <v>6</v>
      </c>
      <c r="G3137" s="52">
        <v>1</v>
      </c>
      <c r="H3137" s="90" t="s">
        <v>115</v>
      </c>
      <c r="I3137" s="94" t="s">
        <v>85</v>
      </c>
      <c r="J3137" s="87" t="s">
        <v>1710</v>
      </c>
      <c r="K3137" s="119" t="s">
        <v>1711</v>
      </c>
      <c r="L3137" s="117">
        <f>IF(O3137="","",N3137*O3137*M3137)</f>
        <v>0</v>
      </c>
      <c r="M3137" s="108">
        <v>1</v>
      </c>
      <c r="N3137" s="95">
        <v>1</v>
      </c>
      <c r="O3137" s="109">
        <f>IF(Key!D$1="ON",P3137,IF(SUM(Q3137:DL3137)&lt;1,"",SUM(Q3137:DL3137)/COUNTIF(Q3137:DL3137,"&gt;0")))</f>
        <v>0</v>
      </c>
      <c r="P3137" s="109">
        <f>SUMIFS(Q3137:DK3137,Q$1:DK$1,Dashboard!$K$31)</f>
        <v>0</v>
      </c>
      <c r="U3137" s="95">
        <v>33</v>
      </c>
      <c r="AA3137" s="95">
        <v>25</v>
      </c>
      <c r="AH3137" s="95">
        <v>75</v>
      </c>
    </row>
    <row r="3138" spans="1:34" x14ac:dyDescent="0.3">
      <c r="A3138" s="89" t="str">
        <f>CONCATENATE(D3138,".",F3138,"-",G3138,".",H3138,"")</f>
        <v>2.6-1.1</v>
      </c>
      <c r="B3138" s="89" t="str">
        <f>IF(CONCATENATE(I3138,Key!F$2)=CONCATENATE(INDEX(Dashboard!J:J,MATCH(I3138,Dashboard!J:J,0),1),INDEX(Dashboard!J:K,MATCH(I3138,Dashboard!J:J,0),2)),"ON",IF(Dashboard!K$32="ALL","ON","-"))</f>
        <v>-</v>
      </c>
      <c r="C3138" s="88" t="s">
        <v>152</v>
      </c>
      <c r="D3138" s="89">
        <f>IF(C3138="ID",1,(IF(C3138="PR",2,(IF(C3138="DE",3,(IF(C3138="RS",4,(IF(C3138="RC",5,0)))))))))</f>
        <v>2</v>
      </c>
      <c r="E3138" s="89" t="s">
        <v>271</v>
      </c>
      <c r="F3138" s="89">
        <f>IF(E3138="AM",1,(IF(E3138="BE",2,(IF(E3138="GV",3,(IF(E3138="RA",4,(IF(E3138="RM",5,(IF(E3138="AC",1,(IF(E3138="AT",2,(IF(E3138="DS",3,(IF(E3138="IP",4,(IF(E3138="MA",5,(IF(E3138="PT",6,(IF(E3138="AE",1,(IF(E3138="CM",2,(IF(E3138="DP",3,(IF(E3138="AN",1,(IF(E3138="CO",2,(IF(E3138="IM",3,(IF(E3138="MI",4,(IF(E3138="RP",5,(IF(E3138="SC",6,0)))))))))))))))))))))))))))))))))))))))</f>
        <v>6</v>
      </c>
      <c r="G3138" s="52">
        <v>1</v>
      </c>
      <c r="H3138" s="90" t="s">
        <v>115</v>
      </c>
      <c r="I3138" s="94" t="s">
        <v>85</v>
      </c>
      <c r="J3138" s="87" t="s">
        <v>1712</v>
      </c>
      <c r="K3138" s="119" t="s">
        <v>4642</v>
      </c>
      <c r="L3138" s="117">
        <f>IF(O3138="","",N3138*O3138*M3138)</f>
        <v>0</v>
      </c>
      <c r="M3138" s="108">
        <v>1</v>
      </c>
      <c r="N3138" s="95">
        <v>1</v>
      </c>
      <c r="O3138" s="109">
        <f>IF(Key!D$1="ON",P3138,IF(SUM(Q3138:DL3138)&lt;1,"",SUM(Q3138:DL3138)/COUNTIF(Q3138:DL3138,"&gt;0")))</f>
        <v>0</v>
      </c>
      <c r="P3138" s="109">
        <f>SUMIFS(Q3138:DK3138,Q$1:DK$1,Dashboard!$K$31)</f>
        <v>0</v>
      </c>
      <c r="U3138" s="95">
        <v>33</v>
      </c>
      <c r="AA3138" s="95">
        <v>25</v>
      </c>
      <c r="AH3138" s="95">
        <v>75</v>
      </c>
    </row>
    <row r="3139" spans="1:34" ht="15.6" x14ac:dyDescent="0.3">
      <c r="A3139" s="89" t="str">
        <f>CONCATENATE(D3139,".",F3139,"-",G3139,".",H3139,"")</f>
        <v>2.6-1.1</v>
      </c>
      <c r="B3139" s="89" t="str">
        <f>IF(CONCATENATE(I3139,Key!F$2)=CONCATENATE(INDEX(Dashboard!J:J,MATCH(I3139,Dashboard!J:J,0),1),INDEX(Dashboard!J:K,MATCH(I3139,Dashboard!J:J,0),2)),"ON",IF(Dashboard!K$32="ALL","ON","-"))</f>
        <v>-</v>
      </c>
      <c r="C3139" s="88" t="s">
        <v>152</v>
      </c>
      <c r="D3139" s="89">
        <f>IF(C3139="ID",1,(IF(C3139="PR",2,(IF(C3139="DE",3,(IF(C3139="RS",4,(IF(C3139="RC",5,0)))))))))</f>
        <v>2</v>
      </c>
      <c r="E3139" s="89" t="s">
        <v>271</v>
      </c>
      <c r="F3139" s="89">
        <f>IF(E3139="AM",1,(IF(E3139="BE",2,(IF(E3139="GV",3,(IF(E3139="RA",4,(IF(E3139="RM",5,(IF(E3139="AC",1,(IF(E3139="AT",2,(IF(E3139="DS",3,(IF(E3139="IP",4,(IF(E3139="MA",5,(IF(E3139="PT",6,(IF(E3139="AE",1,(IF(E3139="CM",2,(IF(E3139="DP",3,(IF(E3139="AN",1,(IF(E3139="CO",2,(IF(E3139="IM",3,(IF(E3139="MI",4,(IF(E3139="RP",5,(IF(E3139="SC",6,0)))))))))))))))))))))))))))))))))))))))</f>
        <v>6</v>
      </c>
      <c r="G3139" s="52">
        <v>1</v>
      </c>
      <c r="H3139" s="90" t="s">
        <v>115</v>
      </c>
      <c r="I3139" s="94" t="s">
        <v>85</v>
      </c>
      <c r="J3139" s="87" t="s">
        <v>1709</v>
      </c>
      <c r="K3139" s="119" t="s">
        <v>4635</v>
      </c>
      <c r="L3139" s="117">
        <f>IF(O3139="","",N3139*O3139*M3139)</f>
        <v>0</v>
      </c>
      <c r="M3139" s="108">
        <v>1</v>
      </c>
      <c r="N3139" s="95">
        <v>1</v>
      </c>
      <c r="O3139" s="109">
        <f>IF(Key!D$1="ON",P3139,IF(SUM(Q3139:DL3139)&lt;1,"",SUM(Q3139:DL3139)/COUNTIF(Q3139:DL3139,"&gt;0")))</f>
        <v>0</v>
      </c>
      <c r="P3139" s="109">
        <f>SUMIFS(Q3139:DK3139,Q$1:DK$1,Dashboard!$K$31)</f>
        <v>0</v>
      </c>
      <c r="U3139" s="95">
        <v>33</v>
      </c>
      <c r="AA3139" s="95">
        <v>25</v>
      </c>
      <c r="AH3139" s="95">
        <v>75</v>
      </c>
    </row>
    <row r="3140" spans="1:34" ht="15.6" x14ac:dyDescent="0.3">
      <c r="A3140" s="89" t="str">
        <f>CONCATENATE(D3140,".",F3140,"-",G3140,".",H3140,"")</f>
        <v>2.6-1.1</v>
      </c>
      <c r="B3140" s="89" t="str">
        <f>IF(CONCATENATE(I3140,Key!F$2)=CONCATENATE(INDEX(Dashboard!J:J,MATCH(I3140,Dashboard!J:J,0),1),INDEX(Dashboard!J:K,MATCH(I3140,Dashboard!J:J,0),2)),"ON",IF(Dashboard!K$32="ALL","ON","-"))</f>
        <v>-</v>
      </c>
      <c r="C3140" s="88" t="s">
        <v>152</v>
      </c>
      <c r="D3140" s="89">
        <f>IF(C3140="ID",1,(IF(C3140="PR",2,(IF(C3140="DE",3,(IF(C3140="RS",4,(IF(C3140="RC",5,0)))))))))</f>
        <v>2</v>
      </c>
      <c r="E3140" s="89" t="s">
        <v>271</v>
      </c>
      <c r="F3140" s="89">
        <f>IF(E3140="AM",1,(IF(E3140="BE",2,(IF(E3140="GV",3,(IF(E3140="RA",4,(IF(E3140="RM",5,(IF(E3140="AC",1,(IF(E3140="AT",2,(IF(E3140="DS",3,(IF(E3140="IP",4,(IF(E3140="MA",5,(IF(E3140="PT",6,(IF(E3140="AE",1,(IF(E3140="CM",2,(IF(E3140="DP",3,(IF(E3140="AN",1,(IF(E3140="CO",2,(IF(E3140="IM",3,(IF(E3140="MI",4,(IF(E3140="RP",5,(IF(E3140="SC",6,0)))))))))))))))))))))))))))))))))))))))</f>
        <v>6</v>
      </c>
      <c r="G3140" s="52">
        <v>1</v>
      </c>
      <c r="H3140" s="90" t="s">
        <v>115</v>
      </c>
      <c r="I3140" s="94" t="s">
        <v>85</v>
      </c>
      <c r="J3140" s="87" t="s">
        <v>1731</v>
      </c>
      <c r="K3140" s="119" t="s">
        <v>1732</v>
      </c>
      <c r="L3140" s="117">
        <f>IF(O3140="","",N3140*O3140*M3140)</f>
        <v>0</v>
      </c>
      <c r="M3140" s="108">
        <v>1</v>
      </c>
      <c r="N3140" s="95">
        <v>1</v>
      </c>
      <c r="O3140" s="109">
        <f>IF(Key!D$1="ON",P3140,IF(SUM(Q3140:DL3140)&lt;1,"",SUM(Q3140:DL3140)/COUNTIF(Q3140:DL3140,"&gt;0")))</f>
        <v>0</v>
      </c>
      <c r="P3140" s="109">
        <f>SUMIFS(Q3140:DK3140,Q$1:DK$1,Dashboard!$K$31)</f>
        <v>0</v>
      </c>
      <c r="U3140" s="95">
        <v>33</v>
      </c>
      <c r="AA3140" s="95">
        <v>25</v>
      </c>
      <c r="AH3140" s="95">
        <v>75</v>
      </c>
    </row>
    <row r="3141" spans="1:34" ht="15.6" x14ac:dyDescent="0.3">
      <c r="A3141" s="89" t="str">
        <f>CONCATENATE(D3141,".",F3141,"-",G3141,".",H3141,"")</f>
        <v>2.6-1.1</v>
      </c>
      <c r="B3141" s="89" t="str">
        <f>IF(CONCATENATE(I3141,Key!F$2)=CONCATENATE(INDEX(Dashboard!J:J,MATCH(I3141,Dashboard!J:J,0),1),INDEX(Dashboard!J:K,MATCH(I3141,Dashboard!J:J,0),2)),"ON",IF(Dashboard!K$32="ALL","ON","-"))</f>
        <v>-</v>
      </c>
      <c r="C3141" s="88" t="s">
        <v>152</v>
      </c>
      <c r="D3141" s="89">
        <f>IF(C3141="ID",1,(IF(C3141="PR",2,(IF(C3141="DE",3,(IF(C3141="RS",4,(IF(C3141="RC",5,0)))))))))</f>
        <v>2</v>
      </c>
      <c r="E3141" s="89" t="s">
        <v>271</v>
      </c>
      <c r="F3141" s="89">
        <f>IF(E3141="AM",1,(IF(E3141="BE",2,(IF(E3141="GV",3,(IF(E3141="RA",4,(IF(E3141="RM",5,(IF(E3141="AC",1,(IF(E3141="AT",2,(IF(E3141="DS",3,(IF(E3141="IP",4,(IF(E3141="MA",5,(IF(E3141="PT",6,(IF(E3141="AE",1,(IF(E3141="CM",2,(IF(E3141="DP",3,(IF(E3141="AN",1,(IF(E3141="CO",2,(IF(E3141="IM",3,(IF(E3141="MI",4,(IF(E3141="RP",5,(IF(E3141="SC",6,0)))))))))))))))))))))))))))))))))))))))</f>
        <v>6</v>
      </c>
      <c r="G3141" s="52">
        <v>1</v>
      </c>
      <c r="H3141" s="90" t="s">
        <v>115</v>
      </c>
      <c r="I3141" s="94" t="s">
        <v>89</v>
      </c>
      <c r="J3141" s="88">
        <v>500.06</v>
      </c>
      <c r="K3141" s="102" t="s">
        <v>600</v>
      </c>
      <c r="L3141" s="117">
        <f>IF(O3141="","",N3141*O3141*M3141)</f>
        <v>0</v>
      </c>
      <c r="M3141" s="108">
        <v>1</v>
      </c>
      <c r="N3141" s="95">
        <v>1</v>
      </c>
      <c r="O3141" s="109">
        <f>IF(Key!D$1="ON",P3141,IF(SUM(Q3141:DL3141)&lt;1,"",SUM(Q3141:DL3141)/COUNTIF(Q3141:DL3141,"&gt;0")))</f>
        <v>0</v>
      </c>
      <c r="P3141" s="109">
        <f>SUMIFS(Q3141:DK3141,Q$1:DK$1,Dashboard!$K$31)</f>
        <v>0</v>
      </c>
      <c r="U3141" s="95">
        <v>33</v>
      </c>
      <c r="AA3141" s="95">
        <v>25</v>
      </c>
      <c r="AH3141" s="95">
        <v>75</v>
      </c>
    </row>
    <row r="3142" spans="1:34" ht="15.6" x14ac:dyDescent="0.3">
      <c r="A3142" s="89" t="str">
        <f>CONCATENATE(D3142,".",F3142,"-",G3142,".",H3142,"")</f>
        <v>2.6-1.1</v>
      </c>
      <c r="B3142" s="89" t="str">
        <f>IF(CONCATENATE(I3142,Key!F$2)=CONCATENATE(INDEX(Dashboard!J:J,MATCH(I3142,Dashboard!J:J,0),1),INDEX(Dashboard!J:K,MATCH(I3142,Dashboard!J:J,0),2)),"ON",IF(Dashboard!K$32="ALL","ON","-"))</f>
        <v>-</v>
      </c>
      <c r="C3142" s="88" t="s">
        <v>152</v>
      </c>
      <c r="D3142" s="89">
        <f>IF(C3142="ID",1,(IF(C3142="PR",2,(IF(C3142="DE",3,(IF(C3142="RS",4,(IF(C3142="RC",5,0)))))))))</f>
        <v>2</v>
      </c>
      <c r="E3142" s="89" t="s">
        <v>271</v>
      </c>
      <c r="F3142" s="89">
        <f>IF(E3142="AM",1,(IF(E3142="BE",2,(IF(E3142="GV",3,(IF(E3142="RA",4,(IF(E3142="RM",5,(IF(E3142="AC",1,(IF(E3142="AT",2,(IF(E3142="DS",3,(IF(E3142="IP",4,(IF(E3142="MA",5,(IF(E3142="PT",6,(IF(E3142="AE",1,(IF(E3142="CM",2,(IF(E3142="DP",3,(IF(E3142="AN",1,(IF(E3142="CO",2,(IF(E3142="IM",3,(IF(E3142="MI",4,(IF(E3142="RP",5,(IF(E3142="SC",6,0)))))))))))))))))))))))))))))))))))))))</f>
        <v>6</v>
      </c>
      <c r="G3142" s="52">
        <v>1</v>
      </c>
      <c r="H3142" s="90" t="s">
        <v>115</v>
      </c>
      <c r="I3142" s="94" t="s">
        <v>89</v>
      </c>
      <c r="J3142" s="88" t="s">
        <v>601</v>
      </c>
      <c r="K3142" s="102" t="s">
        <v>602</v>
      </c>
      <c r="L3142" s="117">
        <f>IF(O3142="","",N3142*O3142*M3142)</f>
        <v>0</v>
      </c>
      <c r="M3142" s="108">
        <v>1</v>
      </c>
      <c r="N3142" s="95">
        <v>1</v>
      </c>
      <c r="O3142" s="109">
        <f>IF(Key!D$1="ON",P3142,IF(SUM(Q3142:DL3142)&lt;1,"",SUM(Q3142:DL3142)/COUNTIF(Q3142:DL3142,"&gt;0")))</f>
        <v>0</v>
      </c>
      <c r="P3142" s="109">
        <f>SUMIFS(Q3142:DK3142,Q$1:DK$1,Dashboard!$K$31)</f>
        <v>0</v>
      </c>
      <c r="U3142" s="95">
        <v>33</v>
      </c>
      <c r="AA3142" s="95">
        <v>25</v>
      </c>
      <c r="AH3142" s="95">
        <v>75</v>
      </c>
    </row>
    <row r="3143" spans="1:34" ht="15.6" x14ac:dyDescent="0.3">
      <c r="A3143" s="89" t="str">
        <f>CONCATENATE(D3143,".",F3143,"-",G3143,".",H3143,"")</f>
        <v>2.6-1.1</v>
      </c>
      <c r="B3143" s="89" t="str">
        <f>IF(CONCATENATE(I3143,Key!F$2)=CONCATENATE(INDEX(Dashboard!J:J,MATCH(I3143,Dashboard!J:J,0),1),INDEX(Dashboard!J:K,MATCH(I3143,Dashboard!J:J,0),2)),"ON",IF(Dashboard!K$32="ALL","ON","-"))</f>
        <v>-</v>
      </c>
      <c r="C3143" s="88" t="s">
        <v>152</v>
      </c>
      <c r="D3143" s="89">
        <f>IF(C3143="ID",1,(IF(C3143="PR",2,(IF(C3143="DE",3,(IF(C3143="RS",4,(IF(C3143="RC",5,0)))))))))</f>
        <v>2</v>
      </c>
      <c r="E3143" s="89" t="s">
        <v>271</v>
      </c>
      <c r="F3143" s="89">
        <f>IF(E3143="AM",1,(IF(E3143="BE",2,(IF(E3143="GV",3,(IF(E3143="RA",4,(IF(E3143="RM",5,(IF(E3143="AC",1,(IF(E3143="AT",2,(IF(E3143="DS",3,(IF(E3143="IP",4,(IF(E3143="MA",5,(IF(E3143="PT",6,(IF(E3143="AE",1,(IF(E3143="CM",2,(IF(E3143="DP",3,(IF(E3143="AN",1,(IF(E3143="CO",2,(IF(E3143="IM",3,(IF(E3143="MI",4,(IF(E3143="RP",5,(IF(E3143="SC",6,0)))))))))))))))))))))))))))))))))))))))</f>
        <v>6</v>
      </c>
      <c r="G3143" s="52">
        <v>1</v>
      </c>
      <c r="H3143" s="90" t="s">
        <v>115</v>
      </c>
      <c r="I3143" s="94" t="s">
        <v>89</v>
      </c>
      <c r="J3143" s="88" t="s">
        <v>603</v>
      </c>
      <c r="K3143" s="102" t="s">
        <v>604</v>
      </c>
      <c r="L3143" s="117">
        <f>IF(O3143="","",N3143*O3143*M3143)</f>
        <v>0</v>
      </c>
      <c r="M3143" s="108">
        <v>1</v>
      </c>
      <c r="N3143" s="95">
        <v>1</v>
      </c>
      <c r="O3143" s="109">
        <f>IF(Key!D$1="ON",P3143,IF(SUM(Q3143:DL3143)&lt;1,"",SUM(Q3143:DL3143)/COUNTIF(Q3143:DL3143,"&gt;0")))</f>
        <v>0</v>
      </c>
      <c r="P3143" s="109">
        <f>SUMIFS(Q3143:DK3143,Q$1:DK$1,Dashboard!$K$31)</f>
        <v>0</v>
      </c>
      <c r="U3143" s="95">
        <v>33</v>
      </c>
      <c r="AA3143" s="95">
        <v>25</v>
      </c>
      <c r="AH3143" s="95">
        <v>75</v>
      </c>
    </row>
    <row r="3144" spans="1:34" ht="15.6" x14ac:dyDescent="0.3">
      <c r="A3144" s="89" t="str">
        <f>CONCATENATE(D3144,".",F3144,"-",G3144,".",H3144,"")</f>
        <v>2.6-1.1</v>
      </c>
      <c r="B3144" s="89" t="str">
        <f>IF(CONCATENATE(I3144,Key!F$2)=CONCATENATE(INDEX(Dashboard!J:J,MATCH(I3144,Dashboard!J:J,0),1),INDEX(Dashboard!J:K,MATCH(I3144,Dashboard!J:J,0),2)),"ON",IF(Dashboard!K$32="ALL","ON","-"))</f>
        <v>-</v>
      </c>
      <c r="C3144" s="88" t="s">
        <v>152</v>
      </c>
      <c r="D3144" s="89">
        <f>IF(C3144="ID",1,(IF(C3144="PR",2,(IF(C3144="DE",3,(IF(C3144="RS",4,(IF(C3144="RC",5,0)))))))))</f>
        <v>2</v>
      </c>
      <c r="E3144" s="89" t="s">
        <v>271</v>
      </c>
      <c r="F3144" s="89">
        <f>IF(E3144="AM",1,(IF(E3144="BE",2,(IF(E3144="GV",3,(IF(E3144="RA",4,(IF(E3144="RM",5,(IF(E3144="AC",1,(IF(E3144="AT",2,(IF(E3144="DS",3,(IF(E3144="IP",4,(IF(E3144="MA",5,(IF(E3144="PT",6,(IF(E3144="AE",1,(IF(E3144="CM",2,(IF(E3144="DP",3,(IF(E3144="AN",1,(IF(E3144="CO",2,(IF(E3144="IM",3,(IF(E3144="MI",4,(IF(E3144="RP",5,(IF(E3144="SC",6,0)))))))))))))))))))))))))))))))))))))))</f>
        <v>6</v>
      </c>
      <c r="G3144" s="52">
        <v>1</v>
      </c>
      <c r="H3144" s="90" t="s">
        <v>115</v>
      </c>
      <c r="I3144" s="94" t="s">
        <v>89</v>
      </c>
      <c r="J3144" s="88" t="s">
        <v>605</v>
      </c>
      <c r="K3144" s="102" t="s">
        <v>606</v>
      </c>
      <c r="L3144" s="117">
        <f>IF(O3144="","",N3144*O3144*M3144)</f>
        <v>0</v>
      </c>
      <c r="M3144" s="108">
        <v>1</v>
      </c>
      <c r="N3144" s="95">
        <v>1</v>
      </c>
      <c r="O3144" s="109">
        <f>IF(Key!D$1="ON",P3144,IF(SUM(Q3144:DL3144)&lt;1,"",SUM(Q3144:DL3144)/COUNTIF(Q3144:DL3144,"&gt;0")))</f>
        <v>0</v>
      </c>
      <c r="P3144" s="109">
        <f>SUMIFS(Q3144:DK3144,Q$1:DK$1,Dashboard!$K$31)</f>
        <v>0</v>
      </c>
      <c r="U3144" s="95">
        <v>33</v>
      </c>
      <c r="AA3144" s="95">
        <v>25</v>
      </c>
      <c r="AH3144" s="95">
        <v>75</v>
      </c>
    </row>
    <row r="3145" spans="1:34" ht="15.6" x14ac:dyDescent="0.3">
      <c r="A3145" s="89" t="str">
        <f>CONCATENATE(D3145,".",F3145,"-",G3145,".",H3145,"")</f>
        <v>2.6-1.1</v>
      </c>
      <c r="B3145" s="89" t="str">
        <f>IF(CONCATENATE(I3145,Key!F$2)=CONCATENATE(INDEX(Dashboard!J:J,MATCH(I3145,Dashboard!J:J,0),1),INDEX(Dashboard!J:K,MATCH(I3145,Dashboard!J:J,0),2)),"ON",IF(Dashboard!K$32="ALL","ON","-"))</f>
        <v>-</v>
      </c>
      <c r="C3145" s="88" t="s">
        <v>152</v>
      </c>
      <c r="D3145" s="89">
        <f>IF(C3145="ID",1,(IF(C3145="PR",2,(IF(C3145="DE",3,(IF(C3145="RS",4,(IF(C3145="RC",5,0)))))))))</f>
        <v>2</v>
      </c>
      <c r="E3145" s="89" t="s">
        <v>271</v>
      </c>
      <c r="F3145" s="89">
        <f>IF(E3145="AM",1,(IF(E3145="BE",2,(IF(E3145="GV",3,(IF(E3145="RA",4,(IF(E3145="RM",5,(IF(E3145="AC",1,(IF(E3145="AT",2,(IF(E3145="DS",3,(IF(E3145="IP",4,(IF(E3145="MA",5,(IF(E3145="PT",6,(IF(E3145="AE",1,(IF(E3145="CM",2,(IF(E3145="DP",3,(IF(E3145="AN",1,(IF(E3145="CO",2,(IF(E3145="IM",3,(IF(E3145="MI",4,(IF(E3145="RP",5,(IF(E3145="SC",6,0)))))))))))))))))))))))))))))))))))))))</f>
        <v>6</v>
      </c>
      <c r="G3145" s="52">
        <v>1</v>
      </c>
      <c r="H3145" s="90" t="s">
        <v>115</v>
      </c>
      <c r="I3145" s="94" t="s">
        <v>89</v>
      </c>
      <c r="J3145" s="88" t="s">
        <v>607</v>
      </c>
      <c r="K3145" s="102" t="s">
        <v>608</v>
      </c>
      <c r="L3145" s="117">
        <f>IF(O3145="","",N3145*O3145*M3145)</f>
        <v>0</v>
      </c>
      <c r="M3145" s="108">
        <v>1</v>
      </c>
      <c r="N3145" s="95">
        <v>1</v>
      </c>
      <c r="O3145" s="109">
        <f>IF(Key!D$1="ON",P3145,IF(SUM(Q3145:DL3145)&lt;1,"",SUM(Q3145:DL3145)/COUNTIF(Q3145:DL3145,"&gt;0")))</f>
        <v>0</v>
      </c>
      <c r="P3145" s="109">
        <f>SUMIFS(Q3145:DK3145,Q$1:DK$1,Dashboard!$K$31)</f>
        <v>0</v>
      </c>
      <c r="U3145" s="95">
        <v>33</v>
      </c>
      <c r="AA3145" s="95">
        <v>25</v>
      </c>
      <c r="AH3145" s="95">
        <v>75</v>
      </c>
    </row>
    <row r="3146" spans="1:34" ht="15.6" x14ac:dyDescent="0.3">
      <c r="A3146" s="89" t="str">
        <f>CONCATENATE(D3146,".",F3146,"-",G3146,".",H3146,"")</f>
        <v>2.6-1.1</v>
      </c>
      <c r="B3146" s="89" t="str">
        <f>IF(CONCATENATE(I3146,Key!F$2)=CONCATENATE(INDEX(Dashboard!J:J,MATCH(I3146,Dashboard!J:J,0),1),INDEX(Dashboard!J:K,MATCH(I3146,Dashboard!J:J,0),2)),"ON",IF(Dashboard!K$32="ALL","ON","-"))</f>
        <v>-</v>
      </c>
      <c r="C3146" s="88" t="s">
        <v>152</v>
      </c>
      <c r="D3146" s="89">
        <f>IF(C3146="ID",1,(IF(C3146="PR",2,(IF(C3146="DE",3,(IF(C3146="RS",4,(IF(C3146="RC",5,0)))))))))</f>
        <v>2</v>
      </c>
      <c r="E3146" s="89" t="s">
        <v>271</v>
      </c>
      <c r="F3146" s="89">
        <f>IF(E3146="AM",1,(IF(E3146="BE",2,(IF(E3146="GV",3,(IF(E3146="RA",4,(IF(E3146="RM",5,(IF(E3146="AC",1,(IF(E3146="AT",2,(IF(E3146="DS",3,(IF(E3146="IP",4,(IF(E3146="MA",5,(IF(E3146="PT",6,(IF(E3146="AE",1,(IF(E3146="CM",2,(IF(E3146="DP",3,(IF(E3146="AN",1,(IF(E3146="CO",2,(IF(E3146="IM",3,(IF(E3146="MI",4,(IF(E3146="RP",5,(IF(E3146="SC",6,0)))))))))))))))))))))))))))))))))))))))</f>
        <v>6</v>
      </c>
      <c r="G3146" s="52">
        <v>1</v>
      </c>
      <c r="H3146" s="90" t="s">
        <v>115</v>
      </c>
      <c r="I3146" s="94" t="s">
        <v>92</v>
      </c>
      <c r="J3146" s="88">
        <v>10.199999999999999</v>
      </c>
      <c r="K3146" s="102" t="s">
        <v>5226</v>
      </c>
      <c r="L3146" s="117">
        <f>IF(O3146="","",N3146*O3146*M3146)</f>
        <v>0</v>
      </c>
      <c r="M3146" s="108">
        <v>1</v>
      </c>
      <c r="N3146" s="95">
        <v>1</v>
      </c>
      <c r="O3146" s="109">
        <f>IF(Key!D$1="ON",P3146,IF(SUM(Q3146:DL3146)&lt;1,"",SUM(Q3146:DL3146)/COUNTIF(Q3146:DL3146,"&gt;0")))</f>
        <v>0</v>
      </c>
      <c r="P3146" s="109">
        <f>SUMIFS(Q3146:DK3146,Q$1:DK$1,Dashboard!$K$31)</f>
        <v>0</v>
      </c>
      <c r="U3146" s="95">
        <v>33</v>
      </c>
      <c r="AA3146" s="95">
        <v>25</v>
      </c>
      <c r="AH3146" s="95">
        <v>75</v>
      </c>
    </row>
    <row r="3147" spans="1:34" ht="15.6" x14ac:dyDescent="0.3">
      <c r="A3147" s="89" t="str">
        <f>CONCATENATE(D3147,".",F3147,"-",G3147,".",H3147,"")</f>
        <v>2.6-1.1</v>
      </c>
      <c r="B3147" s="89" t="str">
        <f>IF(CONCATENATE(I3147,Key!F$2)=CONCATENATE(INDEX(Dashboard!J:J,MATCH(I3147,Dashboard!J:J,0),1),INDEX(Dashboard!J:K,MATCH(I3147,Dashboard!J:J,0),2)),"ON",IF(Dashboard!K$32="ALL","ON","-"))</f>
        <v>-</v>
      </c>
      <c r="C3147" s="88" t="s">
        <v>152</v>
      </c>
      <c r="D3147" s="89">
        <f>IF(C3147="ID",1,(IF(C3147="PR",2,(IF(C3147="DE",3,(IF(C3147="RS",4,(IF(C3147="RC",5,0)))))))))</f>
        <v>2</v>
      </c>
      <c r="E3147" s="89" t="s">
        <v>271</v>
      </c>
      <c r="F3147" s="89">
        <f>IF(E3147="AM",1,(IF(E3147="BE",2,(IF(E3147="GV",3,(IF(E3147="RA",4,(IF(E3147="RM",5,(IF(E3147="AC",1,(IF(E3147="AT",2,(IF(E3147="DS",3,(IF(E3147="IP",4,(IF(E3147="MA",5,(IF(E3147="PT",6,(IF(E3147="AE",1,(IF(E3147="CM",2,(IF(E3147="DP",3,(IF(E3147="AN",1,(IF(E3147="CO",2,(IF(E3147="IM",3,(IF(E3147="MI",4,(IF(E3147="RP",5,(IF(E3147="SC",6,0)))))))))))))))))))))))))))))))))))))))</f>
        <v>6</v>
      </c>
      <c r="G3147" s="52">
        <v>1</v>
      </c>
      <c r="H3147" s="90" t="s">
        <v>115</v>
      </c>
      <c r="I3147" s="94" t="s">
        <v>92</v>
      </c>
      <c r="J3147" s="88">
        <v>10.6</v>
      </c>
      <c r="K3147" s="102" t="s">
        <v>5226</v>
      </c>
      <c r="L3147" s="117">
        <f>IF(O3147="","",N3147*O3147*M3147)</f>
        <v>0</v>
      </c>
      <c r="M3147" s="108">
        <v>1</v>
      </c>
      <c r="N3147" s="95">
        <v>1</v>
      </c>
      <c r="O3147" s="109">
        <f>IF(Key!D$1="ON",P3147,IF(SUM(Q3147:DL3147)&lt;1,"",SUM(Q3147:DL3147)/COUNTIF(Q3147:DL3147,"&gt;0")))</f>
        <v>0</v>
      </c>
      <c r="P3147" s="109">
        <f>SUMIFS(Q3147:DK3147,Q$1:DK$1,Dashboard!$K$31)</f>
        <v>0</v>
      </c>
      <c r="U3147" s="95">
        <v>33</v>
      </c>
      <c r="AA3147" s="95">
        <v>25</v>
      </c>
      <c r="AH3147" s="95">
        <v>75</v>
      </c>
    </row>
    <row r="3148" spans="1:34" x14ac:dyDescent="0.3">
      <c r="A3148" s="89" t="str">
        <f>CONCATENATE(D3148,".",F3148,"-",G3148,".",H3148,"")</f>
        <v>2.6-1.1</v>
      </c>
      <c r="B3148" s="89" t="str">
        <f>IF(CONCATENATE(I3148,Key!F$2)=CONCATENATE(INDEX(Dashboard!J:J,MATCH(I3148,Dashboard!J:J,0),1),INDEX(Dashboard!J:K,MATCH(I3148,Dashboard!J:J,0),2)),"ON",IF(Dashboard!K$32="ALL","ON","-"))</f>
        <v>-</v>
      </c>
      <c r="C3148" s="88" t="s">
        <v>152</v>
      </c>
      <c r="D3148" s="89">
        <f>IF(C3148="ID",1,(IF(C3148="PR",2,(IF(C3148="DE",3,(IF(C3148="RS",4,(IF(C3148="RC",5,0)))))))))</f>
        <v>2</v>
      </c>
      <c r="E3148" s="89" t="s">
        <v>271</v>
      </c>
      <c r="F3148" s="89">
        <f>IF(E3148="AM",1,(IF(E3148="BE",2,(IF(E3148="GV",3,(IF(E3148="RA",4,(IF(E3148="RM",5,(IF(E3148="AC",1,(IF(E3148="AT",2,(IF(E3148="DS",3,(IF(E3148="IP",4,(IF(E3148="MA",5,(IF(E3148="PT",6,(IF(E3148="AE",1,(IF(E3148="CM",2,(IF(E3148="DP",3,(IF(E3148="AN",1,(IF(E3148="CO",2,(IF(E3148="IM",3,(IF(E3148="MI",4,(IF(E3148="RP",5,(IF(E3148="SC",6,0)))))))))))))))))))))))))))))))))))))))</f>
        <v>6</v>
      </c>
      <c r="G3148" s="52">
        <v>1</v>
      </c>
      <c r="H3148" s="90" t="s">
        <v>115</v>
      </c>
      <c r="I3148" s="94" t="s">
        <v>92</v>
      </c>
      <c r="J3148" s="88" t="s">
        <v>272</v>
      </c>
      <c r="K3148" s="102" t="s">
        <v>5226</v>
      </c>
      <c r="L3148" s="117">
        <f>IF(O3148="","",N3148*O3148*M3148)</f>
        <v>0</v>
      </c>
      <c r="M3148" s="108">
        <v>1</v>
      </c>
      <c r="N3148" s="95">
        <v>1</v>
      </c>
      <c r="O3148" s="109">
        <f>IF(Key!D$1="ON",P3148,IF(SUM(Q3148:DL3148)&lt;1,"",SUM(Q3148:DL3148)/COUNTIF(Q3148:DL3148,"&gt;0")))</f>
        <v>0</v>
      </c>
      <c r="P3148" s="109">
        <f>SUMIFS(Q3148:DK3148,Q$1:DK$1,Dashboard!$K$31)</f>
        <v>0</v>
      </c>
      <c r="U3148" s="95">
        <v>33</v>
      </c>
      <c r="AA3148" s="95">
        <v>25</v>
      </c>
      <c r="AH3148" s="95">
        <v>75</v>
      </c>
    </row>
    <row r="3149" spans="1:34" x14ac:dyDescent="0.3">
      <c r="A3149" s="89" t="str">
        <f>CONCATENATE(D3149,".",F3149,"-",G3149,".",H3149,"")</f>
        <v>2.6-1.1</v>
      </c>
      <c r="B3149" s="89" t="str">
        <f>IF(CONCATENATE(I3149,Key!F$2)=CONCATENATE(INDEX(Dashboard!J:J,MATCH(I3149,Dashboard!J:J,0),1),INDEX(Dashboard!J:K,MATCH(I3149,Dashboard!J:J,0),2)),"ON",IF(Dashboard!K$32="ALL","ON","-"))</f>
        <v>-</v>
      </c>
      <c r="C3149" s="88" t="s">
        <v>152</v>
      </c>
      <c r="D3149" s="89">
        <f>IF(C3149="ID",1,(IF(C3149="PR",2,(IF(C3149="DE",3,(IF(C3149="RS",4,(IF(C3149="RC",5,0)))))))))</f>
        <v>2</v>
      </c>
      <c r="E3149" s="89" t="s">
        <v>271</v>
      </c>
      <c r="F3149" s="89">
        <f>IF(E3149="AM",1,(IF(E3149="BE",2,(IF(E3149="GV",3,(IF(E3149="RA",4,(IF(E3149="RM",5,(IF(E3149="AC",1,(IF(E3149="AT",2,(IF(E3149="DS",3,(IF(E3149="IP",4,(IF(E3149="MA",5,(IF(E3149="PT",6,(IF(E3149="AE",1,(IF(E3149="CM",2,(IF(E3149="DP",3,(IF(E3149="AN",1,(IF(E3149="CO",2,(IF(E3149="IM",3,(IF(E3149="MI",4,(IF(E3149="RP",5,(IF(E3149="SC",6,0)))))))))))))))))))))))))))))))))))))))</f>
        <v>6</v>
      </c>
      <c r="G3149" s="52">
        <v>1</v>
      </c>
      <c r="H3149" s="90" t="s">
        <v>115</v>
      </c>
      <c r="I3149" s="94" t="s">
        <v>92</v>
      </c>
      <c r="J3149" s="88" t="s">
        <v>273</v>
      </c>
      <c r="K3149" s="102" t="s">
        <v>5226</v>
      </c>
      <c r="L3149" s="117">
        <f>IF(O3149="","",N3149*O3149*M3149)</f>
        <v>0</v>
      </c>
      <c r="M3149" s="108">
        <v>1</v>
      </c>
      <c r="N3149" s="95">
        <v>1</v>
      </c>
      <c r="O3149" s="109">
        <f>IF(Key!D$1="ON",P3149,IF(SUM(Q3149:DL3149)&lt;1,"",SUM(Q3149:DL3149)/COUNTIF(Q3149:DL3149,"&gt;0")))</f>
        <v>0</v>
      </c>
      <c r="P3149" s="109">
        <f>SUMIFS(Q3149:DK3149,Q$1:DK$1,Dashboard!$K$31)</f>
        <v>0</v>
      </c>
      <c r="U3149" s="95">
        <v>33</v>
      </c>
      <c r="AA3149" s="95">
        <v>25</v>
      </c>
      <c r="AH3149" s="95">
        <v>75</v>
      </c>
    </row>
    <row r="3150" spans="1:34" x14ac:dyDescent="0.3">
      <c r="A3150" s="89" t="str">
        <f>CONCATENATE(D3150,".",F3150,"-",G3150,".",H3150,"")</f>
        <v>2.6-1.1</v>
      </c>
      <c r="B3150" s="89" t="str">
        <f>IF(CONCATENATE(I3150,Key!F$2)=CONCATENATE(INDEX(Dashboard!J:J,MATCH(I3150,Dashboard!J:J,0),1),INDEX(Dashboard!J:K,MATCH(I3150,Dashboard!J:J,0),2)),"ON",IF(Dashboard!K$32="ALL","ON","-"))</f>
        <v>-</v>
      </c>
      <c r="C3150" s="88" t="s">
        <v>152</v>
      </c>
      <c r="D3150" s="89">
        <f>IF(C3150="ID",1,(IF(C3150="PR",2,(IF(C3150="DE",3,(IF(C3150="RS",4,(IF(C3150="RC",5,0)))))))))</f>
        <v>2</v>
      </c>
      <c r="E3150" s="89" t="s">
        <v>271</v>
      </c>
      <c r="F3150" s="89">
        <f>IF(E3150="AM",1,(IF(E3150="BE",2,(IF(E3150="GV",3,(IF(E3150="RA",4,(IF(E3150="RM",5,(IF(E3150="AC",1,(IF(E3150="AT",2,(IF(E3150="DS",3,(IF(E3150="IP",4,(IF(E3150="MA",5,(IF(E3150="PT",6,(IF(E3150="AE",1,(IF(E3150="CM",2,(IF(E3150="DP",3,(IF(E3150="AN",1,(IF(E3150="CO",2,(IF(E3150="IM",3,(IF(E3150="MI",4,(IF(E3150="RP",5,(IF(E3150="SC",6,0)))))))))))))))))))))))))))))))))))))))</f>
        <v>6</v>
      </c>
      <c r="G3150" s="52">
        <v>1</v>
      </c>
      <c r="H3150" s="90" t="s">
        <v>115</v>
      </c>
      <c r="I3150" s="94" t="s">
        <v>92</v>
      </c>
      <c r="J3150" s="88" t="s">
        <v>274</v>
      </c>
      <c r="K3150" s="102" t="s">
        <v>5226</v>
      </c>
      <c r="L3150" s="117">
        <f>IF(O3150="","",N3150*O3150*M3150)</f>
        <v>0</v>
      </c>
      <c r="M3150" s="108">
        <v>1</v>
      </c>
      <c r="N3150" s="95">
        <v>1</v>
      </c>
      <c r="O3150" s="109">
        <f>IF(Key!D$1="ON",P3150,IF(SUM(Q3150:DL3150)&lt;1,"",SUM(Q3150:DL3150)/COUNTIF(Q3150:DL3150,"&gt;0")))</f>
        <v>0</v>
      </c>
      <c r="P3150" s="109">
        <f>SUMIFS(Q3150:DK3150,Q$1:DK$1,Dashboard!$K$31)</f>
        <v>0</v>
      </c>
      <c r="U3150" s="95">
        <v>33</v>
      </c>
      <c r="AA3150" s="95">
        <v>25</v>
      </c>
      <c r="AH3150" s="95">
        <v>75</v>
      </c>
    </row>
    <row r="3151" spans="1:34" x14ac:dyDescent="0.3">
      <c r="A3151" s="89" t="str">
        <f>CONCATENATE(D3151,".",F3151,"-",G3151,".",H3151,"")</f>
        <v>2.6-1.1</v>
      </c>
      <c r="B3151" s="89" t="str">
        <f>IF(CONCATENATE(I3151,Key!F$2)=CONCATENATE(INDEX(Dashboard!J:J,MATCH(I3151,Dashboard!J:J,0),1),INDEX(Dashboard!J:K,MATCH(I3151,Dashboard!J:J,0),2)),"ON",IF(Dashboard!K$32="ALL","ON","-"))</f>
        <v>-</v>
      </c>
      <c r="C3151" s="88" t="s">
        <v>152</v>
      </c>
      <c r="D3151" s="89">
        <f>IF(C3151="ID",1,(IF(C3151="PR",2,(IF(C3151="DE",3,(IF(C3151="RS",4,(IF(C3151="RC",5,0)))))))))</f>
        <v>2</v>
      </c>
      <c r="E3151" s="89" t="s">
        <v>271</v>
      </c>
      <c r="F3151" s="89">
        <f>IF(E3151="AM",1,(IF(E3151="BE",2,(IF(E3151="GV",3,(IF(E3151="RA",4,(IF(E3151="RM",5,(IF(E3151="AC",1,(IF(E3151="AT",2,(IF(E3151="DS",3,(IF(E3151="IP",4,(IF(E3151="MA",5,(IF(E3151="PT",6,(IF(E3151="AE",1,(IF(E3151="CM",2,(IF(E3151="DP",3,(IF(E3151="AN",1,(IF(E3151="CO",2,(IF(E3151="IM",3,(IF(E3151="MI",4,(IF(E3151="RP",5,(IF(E3151="SC",6,0)))))))))))))))))))))))))))))))))))))))</f>
        <v>6</v>
      </c>
      <c r="G3151" s="52">
        <v>1</v>
      </c>
      <c r="H3151" s="90" t="s">
        <v>115</v>
      </c>
      <c r="I3151" s="94" t="s">
        <v>92</v>
      </c>
      <c r="J3151" s="88" t="s">
        <v>275</v>
      </c>
      <c r="K3151" s="102" t="s">
        <v>5226</v>
      </c>
      <c r="L3151" s="117">
        <f>IF(O3151="","",N3151*O3151*M3151)</f>
        <v>0</v>
      </c>
      <c r="M3151" s="108">
        <v>1</v>
      </c>
      <c r="N3151" s="95">
        <v>1</v>
      </c>
      <c r="O3151" s="109">
        <f>IF(Key!D$1="ON",P3151,IF(SUM(Q3151:DL3151)&lt;1,"",SUM(Q3151:DL3151)/COUNTIF(Q3151:DL3151,"&gt;0")))</f>
        <v>0</v>
      </c>
      <c r="P3151" s="109">
        <f>SUMIFS(Q3151:DK3151,Q$1:DK$1,Dashboard!$K$31)</f>
        <v>0</v>
      </c>
      <c r="U3151" s="95">
        <v>33</v>
      </c>
      <c r="AA3151" s="95">
        <v>25</v>
      </c>
      <c r="AH3151" s="95">
        <v>75</v>
      </c>
    </row>
    <row r="3152" spans="1:34" ht="15.6" x14ac:dyDescent="0.3">
      <c r="A3152" s="89" t="str">
        <f>CONCATENATE(D3152,".",F3152,"-",G3152,".",H3152,"")</f>
        <v>2.6-1.1</v>
      </c>
      <c r="B3152" s="89" t="str">
        <f>IF(CONCATENATE(I3152,Key!F$2)=CONCATENATE(INDEX(Dashboard!J:J,MATCH(I3152,Dashboard!J:J,0),1),INDEX(Dashboard!J:K,MATCH(I3152,Dashboard!J:J,0),2)),"ON",IF(Dashboard!K$32="ALL","ON","-"))</f>
        <v>-</v>
      </c>
      <c r="C3152" s="88" t="s">
        <v>152</v>
      </c>
      <c r="D3152" s="89">
        <f>IF(C3152="ID",1,(IF(C3152="PR",2,(IF(C3152="DE",3,(IF(C3152="RS",4,(IF(C3152="RC",5,0)))))))))</f>
        <v>2</v>
      </c>
      <c r="E3152" s="89" t="s">
        <v>271</v>
      </c>
      <c r="F3152" s="89">
        <f>IF(E3152="AM",1,(IF(E3152="BE",2,(IF(E3152="GV",3,(IF(E3152="RA",4,(IF(E3152="RM",5,(IF(E3152="AC",1,(IF(E3152="AT",2,(IF(E3152="DS",3,(IF(E3152="IP",4,(IF(E3152="MA",5,(IF(E3152="PT",6,(IF(E3152="AE",1,(IF(E3152="CM",2,(IF(E3152="DP",3,(IF(E3152="AN",1,(IF(E3152="CO",2,(IF(E3152="IM",3,(IF(E3152="MI",4,(IF(E3152="RP",5,(IF(E3152="SC",6,0)))))))))))))))))))))))))))))))))))))))</f>
        <v>6</v>
      </c>
      <c r="G3152" s="52">
        <v>1</v>
      </c>
      <c r="H3152" s="90" t="s">
        <v>115</v>
      </c>
      <c r="I3152" s="94" t="s">
        <v>92</v>
      </c>
      <c r="J3152" s="88" t="s">
        <v>276</v>
      </c>
      <c r="K3152" s="102" t="s">
        <v>5226</v>
      </c>
      <c r="L3152" s="117">
        <f>IF(O3152="","",N3152*O3152*M3152)</f>
        <v>0</v>
      </c>
      <c r="M3152" s="108">
        <v>1</v>
      </c>
      <c r="N3152" s="95">
        <v>1</v>
      </c>
      <c r="O3152" s="109">
        <f>IF(Key!D$1="ON",P3152,IF(SUM(Q3152:DL3152)&lt;1,"",SUM(Q3152:DL3152)/COUNTIF(Q3152:DL3152,"&gt;0")))</f>
        <v>0</v>
      </c>
      <c r="P3152" s="109">
        <f>SUMIFS(Q3152:DK3152,Q$1:DK$1,Dashboard!$K$31)</f>
        <v>0</v>
      </c>
      <c r="U3152" s="95">
        <v>33</v>
      </c>
      <c r="AA3152" s="95">
        <v>25</v>
      </c>
      <c r="AH3152" s="95">
        <v>75</v>
      </c>
    </row>
    <row r="3153" spans="1:34" ht="15.6" x14ac:dyDescent="0.3">
      <c r="A3153" s="89" t="str">
        <f>CONCATENATE(D3153,".",F3153,"-",G3153,".",H3153,"")</f>
        <v>2.6-1.1</v>
      </c>
      <c r="B3153" s="89" t="str">
        <f>IF(CONCATENATE(I3153,Key!F$2)=CONCATENATE(INDEX(Dashboard!J:J,MATCH(I3153,Dashboard!J:J,0),1),INDEX(Dashboard!J:K,MATCH(I3153,Dashboard!J:J,0),2)),"ON",IF(Dashboard!K$32="ALL","ON","-"))</f>
        <v>-</v>
      </c>
      <c r="C3153" s="88" t="s">
        <v>152</v>
      </c>
      <c r="D3153" s="89">
        <f>IF(C3153="ID",1,(IF(C3153="PR",2,(IF(C3153="DE",3,(IF(C3153="RS",4,(IF(C3153="RC",5,0)))))))))</f>
        <v>2</v>
      </c>
      <c r="E3153" s="89" t="s">
        <v>271</v>
      </c>
      <c r="F3153" s="89">
        <f>IF(E3153="AM",1,(IF(E3153="BE",2,(IF(E3153="GV",3,(IF(E3153="RA",4,(IF(E3153="RM",5,(IF(E3153="AC",1,(IF(E3153="AT",2,(IF(E3153="DS",3,(IF(E3153="IP",4,(IF(E3153="MA",5,(IF(E3153="PT",6,(IF(E3153="AE",1,(IF(E3153="CM",2,(IF(E3153="DP",3,(IF(E3153="AN",1,(IF(E3153="CO",2,(IF(E3153="IM",3,(IF(E3153="MI",4,(IF(E3153="RP",5,(IF(E3153="SC",6,0)))))))))))))))))))))))))))))))))))))))</f>
        <v>6</v>
      </c>
      <c r="G3153" s="52">
        <v>1</v>
      </c>
      <c r="H3153" s="90" t="s">
        <v>115</v>
      </c>
      <c r="I3153" s="94" t="s">
        <v>92</v>
      </c>
      <c r="J3153" s="88" t="s">
        <v>277</v>
      </c>
      <c r="K3153" s="102" t="s">
        <v>5226</v>
      </c>
      <c r="L3153" s="117">
        <f>IF(O3153="","",N3153*O3153*M3153)</f>
        <v>0</v>
      </c>
      <c r="M3153" s="108">
        <v>1</v>
      </c>
      <c r="N3153" s="95">
        <v>1</v>
      </c>
      <c r="O3153" s="109">
        <f>IF(Key!D$1="ON",P3153,IF(SUM(Q3153:DL3153)&lt;1,"",SUM(Q3153:DL3153)/COUNTIF(Q3153:DL3153,"&gt;0")))</f>
        <v>0</v>
      </c>
      <c r="P3153" s="109">
        <f>SUMIFS(Q3153:DK3153,Q$1:DK$1,Dashboard!$K$31)</f>
        <v>0</v>
      </c>
      <c r="U3153" s="95">
        <v>33</v>
      </c>
      <c r="AA3153" s="95">
        <v>25</v>
      </c>
      <c r="AH3153" s="95">
        <v>75</v>
      </c>
    </row>
    <row r="3154" spans="1:34" x14ac:dyDescent="0.3">
      <c r="A3154" s="89" t="str">
        <f>CONCATENATE(D3154,".",F3154,"-",G3154,".",H3154,"")</f>
        <v>2.6-1.1</v>
      </c>
      <c r="B3154" s="89" t="str">
        <f>IF(CONCATENATE(I3154,Key!F$2)=CONCATENATE(INDEX(Dashboard!J:J,MATCH(I3154,Dashboard!J:J,0),1),INDEX(Dashboard!J:K,MATCH(I3154,Dashboard!J:J,0),2)),"ON",IF(Dashboard!K$32="ALL","ON","-"))</f>
        <v>-</v>
      </c>
      <c r="C3154" s="88" t="s">
        <v>152</v>
      </c>
      <c r="D3154" s="89">
        <f>IF(C3154="ID",1,(IF(C3154="PR",2,(IF(C3154="DE",3,(IF(C3154="RS",4,(IF(C3154="RC",5,0)))))))))</f>
        <v>2</v>
      </c>
      <c r="E3154" s="89" t="s">
        <v>271</v>
      </c>
      <c r="F3154" s="89">
        <f>IF(E3154="AM",1,(IF(E3154="BE",2,(IF(E3154="GV",3,(IF(E3154="RA",4,(IF(E3154="RM",5,(IF(E3154="AC",1,(IF(E3154="AT",2,(IF(E3154="DS",3,(IF(E3154="IP",4,(IF(E3154="MA",5,(IF(E3154="PT",6,(IF(E3154="AE",1,(IF(E3154="CM",2,(IF(E3154="DP",3,(IF(E3154="AN",1,(IF(E3154="CO",2,(IF(E3154="IM",3,(IF(E3154="MI",4,(IF(E3154="RP",5,(IF(E3154="SC",6,0)))))))))))))))))))))))))))))))))))))))</f>
        <v>6</v>
      </c>
      <c r="G3154" s="52">
        <v>1</v>
      </c>
      <c r="H3154" s="90" t="s">
        <v>115</v>
      </c>
      <c r="I3154" s="94" t="s">
        <v>92</v>
      </c>
      <c r="J3154" s="88" t="s">
        <v>278</v>
      </c>
      <c r="K3154" s="102" t="s">
        <v>5226</v>
      </c>
      <c r="L3154" s="117">
        <f>IF(O3154="","",N3154*O3154*M3154)</f>
        <v>0</v>
      </c>
      <c r="M3154" s="108">
        <v>1</v>
      </c>
      <c r="N3154" s="95">
        <v>1</v>
      </c>
      <c r="O3154" s="109">
        <f>IF(Key!D$1="ON",P3154,IF(SUM(Q3154:DL3154)&lt;1,"",SUM(Q3154:DL3154)/COUNTIF(Q3154:DL3154,"&gt;0")))</f>
        <v>0</v>
      </c>
      <c r="P3154" s="109">
        <f>SUMIFS(Q3154:DK3154,Q$1:DK$1,Dashboard!$K$31)</f>
        <v>0</v>
      </c>
      <c r="U3154" s="95">
        <v>33</v>
      </c>
      <c r="AA3154" s="95">
        <v>25</v>
      </c>
      <c r="AH3154" s="95">
        <v>75</v>
      </c>
    </row>
    <row r="3155" spans="1:34" x14ac:dyDescent="0.3">
      <c r="A3155" s="89" t="str">
        <f>CONCATENATE(D3155,".",F3155,"-",G3155,".",H3155,"")</f>
        <v>2.6-1.1</v>
      </c>
      <c r="B3155" s="89" t="str">
        <f>IF(CONCATENATE(I3155,Key!F$2)=CONCATENATE(INDEX(Dashboard!J:J,MATCH(I3155,Dashboard!J:J,0),1),INDEX(Dashboard!J:K,MATCH(I3155,Dashboard!J:J,0),2)),"ON",IF(Dashboard!K$32="ALL","ON","-"))</f>
        <v>-</v>
      </c>
      <c r="C3155" s="96" t="s">
        <v>152</v>
      </c>
      <c r="D3155" s="89">
        <f>IF(C3155="ID",1,(IF(C3155="PR",2,(IF(C3155="DE",3,(IF(C3155="RS",4,(IF(C3155="RC",5,0)))))))))</f>
        <v>2</v>
      </c>
      <c r="E3155" s="89" t="s">
        <v>271</v>
      </c>
      <c r="F3155" s="89">
        <f>IF(E3155="AM",1,(IF(E3155="BE",2,(IF(E3155="GV",3,(IF(E3155="RA",4,(IF(E3155="RM",5,(IF(E3155="AC",1,(IF(E3155="AT",2,(IF(E3155="DS",3,(IF(E3155="IP",4,(IF(E3155="MA",5,(IF(E3155="PT",6,(IF(E3155="AE",1,(IF(E3155="CM",2,(IF(E3155="DP",3,(IF(E3155="AN",1,(IF(E3155="CO",2,(IF(E3155="IM",3,(IF(E3155="MI",4,(IF(E3155="RP",5,(IF(E3155="SC",6,0)))))))))))))))))))))))))))))))))))))))</f>
        <v>6</v>
      </c>
      <c r="G3155" s="52">
        <v>1</v>
      </c>
      <c r="H3155" s="90" t="s">
        <v>115</v>
      </c>
      <c r="I3155" s="94" t="s">
        <v>92</v>
      </c>
      <c r="J3155" s="88" t="s">
        <v>279</v>
      </c>
      <c r="K3155" s="102" t="s">
        <v>5226</v>
      </c>
      <c r="L3155" s="117">
        <f>IF(O3155="","",N3155*O3155*M3155)</f>
        <v>0</v>
      </c>
      <c r="M3155" s="108">
        <v>1</v>
      </c>
      <c r="N3155" s="95">
        <v>1</v>
      </c>
      <c r="O3155" s="109">
        <f>IF(Key!D$1="ON",P3155,IF(SUM(Q3155:DL3155)&lt;1,"",SUM(Q3155:DL3155)/COUNTIF(Q3155:DL3155,"&gt;0")))</f>
        <v>0</v>
      </c>
      <c r="P3155" s="109">
        <f>SUMIFS(Q3155:DK3155,Q$1:DK$1,Dashboard!$K$31)</f>
        <v>0</v>
      </c>
      <c r="U3155" s="95">
        <v>33</v>
      </c>
      <c r="AA3155" s="95">
        <v>25</v>
      </c>
      <c r="AH3155" s="95">
        <v>75</v>
      </c>
    </row>
    <row r="3156" spans="1:34" ht="15.6" x14ac:dyDescent="0.3">
      <c r="A3156" s="89" t="str">
        <f>CONCATENATE(D3156,".",F3156,"-",G3156,".",H3156,"")</f>
        <v>2.6-1.3</v>
      </c>
      <c r="B3156" s="89" t="str">
        <f>IF(CONCATENATE(I3156,Key!F$2)=CONCATENATE(INDEX(Dashboard!J:J,MATCH(I3156,Dashboard!J:J,0),1),INDEX(Dashboard!J:K,MATCH(I3156,Dashboard!J:J,0),2)),"ON",IF(Dashboard!K$32="ALL","ON","-"))</f>
        <v>-</v>
      </c>
      <c r="C3156" s="88" t="s">
        <v>152</v>
      </c>
      <c r="D3156" s="89">
        <f>IF(C3156="ID",1,(IF(C3156="PR",2,(IF(C3156="DE",3,(IF(C3156="RS",4,(IF(C3156="RC",5,0)))))))))</f>
        <v>2</v>
      </c>
      <c r="E3156" s="89" t="s">
        <v>271</v>
      </c>
      <c r="F3156" s="89">
        <f>IF(E3156="AM",1,(IF(E3156="BE",2,(IF(E3156="GV",3,(IF(E3156="RA",4,(IF(E3156="RM",5,(IF(E3156="AC",1,(IF(E3156="AT",2,(IF(E3156="DS",3,(IF(E3156="IP",4,(IF(E3156="MA",5,(IF(E3156="PT",6,(IF(E3156="AE",1,(IF(E3156="CM",2,(IF(E3156="DP",3,(IF(E3156="AN",1,(IF(E3156="CO",2,(IF(E3156="IM",3,(IF(E3156="MI",4,(IF(E3156="RP",5,(IF(E3156="SC",6,0)))))))))))))))))))))))))))))))))))))))</f>
        <v>6</v>
      </c>
      <c r="G3156" s="52">
        <v>1</v>
      </c>
      <c r="H3156" s="90" t="s">
        <v>280</v>
      </c>
      <c r="I3156" s="94" t="s">
        <v>92</v>
      </c>
      <c r="J3156" s="88">
        <v>10.3</v>
      </c>
      <c r="K3156" s="102" t="s">
        <v>5226</v>
      </c>
      <c r="L3156" s="117">
        <f>IF(O3156="","",N3156*O3156*M3156)</f>
        <v>0</v>
      </c>
      <c r="M3156" s="108">
        <v>1</v>
      </c>
      <c r="N3156" s="95">
        <v>1</v>
      </c>
      <c r="O3156" s="109">
        <f>IF(Key!D$1="ON",P3156,IF(SUM(Q3156:DL3156)&lt;1,"",SUM(Q3156:DL3156)/COUNTIF(Q3156:DL3156,"&gt;0")))</f>
        <v>0</v>
      </c>
      <c r="P3156" s="109">
        <f>SUMIFS(Q3156:DK3156,Q$1:DK$1,Dashboard!$K$31)</f>
        <v>0</v>
      </c>
      <c r="U3156" s="95">
        <v>33</v>
      </c>
      <c r="AA3156" s="95">
        <v>25</v>
      </c>
      <c r="AH3156" s="95">
        <v>75</v>
      </c>
    </row>
    <row r="3157" spans="1:34" ht="15.6" x14ac:dyDescent="0.3">
      <c r="A3157" s="89" t="str">
        <f>CONCATENATE(D3157,".",F3157,"-",G3157,".",H3157,"")</f>
        <v>2.6-1.3</v>
      </c>
      <c r="B3157" s="89" t="str">
        <f>IF(CONCATENATE(I3157,Key!F$2)=CONCATENATE(INDEX(Dashboard!J:J,MATCH(I3157,Dashboard!J:J,0),1),INDEX(Dashboard!J:K,MATCH(I3157,Dashboard!J:J,0),2)),"ON",IF(Dashboard!K$32="ALL","ON","-"))</f>
        <v>-</v>
      </c>
      <c r="C3157" s="88" t="s">
        <v>152</v>
      </c>
      <c r="D3157" s="89">
        <f>IF(C3157="ID",1,(IF(C3157="PR",2,(IF(C3157="DE",3,(IF(C3157="RS",4,(IF(C3157="RC",5,0)))))))))</f>
        <v>2</v>
      </c>
      <c r="E3157" s="89" t="s">
        <v>271</v>
      </c>
      <c r="F3157" s="89">
        <f>IF(E3157="AM",1,(IF(E3157="BE",2,(IF(E3157="GV",3,(IF(E3157="RA",4,(IF(E3157="RM",5,(IF(E3157="AC",1,(IF(E3157="AT",2,(IF(E3157="DS",3,(IF(E3157="IP",4,(IF(E3157="MA",5,(IF(E3157="PT",6,(IF(E3157="AE",1,(IF(E3157="CM",2,(IF(E3157="DP",3,(IF(E3157="AN",1,(IF(E3157="CO",2,(IF(E3157="IM",3,(IF(E3157="MI",4,(IF(E3157="RP",5,(IF(E3157="SC",6,0)))))))))))))))))))))))))))))))))))))))</f>
        <v>6</v>
      </c>
      <c r="G3157" s="52">
        <v>1</v>
      </c>
      <c r="H3157" s="90" t="s">
        <v>280</v>
      </c>
      <c r="I3157" s="94" t="s">
        <v>92</v>
      </c>
      <c r="J3157" s="88" t="s">
        <v>281</v>
      </c>
      <c r="K3157" s="102" t="s">
        <v>5226</v>
      </c>
      <c r="L3157" s="117">
        <f>IF(O3157="","",N3157*O3157*M3157)</f>
        <v>0</v>
      </c>
      <c r="M3157" s="108">
        <v>1</v>
      </c>
      <c r="N3157" s="95">
        <v>1</v>
      </c>
      <c r="O3157" s="109">
        <f>IF(Key!D$1="ON",P3157,IF(SUM(Q3157:DL3157)&lt;1,"",SUM(Q3157:DL3157)/COUNTIF(Q3157:DL3157,"&gt;0")))</f>
        <v>0</v>
      </c>
      <c r="P3157" s="109">
        <f>SUMIFS(Q3157:DK3157,Q$1:DK$1,Dashboard!$K$31)</f>
        <v>0</v>
      </c>
      <c r="U3157" s="95">
        <v>33</v>
      </c>
      <c r="AA3157" s="95">
        <v>25</v>
      </c>
      <c r="AH3157" s="95">
        <v>75</v>
      </c>
    </row>
    <row r="3158" spans="1:34" ht="15.6" x14ac:dyDescent="0.3">
      <c r="A3158" s="89" t="str">
        <f>CONCATENATE(D3158,".",F3158,"-",G3158,".",H3158,"")</f>
        <v>2.6-1.3</v>
      </c>
      <c r="B3158" s="89" t="str">
        <f>IF(CONCATENATE(I3158,Key!F$2)=CONCATENATE(INDEX(Dashboard!J:J,MATCH(I3158,Dashboard!J:J,0),1),INDEX(Dashboard!J:K,MATCH(I3158,Dashboard!J:J,0),2)),"ON",IF(Dashboard!K$32="ALL","ON","-"))</f>
        <v>-</v>
      </c>
      <c r="C3158" s="88" t="s">
        <v>152</v>
      </c>
      <c r="D3158" s="89">
        <f>IF(C3158="ID",1,(IF(C3158="PR",2,(IF(C3158="DE",3,(IF(C3158="RS",4,(IF(C3158="RC",5,0)))))))))</f>
        <v>2</v>
      </c>
      <c r="E3158" s="89" t="s">
        <v>271</v>
      </c>
      <c r="F3158" s="89">
        <f>IF(E3158="AM",1,(IF(E3158="BE",2,(IF(E3158="GV",3,(IF(E3158="RA",4,(IF(E3158="RM",5,(IF(E3158="AC",1,(IF(E3158="AT",2,(IF(E3158="DS",3,(IF(E3158="IP",4,(IF(E3158="MA",5,(IF(E3158="PT",6,(IF(E3158="AE",1,(IF(E3158="CM",2,(IF(E3158="DP",3,(IF(E3158="AN",1,(IF(E3158="CO",2,(IF(E3158="IM",3,(IF(E3158="MI",4,(IF(E3158="RP",5,(IF(E3158="SC",6,0)))))))))))))))))))))))))))))))))))))))</f>
        <v>6</v>
      </c>
      <c r="G3158" s="52">
        <v>1</v>
      </c>
      <c r="H3158" s="90" t="s">
        <v>280</v>
      </c>
      <c r="I3158" s="94" t="s">
        <v>92</v>
      </c>
      <c r="J3158" s="88" t="s">
        <v>282</v>
      </c>
      <c r="K3158" s="102" t="s">
        <v>5226</v>
      </c>
      <c r="L3158" s="117">
        <f>IF(O3158="","",N3158*O3158*M3158)</f>
        <v>0</v>
      </c>
      <c r="M3158" s="108">
        <v>1</v>
      </c>
      <c r="N3158" s="95">
        <v>1</v>
      </c>
      <c r="O3158" s="109">
        <f>IF(Key!D$1="ON",P3158,IF(SUM(Q3158:DL3158)&lt;1,"",SUM(Q3158:DL3158)/COUNTIF(Q3158:DL3158,"&gt;0")))</f>
        <v>0</v>
      </c>
      <c r="P3158" s="109">
        <f>SUMIFS(Q3158:DK3158,Q$1:DK$1,Dashboard!$K$31)</f>
        <v>0</v>
      </c>
      <c r="U3158" s="95">
        <v>33</v>
      </c>
      <c r="AA3158" s="95">
        <v>25</v>
      </c>
      <c r="AH3158" s="95">
        <v>75</v>
      </c>
    </row>
    <row r="3159" spans="1:34" x14ac:dyDescent="0.3">
      <c r="A3159" s="89" t="str">
        <f>CONCATENATE(D3159,".",F3159,"-",G3159,".",H3159,"")</f>
        <v>2.6-1.3</v>
      </c>
      <c r="B3159" s="89" t="str">
        <f>IF(CONCATENATE(I3159,Key!F$2)=CONCATENATE(INDEX(Dashboard!J:J,MATCH(I3159,Dashboard!J:J,0),1),INDEX(Dashboard!J:K,MATCH(I3159,Dashboard!J:J,0),2)),"ON",IF(Dashboard!K$32="ALL","ON","-"))</f>
        <v>-</v>
      </c>
      <c r="C3159" s="88" t="s">
        <v>152</v>
      </c>
      <c r="D3159" s="89">
        <f>IF(C3159="ID",1,(IF(C3159="PR",2,(IF(C3159="DE",3,(IF(C3159="RS",4,(IF(C3159="RC",5,0)))))))))</f>
        <v>2</v>
      </c>
      <c r="E3159" s="89" t="s">
        <v>271</v>
      </c>
      <c r="F3159" s="89">
        <f>IF(E3159="AM",1,(IF(E3159="BE",2,(IF(E3159="GV",3,(IF(E3159="RA",4,(IF(E3159="RM",5,(IF(E3159="AC",1,(IF(E3159="AT",2,(IF(E3159="DS",3,(IF(E3159="IP",4,(IF(E3159="MA",5,(IF(E3159="PT",6,(IF(E3159="AE",1,(IF(E3159="CM",2,(IF(E3159="DP",3,(IF(E3159="AN",1,(IF(E3159="CO",2,(IF(E3159="IM",3,(IF(E3159="MI",4,(IF(E3159="RP",5,(IF(E3159="SC",6,0)))))))))))))))))))))))))))))))))))))))</f>
        <v>6</v>
      </c>
      <c r="G3159" s="52">
        <v>1</v>
      </c>
      <c r="H3159" s="90" t="s">
        <v>280</v>
      </c>
      <c r="I3159" s="94" t="s">
        <v>92</v>
      </c>
      <c r="J3159" s="88" t="s">
        <v>283</v>
      </c>
      <c r="K3159" s="102" t="s">
        <v>5226</v>
      </c>
      <c r="L3159" s="117">
        <f>IF(O3159="","",N3159*O3159*M3159)</f>
        <v>0</v>
      </c>
      <c r="M3159" s="108">
        <v>1</v>
      </c>
      <c r="N3159" s="95">
        <v>1</v>
      </c>
      <c r="O3159" s="109">
        <f>IF(Key!D$1="ON",P3159,IF(SUM(Q3159:DL3159)&lt;1,"",SUM(Q3159:DL3159)/COUNTIF(Q3159:DL3159,"&gt;0")))</f>
        <v>0</v>
      </c>
      <c r="P3159" s="109">
        <f>SUMIFS(Q3159:DK3159,Q$1:DK$1,Dashboard!$K$31)</f>
        <v>0</v>
      </c>
      <c r="U3159" s="95">
        <v>33</v>
      </c>
      <c r="AA3159" s="95">
        <v>25</v>
      </c>
      <c r="AH3159" s="95">
        <v>75</v>
      </c>
    </row>
    <row r="3160" spans="1:34" ht="15.6" x14ac:dyDescent="0.3">
      <c r="A3160" s="89" t="str">
        <f>CONCATENATE(D3160,".",F3160,"-",G3160,".",H3160,"")</f>
        <v>2.6-1.3</v>
      </c>
      <c r="B3160" s="89" t="str">
        <f>IF(CONCATENATE(I3160,Key!F$2)=CONCATENATE(INDEX(Dashboard!J:J,MATCH(I3160,Dashboard!J:J,0),1),INDEX(Dashboard!J:K,MATCH(I3160,Dashboard!J:J,0),2)),"ON",IF(Dashboard!K$32="ALL","ON","-"))</f>
        <v>-</v>
      </c>
      <c r="C3160" s="88" t="s">
        <v>152</v>
      </c>
      <c r="D3160" s="89">
        <f>IF(C3160="ID",1,(IF(C3160="PR",2,(IF(C3160="DE",3,(IF(C3160="RS",4,(IF(C3160="RC",5,0)))))))))</f>
        <v>2</v>
      </c>
      <c r="E3160" s="89" t="s">
        <v>271</v>
      </c>
      <c r="F3160" s="89">
        <f>IF(E3160="AM",1,(IF(E3160="BE",2,(IF(E3160="GV",3,(IF(E3160="RA",4,(IF(E3160="RM",5,(IF(E3160="AC",1,(IF(E3160="AT",2,(IF(E3160="DS",3,(IF(E3160="IP",4,(IF(E3160="MA",5,(IF(E3160="PT",6,(IF(E3160="AE",1,(IF(E3160="CM",2,(IF(E3160="DP",3,(IF(E3160="AN",1,(IF(E3160="CO",2,(IF(E3160="IM",3,(IF(E3160="MI",4,(IF(E3160="RP",5,(IF(E3160="SC",6,0)))))))))))))))))))))))))))))))))))))))</f>
        <v>6</v>
      </c>
      <c r="G3160" s="52">
        <v>1</v>
      </c>
      <c r="H3160" s="90" t="s">
        <v>280</v>
      </c>
      <c r="I3160" s="94" t="s">
        <v>92</v>
      </c>
      <c r="J3160" s="88" t="s">
        <v>284</v>
      </c>
      <c r="K3160" s="102" t="s">
        <v>5226</v>
      </c>
      <c r="L3160" s="117">
        <f>IF(O3160="","",N3160*O3160*M3160)</f>
        <v>0</v>
      </c>
      <c r="M3160" s="108">
        <v>1</v>
      </c>
      <c r="N3160" s="95">
        <v>1</v>
      </c>
      <c r="O3160" s="109">
        <f>IF(Key!D$1="ON",P3160,IF(SUM(Q3160:DL3160)&lt;1,"",SUM(Q3160:DL3160)/COUNTIF(Q3160:DL3160,"&gt;0")))</f>
        <v>0</v>
      </c>
      <c r="P3160" s="109">
        <f>SUMIFS(Q3160:DK3160,Q$1:DK$1,Dashboard!$K$31)</f>
        <v>0</v>
      </c>
      <c r="U3160" s="95">
        <v>33</v>
      </c>
      <c r="AA3160" s="95">
        <v>25</v>
      </c>
      <c r="AH3160" s="95">
        <v>75</v>
      </c>
    </row>
    <row r="3161" spans="1:34" x14ac:dyDescent="0.3">
      <c r="A3161" s="89" t="str">
        <f>CONCATENATE(D3161,".",F3161,"-",G3161,".",H3161,"")</f>
        <v>2.6-1.3</v>
      </c>
      <c r="B3161" s="89" t="str">
        <f>IF(CONCATENATE(I3161,Key!F$2)=CONCATENATE(INDEX(Dashboard!J:J,MATCH(I3161,Dashboard!J:J,0),1),INDEX(Dashboard!J:K,MATCH(I3161,Dashboard!J:J,0),2)),"ON",IF(Dashboard!K$32="ALL","ON","-"))</f>
        <v>-</v>
      </c>
      <c r="C3161" s="88" t="s">
        <v>152</v>
      </c>
      <c r="D3161" s="89">
        <f>IF(C3161="ID",1,(IF(C3161="PR",2,(IF(C3161="DE",3,(IF(C3161="RS",4,(IF(C3161="RC",5,0)))))))))</f>
        <v>2</v>
      </c>
      <c r="E3161" s="89" t="s">
        <v>271</v>
      </c>
      <c r="F3161" s="89">
        <f>IF(E3161="AM",1,(IF(E3161="BE",2,(IF(E3161="GV",3,(IF(E3161="RA",4,(IF(E3161="RM",5,(IF(E3161="AC",1,(IF(E3161="AT",2,(IF(E3161="DS",3,(IF(E3161="IP",4,(IF(E3161="MA",5,(IF(E3161="PT",6,(IF(E3161="AE",1,(IF(E3161="CM",2,(IF(E3161="DP",3,(IF(E3161="AN",1,(IF(E3161="CO",2,(IF(E3161="IM",3,(IF(E3161="MI",4,(IF(E3161="RP",5,(IF(E3161="SC",6,0)))))))))))))))))))))))))))))))))))))))</f>
        <v>6</v>
      </c>
      <c r="G3161" s="52">
        <v>1</v>
      </c>
      <c r="H3161" s="90" t="s">
        <v>280</v>
      </c>
      <c r="I3161" s="94" t="s">
        <v>92</v>
      </c>
      <c r="J3161" s="88" t="s">
        <v>285</v>
      </c>
      <c r="K3161" s="102" t="s">
        <v>5226</v>
      </c>
      <c r="L3161" s="117">
        <f>IF(O3161="","",N3161*O3161*M3161)</f>
        <v>0</v>
      </c>
      <c r="M3161" s="108">
        <v>1</v>
      </c>
      <c r="N3161" s="95">
        <v>1</v>
      </c>
      <c r="O3161" s="109">
        <f>IF(Key!D$1="ON",P3161,IF(SUM(Q3161:DL3161)&lt;1,"",SUM(Q3161:DL3161)/COUNTIF(Q3161:DL3161,"&gt;0")))</f>
        <v>0</v>
      </c>
      <c r="P3161" s="109">
        <f>SUMIFS(Q3161:DK3161,Q$1:DK$1,Dashboard!$K$31)</f>
        <v>0</v>
      </c>
      <c r="U3161" s="95">
        <v>33</v>
      </c>
      <c r="AA3161" s="95">
        <v>25</v>
      </c>
      <c r="AH3161" s="95">
        <v>75</v>
      </c>
    </row>
    <row r="3162" spans="1:34" x14ac:dyDescent="0.3">
      <c r="A3162" s="89" t="str">
        <f>CONCATENATE(D3162,".",F3162,"-",G3162,".",H3162,"")</f>
        <v>2.6-1.3</v>
      </c>
      <c r="B3162" s="89" t="str">
        <f>IF(CONCATENATE(I3162,Key!F$2)=CONCATENATE(INDEX(Dashboard!J:J,MATCH(I3162,Dashboard!J:J,0),1),INDEX(Dashboard!J:K,MATCH(I3162,Dashboard!J:J,0),2)),"ON",IF(Dashboard!K$32="ALL","ON","-"))</f>
        <v>-</v>
      </c>
      <c r="C3162" s="88" t="s">
        <v>152</v>
      </c>
      <c r="D3162" s="89">
        <f>IF(C3162="ID",1,(IF(C3162="PR",2,(IF(C3162="DE",3,(IF(C3162="RS",4,(IF(C3162="RC",5,0)))))))))</f>
        <v>2</v>
      </c>
      <c r="E3162" s="89" t="s">
        <v>271</v>
      </c>
      <c r="F3162" s="89">
        <f>IF(E3162="AM",1,(IF(E3162="BE",2,(IF(E3162="GV",3,(IF(E3162="RA",4,(IF(E3162="RM",5,(IF(E3162="AC",1,(IF(E3162="AT",2,(IF(E3162="DS",3,(IF(E3162="IP",4,(IF(E3162="MA",5,(IF(E3162="PT",6,(IF(E3162="AE",1,(IF(E3162="CM",2,(IF(E3162="DP",3,(IF(E3162="AN",1,(IF(E3162="CO",2,(IF(E3162="IM",3,(IF(E3162="MI",4,(IF(E3162="RP",5,(IF(E3162="SC",6,0)))))))))))))))))))))))))))))))))))))))</f>
        <v>6</v>
      </c>
      <c r="G3162" s="52">
        <v>1</v>
      </c>
      <c r="H3162" s="90" t="s">
        <v>280</v>
      </c>
      <c r="I3162" s="94" t="s">
        <v>92</v>
      </c>
      <c r="J3162" s="88" t="s">
        <v>286</v>
      </c>
      <c r="K3162" s="102" t="s">
        <v>5226</v>
      </c>
      <c r="L3162" s="117">
        <f>IF(O3162="","",N3162*O3162*M3162)</f>
        <v>0</v>
      </c>
      <c r="M3162" s="108">
        <v>1</v>
      </c>
      <c r="N3162" s="95">
        <v>1</v>
      </c>
      <c r="O3162" s="109">
        <f>IF(Key!D$1="ON",P3162,IF(SUM(Q3162:DL3162)&lt;1,"",SUM(Q3162:DL3162)/COUNTIF(Q3162:DL3162,"&gt;0")))</f>
        <v>0</v>
      </c>
      <c r="P3162" s="109">
        <f>SUMIFS(Q3162:DK3162,Q$1:DK$1,Dashboard!$K$31)</f>
        <v>0</v>
      </c>
      <c r="U3162" s="95">
        <v>33</v>
      </c>
      <c r="AA3162" s="95">
        <v>25</v>
      </c>
      <c r="AH3162" s="95">
        <v>75</v>
      </c>
    </row>
    <row r="3163" spans="1:34" ht="15.6" x14ac:dyDescent="0.3">
      <c r="A3163" s="89" t="str">
        <f>CONCATENATE(D3163,".",F3163,"-",G3163,".",H3163,"")</f>
        <v>2.6-1.5</v>
      </c>
      <c r="B3163" s="89" t="str">
        <f>IF(CONCATENATE(I3163,Key!F$2)=CONCATENATE(INDEX(Dashboard!J:J,MATCH(I3163,Dashboard!J:J,0),1),INDEX(Dashboard!J:K,MATCH(I3163,Dashboard!J:J,0),2)),"ON",IF(Dashboard!K$32="ALL","ON","-"))</f>
        <v>-</v>
      </c>
      <c r="C3163" s="88" t="s">
        <v>152</v>
      </c>
      <c r="D3163" s="89">
        <f>IF(C3163="ID",1,(IF(C3163="PR",2,(IF(C3163="DE",3,(IF(C3163="RS",4,(IF(C3163="RC",5,0)))))))))</f>
        <v>2</v>
      </c>
      <c r="E3163" s="89" t="s">
        <v>271</v>
      </c>
      <c r="F3163" s="89">
        <f>IF(E3163="AM",1,(IF(E3163="BE",2,(IF(E3163="GV",3,(IF(E3163="RA",4,(IF(E3163="RM",5,(IF(E3163="AC",1,(IF(E3163="AT",2,(IF(E3163="DS",3,(IF(E3163="IP",4,(IF(E3163="MA",5,(IF(E3163="PT",6,(IF(E3163="AE",1,(IF(E3163="CM",2,(IF(E3163="DP",3,(IF(E3163="AN",1,(IF(E3163="CO",2,(IF(E3163="IM",3,(IF(E3163="MI",4,(IF(E3163="RP",5,(IF(E3163="SC",6,0)))))))))))))))))))))))))))))))))))))))</f>
        <v>6</v>
      </c>
      <c r="G3163" s="52">
        <v>1</v>
      </c>
      <c r="H3163" s="90" t="s">
        <v>123</v>
      </c>
      <c r="I3163" s="94" t="s">
        <v>77</v>
      </c>
      <c r="J3163" s="87" t="s">
        <v>1735</v>
      </c>
      <c r="K3163" s="102" t="s">
        <v>2661</v>
      </c>
      <c r="L3163" s="117">
        <f>IF(O3163="","",N3163*O3163*M3163)</f>
        <v>0</v>
      </c>
      <c r="M3163" s="108">
        <v>1</v>
      </c>
      <c r="N3163" s="95">
        <v>1</v>
      </c>
      <c r="O3163" s="109">
        <f>IF(Key!D$1="ON",P3163,IF(SUM(Q3163:DL3163)&lt;1,"",SUM(Q3163:DL3163)/COUNTIF(Q3163:DL3163,"&gt;0")))</f>
        <v>0</v>
      </c>
      <c r="P3163" s="109">
        <f>SUMIFS(Q3163:DK3163,Q$1:DK$1,Dashboard!$K$31)</f>
        <v>0</v>
      </c>
      <c r="U3163" s="95">
        <v>33</v>
      </c>
      <c r="AA3163" s="95">
        <v>25</v>
      </c>
      <c r="AH3163" s="95">
        <v>75</v>
      </c>
    </row>
    <row r="3164" spans="1:34" x14ac:dyDescent="0.3">
      <c r="A3164" s="89" t="str">
        <f>CONCATENATE(D3164,".",F3164,"-",G3164,".",H3164,"")</f>
        <v>2.6-1.5</v>
      </c>
      <c r="B3164" s="89" t="str">
        <f>IF(CONCATENATE(I3164,Key!F$2)=CONCATENATE(INDEX(Dashboard!J:J,MATCH(I3164,Dashboard!J:J,0),1),INDEX(Dashboard!J:K,MATCH(I3164,Dashboard!J:J,0),2)),"ON",IF(Dashboard!K$32="ALL","ON","-"))</f>
        <v>-</v>
      </c>
      <c r="C3164" s="88" t="s">
        <v>152</v>
      </c>
      <c r="D3164" s="89">
        <f>IF(C3164="ID",1,(IF(C3164="PR",2,(IF(C3164="DE",3,(IF(C3164="RS",4,(IF(C3164="RC",5,0)))))))))</f>
        <v>2</v>
      </c>
      <c r="E3164" s="89" t="s">
        <v>271</v>
      </c>
      <c r="F3164" s="89">
        <f>IF(E3164="AM",1,(IF(E3164="BE",2,(IF(E3164="GV",3,(IF(E3164="RA",4,(IF(E3164="RM",5,(IF(E3164="AC",1,(IF(E3164="AT",2,(IF(E3164="DS",3,(IF(E3164="IP",4,(IF(E3164="MA",5,(IF(E3164="PT",6,(IF(E3164="AE",1,(IF(E3164="CM",2,(IF(E3164="DP",3,(IF(E3164="AN",1,(IF(E3164="CO",2,(IF(E3164="IM",3,(IF(E3164="MI",4,(IF(E3164="RP",5,(IF(E3164="SC",6,0)))))))))))))))))))))))))))))))))))))))</f>
        <v>6</v>
      </c>
      <c r="G3164" s="52">
        <v>1</v>
      </c>
      <c r="H3164" s="90" t="s">
        <v>123</v>
      </c>
      <c r="I3164" s="94" t="s">
        <v>77</v>
      </c>
      <c r="J3164" s="87" t="s">
        <v>1736</v>
      </c>
      <c r="K3164" s="102" t="s">
        <v>2662</v>
      </c>
      <c r="L3164" s="117">
        <f>IF(O3164="","",N3164*O3164*M3164)</f>
        <v>0</v>
      </c>
      <c r="M3164" s="108">
        <v>1</v>
      </c>
      <c r="N3164" s="95">
        <v>1</v>
      </c>
      <c r="O3164" s="109">
        <f>IF(Key!D$1="ON",P3164,IF(SUM(Q3164:DL3164)&lt;1,"",SUM(Q3164:DL3164)/COUNTIF(Q3164:DL3164,"&gt;0")))</f>
        <v>0</v>
      </c>
      <c r="P3164" s="109">
        <f>SUMIFS(Q3164:DK3164,Q$1:DK$1,Dashboard!$K$31)</f>
        <v>0</v>
      </c>
      <c r="U3164" s="95">
        <v>33</v>
      </c>
      <c r="AA3164" s="95">
        <v>25</v>
      </c>
      <c r="AH3164" s="95">
        <v>75</v>
      </c>
    </row>
    <row r="3165" spans="1:34" x14ac:dyDescent="0.3">
      <c r="A3165" s="89" t="str">
        <f>CONCATENATE(D3165,".",F3165,"-",G3165,".",H3165,"")</f>
        <v>2.6-1.5</v>
      </c>
      <c r="B3165" s="89" t="str">
        <f>IF(CONCATENATE(I3165,Key!F$2)=CONCATENATE(INDEX(Dashboard!J:J,MATCH(I3165,Dashboard!J:J,0),1),INDEX(Dashboard!J:K,MATCH(I3165,Dashboard!J:J,0),2)),"ON",IF(Dashboard!K$32="ALL","ON","-"))</f>
        <v>-</v>
      </c>
      <c r="C3165" s="88" t="s">
        <v>152</v>
      </c>
      <c r="D3165" s="89">
        <f>IF(C3165="ID",1,(IF(C3165="PR",2,(IF(C3165="DE",3,(IF(C3165="RS",4,(IF(C3165="RC",5,0)))))))))</f>
        <v>2</v>
      </c>
      <c r="E3165" s="89" t="s">
        <v>271</v>
      </c>
      <c r="F3165" s="89">
        <f>IF(E3165="AM",1,(IF(E3165="BE",2,(IF(E3165="GV",3,(IF(E3165="RA",4,(IF(E3165="RM",5,(IF(E3165="AC",1,(IF(E3165="AT",2,(IF(E3165="DS",3,(IF(E3165="IP",4,(IF(E3165="MA",5,(IF(E3165="PT",6,(IF(E3165="AE",1,(IF(E3165="CM",2,(IF(E3165="DP",3,(IF(E3165="AN",1,(IF(E3165="CO",2,(IF(E3165="IM",3,(IF(E3165="MI",4,(IF(E3165="RP",5,(IF(E3165="SC",6,0)))))))))))))))))))))))))))))))))))))))</f>
        <v>6</v>
      </c>
      <c r="G3165" s="52">
        <v>1</v>
      </c>
      <c r="H3165" s="90" t="s">
        <v>123</v>
      </c>
      <c r="I3165" s="94" t="s">
        <v>92</v>
      </c>
      <c r="J3165" s="88">
        <v>10.5</v>
      </c>
      <c r="K3165" s="102" t="s">
        <v>5226</v>
      </c>
      <c r="L3165" s="117">
        <f>IF(O3165="","",N3165*O3165*M3165)</f>
        <v>0</v>
      </c>
      <c r="M3165" s="108">
        <v>1</v>
      </c>
      <c r="N3165" s="95">
        <v>1</v>
      </c>
      <c r="O3165" s="109">
        <f>IF(Key!D$1="ON",P3165,IF(SUM(Q3165:DL3165)&lt;1,"",SUM(Q3165:DL3165)/COUNTIF(Q3165:DL3165,"&gt;0")))</f>
        <v>0</v>
      </c>
      <c r="P3165" s="109">
        <f>SUMIFS(Q3165:DK3165,Q$1:DK$1,Dashboard!$K$31)</f>
        <v>0</v>
      </c>
      <c r="U3165" s="95">
        <v>33</v>
      </c>
      <c r="AA3165" s="95">
        <v>25</v>
      </c>
      <c r="AH3165" s="95">
        <v>75</v>
      </c>
    </row>
    <row r="3166" spans="1:34" x14ac:dyDescent="0.3">
      <c r="A3166" s="89" t="str">
        <f>CONCATENATE(D3166,".",F3166,"-",G3166,".",H3166,"")</f>
        <v>2.6-2.0</v>
      </c>
      <c r="B3166" s="89" t="str">
        <f>IF(CONCATENATE(I3166,Key!F$2)=CONCATENATE(INDEX(Dashboard!J:J,MATCH(I3166,Dashboard!J:J,0),1),INDEX(Dashboard!J:K,MATCH(I3166,Dashboard!J:J,0),2)),"ON",IF(Dashboard!K$32="ALL","ON","-"))</f>
        <v>-</v>
      </c>
      <c r="C3166" s="88" t="s">
        <v>152</v>
      </c>
      <c r="D3166" s="89">
        <f>IF(C3166="ID",1,(IF(C3166="PR",2,(IF(C3166="DE",3,(IF(C3166="RS",4,(IF(C3166="RC",5,0)))))))))</f>
        <v>2</v>
      </c>
      <c r="E3166" s="89" t="s">
        <v>271</v>
      </c>
      <c r="F3166" s="89">
        <f>IF(E3166="AM",1,(IF(E3166="BE",2,(IF(E3166="GV",3,(IF(E3166="RA",4,(IF(E3166="RM",5,(IF(E3166="AC",1,(IF(E3166="AT",2,(IF(E3166="DS",3,(IF(E3166="IP",4,(IF(E3166="MA",5,(IF(E3166="PT",6,(IF(E3166="AE",1,(IF(E3166="CM",2,(IF(E3166="DP",3,(IF(E3166="AN",1,(IF(E3166="CO",2,(IF(E3166="IM",3,(IF(E3166="MI",4,(IF(E3166="RP",5,(IF(E3166="SC",6,0)))))))))))))))))))))))))))))))))))))))</f>
        <v>6</v>
      </c>
      <c r="G3166" s="52">
        <v>2</v>
      </c>
      <c r="H3166" s="90" t="s">
        <v>347</v>
      </c>
      <c r="I3166" s="94" t="s">
        <v>2835</v>
      </c>
      <c r="J3166" s="53" t="s">
        <v>2998</v>
      </c>
      <c r="K3166" s="150" t="s">
        <v>2999</v>
      </c>
      <c r="L3166" s="117">
        <f>IF(O3166="","",N3166*O3166*M3166)</f>
        <v>0</v>
      </c>
      <c r="M3166" s="108">
        <v>1</v>
      </c>
      <c r="N3166" s="95">
        <v>1</v>
      </c>
      <c r="O3166" s="109">
        <f>IF(Key!D$1="ON",P3166,IF(SUM(Q3166:DL3166)&lt;1,"",SUM(Q3166:DL3166)/COUNTIF(Q3166:DL3166,"&gt;0")))</f>
        <v>0</v>
      </c>
      <c r="P3166" s="109">
        <f>SUMIFS(Q3166:DK3166,Q$1:DK$1,Dashboard!$K$31)</f>
        <v>0</v>
      </c>
      <c r="U3166" s="95">
        <v>33</v>
      </c>
    </row>
    <row r="3167" spans="1:34" x14ac:dyDescent="0.3">
      <c r="A3167" s="89" t="str">
        <f>CONCATENATE(D3167,".",F3167,"-",G3167,".",H3167,"")</f>
        <v>2.6-2.1</v>
      </c>
      <c r="B3167" s="89" t="str">
        <f>IF(CONCATENATE(I3167,Key!F$2)=CONCATENATE(INDEX(Dashboard!J:J,MATCH(I3167,Dashboard!J:J,0),1),INDEX(Dashboard!J:K,MATCH(I3167,Dashboard!J:J,0),2)),"ON",IF(Dashboard!K$32="ALL","ON","-"))</f>
        <v>ON</v>
      </c>
      <c r="C3167" s="130" t="s">
        <v>152</v>
      </c>
      <c r="D3167" s="89">
        <f>IF(C3167="ID",1,(IF(C3167="PR",2,(IF(C3167="DE",3,(IF(C3167="RS",4,(IF(C3167="RC",5,0)))))))))</f>
        <v>2</v>
      </c>
      <c r="E3167" s="95" t="s">
        <v>271</v>
      </c>
      <c r="F3167" s="89">
        <f>IF(E3167="AM",1,(IF(E3167="BE",2,(IF(E3167="GV",3,(IF(E3167="RA",4,(IF(E3167="RM",5,(IF(E3167="AC",1,(IF(E3167="AT",2,(IF(E3167="DS",3,(IF(E3167="IP",4,(IF(E3167="MA",5,(IF(E3167="PT",6,(IF(E3167="AE",1,(IF(E3167="CM",2,(IF(E3167="DP",3,(IF(E3167="AN",1,(IF(E3167="CO",2,(IF(E3167="IM",3,(IF(E3167="MI",4,(IF(E3167="RP",5,(IF(E3167="SC",6,0)))))))))))))))))))))))))))))))))))))))</f>
        <v>6</v>
      </c>
      <c r="G3167" s="52">
        <v>2</v>
      </c>
      <c r="H3167" s="90" t="s">
        <v>115</v>
      </c>
      <c r="I3167" s="94" t="s">
        <v>4107</v>
      </c>
      <c r="J3167" s="86" t="s">
        <v>3941</v>
      </c>
      <c r="K3167" s="101" t="s">
        <v>4355</v>
      </c>
      <c r="L3167" s="117">
        <f>IF(O3167="","",N3167*O3167*M3167)</f>
        <v>0</v>
      </c>
      <c r="M3167" s="108">
        <v>1</v>
      </c>
      <c r="N3167" s="95">
        <v>1</v>
      </c>
      <c r="O3167" s="109">
        <f>IF(Key!D$1="ON",P3167,IF(SUM(Q3167:DL3167)&lt;1,"",SUM(Q3167:DL3167)/COUNTIF(Q3167:DL3167,"&gt;0")))</f>
        <v>0</v>
      </c>
      <c r="P3167" s="109">
        <f>SUMIFS(Q3167:DK3167,Q$1:DK$1,Dashboard!$K$31)</f>
        <v>0</v>
      </c>
      <c r="U3167" s="95">
        <v>33</v>
      </c>
      <c r="AA3167" s="95">
        <v>25</v>
      </c>
      <c r="AH3167" s="95">
        <v>75</v>
      </c>
    </row>
    <row r="3168" spans="1:34" ht="15.6" x14ac:dyDescent="0.3">
      <c r="A3168" s="89" t="str">
        <f>CONCATENATE(D3168,".",F3168,"-",G3168,".",H3168,"")</f>
        <v>2.6-2.1</v>
      </c>
      <c r="B3168" s="89" t="str">
        <f>IF(CONCATENATE(I3168,Key!F$2)=CONCATENATE(INDEX(Dashboard!J:J,MATCH(I3168,Dashboard!J:J,0),1),INDEX(Dashboard!J:K,MATCH(I3168,Dashboard!J:J,0),2)),"ON",IF(Dashboard!K$32="ALL","ON","-"))</f>
        <v>ON</v>
      </c>
      <c r="C3168" s="88" t="s">
        <v>152</v>
      </c>
      <c r="D3168" s="89">
        <f>IF(C3168="ID",1,(IF(C3168="PR",2,(IF(C3168="DE",3,(IF(C3168="RS",4,(IF(C3168="RC",5,0)))))))))</f>
        <v>2</v>
      </c>
      <c r="E3168" s="89" t="s">
        <v>271</v>
      </c>
      <c r="F3168" s="89">
        <f>IF(E3168="AM",1,(IF(E3168="BE",2,(IF(E3168="GV",3,(IF(E3168="RA",4,(IF(E3168="RM",5,(IF(E3168="AC",1,(IF(E3168="AT",2,(IF(E3168="DS",3,(IF(E3168="IP",4,(IF(E3168="MA",5,(IF(E3168="PT",6,(IF(E3168="AE",1,(IF(E3168="CM",2,(IF(E3168="DP",3,(IF(E3168="AN",1,(IF(E3168="CO",2,(IF(E3168="IM",3,(IF(E3168="MI",4,(IF(E3168="RP",5,(IF(E3168="SC",6,0)))))))))))))))))))))))))))))))))))))))</f>
        <v>6</v>
      </c>
      <c r="G3168" s="52">
        <v>2</v>
      </c>
      <c r="H3168" s="90" t="s">
        <v>115</v>
      </c>
      <c r="I3168" s="94" t="s">
        <v>4107</v>
      </c>
      <c r="J3168" s="86" t="s">
        <v>4023</v>
      </c>
      <c r="K3168" s="101" t="s">
        <v>4386</v>
      </c>
      <c r="L3168" s="117">
        <f>IF(O3168="","",N3168*O3168*M3168)</f>
        <v>0</v>
      </c>
      <c r="M3168" s="108">
        <v>1</v>
      </c>
      <c r="N3168" s="95">
        <v>1</v>
      </c>
      <c r="O3168" s="109">
        <f>IF(Key!D$1="ON",P3168,IF(SUM(Q3168:DL3168)&lt;1,"",SUM(Q3168:DL3168)/COUNTIF(Q3168:DL3168,"&gt;0")))</f>
        <v>0</v>
      </c>
      <c r="P3168" s="109">
        <f>SUMIFS(Q3168:DK3168,Q$1:DK$1,Dashboard!$K$31)</f>
        <v>0</v>
      </c>
      <c r="U3168" s="95">
        <v>33</v>
      </c>
      <c r="AA3168" s="95">
        <v>25</v>
      </c>
      <c r="AH3168" s="95">
        <v>75</v>
      </c>
    </row>
    <row r="3169" spans="1:34" x14ac:dyDescent="0.3">
      <c r="A3169" s="89" t="str">
        <f>CONCATENATE(D3169,".",F3169,"-",G3169,".",H3169,"")</f>
        <v>2.6-2.1</v>
      </c>
      <c r="B3169" s="89" t="str">
        <f>IF(CONCATENATE(I3169,Key!F$2)=CONCATENATE(INDEX(Dashboard!J:J,MATCH(I3169,Dashboard!J:J,0),1),INDEX(Dashboard!J:K,MATCH(I3169,Dashboard!J:J,0),2)),"ON",IF(Dashboard!K$32="ALL","ON","-"))</f>
        <v>ON</v>
      </c>
      <c r="C3169" s="130" t="s">
        <v>152</v>
      </c>
      <c r="D3169" s="89">
        <f>IF(C3169="ID",1,(IF(C3169="PR",2,(IF(C3169="DE",3,(IF(C3169="RS",4,(IF(C3169="RC",5,0)))))))))</f>
        <v>2</v>
      </c>
      <c r="E3169" s="95" t="s">
        <v>271</v>
      </c>
      <c r="F3169" s="89">
        <f>IF(E3169="AM",1,(IF(E3169="BE",2,(IF(E3169="GV",3,(IF(E3169="RA",4,(IF(E3169="RM",5,(IF(E3169="AC",1,(IF(E3169="AT",2,(IF(E3169="DS",3,(IF(E3169="IP",4,(IF(E3169="MA",5,(IF(E3169="PT",6,(IF(E3169="AE",1,(IF(E3169="CM",2,(IF(E3169="DP",3,(IF(E3169="AN",1,(IF(E3169="CO",2,(IF(E3169="IM",3,(IF(E3169="MI",4,(IF(E3169="RP",5,(IF(E3169="SC",6,0)))))))))))))))))))))))))))))))))))))))</f>
        <v>6</v>
      </c>
      <c r="G3169" s="52">
        <v>2</v>
      </c>
      <c r="H3169" s="90" t="s">
        <v>115</v>
      </c>
      <c r="I3169" s="94" t="s">
        <v>4107</v>
      </c>
      <c r="J3169" s="86" t="s">
        <v>4025</v>
      </c>
      <c r="K3169" s="101" t="s">
        <v>4456</v>
      </c>
      <c r="L3169" s="117">
        <f>IF(O3169="","",N3169*O3169*M3169)</f>
        <v>0</v>
      </c>
      <c r="M3169" s="108">
        <v>1</v>
      </c>
      <c r="N3169" s="95">
        <v>1</v>
      </c>
      <c r="O3169" s="109">
        <f>IF(Key!D$1="ON",P3169,IF(SUM(Q3169:DL3169)&lt;1,"",SUM(Q3169:DL3169)/COUNTIF(Q3169:DL3169,"&gt;0")))</f>
        <v>0</v>
      </c>
      <c r="P3169" s="109">
        <f>SUMIFS(Q3169:DK3169,Q$1:DK$1,Dashboard!$K$31)</f>
        <v>0</v>
      </c>
      <c r="U3169" s="95">
        <v>33</v>
      </c>
      <c r="AA3169" s="95">
        <v>25</v>
      </c>
      <c r="AH3169" s="95">
        <v>75</v>
      </c>
    </row>
    <row r="3170" spans="1:34" x14ac:dyDescent="0.3">
      <c r="A3170" s="89" t="str">
        <f>CONCATENATE(D3170,".",F3170,"-",G3170,".",H3170,"")</f>
        <v>2.6-2.1</v>
      </c>
      <c r="B3170" s="89" t="str">
        <f>IF(CONCATENATE(I3170,Key!F$2)=CONCATENATE(INDEX(Dashboard!J:J,MATCH(I3170,Dashboard!J:J,0),1),INDEX(Dashboard!J:K,MATCH(I3170,Dashboard!J:J,0),2)),"ON",IF(Dashboard!K$32="ALL","ON","-"))</f>
        <v>ON</v>
      </c>
      <c r="C3170" s="130" t="s">
        <v>152</v>
      </c>
      <c r="D3170" s="89">
        <f>IF(C3170="ID",1,(IF(C3170="PR",2,(IF(C3170="DE",3,(IF(C3170="RS",4,(IF(C3170="RC",5,0)))))))))</f>
        <v>2</v>
      </c>
      <c r="E3170" s="95" t="s">
        <v>271</v>
      </c>
      <c r="F3170" s="89">
        <f>IF(E3170="AM",1,(IF(E3170="BE",2,(IF(E3170="GV",3,(IF(E3170="RA",4,(IF(E3170="RM",5,(IF(E3170="AC",1,(IF(E3170="AT",2,(IF(E3170="DS",3,(IF(E3170="IP",4,(IF(E3170="MA",5,(IF(E3170="PT",6,(IF(E3170="AE",1,(IF(E3170="CM",2,(IF(E3170="DP",3,(IF(E3170="AN",1,(IF(E3170="CO",2,(IF(E3170="IM",3,(IF(E3170="MI",4,(IF(E3170="RP",5,(IF(E3170="SC",6,0)))))))))))))))))))))))))))))))))))))))</f>
        <v>6</v>
      </c>
      <c r="G3170" s="52">
        <v>2</v>
      </c>
      <c r="H3170" s="90" t="s">
        <v>115</v>
      </c>
      <c r="I3170" s="94" t="s">
        <v>4107</v>
      </c>
      <c r="J3170" s="86" t="s">
        <v>4026</v>
      </c>
      <c r="K3170" s="101" t="s">
        <v>4388</v>
      </c>
      <c r="L3170" s="117">
        <f>IF(O3170="","",N3170*O3170*M3170)</f>
        <v>0</v>
      </c>
      <c r="M3170" s="108">
        <v>1</v>
      </c>
      <c r="N3170" s="95">
        <v>1</v>
      </c>
      <c r="O3170" s="109">
        <f>IF(Key!D$1="ON",P3170,IF(SUM(Q3170:DL3170)&lt;1,"",SUM(Q3170:DL3170)/COUNTIF(Q3170:DL3170,"&gt;0")))</f>
        <v>0</v>
      </c>
      <c r="P3170" s="109">
        <f>SUMIFS(Q3170:DK3170,Q$1:DK$1,Dashboard!$K$31)</f>
        <v>0</v>
      </c>
      <c r="U3170" s="95">
        <v>33</v>
      </c>
      <c r="AA3170" s="95">
        <v>25</v>
      </c>
      <c r="AH3170" s="95">
        <v>75</v>
      </c>
    </row>
    <row r="3171" spans="1:34" x14ac:dyDescent="0.3">
      <c r="A3171" s="89" t="str">
        <f>CONCATENATE(D3171,".",F3171,"-",G3171,".",H3171,"")</f>
        <v>2.6-2.1</v>
      </c>
      <c r="B3171" s="89" t="str">
        <f>IF(CONCATENATE(I3171,Key!F$2)=CONCATENATE(INDEX(Dashboard!J:J,MATCH(I3171,Dashboard!J:J,0),1),INDEX(Dashboard!J:K,MATCH(I3171,Dashboard!J:J,0),2)),"ON",IF(Dashboard!K$32="ALL","ON","-"))</f>
        <v>ON</v>
      </c>
      <c r="C3171" s="130" t="s">
        <v>152</v>
      </c>
      <c r="D3171" s="89">
        <f>IF(C3171="ID",1,(IF(C3171="PR",2,(IF(C3171="DE",3,(IF(C3171="RS",4,(IF(C3171="RC",5,0)))))))))</f>
        <v>2</v>
      </c>
      <c r="E3171" s="95" t="s">
        <v>271</v>
      </c>
      <c r="F3171" s="89">
        <f>IF(E3171="AM",1,(IF(E3171="BE",2,(IF(E3171="GV",3,(IF(E3171="RA",4,(IF(E3171="RM",5,(IF(E3171="AC",1,(IF(E3171="AT",2,(IF(E3171="DS",3,(IF(E3171="IP",4,(IF(E3171="MA",5,(IF(E3171="PT",6,(IF(E3171="AE",1,(IF(E3171="CM",2,(IF(E3171="DP",3,(IF(E3171="AN",1,(IF(E3171="CO",2,(IF(E3171="IM",3,(IF(E3171="MI",4,(IF(E3171="RP",5,(IF(E3171="SC",6,0)))))))))))))))))))))))))))))))))))))))</f>
        <v>6</v>
      </c>
      <c r="G3171" s="52">
        <v>2</v>
      </c>
      <c r="H3171" s="90" t="s">
        <v>115</v>
      </c>
      <c r="I3171" s="94" t="s">
        <v>4107</v>
      </c>
      <c r="J3171" s="86" t="s">
        <v>4027</v>
      </c>
      <c r="K3171" s="101" t="s">
        <v>4389</v>
      </c>
      <c r="L3171" s="117">
        <f>IF(O3171="","",N3171*O3171*M3171)</f>
        <v>0</v>
      </c>
      <c r="M3171" s="108">
        <v>1</v>
      </c>
      <c r="N3171" s="95">
        <v>1</v>
      </c>
      <c r="O3171" s="109">
        <f>IF(Key!D$1="ON",P3171,IF(SUM(Q3171:DL3171)&lt;1,"",SUM(Q3171:DL3171)/COUNTIF(Q3171:DL3171,"&gt;0")))</f>
        <v>0</v>
      </c>
      <c r="P3171" s="109">
        <f>SUMIFS(Q3171:DK3171,Q$1:DK$1,Dashboard!$K$31)</f>
        <v>0</v>
      </c>
      <c r="U3171" s="95">
        <v>33</v>
      </c>
      <c r="AA3171" s="95">
        <v>25</v>
      </c>
      <c r="AH3171" s="95">
        <v>75</v>
      </c>
    </row>
    <row r="3172" spans="1:34" x14ac:dyDescent="0.3">
      <c r="A3172" s="89" t="str">
        <f>CONCATENATE(D3172,".",F3172,"-",G3172,".",H3172,"")</f>
        <v>2.6-2.1</v>
      </c>
      <c r="B3172" s="89" t="str">
        <f>IF(CONCATENATE(I3172,Key!F$2)=CONCATENATE(INDEX(Dashboard!J:J,MATCH(I3172,Dashboard!J:J,0),1),INDEX(Dashboard!J:K,MATCH(I3172,Dashboard!J:J,0),2)),"ON",IF(Dashboard!K$32="ALL","ON","-"))</f>
        <v>ON</v>
      </c>
      <c r="C3172" s="130" t="s">
        <v>152</v>
      </c>
      <c r="D3172" s="89">
        <f>IF(C3172="ID",1,(IF(C3172="PR",2,(IF(C3172="DE",3,(IF(C3172="RS",4,(IF(C3172="RC",5,0)))))))))</f>
        <v>2</v>
      </c>
      <c r="E3172" s="95" t="s">
        <v>271</v>
      </c>
      <c r="F3172" s="89">
        <f>IF(E3172="AM",1,(IF(E3172="BE",2,(IF(E3172="GV",3,(IF(E3172="RA",4,(IF(E3172="RM",5,(IF(E3172="AC",1,(IF(E3172="AT",2,(IF(E3172="DS",3,(IF(E3172="IP",4,(IF(E3172="MA",5,(IF(E3172="PT",6,(IF(E3172="AE",1,(IF(E3172="CM",2,(IF(E3172="DP",3,(IF(E3172="AN",1,(IF(E3172="CO",2,(IF(E3172="IM",3,(IF(E3172="MI",4,(IF(E3172="RP",5,(IF(E3172="SC",6,0)))))))))))))))))))))))))))))))))))))))</f>
        <v>6</v>
      </c>
      <c r="G3172" s="52">
        <v>2</v>
      </c>
      <c r="H3172" s="90" t="s">
        <v>115</v>
      </c>
      <c r="I3172" s="94" t="s">
        <v>4107</v>
      </c>
      <c r="J3172" s="86" t="s">
        <v>4028</v>
      </c>
      <c r="K3172" s="101" t="s">
        <v>4189</v>
      </c>
      <c r="L3172" s="117">
        <f>IF(O3172="","",N3172*O3172*M3172)</f>
        <v>0</v>
      </c>
      <c r="M3172" s="108">
        <v>1</v>
      </c>
      <c r="N3172" s="95">
        <v>1</v>
      </c>
      <c r="O3172" s="109">
        <f>IF(Key!D$1="ON",P3172,IF(SUM(Q3172:DL3172)&lt;1,"",SUM(Q3172:DL3172)/COUNTIF(Q3172:DL3172,"&gt;0")))</f>
        <v>0</v>
      </c>
      <c r="P3172" s="109">
        <f>SUMIFS(Q3172:DK3172,Q$1:DK$1,Dashboard!$K$31)</f>
        <v>0</v>
      </c>
      <c r="U3172" s="95">
        <v>33</v>
      </c>
      <c r="AA3172" s="95">
        <v>25</v>
      </c>
      <c r="AH3172" s="95">
        <v>75</v>
      </c>
    </row>
    <row r="3173" spans="1:34" x14ac:dyDescent="0.3">
      <c r="A3173" s="89" t="str">
        <f>CONCATENATE(D3173,".",F3173,"-",G3173,".",H3173,"")</f>
        <v>2.6-2.1</v>
      </c>
      <c r="B3173" s="89" t="str">
        <f>IF(CONCATENATE(I3173,Key!F$2)=CONCATENATE(INDEX(Dashboard!J:J,MATCH(I3173,Dashboard!J:J,0),1),INDEX(Dashboard!J:K,MATCH(I3173,Dashboard!J:J,0),2)),"ON",IF(Dashboard!K$32="ALL","ON","-"))</f>
        <v>ON</v>
      </c>
      <c r="C3173" s="130" t="s">
        <v>152</v>
      </c>
      <c r="D3173" s="89">
        <f>IF(C3173="ID",1,(IF(C3173="PR",2,(IF(C3173="DE",3,(IF(C3173="RS",4,(IF(C3173="RC",5,0)))))))))</f>
        <v>2</v>
      </c>
      <c r="E3173" s="95" t="s">
        <v>271</v>
      </c>
      <c r="F3173" s="89">
        <f>IF(E3173="AM",1,(IF(E3173="BE",2,(IF(E3173="GV",3,(IF(E3173="RA",4,(IF(E3173="RM",5,(IF(E3173="AC",1,(IF(E3173="AT",2,(IF(E3173="DS",3,(IF(E3173="IP",4,(IF(E3173="MA",5,(IF(E3173="PT",6,(IF(E3173="AE",1,(IF(E3173="CM",2,(IF(E3173="DP",3,(IF(E3173="AN",1,(IF(E3173="CO",2,(IF(E3173="IM",3,(IF(E3173="MI",4,(IF(E3173="RP",5,(IF(E3173="SC",6,0)))))))))))))))))))))))))))))))))))))))</f>
        <v>6</v>
      </c>
      <c r="G3173" s="52">
        <v>2</v>
      </c>
      <c r="H3173" s="90" t="s">
        <v>115</v>
      </c>
      <c r="I3173" s="94" t="s">
        <v>4107</v>
      </c>
      <c r="J3173" s="86" t="s">
        <v>4029</v>
      </c>
      <c r="K3173" s="101" t="s">
        <v>4196</v>
      </c>
      <c r="L3173" s="117">
        <f>IF(O3173="","",N3173*O3173*M3173)</f>
        <v>0</v>
      </c>
      <c r="M3173" s="108">
        <v>1</v>
      </c>
      <c r="N3173" s="95">
        <v>1</v>
      </c>
      <c r="O3173" s="109">
        <f>IF(Key!D$1="ON",P3173,IF(SUM(Q3173:DL3173)&lt;1,"",SUM(Q3173:DL3173)/COUNTIF(Q3173:DL3173,"&gt;0")))</f>
        <v>0</v>
      </c>
      <c r="P3173" s="109">
        <f>SUMIFS(Q3173:DK3173,Q$1:DK$1,Dashboard!$K$31)</f>
        <v>0</v>
      </c>
      <c r="U3173" s="95">
        <v>33</v>
      </c>
      <c r="AA3173" s="95">
        <v>25</v>
      </c>
      <c r="AH3173" s="95">
        <v>75</v>
      </c>
    </row>
    <row r="3174" spans="1:34" x14ac:dyDescent="0.3">
      <c r="A3174" s="89" t="str">
        <f>CONCATENATE(D3174,".",F3174,"-",G3174,".",H3174,"")</f>
        <v>2.6-2.1</v>
      </c>
      <c r="B3174" s="89" t="str">
        <f>IF(CONCATENATE(I3174,Key!F$2)=CONCATENATE(INDEX(Dashboard!J:J,MATCH(I3174,Dashboard!J:J,0),1),INDEX(Dashboard!J:K,MATCH(I3174,Dashboard!J:J,0),2)),"ON",IF(Dashboard!K$32="ALL","ON","-"))</f>
        <v>ON</v>
      </c>
      <c r="C3174" s="130" t="s">
        <v>152</v>
      </c>
      <c r="D3174" s="89">
        <f>IF(C3174="ID",1,(IF(C3174="PR",2,(IF(C3174="DE",3,(IF(C3174="RS",4,(IF(C3174="RC",5,0)))))))))</f>
        <v>2</v>
      </c>
      <c r="E3174" s="95" t="s">
        <v>271</v>
      </c>
      <c r="F3174" s="89">
        <f>IF(E3174="AM",1,(IF(E3174="BE",2,(IF(E3174="GV",3,(IF(E3174="RA",4,(IF(E3174="RM",5,(IF(E3174="AC",1,(IF(E3174="AT",2,(IF(E3174="DS",3,(IF(E3174="IP",4,(IF(E3174="MA",5,(IF(E3174="PT",6,(IF(E3174="AE",1,(IF(E3174="CM",2,(IF(E3174="DP",3,(IF(E3174="AN",1,(IF(E3174="CO",2,(IF(E3174="IM",3,(IF(E3174="MI",4,(IF(E3174="RP",5,(IF(E3174="SC",6,0)))))))))))))))))))))))))))))))))))))))</f>
        <v>6</v>
      </c>
      <c r="G3174" s="52">
        <v>2</v>
      </c>
      <c r="H3174" s="90" t="s">
        <v>115</v>
      </c>
      <c r="I3174" s="94" t="s">
        <v>4107</v>
      </c>
      <c r="J3174" s="86" t="s">
        <v>4030</v>
      </c>
      <c r="K3174" s="101" t="s">
        <v>4191</v>
      </c>
      <c r="L3174" s="117">
        <f>IF(O3174="","",N3174*O3174*M3174)</f>
        <v>0</v>
      </c>
      <c r="M3174" s="108">
        <v>1</v>
      </c>
      <c r="N3174" s="95">
        <v>1</v>
      </c>
      <c r="O3174" s="109">
        <f>IF(Key!D$1="ON",P3174,IF(SUM(Q3174:DL3174)&lt;1,"",SUM(Q3174:DL3174)/COUNTIF(Q3174:DL3174,"&gt;0")))</f>
        <v>0</v>
      </c>
      <c r="P3174" s="109">
        <f>SUMIFS(Q3174:DK3174,Q$1:DK$1,Dashboard!$K$31)</f>
        <v>0</v>
      </c>
      <c r="U3174" s="95">
        <v>33</v>
      </c>
      <c r="AA3174" s="95">
        <v>25</v>
      </c>
      <c r="AH3174" s="95">
        <v>75</v>
      </c>
    </row>
    <row r="3175" spans="1:34" x14ac:dyDescent="0.3">
      <c r="A3175" s="89" t="str">
        <f>CONCATENATE(D3175,".",F3175,"-",G3175,".",H3175,"")</f>
        <v>2.6-2.1</v>
      </c>
      <c r="B3175" s="89" t="str">
        <f>IF(CONCATENATE(I3175,Key!F$2)=CONCATENATE(INDEX(Dashboard!J:J,MATCH(I3175,Dashboard!J:J,0),1),INDEX(Dashboard!J:K,MATCH(I3175,Dashboard!J:J,0),2)),"ON",IF(Dashboard!K$32="ALL","ON","-"))</f>
        <v>ON</v>
      </c>
      <c r="C3175" s="88" t="s">
        <v>152</v>
      </c>
      <c r="D3175" s="89">
        <f>IF(C3175="ID",1,(IF(C3175="PR",2,(IF(C3175="DE",3,(IF(C3175="RS",4,(IF(C3175="RC",5,0)))))))))</f>
        <v>2</v>
      </c>
      <c r="E3175" s="89" t="s">
        <v>271</v>
      </c>
      <c r="F3175" s="89">
        <f>IF(E3175="AM",1,(IF(E3175="BE",2,(IF(E3175="GV",3,(IF(E3175="RA",4,(IF(E3175="RM",5,(IF(E3175="AC",1,(IF(E3175="AT",2,(IF(E3175="DS",3,(IF(E3175="IP",4,(IF(E3175="MA",5,(IF(E3175="PT",6,(IF(E3175="AE",1,(IF(E3175="CM",2,(IF(E3175="DP",3,(IF(E3175="AN",1,(IF(E3175="CO",2,(IF(E3175="IM",3,(IF(E3175="MI",4,(IF(E3175="RP",5,(IF(E3175="SC",6,0)))))))))))))))))))))))))))))))))))))))</f>
        <v>6</v>
      </c>
      <c r="G3175" s="52">
        <v>2</v>
      </c>
      <c r="H3175" s="90" t="s">
        <v>115</v>
      </c>
      <c r="I3175" s="94" t="s">
        <v>4107</v>
      </c>
      <c r="J3175" s="86" t="s">
        <v>4031</v>
      </c>
      <c r="K3175" s="101" t="s">
        <v>4193</v>
      </c>
      <c r="L3175" s="117">
        <f>IF(O3175="","",N3175*O3175*M3175)</f>
        <v>0</v>
      </c>
      <c r="M3175" s="108">
        <v>1</v>
      </c>
      <c r="N3175" s="95">
        <v>1</v>
      </c>
      <c r="O3175" s="109">
        <f>IF(Key!D$1="ON",P3175,IF(SUM(Q3175:DL3175)&lt;1,"",SUM(Q3175:DL3175)/COUNTIF(Q3175:DL3175,"&gt;0")))</f>
        <v>0</v>
      </c>
      <c r="P3175" s="109">
        <f>SUMIFS(Q3175:DK3175,Q$1:DK$1,Dashboard!$K$31)</f>
        <v>0</v>
      </c>
      <c r="U3175" s="95">
        <v>33</v>
      </c>
      <c r="AA3175" s="95">
        <v>25</v>
      </c>
      <c r="AH3175" s="95">
        <v>75</v>
      </c>
    </row>
    <row r="3176" spans="1:34" x14ac:dyDescent="0.3">
      <c r="A3176" s="89" t="str">
        <f>CONCATENATE(D3176,".",F3176,"-",G3176,".",H3176,"")</f>
        <v>2.6-2.1</v>
      </c>
      <c r="B3176" s="89" t="str">
        <f>IF(CONCATENATE(I3176,Key!F$2)=CONCATENATE(INDEX(Dashboard!J:J,MATCH(I3176,Dashboard!J:J,0),1),INDEX(Dashboard!J:K,MATCH(I3176,Dashboard!J:J,0),2)),"ON",IF(Dashboard!K$32="ALL","ON","-"))</f>
        <v>-</v>
      </c>
      <c r="C3176" s="88" t="s">
        <v>152</v>
      </c>
      <c r="D3176" s="89">
        <f>IF(C3176="ID",1,(IF(C3176="PR",2,(IF(C3176="DE",3,(IF(C3176="RS",4,(IF(C3176="RC",5,0)))))))))</f>
        <v>2</v>
      </c>
      <c r="E3176" s="89" t="s">
        <v>271</v>
      </c>
      <c r="F3176" s="89">
        <f>IF(E3176="AM",1,(IF(E3176="BE",2,(IF(E3176="GV",3,(IF(E3176="RA",4,(IF(E3176="RM",5,(IF(E3176="AC",1,(IF(E3176="AT",2,(IF(E3176="DS",3,(IF(E3176="IP",4,(IF(E3176="MA",5,(IF(E3176="PT",6,(IF(E3176="AE",1,(IF(E3176="CM",2,(IF(E3176="DP",3,(IF(E3176="AN",1,(IF(E3176="CO",2,(IF(E3176="IM",3,(IF(E3176="MI",4,(IF(E3176="RP",5,(IF(E3176="SC",6,0)))))))))))))))))))))))))))))))))))))))</f>
        <v>6</v>
      </c>
      <c r="G3176" s="52">
        <v>2</v>
      </c>
      <c r="H3176" s="99">
        <v>1</v>
      </c>
      <c r="I3176" s="94" t="s">
        <v>37</v>
      </c>
      <c r="J3176" s="86">
        <v>8.3000000000000007</v>
      </c>
      <c r="K3176" s="102" t="s">
        <v>3789</v>
      </c>
      <c r="L3176" s="117">
        <f>IF(O3176="","",N3176*O3176*M3176)</f>
        <v>0</v>
      </c>
      <c r="M3176" s="108">
        <v>1</v>
      </c>
      <c r="N3176" s="95">
        <v>1</v>
      </c>
      <c r="O3176" s="109">
        <f>IF(Key!D$1="ON",P3176,IF(SUM(Q3176:DL3176)&lt;1,"",SUM(Q3176:DL3176)/COUNTIF(Q3176:DL3176,"&gt;0")))</f>
        <v>0</v>
      </c>
      <c r="P3176" s="109">
        <f>SUMIFS(Q3176:DK3176,Q$1:DK$1,Dashboard!$K$31)</f>
        <v>0</v>
      </c>
      <c r="U3176" s="95">
        <v>33</v>
      </c>
      <c r="AA3176" s="95">
        <v>25</v>
      </c>
      <c r="AH3176" s="95">
        <v>75</v>
      </c>
    </row>
    <row r="3177" spans="1:34" ht="15.6" x14ac:dyDescent="0.3">
      <c r="A3177" s="89" t="str">
        <f>CONCATENATE(D3177,".",F3177,"-",G3177,".",H3177,"")</f>
        <v>2.6-2.1</v>
      </c>
      <c r="B3177" s="89" t="str">
        <f>IF(CONCATENATE(I3177,Key!F$2)=CONCATENATE(INDEX(Dashboard!J:J,MATCH(I3177,Dashboard!J:J,0),1),INDEX(Dashboard!J:K,MATCH(I3177,Dashboard!J:J,0),2)),"ON",IF(Dashboard!K$32="ALL","ON","-"))</f>
        <v>-</v>
      </c>
      <c r="C3177" s="88" t="s">
        <v>152</v>
      </c>
      <c r="D3177" s="89">
        <f>IF(C3177="ID",1,(IF(C3177="PR",2,(IF(C3177="DE",3,(IF(C3177="RS",4,(IF(C3177="RC",5,0)))))))))</f>
        <v>2</v>
      </c>
      <c r="E3177" s="89" t="s">
        <v>271</v>
      </c>
      <c r="F3177" s="89">
        <f>IF(E3177="AM",1,(IF(E3177="BE",2,(IF(E3177="GV",3,(IF(E3177="RA",4,(IF(E3177="RM",5,(IF(E3177="AC",1,(IF(E3177="AT",2,(IF(E3177="DS",3,(IF(E3177="IP",4,(IF(E3177="MA",5,(IF(E3177="PT",6,(IF(E3177="AE",1,(IF(E3177="CM",2,(IF(E3177="DP",3,(IF(E3177="AN",1,(IF(E3177="CO",2,(IF(E3177="IM",3,(IF(E3177="MI",4,(IF(E3177="RP",5,(IF(E3177="SC",6,0)))))))))))))))))))))))))))))))))))))))</f>
        <v>6</v>
      </c>
      <c r="G3177" s="52">
        <v>2</v>
      </c>
      <c r="H3177" s="99">
        <v>1</v>
      </c>
      <c r="I3177" s="94" t="s">
        <v>37</v>
      </c>
      <c r="J3177" s="86">
        <v>13.5</v>
      </c>
      <c r="K3177" s="102" t="s">
        <v>3790</v>
      </c>
      <c r="L3177" s="117">
        <f>IF(O3177="","",N3177*O3177*M3177)</f>
        <v>0</v>
      </c>
      <c r="M3177" s="108">
        <v>1</v>
      </c>
      <c r="N3177" s="95">
        <v>1</v>
      </c>
      <c r="O3177" s="109">
        <f>IF(Key!D$1="ON",P3177,IF(SUM(Q3177:DL3177)&lt;1,"",SUM(Q3177:DL3177)/COUNTIF(Q3177:DL3177,"&gt;0")))</f>
        <v>0</v>
      </c>
      <c r="P3177" s="109">
        <f>SUMIFS(Q3177:DK3177,Q$1:DK$1,Dashboard!$K$31)</f>
        <v>0</v>
      </c>
      <c r="U3177" s="95">
        <v>33</v>
      </c>
      <c r="AA3177" s="95">
        <v>25</v>
      </c>
      <c r="AH3177" s="95">
        <v>75</v>
      </c>
    </row>
    <row r="3178" spans="1:34" ht="15.6" x14ac:dyDescent="0.3">
      <c r="A3178" s="89" t="str">
        <f>CONCATENATE(D3178,".",F3178,"-",G3178,".",H3178,"")</f>
        <v>2.6-2.1</v>
      </c>
      <c r="B3178" s="89" t="str">
        <f>IF(CONCATENATE(I3178,Key!F$2)=CONCATENATE(INDEX(Dashboard!J:J,MATCH(I3178,Dashboard!J:J,0),1),INDEX(Dashboard!J:K,MATCH(I3178,Dashboard!J:J,0),2)),"ON",IF(Dashboard!K$32="ALL","ON","-"))</f>
        <v>-</v>
      </c>
      <c r="C3178" s="88" t="s">
        <v>152</v>
      </c>
      <c r="D3178" s="89">
        <f>IF(C3178="ID",1,(IF(C3178="PR",2,(IF(C3178="DE",3,(IF(C3178="RS",4,(IF(C3178="RC",5,0)))))))))</f>
        <v>2</v>
      </c>
      <c r="E3178" s="89" t="s">
        <v>271</v>
      </c>
      <c r="F3178" s="89">
        <f>IF(E3178="AM",1,(IF(E3178="BE",2,(IF(E3178="GV",3,(IF(E3178="RA",4,(IF(E3178="RM",5,(IF(E3178="AC",1,(IF(E3178="AT",2,(IF(E3178="DS",3,(IF(E3178="IP",4,(IF(E3178="MA",5,(IF(E3178="PT",6,(IF(E3178="AE",1,(IF(E3178="CM",2,(IF(E3178="DP",3,(IF(E3178="AN",1,(IF(E3178="CO",2,(IF(E3178="IM",3,(IF(E3178="MI",4,(IF(E3178="RP",5,(IF(E3178="SC",6,0)))))))))))))))))))))))))))))))))))))))</f>
        <v>6</v>
      </c>
      <c r="G3178" s="52">
        <v>2</v>
      </c>
      <c r="H3178" s="99">
        <v>1</v>
      </c>
      <c r="I3178" s="94" t="s">
        <v>41</v>
      </c>
      <c r="J3178" s="86">
        <v>8.5</v>
      </c>
      <c r="K3178" s="103" t="s">
        <v>3516</v>
      </c>
      <c r="L3178" s="117">
        <f>IF(O3178="","",N3178*O3178*M3178)</f>
        <v>0</v>
      </c>
      <c r="M3178" s="108">
        <v>1</v>
      </c>
      <c r="N3178" s="95">
        <v>1</v>
      </c>
      <c r="O3178" s="109">
        <f>IF(Key!D$1="ON",P3178,IF(SUM(Q3178:DL3178)&lt;1,"",SUM(Q3178:DL3178)/COUNTIF(Q3178:DL3178,"&gt;0")))</f>
        <v>0</v>
      </c>
      <c r="P3178" s="109">
        <f>SUMIFS(Q3178:DK3178,Q$1:DK$1,Dashboard!$K$31)</f>
        <v>0</v>
      </c>
      <c r="U3178" s="95">
        <v>33</v>
      </c>
    </row>
    <row r="3179" spans="1:34" x14ac:dyDescent="0.3">
      <c r="A3179" s="89" t="str">
        <f>CONCATENATE(D3179,".",F3179,"-",G3179,".",H3179,"")</f>
        <v>2.6-2.1</v>
      </c>
      <c r="B3179" s="89" t="str">
        <f>IF(CONCATENATE(I3179,Key!F$2)=CONCATENATE(INDEX(Dashboard!J:J,MATCH(I3179,Dashboard!J:J,0),1),INDEX(Dashboard!J:K,MATCH(I3179,Dashboard!J:J,0),2)),"ON",IF(Dashboard!K$32="ALL","ON","-"))</f>
        <v>-</v>
      </c>
      <c r="C3179" s="88" t="s">
        <v>152</v>
      </c>
      <c r="D3179" s="89">
        <f>IF(C3179="ID",1,(IF(C3179="PR",2,(IF(C3179="DE",3,(IF(C3179="RS",4,(IF(C3179="RC",5,0)))))))))</f>
        <v>2</v>
      </c>
      <c r="E3179" s="89" t="s">
        <v>271</v>
      </c>
      <c r="F3179" s="89">
        <f>IF(E3179="AM",1,(IF(E3179="BE",2,(IF(E3179="GV",3,(IF(E3179="RA",4,(IF(E3179="RM",5,(IF(E3179="AC",1,(IF(E3179="AT",2,(IF(E3179="DS",3,(IF(E3179="IP",4,(IF(E3179="MA",5,(IF(E3179="PT",6,(IF(E3179="AE",1,(IF(E3179="CM",2,(IF(E3179="DP",3,(IF(E3179="AN",1,(IF(E3179="CO",2,(IF(E3179="IM",3,(IF(E3179="MI",4,(IF(E3179="RP",5,(IF(E3179="SC",6,0)))))))))))))))))))))))))))))))))))))))</f>
        <v>6</v>
      </c>
      <c r="G3179" s="52">
        <v>2</v>
      </c>
      <c r="H3179" s="99">
        <v>1</v>
      </c>
      <c r="I3179" s="94" t="s">
        <v>41</v>
      </c>
      <c r="J3179" s="86">
        <v>13.7</v>
      </c>
      <c r="K3179" s="103" t="s">
        <v>3559</v>
      </c>
      <c r="L3179" s="117">
        <f>IF(O3179="","",N3179*O3179*M3179)</f>
        <v>0</v>
      </c>
      <c r="M3179" s="108">
        <v>1</v>
      </c>
      <c r="N3179" s="95">
        <v>1</v>
      </c>
      <c r="O3179" s="109">
        <f>IF(Key!D$1="ON",P3179,IF(SUM(Q3179:DL3179)&lt;1,"",SUM(Q3179:DL3179)/COUNTIF(Q3179:DL3179,"&gt;0")))</f>
        <v>0</v>
      </c>
      <c r="P3179" s="109">
        <f>SUMIFS(Q3179:DK3179,Q$1:DK$1,Dashboard!$K$31)</f>
        <v>0</v>
      </c>
      <c r="U3179" s="95">
        <v>33</v>
      </c>
    </row>
    <row r="3180" spans="1:34" ht="15.6" x14ac:dyDescent="0.3">
      <c r="A3180" s="89" t="str">
        <f>CONCATENATE(D3180,".",F3180,"-",G3180,".",H3180,"")</f>
        <v>2.6-2.1</v>
      </c>
      <c r="B3180" s="89" t="str">
        <f>IF(CONCATENATE(I3180,Key!F$2)=CONCATENATE(INDEX(Dashboard!J:J,MATCH(I3180,Dashboard!J:J,0),1),INDEX(Dashboard!J:K,MATCH(I3180,Dashboard!J:J,0),2)),"ON",IF(Dashboard!K$32="ALL","ON","-"))</f>
        <v>-</v>
      </c>
      <c r="C3180" s="88" t="s">
        <v>152</v>
      </c>
      <c r="D3180" s="89">
        <f>IF(C3180="ID",1,(IF(C3180="PR",2,(IF(C3180="DE",3,(IF(C3180="RS",4,(IF(C3180="RC",5,0)))))))))</f>
        <v>2</v>
      </c>
      <c r="E3180" s="89" t="s">
        <v>271</v>
      </c>
      <c r="F3180" s="89">
        <f>IF(E3180="AM",1,(IF(E3180="BE",2,(IF(E3180="GV",3,(IF(E3180="RA",4,(IF(E3180="RM",5,(IF(E3180="AC",1,(IF(E3180="AT",2,(IF(E3180="DS",3,(IF(E3180="IP",4,(IF(E3180="MA",5,(IF(E3180="PT",6,(IF(E3180="AE",1,(IF(E3180="CM",2,(IF(E3180="DP",3,(IF(E3180="AN",1,(IF(E3180="CO",2,(IF(E3180="IM",3,(IF(E3180="MI",4,(IF(E3180="RP",5,(IF(E3180="SC",6,0)))))))))))))))))))))))))))))))))))))))</f>
        <v>6</v>
      </c>
      <c r="G3180" s="52">
        <v>2</v>
      </c>
      <c r="H3180" s="99">
        <v>1</v>
      </c>
      <c r="I3180" s="94" t="s">
        <v>41</v>
      </c>
      <c r="J3180" s="86">
        <v>13.8</v>
      </c>
      <c r="K3180" s="103" t="s">
        <v>3560</v>
      </c>
      <c r="L3180" s="117">
        <f>IF(O3180="","",N3180*O3180*M3180)</f>
        <v>0</v>
      </c>
      <c r="M3180" s="108">
        <v>1</v>
      </c>
      <c r="N3180" s="95">
        <v>1</v>
      </c>
      <c r="O3180" s="109">
        <f>IF(Key!D$1="ON",P3180,IF(SUM(Q3180:DL3180)&lt;1,"",SUM(Q3180:DL3180)/COUNTIF(Q3180:DL3180,"&gt;0")))</f>
        <v>0</v>
      </c>
      <c r="P3180" s="109">
        <f>SUMIFS(Q3180:DK3180,Q$1:DK$1,Dashboard!$K$31)</f>
        <v>0</v>
      </c>
      <c r="U3180" s="95">
        <v>33</v>
      </c>
    </row>
    <row r="3181" spans="1:34" ht="15.6" x14ac:dyDescent="0.3">
      <c r="A3181" s="89" t="str">
        <f>CONCATENATE(D3181,".",F3181,"-",G3181,".",H3181,"")</f>
        <v>2.6-2.1</v>
      </c>
      <c r="B3181" s="89" t="str">
        <f>IF(CONCATENATE(I3181,Key!F$2)=CONCATENATE(INDEX(Dashboard!J:J,MATCH(I3181,Dashboard!J:J,0),1),INDEX(Dashboard!J:K,MATCH(I3181,Dashboard!J:J,0),2)),"ON",IF(Dashboard!K$32="ALL","ON","-"))</f>
        <v>-</v>
      </c>
      <c r="C3181" s="96" t="s">
        <v>152</v>
      </c>
      <c r="D3181" s="89">
        <f>IF(C3181="ID",1,(IF(C3181="PR",2,(IF(C3181="DE",3,(IF(C3181="RS",4,(IF(C3181="RC",5,0)))))))))</f>
        <v>2</v>
      </c>
      <c r="E3181" s="89" t="s">
        <v>271</v>
      </c>
      <c r="F3181" s="89">
        <f>IF(E3181="AM",1,(IF(E3181="BE",2,(IF(E3181="GV",3,(IF(E3181="RA",4,(IF(E3181="RM",5,(IF(E3181="AC",1,(IF(E3181="AT",2,(IF(E3181="DS",3,(IF(E3181="IP",4,(IF(E3181="MA",5,(IF(E3181="PT",6,(IF(E3181="AE",1,(IF(E3181="CM",2,(IF(E3181="DP",3,(IF(E3181="AN",1,(IF(E3181="CO",2,(IF(E3181="IM",3,(IF(E3181="MI",4,(IF(E3181="RP",5,(IF(E3181="SC",6,0)))))))))))))))))))))))))))))))))))))))</f>
        <v>6</v>
      </c>
      <c r="G3181" s="52">
        <v>2</v>
      </c>
      <c r="H3181" s="90" t="s">
        <v>115</v>
      </c>
      <c r="I3181" s="94" t="s">
        <v>52</v>
      </c>
      <c r="J3181" s="88" t="s">
        <v>3385</v>
      </c>
      <c r="K3181" s="103" t="s">
        <v>3386</v>
      </c>
      <c r="L3181" s="117">
        <f>IF(O3181="","",N3181*O3181*M3181)</f>
        <v>0</v>
      </c>
      <c r="M3181" s="108">
        <v>1</v>
      </c>
      <c r="N3181" s="95">
        <v>1</v>
      </c>
      <c r="O3181" s="109">
        <f>IF(Key!D$1="ON",P3181,IF(SUM(Q3181:DL3181)&lt;1,"",SUM(Q3181:DL3181)/COUNTIF(Q3181:DL3181,"&gt;0")))</f>
        <v>0</v>
      </c>
      <c r="P3181" s="109">
        <f>SUMIFS(Q3181:DK3181,Q$1:DK$1,Dashboard!$K$31)</f>
        <v>0</v>
      </c>
      <c r="U3181" s="95">
        <v>33</v>
      </c>
      <c r="AA3181" s="95">
        <v>25</v>
      </c>
      <c r="AH3181" s="95">
        <v>75</v>
      </c>
    </row>
    <row r="3182" spans="1:34" x14ac:dyDescent="0.3">
      <c r="A3182" s="89" t="str">
        <f>CONCATENATE(D3182,".",F3182,"-",G3182,".",H3182,"")</f>
        <v>2.6-2.1</v>
      </c>
      <c r="B3182" s="89" t="str">
        <f>IF(CONCATENATE(I3182,Key!F$2)=CONCATENATE(INDEX(Dashboard!J:J,MATCH(I3182,Dashboard!J:J,0),1),INDEX(Dashboard!J:K,MATCH(I3182,Dashboard!J:J,0),2)),"ON",IF(Dashboard!K$32="ALL","ON","-"))</f>
        <v>-</v>
      </c>
      <c r="C3182" s="96" t="s">
        <v>152</v>
      </c>
      <c r="D3182" s="89">
        <f>IF(C3182="ID",1,(IF(C3182="PR",2,(IF(C3182="DE",3,(IF(C3182="RS",4,(IF(C3182="RC",5,0)))))))))</f>
        <v>2</v>
      </c>
      <c r="E3182" s="89" t="s">
        <v>271</v>
      </c>
      <c r="F3182" s="89">
        <f>IF(E3182="AM",1,(IF(E3182="BE",2,(IF(E3182="GV",3,(IF(E3182="RA",4,(IF(E3182="RM",5,(IF(E3182="AC",1,(IF(E3182="AT",2,(IF(E3182="DS",3,(IF(E3182="IP",4,(IF(E3182="MA",5,(IF(E3182="PT",6,(IF(E3182="AE",1,(IF(E3182="CM",2,(IF(E3182="DP",3,(IF(E3182="AN",1,(IF(E3182="CO",2,(IF(E3182="IM",3,(IF(E3182="MI",4,(IF(E3182="RP",5,(IF(E3182="SC",6,0)))))))))))))))))))))))))))))))))))))))</f>
        <v>6</v>
      </c>
      <c r="G3182" s="52">
        <v>2</v>
      </c>
      <c r="H3182" s="90" t="s">
        <v>115</v>
      </c>
      <c r="I3182" s="94" t="s">
        <v>52</v>
      </c>
      <c r="J3182" s="88" t="s">
        <v>3379</v>
      </c>
      <c r="K3182" s="103" t="s">
        <v>3380</v>
      </c>
      <c r="L3182" s="117">
        <f>IF(O3182="","",N3182*O3182*M3182)</f>
        <v>0</v>
      </c>
      <c r="M3182" s="108">
        <v>1</v>
      </c>
      <c r="N3182" s="95">
        <v>1</v>
      </c>
      <c r="O3182" s="109">
        <f>IF(Key!D$1="ON",P3182,IF(SUM(Q3182:DL3182)&lt;1,"",SUM(Q3182:DL3182)/COUNTIF(Q3182:DL3182,"&gt;0")))</f>
        <v>0</v>
      </c>
      <c r="P3182" s="109">
        <f>SUMIFS(Q3182:DK3182,Q$1:DK$1,Dashboard!$K$31)</f>
        <v>0</v>
      </c>
      <c r="U3182" s="95">
        <v>33</v>
      </c>
      <c r="AA3182" s="95">
        <v>25</v>
      </c>
      <c r="AH3182" s="95">
        <v>75</v>
      </c>
    </row>
    <row r="3183" spans="1:34" x14ac:dyDescent="0.3">
      <c r="A3183" s="89" t="str">
        <f>CONCATENATE(D3183,".",F3183,"-",G3183,".",H3183,"")</f>
        <v>2.6-2.1</v>
      </c>
      <c r="B3183" s="89" t="str">
        <f>IF(CONCATENATE(I3183,Key!F$2)=CONCATENATE(INDEX(Dashboard!J:J,MATCH(I3183,Dashboard!J:J,0),1),INDEX(Dashboard!J:K,MATCH(I3183,Dashboard!J:J,0),2)),"ON",IF(Dashboard!K$32="ALL","ON","-"))</f>
        <v>-</v>
      </c>
      <c r="C3183" s="88" t="s">
        <v>152</v>
      </c>
      <c r="D3183" s="89">
        <f>IF(C3183="ID",1,(IF(C3183="PR",2,(IF(C3183="DE",3,(IF(C3183="RS",4,(IF(C3183="RC",5,0)))))))))</f>
        <v>2</v>
      </c>
      <c r="E3183" s="89" t="s">
        <v>271</v>
      </c>
      <c r="F3183" s="89">
        <f>IF(E3183="AM",1,(IF(E3183="BE",2,(IF(E3183="GV",3,(IF(E3183="RA",4,(IF(E3183="RM",5,(IF(E3183="AC",1,(IF(E3183="AT",2,(IF(E3183="DS",3,(IF(E3183="IP",4,(IF(E3183="MA",5,(IF(E3183="PT",6,(IF(E3183="AE",1,(IF(E3183="CM",2,(IF(E3183="DP",3,(IF(E3183="AN",1,(IF(E3183="CO",2,(IF(E3183="IM",3,(IF(E3183="MI",4,(IF(E3183="RP",5,(IF(E3183="SC",6,0)))))))))))))))))))))))))))))))))))))))</f>
        <v>6</v>
      </c>
      <c r="G3183" s="52">
        <v>2</v>
      </c>
      <c r="H3183" s="90" t="s">
        <v>115</v>
      </c>
      <c r="I3183" s="94" t="s">
        <v>60</v>
      </c>
      <c r="J3183" s="88" t="s">
        <v>3210</v>
      </c>
      <c r="K3183" s="51" t="s">
        <v>5323</v>
      </c>
      <c r="L3183" s="117">
        <f>IF(O3183="","",N3183*O3183*M3183)</f>
        <v>0</v>
      </c>
      <c r="M3183" s="108">
        <v>1</v>
      </c>
      <c r="N3183" s="95">
        <v>1</v>
      </c>
      <c r="O3183" s="109">
        <f>IF(Key!D$1="ON",P3183,IF(SUM(Q3183:DL3183)&lt;1,"",SUM(Q3183:DL3183)/COUNTIF(Q3183:DL3183,"&gt;0")))</f>
        <v>0</v>
      </c>
      <c r="P3183" s="109">
        <f>SUMIFS(Q3183:DK3183,Q$1:DK$1,Dashboard!$K$31)</f>
        <v>0</v>
      </c>
      <c r="U3183" s="95">
        <v>33</v>
      </c>
      <c r="AA3183" s="95">
        <v>25</v>
      </c>
      <c r="AH3183" s="95">
        <v>75</v>
      </c>
    </row>
    <row r="3184" spans="1:34" x14ac:dyDescent="0.3">
      <c r="A3184" s="89" t="str">
        <f>CONCATENATE(D3184,".",F3184,"-",G3184,".",H3184,"")</f>
        <v>2.6-2.1</v>
      </c>
      <c r="B3184" s="89" t="str">
        <f>IF(CONCATENATE(I3184,Key!F$2)=CONCATENATE(INDEX(Dashboard!J:J,MATCH(I3184,Dashboard!J:J,0),1),INDEX(Dashboard!J:K,MATCH(I3184,Dashboard!J:J,0),2)),"ON",IF(Dashboard!K$32="ALL","ON","-"))</f>
        <v>-</v>
      </c>
      <c r="C3184" s="88" t="s">
        <v>152</v>
      </c>
      <c r="D3184" s="89">
        <f>IF(C3184="ID",1,(IF(C3184="PR",2,(IF(C3184="DE",3,(IF(C3184="RS",4,(IF(C3184="RC",5,0)))))))))</f>
        <v>2</v>
      </c>
      <c r="E3184" s="89" t="s">
        <v>271</v>
      </c>
      <c r="F3184" s="89">
        <f>IF(E3184="AM",1,(IF(E3184="BE",2,(IF(E3184="GV",3,(IF(E3184="RA",4,(IF(E3184="RM",5,(IF(E3184="AC",1,(IF(E3184="AT",2,(IF(E3184="DS",3,(IF(E3184="IP",4,(IF(E3184="MA",5,(IF(E3184="PT",6,(IF(E3184="AE",1,(IF(E3184="CM",2,(IF(E3184="DP",3,(IF(E3184="AN",1,(IF(E3184="CO",2,(IF(E3184="IM",3,(IF(E3184="MI",4,(IF(E3184="RP",5,(IF(E3184="SC",6,0)))))))))))))))))))))))))))))))))))))))</f>
        <v>6</v>
      </c>
      <c r="G3184" s="52">
        <v>2</v>
      </c>
      <c r="H3184" s="90" t="s">
        <v>115</v>
      </c>
      <c r="I3184" s="94" t="s">
        <v>60</v>
      </c>
      <c r="J3184" s="87" t="s">
        <v>3262</v>
      </c>
      <c r="K3184" s="51" t="s">
        <v>5375</v>
      </c>
      <c r="L3184" s="117">
        <f>IF(O3184="","",N3184*O3184*M3184)</f>
        <v>0</v>
      </c>
      <c r="M3184" s="108">
        <v>1</v>
      </c>
      <c r="N3184" s="95">
        <v>1</v>
      </c>
      <c r="O3184" s="109">
        <f>IF(Key!D$1="ON",P3184,IF(SUM(Q3184:DL3184)&lt;1,"",SUM(Q3184:DL3184)/COUNTIF(Q3184:DL3184,"&gt;0")))</f>
        <v>0</v>
      </c>
      <c r="P3184" s="109">
        <f>SUMIFS(Q3184:DK3184,Q$1:DK$1,Dashboard!$K$31)</f>
        <v>0</v>
      </c>
      <c r="U3184" s="95">
        <v>33</v>
      </c>
      <c r="AA3184" s="95">
        <v>25</v>
      </c>
      <c r="AH3184" s="95">
        <v>75</v>
      </c>
    </row>
    <row r="3185" spans="1:34" ht="15.6" x14ac:dyDescent="0.3">
      <c r="A3185" s="89" t="str">
        <f>CONCATENATE(D3185,".",F3185,"-",G3185,".",H3185,"")</f>
        <v>2.6-2.1</v>
      </c>
      <c r="B3185" s="89" t="str">
        <f>IF(CONCATENATE(I3185,Key!F$2)=CONCATENATE(INDEX(Dashboard!J:J,MATCH(I3185,Dashboard!J:J,0),1),INDEX(Dashboard!J:K,MATCH(I3185,Dashboard!J:J,0),2)),"ON",IF(Dashboard!K$32="ALL","ON","-"))</f>
        <v>-</v>
      </c>
      <c r="C3185" s="88" t="s">
        <v>152</v>
      </c>
      <c r="D3185" s="89">
        <f>IF(C3185="ID",1,(IF(C3185="PR",2,(IF(C3185="DE",3,(IF(C3185="RS",4,(IF(C3185="RC",5,0)))))))))</f>
        <v>2</v>
      </c>
      <c r="E3185" s="89" t="s">
        <v>271</v>
      </c>
      <c r="F3185" s="89">
        <f>IF(E3185="AM",1,(IF(E3185="BE",2,(IF(E3185="GV",3,(IF(E3185="RA",4,(IF(E3185="RM",5,(IF(E3185="AC",1,(IF(E3185="AT",2,(IF(E3185="DS",3,(IF(E3185="IP",4,(IF(E3185="MA",5,(IF(E3185="PT",6,(IF(E3185="AE",1,(IF(E3185="CM",2,(IF(E3185="DP",3,(IF(E3185="AN",1,(IF(E3185="CO",2,(IF(E3185="IM",3,(IF(E3185="MI",4,(IF(E3185="RP",5,(IF(E3185="SC",6,0)))))))))))))))))))))))))))))))))))))))</f>
        <v>6</v>
      </c>
      <c r="G3185" s="52">
        <v>2</v>
      </c>
      <c r="H3185" s="90" t="s">
        <v>115</v>
      </c>
      <c r="I3185" s="94" t="s">
        <v>60</v>
      </c>
      <c r="J3185" s="87" t="s">
        <v>3222</v>
      </c>
      <c r="K3185" s="51" t="s">
        <v>5335</v>
      </c>
      <c r="L3185" s="117">
        <f>IF(O3185="","",N3185*O3185*M3185)</f>
        <v>0</v>
      </c>
      <c r="M3185" s="108">
        <v>1</v>
      </c>
      <c r="N3185" s="95">
        <v>1</v>
      </c>
      <c r="O3185" s="109">
        <f>IF(Key!D$1="ON",P3185,IF(SUM(Q3185:DL3185)&lt;1,"",SUM(Q3185:DL3185)/COUNTIF(Q3185:DL3185,"&gt;0")))</f>
        <v>0</v>
      </c>
      <c r="P3185" s="109">
        <f>SUMIFS(Q3185:DK3185,Q$1:DK$1,Dashboard!$K$31)</f>
        <v>0</v>
      </c>
      <c r="U3185" s="95">
        <v>33</v>
      </c>
      <c r="AA3185" s="95">
        <v>25</v>
      </c>
      <c r="AH3185" s="95">
        <v>75</v>
      </c>
    </row>
    <row r="3186" spans="1:34" x14ac:dyDescent="0.3">
      <c r="A3186" s="89" t="str">
        <f>CONCATENATE(D3186,".",F3186,"-",G3186,".",H3186,"")</f>
        <v>2.6-2.1</v>
      </c>
      <c r="B3186" s="89" t="str">
        <f>IF(CONCATENATE(I3186,Key!F$2)=CONCATENATE(INDEX(Dashboard!J:J,MATCH(I3186,Dashboard!J:J,0),1),INDEX(Dashboard!J:K,MATCH(I3186,Dashboard!J:J,0),2)),"ON",IF(Dashboard!K$32="ALL","ON","-"))</f>
        <v>-</v>
      </c>
      <c r="C3186" s="88" t="s">
        <v>152</v>
      </c>
      <c r="D3186" s="89">
        <f>IF(C3186="ID",1,(IF(C3186="PR",2,(IF(C3186="DE",3,(IF(C3186="RS",4,(IF(C3186="RC",5,0)))))))))</f>
        <v>2</v>
      </c>
      <c r="E3186" s="89" t="s">
        <v>271</v>
      </c>
      <c r="F3186" s="89">
        <f>IF(E3186="AM",1,(IF(E3186="BE",2,(IF(E3186="GV",3,(IF(E3186="RA",4,(IF(E3186="RM",5,(IF(E3186="AC",1,(IF(E3186="AT",2,(IF(E3186="DS",3,(IF(E3186="IP",4,(IF(E3186="MA",5,(IF(E3186="PT",6,(IF(E3186="AE",1,(IF(E3186="CM",2,(IF(E3186="DP",3,(IF(E3186="AN",1,(IF(E3186="CO",2,(IF(E3186="IM",3,(IF(E3186="MI",4,(IF(E3186="RP",5,(IF(E3186="SC",6,0)))))))))))))))))))))))))))))))))))))))</f>
        <v>6</v>
      </c>
      <c r="G3186" s="52">
        <v>2</v>
      </c>
      <c r="H3186" s="90" t="s">
        <v>115</v>
      </c>
      <c r="I3186" s="94" t="s">
        <v>60</v>
      </c>
      <c r="J3186" s="87" t="s">
        <v>3225</v>
      </c>
      <c r="K3186" s="51" t="s">
        <v>5338</v>
      </c>
      <c r="L3186" s="117">
        <f>IF(O3186="","",N3186*O3186*M3186)</f>
        <v>0</v>
      </c>
      <c r="M3186" s="108">
        <v>1</v>
      </c>
      <c r="N3186" s="95">
        <v>1</v>
      </c>
      <c r="O3186" s="109">
        <f>IF(Key!D$1="ON",P3186,IF(SUM(Q3186:DL3186)&lt;1,"",SUM(Q3186:DL3186)/COUNTIF(Q3186:DL3186,"&gt;0")))</f>
        <v>0</v>
      </c>
      <c r="P3186" s="109">
        <f>SUMIFS(Q3186:DK3186,Q$1:DK$1,Dashboard!$K$31)</f>
        <v>0</v>
      </c>
      <c r="U3186" s="95">
        <v>33</v>
      </c>
      <c r="AA3186" s="95">
        <v>25</v>
      </c>
      <c r="AH3186" s="95">
        <v>75</v>
      </c>
    </row>
    <row r="3187" spans="1:34" x14ac:dyDescent="0.3">
      <c r="A3187" s="89" t="str">
        <f>CONCATENATE(D3187,".",F3187,"-",G3187,".",H3187,"")</f>
        <v>2.6-2.1</v>
      </c>
      <c r="B3187" s="89" t="str">
        <f>IF(CONCATENATE(I3187,Key!F$2)=CONCATENATE(INDEX(Dashboard!J:J,MATCH(I3187,Dashboard!J:J,0),1),INDEX(Dashboard!J:K,MATCH(I3187,Dashboard!J:J,0),2)),"ON",IF(Dashboard!K$32="ALL","ON","-"))</f>
        <v>-</v>
      </c>
      <c r="C3187" s="88" t="s">
        <v>152</v>
      </c>
      <c r="D3187" s="89">
        <f>IF(C3187="ID",1,(IF(C3187="PR",2,(IF(C3187="DE",3,(IF(C3187="RS",4,(IF(C3187="RC",5,0)))))))))</f>
        <v>2</v>
      </c>
      <c r="E3187" s="89" t="s">
        <v>271</v>
      </c>
      <c r="F3187" s="89">
        <f>IF(E3187="AM",1,(IF(E3187="BE",2,(IF(E3187="GV",3,(IF(E3187="RA",4,(IF(E3187="RM",5,(IF(E3187="AC",1,(IF(E3187="AT",2,(IF(E3187="DS",3,(IF(E3187="IP",4,(IF(E3187="MA",5,(IF(E3187="PT",6,(IF(E3187="AE",1,(IF(E3187="CM",2,(IF(E3187="DP",3,(IF(E3187="AN",1,(IF(E3187="CO",2,(IF(E3187="IM",3,(IF(E3187="MI",4,(IF(E3187="RP",5,(IF(E3187="SC",6,0)))))))))))))))))))))))))))))))))))))))</f>
        <v>6</v>
      </c>
      <c r="G3187" s="52">
        <v>2</v>
      </c>
      <c r="H3187" s="90" t="s">
        <v>115</v>
      </c>
      <c r="I3187" s="94" t="s">
        <v>60</v>
      </c>
      <c r="J3187" s="87" t="s">
        <v>3127</v>
      </c>
      <c r="K3187" s="51" t="s">
        <v>5240</v>
      </c>
      <c r="L3187" s="117">
        <f>IF(O3187="","",N3187*O3187*M3187)</f>
        <v>0</v>
      </c>
      <c r="M3187" s="108">
        <v>1</v>
      </c>
      <c r="N3187" s="95">
        <v>1</v>
      </c>
      <c r="O3187" s="109">
        <f>IF(Key!D$1="ON",P3187,IF(SUM(Q3187:DL3187)&lt;1,"",SUM(Q3187:DL3187)/COUNTIF(Q3187:DL3187,"&gt;0")))</f>
        <v>0</v>
      </c>
      <c r="P3187" s="109">
        <f>SUMIFS(Q3187:DK3187,Q$1:DK$1,Dashboard!$K$31)</f>
        <v>0</v>
      </c>
      <c r="U3187" s="95">
        <v>33</v>
      </c>
      <c r="AA3187" s="95">
        <v>25</v>
      </c>
      <c r="AH3187" s="95">
        <v>75</v>
      </c>
    </row>
    <row r="3188" spans="1:34" ht="15.6" x14ac:dyDescent="0.3">
      <c r="A3188" s="89" t="str">
        <f>CONCATENATE(D3188,".",F3188,"-",G3188,".",H3188,"")</f>
        <v>2.6-2.1</v>
      </c>
      <c r="B3188" s="89" t="str">
        <f>IF(CONCATENATE(I3188,Key!F$2)=CONCATENATE(INDEX(Dashboard!J:J,MATCH(I3188,Dashboard!J:J,0),1),INDEX(Dashboard!J:K,MATCH(I3188,Dashboard!J:J,0),2)),"ON",IF(Dashboard!K$32="ALL","ON","-"))</f>
        <v>-</v>
      </c>
      <c r="C3188" s="88" t="s">
        <v>152</v>
      </c>
      <c r="D3188" s="89">
        <f>IF(C3188="ID",1,(IF(C3188="PR",2,(IF(C3188="DE",3,(IF(C3188="RS",4,(IF(C3188="RC",5,0)))))))))</f>
        <v>2</v>
      </c>
      <c r="E3188" s="89" t="s">
        <v>271</v>
      </c>
      <c r="F3188" s="89">
        <f>IF(E3188="AM",1,(IF(E3188="BE",2,(IF(E3188="GV",3,(IF(E3188="RA",4,(IF(E3188="RM",5,(IF(E3188="AC",1,(IF(E3188="AT",2,(IF(E3188="DS",3,(IF(E3188="IP",4,(IF(E3188="MA",5,(IF(E3188="PT",6,(IF(E3188="AE",1,(IF(E3188="CM",2,(IF(E3188="DP",3,(IF(E3188="AN",1,(IF(E3188="CO",2,(IF(E3188="IM",3,(IF(E3188="MI",4,(IF(E3188="RP",5,(IF(E3188="SC",6,0)))))))))))))))))))))))))))))))))))))))</f>
        <v>6</v>
      </c>
      <c r="G3188" s="52">
        <v>2</v>
      </c>
      <c r="H3188" s="90" t="s">
        <v>115</v>
      </c>
      <c r="I3188" s="94" t="s">
        <v>60</v>
      </c>
      <c r="J3188" s="87" t="s">
        <v>3263</v>
      </c>
      <c r="K3188" s="51" t="s">
        <v>5376</v>
      </c>
      <c r="L3188" s="117">
        <f>IF(O3188="","",N3188*O3188*M3188)</f>
        <v>0</v>
      </c>
      <c r="M3188" s="108">
        <v>1</v>
      </c>
      <c r="N3188" s="95">
        <v>1</v>
      </c>
      <c r="O3188" s="109">
        <f>IF(Key!D$1="ON",P3188,IF(SUM(Q3188:DL3188)&lt;1,"",SUM(Q3188:DL3188)/COUNTIF(Q3188:DL3188,"&gt;0")))</f>
        <v>0</v>
      </c>
      <c r="P3188" s="109">
        <f>SUMIFS(Q3188:DK3188,Q$1:DK$1,Dashboard!$K$31)</f>
        <v>0</v>
      </c>
      <c r="U3188" s="95">
        <v>33</v>
      </c>
      <c r="AA3188" s="95">
        <v>25</v>
      </c>
      <c r="AH3188" s="95">
        <v>75</v>
      </c>
    </row>
    <row r="3189" spans="1:34" ht="15.6" x14ac:dyDescent="0.3">
      <c r="A3189" s="89" t="str">
        <f>CONCATENATE(D3189,".",F3189,"-",G3189,".",H3189,"")</f>
        <v>2.6-2.1</v>
      </c>
      <c r="B3189" s="89" t="str">
        <f>IF(CONCATENATE(I3189,Key!F$2)=CONCATENATE(INDEX(Dashboard!J:J,MATCH(I3189,Dashboard!J:J,0),1),INDEX(Dashboard!J:K,MATCH(I3189,Dashboard!J:J,0),2)),"ON",IF(Dashboard!K$32="ALL","ON","-"))</f>
        <v>-</v>
      </c>
      <c r="C3189" s="88" t="s">
        <v>152</v>
      </c>
      <c r="D3189" s="89">
        <f>IF(C3189="ID",1,(IF(C3189="PR",2,(IF(C3189="DE",3,(IF(C3189="RS",4,(IF(C3189="RC",5,0)))))))))</f>
        <v>2</v>
      </c>
      <c r="E3189" s="89" t="s">
        <v>271</v>
      </c>
      <c r="F3189" s="89">
        <f>IF(E3189="AM",1,(IF(E3189="BE",2,(IF(E3189="GV",3,(IF(E3189="RA",4,(IF(E3189="RM",5,(IF(E3189="AC",1,(IF(E3189="AT",2,(IF(E3189="DS",3,(IF(E3189="IP",4,(IF(E3189="MA",5,(IF(E3189="PT",6,(IF(E3189="AE",1,(IF(E3189="CM",2,(IF(E3189="DP",3,(IF(E3189="AN",1,(IF(E3189="CO",2,(IF(E3189="IM",3,(IF(E3189="MI",4,(IF(E3189="RP",5,(IF(E3189="SC",6,0)))))))))))))))))))))))))))))))))))))))</f>
        <v>6</v>
      </c>
      <c r="G3189" s="52">
        <v>2</v>
      </c>
      <c r="H3189" s="90" t="s">
        <v>115</v>
      </c>
      <c r="I3189" s="94" t="s">
        <v>60</v>
      </c>
      <c r="J3189" s="87" t="s">
        <v>3213</v>
      </c>
      <c r="K3189" s="51" t="s">
        <v>5326</v>
      </c>
      <c r="L3189" s="117">
        <f>IF(O3189="","",N3189*O3189*M3189)</f>
        <v>0</v>
      </c>
      <c r="M3189" s="108">
        <v>1</v>
      </c>
      <c r="N3189" s="95">
        <v>1</v>
      </c>
      <c r="O3189" s="109">
        <f>IF(Key!D$1="ON",P3189,IF(SUM(Q3189:DL3189)&lt;1,"",SUM(Q3189:DL3189)/COUNTIF(Q3189:DL3189,"&gt;0")))</f>
        <v>0</v>
      </c>
      <c r="P3189" s="109">
        <f>SUMIFS(Q3189:DK3189,Q$1:DK$1,Dashboard!$K$31)</f>
        <v>0</v>
      </c>
      <c r="U3189" s="95">
        <v>33</v>
      </c>
      <c r="AA3189" s="95">
        <v>25</v>
      </c>
      <c r="AH3189" s="95">
        <v>75</v>
      </c>
    </row>
    <row r="3190" spans="1:34" x14ac:dyDescent="0.3">
      <c r="A3190" s="89" t="str">
        <f>CONCATENATE(D3190,".",F3190,"-",G3190,".",H3190,"")</f>
        <v>2.6-2.1</v>
      </c>
      <c r="B3190" s="89" t="str">
        <f>IF(CONCATENATE(I3190,Key!F$2)=CONCATENATE(INDEX(Dashboard!J:J,MATCH(I3190,Dashboard!J:J,0),1),INDEX(Dashboard!J:K,MATCH(I3190,Dashboard!J:J,0),2)),"ON",IF(Dashboard!K$32="ALL","ON","-"))</f>
        <v>-</v>
      </c>
      <c r="C3190" s="88" t="s">
        <v>152</v>
      </c>
      <c r="D3190" s="89">
        <f>IF(C3190="ID",1,(IF(C3190="PR",2,(IF(C3190="DE",3,(IF(C3190="RS",4,(IF(C3190="RC",5,0)))))))))</f>
        <v>2</v>
      </c>
      <c r="E3190" s="89" t="s">
        <v>271</v>
      </c>
      <c r="F3190" s="89">
        <f>IF(E3190="AM",1,(IF(E3190="BE",2,(IF(E3190="GV",3,(IF(E3190="RA",4,(IF(E3190="RM",5,(IF(E3190="AC",1,(IF(E3190="AT",2,(IF(E3190="DS",3,(IF(E3190="IP",4,(IF(E3190="MA",5,(IF(E3190="PT",6,(IF(E3190="AE",1,(IF(E3190="CM",2,(IF(E3190="DP",3,(IF(E3190="AN",1,(IF(E3190="CO",2,(IF(E3190="IM",3,(IF(E3190="MI",4,(IF(E3190="RP",5,(IF(E3190="SC",6,0)))))))))))))))))))))))))))))))))))))))</f>
        <v>6</v>
      </c>
      <c r="G3190" s="52">
        <v>2</v>
      </c>
      <c r="H3190" s="90" t="s">
        <v>115</v>
      </c>
      <c r="I3190" s="94" t="s">
        <v>60</v>
      </c>
      <c r="J3190" s="87" t="s">
        <v>3215</v>
      </c>
      <c r="K3190" s="51" t="s">
        <v>5328</v>
      </c>
      <c r="L3190" s="117">
        <f>IF(O3190="","",N3190*O3190*M3190)</f>
        <v>0</v>
      </c>
      <c r="M3190" s="108">
        <v>1</v>
      </c>
      <c r="N3190" s="95">
        <v>1</v>
      </c>
      <c r="O3190" s="109">
        <f>IF(Key!D$1="ON",P3190,IF(SUM(Q3190:DL3190)&lt;1,"",SUM(Q3190:DL3190)/COUNTIF(Q3190:DL3190,"&gt;0")))</f>
        <v>0</v>
      </c>
      <c r="P3190" s="109">
        <f>SUMIFS(Q3190:DK3190,Q$1:DK$1,Dashboard!$K$31)</f>
        <v>0</v>
      </c>
      <c r="U3190" s="95">
        <v>33</v>
      </c>
      <c r="AA3190" s="95">
        <v>25</v>
      </c>
      <c r="AH3190" s="95">
        <v>75</v>
      </c>
    </row>
    <row r="3191" spans="1:34" x14ac:dyDescent="0.3">
      <c r="A3191" s="89" t="str">
        <f>CONCATENATE(D3191,".",F3191,"-",G3191,".",H3191,"")</f>
        <v>2.6-2.1</v>
      </c>
      <c r="B3191" s="89" t="str">
        <f>IF(CONCATENATE(I3191,Key!F$2)=CONCATENATE(INDEX(Dashboard!J:J,MATCH(I3191,Dashboard!J:J,0),1),INDEX(Dashboard!J:K,MATCH(I3191,Dashboard!J:J,0),2)),"ON",IF(Dashboard!K$32="ALL","ON","-"))</f>
        <v>-</v>
      </c>
      <c r="C3191" s="88" t="s">
        <v>152</v>
      </c>
      <c r="D3191" s="89">
        <f>IF(C3191="ID",1,(IF(C3191="PR",2,(IF(C3191="DE",3,(IF(C3191="RS",4,(IF(C3191="RC",5,0)))))))))</f>
        <v>2</v>
      </c>
      <c r="E3191" s="89" t="s">
        <v>271</v>
      </c>
      <c r="F3191" s="89">
        <f>IF(E3191="AM",1,(IF(E3191="BE",2,(IF(E3191="GV",3,(IF(E3191="RA",4,(IF(E3191="RM",5,(IF(E3191="AC",1,(IF(E3191="AT",2,(IF(E3191="DS",3,(IF(E3191="IP",4,(IF(E3191="MA",5,(IF(E3191="PT",6,(IF(E3191="AE",1,(IF(E3191="CM",2,(IF(E3191="DP",3,(IF(E3191="AN",1,(IF(E3191="CO",2,(IF(E3191="IM",3,(IF(E3191="MI",4,(IF(E3191="RP",5,(IF(E3191="SC",6,0)))))))))))))))))))))))))))))))))))))))</f>
        <v>6</v>
      </c>
      <c r="G3191" s="52">
        <v>2</v>
      </c>
      <c r="H3191" s="90" t="s">
        <v>115</v>
      </c>
      <c r="I3191" s="94" t="s">
        <v>64</v>
      </c>
      <c r="J3191" s="86" t="s">
        <v>1224</v>
      </c>
      <c r="K3191" s="103" t="s">
        <v>2245</v>
      </c>
      <c r="L3191" s="117">
        <f>IF(O3191="","",N3191*O3191*M3191)</f>
        <v>0</v>
      </c>
      <c r="M3191" s="108">
        <v>1</v>
      </c>
      <c r="N3191" s="95">
        <v>1</v>
      </c>
      <c r="O3191" s="109">
        <f>IF(Key!D$1="ON",P3191,IF(SUM(Q3191:DL3191)&lt;1,"",SUM(Q3191:DL3191)/COUNTIF(Q3191:DL3191,"&gt;0")))</f>
        <v>0</v>
      </c>
      <c r="P3191" s="109">
        <f>SUMIFS(Q3191:DK3191,Q$1:DK$1,Dashboard!$K$31)</f>
        <v>0</v>
      </c>
      <c r="U3191" s="95">
        <v>33</v>
      </c>
      <c r="AA3191" s="95">
        <v>25</v>
      </c>
      <c r="AH3191" s="95">
        <v>75</v>
      </c>
    </row>
    <row r="3192" spans="1:34" x14ac:dyDescent="0.3">
      <c r="A3192" s="89" t="str">
        <f>CONCATENATE(D3192,".",F3192,"-",G3192,".",H3192,"")</f>
        <v>2.6-2.1</v>
      </c>
      <c r="B3192" s="89" t="str">
        <f>IF(CONCATENATE(I3192,Key!F$2)=CONCATENATE(INDEX(Dashboard!J:J,MATCH(I3192,Dashboard!J:J,0),1),INDEX(Dashboard!J:K,MATCH(I3192,Dashboard!J:J,0),2)),"ON",IF(Dashboard!K$32="ALL","ON","-"))</f>
        <v>-</v>
      </c>
      <c r="C3192" s="88" t="s">
        <v>152</v>
      </c>
      <c r="D3192" s="89">
        <f>IF(C3192="ID",1,(IF(C3192="PR",2,(IF(C3192="DE",3,(IF(C3192="RS",4,(IF(C3192="RC",5,0)))))))))</f>
        <v>2</v>
      </c>
      <c r="E3192" s="89" t="s">
        <v>271</v>
      </c>
      <c r="F3192" s="89">
        <f>IF(E3192="AM",1,(IF(E3192="BE",2,(IF(E3192="GV",3,(IF(E3192="RA",4,(IF(E3192="RM",5,(IF(E3192="AC",1,(IF(E3192="AT",2,(IF(E3192="DS",3,(IF(E3192="IP",4,(IF(E3192="MA",5,(IF(E3192="PT",6,(IF(E3192="AE",1,(IF(E3192="CM",2,(IF(E3192="DP",3,(IF(E3192="AN",1,(IF(E3192="CO",2,(IF(E3192="IM",3,(IF(E3192="MI",4,(IF(E3192="RP",5,(IF(E3192="SC",6,0)))))))))))))))))))))))))))))))))))))))</f>
        <v>6</v>
      </c>
      <c r="G3192" s="52">
        <v>2</v>
      </c>
      <c r="H3192" s="90" t="s">
        <v>115</v>
      </c>
      <c r="I3192" s="94" t="s">
        <v>64</v>
      </c>
      <c r="J3192" s="87" t="s">
        <v>1744</v>
      </c>
      <c r="K3192" s="102" t="s">
        <v>2667</v>
      </c>
      <c r="L3192" s="117">
        <f>IF(O3192="","",N3192*O3192*M3192)</f>
        <v>0</v>
      </c>
      <c r="M3192" s="108">
        <v>1</v>
      </c>
      <c r="N3192" s="95">
        <v>1</v>
      </c>
      <c r="O3192" s="109">
        <f>IF(Key!D$1="ON",P3192,IF(SUM(Q3192:DL3192)&lt;1,"",SUM(Q3192:DL3192)/COUNTIF(Q3192:DL3192,"&gt;0")))</f>
        <v>0</v>
      </c>
      <c r="P3192" s="109">
        <f>SUMIFS(Q3192:DK3192,Q$1:DK$1,Dashboard!$K$31)</f>
        <v>0</v>
      </c>
      <c r="U3192" s="95">
        <v>33</v>
      </c>
      <c r="AA3192" s="95">
        <v>25</v>
      </c>
      <c r="AH3192" s="95">
        <v>75</v>
      </c>
    </row>
    <row r="3193" spans="1:34" ht="15.6" x14ac:dyDescent="0.3">
      <c r="A3193" s="89" t="str">
        <f>CONCATENATE(D3193,".",F3193,"-",G3193,".",H3193,"")</f>
        <v>2.6-2.1</v>
      </c>
      <c r="B3193" s="89" t="str">
        <f>IF(CONCATENATE(I3193,Key!F$2)=CONCATENATE(INDEX(Dashboard!J:J,MATCH(I3193,Dashboard!J:J,0),1),INDEX(Dashboard!J:K,MATCH(I3193,Dashboard!J:J,0),2)),"ON",IF(Dashboard!K$32="ALL","ON","-"))</f>
        <v>-</v>
      </c>
      <c r="C3193" s="88" t="s">
        <v>152</v>
      </c>
      <c r="D3193" s="89">
        <f>IF(C3193="ID",1,(IF(C3193="PR",2,(IF(C3193="DE",3,(IF(C3193="RS",4,(IF(C3193="RC",5,0)))))))))</f>
        <v>2</v>
      </c>
      <c r="E3193" s="89" t="s">
        <v>271</v>
      </c>
      <c r="F3193" s="89">
        <f>IF(E3193="AM",1,(IF(E3193="BE",2,(IF(E3193="GV",3,(IF(E3193="RA",4,(IF(E3193="RM",5,(IF(E3193="AC",1,(IF(E3193="AT",2,(IF(E3193="DS",3,(IF(E3193="IP",4,(IF(E3193="MA",5,(IF(E3193="PT",6,(IF(E3193="AE",1,(IF(E3193="CM",2,(IF(E3193="DP",3,(IF(E3193="AN",1,(IF(E3193="CO",2,(IF(E3193="IM",3,(IF(E3193="MI",4,(IF(E3193="RP",5,(IF(E3193="SC",6,0)))))))))))))))))))))))))))))))))))))))</f>
        <v>6</v>
      </c>
      <c r="G3193" s="52">
        <v>2</v>
      </c>
      <c r="H3193" s="90" t="s">
        <v>115</v>
      </c>
      <c r="I3193" s="94" t="s">
        <v>64</v>
      </c>
      <c r="J3193" s="87" t="s">
        <v>1745</v>
      </c>
      <c r="K3193" s="102" t="s">
        <v>2668</v>
      </c>
      <c r="L3193" s="117">
        <f>IF(O3193="","",N3193*O3193*M3193)</f>
        <v>0</v>
      </c>
      <c r="M3193" s="108">
        <v>1</v>
      </c>
      <c r="N3193" s="95">
        <v>1</v>
      </c>
      <c r="O3193" s="109">
        <f>IF(Key!D$1="ON",P3193,IF(SUM(Q3193:DL3193)&lt;1,"",SUM(Q3193:DL3193)/COUNTIF(Q3193:DL3193,"&gt;0")))</f>
        <v>0</v>
      </c>
      <c r="P3193" s="109">
        <f>SUMIFS(Q3193:DK3193,Q$1:DK$1,Dashboard!$K$31)</f>
        <v>0</v>
      </c>
      <c r="U3193" s="95">
        <v>33</v>
      </c>
      <c r="AA3193" s="95">
        <v>25</v>
      </c>
      <c r="AH3193" s="95">
        <v>75</v>
      </c>
    </row>
    <row r="3194" spans="1:34" ht="15.6" x14ac:dyDescent="0.3">
      <c r="A3194" s="89" t="str">
        <f>CONCATENATE(D3194,".",F3194,"-",G3194,".",H3194,"")</f>
        <v>2.6-2.1</v>
      </c>
      <c r="B3194" s="89" t="str">
        <f>IF(CONCATENATE(I3194,Key!F$2)=CONCATENATE(INDEX(Dashboard!J:J,MATCH(I3194,Dashboard!J:J,0),1),INDEX(Dashboard!J:K,MATCH(I3194,Dashboard!J:J,0),2)),"ON",IF(Dashboard!K$32="ALL","ON","-"))</f>
        <v>-</v>
      </c>
      <c r="C3194" s="88" t="s">
        <v>152</v>
      </c>
      <c r="D3194" s="89">
        <f>IF(C3194="ID",1,(IF(C3194="PR",2,(IF(C3194="DE",3,(IF(C3194="RS",4,(IF(C3194="RC",5,0)))))))))</f>
        <v>2</v>
      </c>
      <c r="E3194" s="89" t="s">
        <v>271</v>
      </c>
      <c r="F3194" s="89">
        <f>IF(E3194="AM",1,(IF(E3194="BE",2,(IF(E3194="GV",3,(IF(E3194="RA",4,(IF(E3194="RM",5,(IF(E3194="AC",1,(IF(E3194="AT",2,(IF(E3194="DS",3,(IF(E3194="IP",4,(IF(E3194="MA",5,(IF(E3194="PT",6,(IF(E3194="AE",1,(IF(E3194="CM",2,(IF(E3194="DP",3,(IF(E3194="AN",1,(IF(E3194="CO",2,(IF(E3194="IM",3,(IF(E3194="MI",4,(IF(E3194="RP",5,(IF(E3194="SC",6,0)))))))))))))))))))))))))))))))))))))))</f>
        <v>6</v>
      </c>
      <c r="G3194" s="52">
        <v>2</v>
      </c>
      <c r="H3194" s="90" t="s">
        <v>115</v>
      </c>
      <c r="I3194" s="94" t="s">
        <v>73</v>
      </c>
      <c r="J3194" s="86" t="s">
        <v>4185</v>
      </c>
      <c r="K3194" s="101" t="s">
        <v>5195</v>
      </c>
      <c r="L3194" s="117">
        <f>IF(O3194="","",N3194*O3194*M3194)</f>
        <v>0</v>
      </c>
      <c r="M3194" s="108">
        <v>1</v>
      </c>
      <c r="N3194" s="95">
        <v>1</v>
      </c>
      <c r="O3194" s="109">
        <f>IF(Key!D$1="ON",P3194,IF(SUM(Q3194:DL3194)&lt;1,"",SUM(Q3194:DL3194)/COUNTIF(Q3194:DL3194,"&gt;0")))</f>
        <v>0</v>
      </c>
      <c r="P3194" s="109">
        <f>SUMIFS(Q3194:DK3194,Q$1:DK$1,Dashboard!$K$31)</f>
        <v>0</v>
      </c>
      <c r="U3194" s="95">
        <v>33</v>
      </c>
      <c r="AA3194" s="95">
        <v>25</v>
      </c>
      <c r="AH3194" s="95">
        <v>75</v>
      </c>
    </row>
    <row r="3195" spans="1:34" x14ac:dyDescent="0.3">
      <c r="A3195" s="89" t="str">
        <f>CONCATENATE(D3195,".",F3195,"-",G3195,".",H3195,"")</f>
        <v>2.6-2.1</v>
      </c>
      <c r="B3195" s="89" t="str">
        <f>IF(CONCATENATE(I3195,Key!F$2)=CONCATENATE(INDEX(Dashboard!J:J,MATCH(I3195,Dashboard!J:J,0),1),INDEX(Dashboard!J:K,MATCH(I3195,Dashboard!J:J,0),2)),"ON",IF(Dashboard!K$32="ALL","ON","-"))</f>
        <v>-</v>
      </c>
      <c r="C3195" s="88" t="s">
        <v>152</v>
      </c>
      <c r="D3195" s="89">
        <f>IF(C3195="ID",1,(IF(C3195="PR",2,(IF(C3195="DE",3,(IF(C3195="RS",4,(IF(C3195="RC",5,0)))))))))</f>
        <v>2</v>
      </c>
      <c r="E3195" s="89" t="s">
        <v>271</v>
      </c>
      <c r="F3195" s="89">
        <f>IF(E3195="AM",1,(IF(E3195="BE",2,(IF(E3195="GV",3,(IF(E3195="RA",4,(IF(E3195="RM",5,(IF(E3195="AC",1,(IF(E3195="AT",2,(IF(E3195="DS",3,(IF(E3195="IP",4,(IF(E3195="MA",5,(IF(E3195="PT",6,(IF(E3195="AE",1,(IF(E3195="CM",2,(IF(E3195="DP",3,(IF(E3195="AN",1,(IF(E3195="CO",2,(IF(E3195="IM",3,(IF(E3195="MI",4,(IF(E3195="RP",5,(IF(E3195="SC",6,0)))))))))))))))))))))))))))))))))))))))</f>
        <v>6</v>
      </c>
      <c r="G3195" s="52">
        <v>2</v>
      </c>
      <c r="H3195" s="90" t="s">
        <v>115</v>
      </c>
      <c r="I3195" s="94" t="s">
        <v>73</v>
      </c>
      <c r="J3195" s="86" t="s">
        <v>4186</v>
      </c>
      <c r="K3195" s="101" t="s">
        <v>4388</v>
      </c>
      <c r="L3195" s="117">
        <f>IF(O3195="","",N3195*O3195*M3195)</f>
        <v>0</v>
      </c>
      <c r="M3195" s="108">
        <v>1</v>
      </c>
      <c r="N3195" s="95">
        <v>1</v>
      </c>
      <c r="O3195" s="109">
        <f>IF(Key!D$1="ON",P3195,IF(SUM(Q3195:DL3195)&lt;1,"",SUM(Q3195:DL3195)/COUNTIF(Q3195:DL3195,"&gt;0")))</f>
        <v>0</v>
      </c>
      <c r="P3195" s="109">
        <f>SUMIFS(Q3195:DK3195,Q$1:DK$1,Dashboard!$K$31)</f>
        <v>0</v>
      </c>
      <c r="U3195" s="95">
        <v>33</v>
      </c>
      <c r="AA3195" s="95">
        <v>25</v>
      </c>
      <c r="AH3195" s="95">
        <v>75</v>
      </c>
    </row>
    <row r="3196" spans="1:34" x14ac:dyDescent="0.3">
      <c r="A3196" s="89" t="str">
        <f>CONCATENATE(D3196,".",F3196,"-",G3196,".",H3196,"")</f>
        <v>2.6-2.1</v>
      </c>
      <c r="B3196" s="89" t="str">
        <f>IF(CONCATENATE(I3196,Key!F$2)=CONCATENATE(INDEX(Dashboard!J:J,MATCH(I3196,Dashboard!J:J,0),1),INDEX(Dashboard!J:K,MATCH(I3196,Dashboard!J:J,0),2)),"ON",IF(Dashboard!K$32="ALL","ON","-"))</f>
        <v>-</v>
      </c>
      <c r="C3196" s="88" t="s">
        <v>152</v>
      </c>
      <c r="D3196" s="89">
        <f>IF(C3196="ID",1,(IF(C3196="PR",2,(IF(C3196="DE",3,(IF(C3196="RS",4,(IF(C3196="RC",5,0)))))))))</f>
        <v>2</v>
      </c>
      <c r="E3196" s="89" t="s">
        <v>271</v>
      </c>
      <c r="F3196" s="89">
        <f>IF(E3196="AM",1,(IF(E3196="BE",2,(IF(E3196="GV",3,(IF(E3196="RA",4,(IF(E3196="RM",5,(IF(E3196="AC",1,(IF(E3196="AT",2,(IF(E3196="DS",3,(IF(E3196="IP",4,(IF(E3196="MA",5,(IF(E3196="PT",6,(IF(E3196="AE",1,(IF(E3196="CM",2,(IF(E3196="DP",3,(IF(E3196="AN",1,(IF(E3196="CO",2,(IF(E3196="IM",3,(IF(E3196="MI",4,(IF(E3196="RP",5,(IF(E3196="SC",6,0)))))))))))))))))))))))))))))))))))))))</f>
        <v>6</v>
      </c>
      <c r="G3196" s="52">
        <v>2</v>
      </c>
      <c r="H3196" s="90" t="s">
        <v>115</v>
      </c>
      <c r="I3196" s="94" t="s">
        <v>73</v>
      </c>
      <c r="J3196" s="86" t="s">
        <v>4187</v>
      </c>
      <c r="K3196" s="101" t="s">
        <v>5196</v>
      </c>
      <c r="L3196" s="117">
        <f>IF(O3196="","",N3196*O3196*M3196)</f>
        <v>0</v>
      </c>
      <c r="M3196" s="108">
        <v>1</v>
      </c>
      <c r="N3196" s="95">
        <v>1</v>
      </c>
      <c r="O3196" s="109">
        <f>IF(Key!D$1="ON",P3196,IF(SUM(Q3196:DL3196)&lt;1,"",SUM(Q3196:DL3196)/COUNTIF(Q3196:DL3196,"&gt;0")))</f>
        <v>0</v>
      </c>
      <c r="P3196" s="109">
        <f>SUMIFS(Q3196:DK3196,Q$1:DK$1,Dashboard!$K$31)</f>
        <v>0</v>
      </c>
      <c r="U3196" s="95">
        <v>33</v>
      </c>
      <c r="AA3196" s="95">
        <v>25</v>
      </c>
      <c r="AH3196" s="95">
        <v>75</v>
      </c>
    </row>
    <row r="3197" spans="1:34" x14ac:dyDescent="0.3">
      <c r="A3197" s="89" t="str">
        <f>CONCATENATE(D3197,".",F3197,"-",G3197,".",H3197,"")</f>
        <v>2.6-2.1</v>
      </c>
      <c r="B3197" s="89" t="str">
        <f>IF(CONCATENATE(I3197,Key!F$2)=CONCATENATE(INDEX(Dashboard!J:J,MATCH(I3197,Dashboard!J:J,0),1),INDEX(Dashboard!J:K,MATCH(I3197,Dashboard!J:J,0),2)),"ON",IF(Dashboard!K$32="ALL","ON","-"))</f>
        <v>-</v>
      </c>
      <c r="C3197" s="88" t="s">
        <v>152</v>
      </c>
      <c r="D3197" s="89">
        <f>IF(C3197="ID",1,(IF(C3197="PR",2,(IF(C3197="DE",3,(IF(C3197="RS",4,(IF(C3197="RC",5,0)))))))))</f>
        <v>2</v>
      </c>
      <c r="E3197" s="89" t="s">
        <v>271</v>
      </c>
      <c r="F3197" s="89">
        <f>IF(E3197="AM",1,(IF(E3197="BE",2,(IF(E3197="GV",3,(IF(E3197="RA",4,(IF(E3197="RM",5,(IF(E3197="AC",1,(IF(E3197="AT",2,(IF(E3197="DS",3,(IF(E3197="IP",4,(IF(E3197="MA",5,(IF(E3197="PT",6,(IF(E3197="AE",1,(IF(E3197="CM",2,(IF(E3197="DP",3,(IF(E3197="AN",1,(IF(E3197="CO",2,(IF(E3197="IM",3,(IF(E3197="MI",4,(IF(E3197="RP",5,(IF(E3197="SC",6,0)))))))))))))))))))))))))))))))))))))))</f>
        <v>6</v>
      </c>
      <c r="G3197" s="98">
        <v>2</v>
      </c>
      <c r="H3197" s="99">
        <v>1</v>
      </c>
      <c r="I3197" s="94" t="s">
        <v>73</v>
      </c>
      <c r="J3197" s="86" t="s">
        <v>4188</v>
      </c>
      <c r="K3197" s="107" t="s">
        <v>4314</v>
      </c>
      <c r="L3197" s="117">
        <f>IF(O3197="","",N3197*O3197*M3197)</f>
        <v>0</v>
      </c>
      <c r="M3197" s="108">
        <v>1</v>
      </c>
      <c r="N3197" s="95">
        <v>1</v>
      </c>
      <c r="O3197" s="109">
        <f>IF(Key!D$1="ON",P3197,IF(SUM(Q3197:DL3197)&lt;1,"",SUM(Q3197:DL3197)/COUNTIF(Q3197:DL3197,"&gt;0")))</f>
        <v>0</v>
      </c>
      <c r="P3197" s="109">
        <f>SUMIFS(Q3197:DK3197,Q$1:DK$1,Dashboard!$K$31)</f>
        <v>0</v>
      </c>
      <c r="U3197" s="95">
        <v>33</v>
      </c>
      <c r="AA3197" s="95">
        <v>25</v>
      </c>
      <c r="AH3197" s="95">
        <v>75</v>
      </c>
    </row>
    <row r="3198" spans="1:34" ht="15.6" x14ac:dyDescent="0.3">
      <c r="A3198" s="89" t="str">
        <f>CONCATENATE(D3198,".",F3198,"-",G3198,".",H3198,"")</f>
        <v>2.6-2.1</v>
      </c>
      <c r="B3198" s="89" t="str">
        <f>IF(CONCATENATE(I3198,Key!F$2)=CONCATENATE(INDEX(Dashboard!J:J,MATCH(I3198,Dashboard!J:J,0),1),INDEX(Dashboard!J:K,MATCH(I3198,Dashboard!J:J,0),2)),"ON",IF(Dashboard!K$32="ALL","ON","-"))</f>
        <v>-</v>
      </c>
      <c r="C3198" s="88" t="s">
        <v>152</v>
      </c>
      <c r="D3198" s="89">
        <f>IF(C3198="ID",1,(IF(C3198="PR",2,(IF(C3198="DE",3,(IF(C3198="RS",4,(IF(C3198="RC",5,0)))))))))</f>
        <v>2</v>
      </c>
      <c r="E3198" s="89" t="s">
        <v>271</v>
      </c>
      <c r="F3198" s="89">
        <f>IF(E3198="AM",1,(IF(E3198="BE",2,(IF(E3198="GV",3,(IF(E3198="RA",4,(IF(E3198="RM",5,(IF(E3198="AC",1,(IF(E3198="AT",2,(IF(E3198="DS",3,(IF(E3198="IP",4,(IF(E3198="MA",5,(IF(E3198="PT",6,(IF(E3198="AE",1,(IF(E3198="CM",2,(IF(E3198="DP",3,(IF(E3198="AN",1,(IF(E3198="CO",2,(IF(E3198="IM",3,(IF(E3198="MI",4,(IF(E3198="RP",5,(IF(E3198="SC",6,0)))))))))))))))))))))))))))))))))))))))</f>
        <v>6</v>
      </c>
      <c r="G3198" s="52">
        <v>2</v>
      </c>
      <c r="H3198" s="90" t="s">
        <v>115</v>
      </c>
      <c r="I3198" s="94" t="s">
        <v>73</v>
      </c>
      <c r="J3198" s="86" t="s">
        <v>4190</v>
      </c>
      <c r="K3198" s="101" t="s">
        <v>4191</v>
      </c>
      <c r="L3198" s="117">
        <f>IF(O3198="","",N3198*O3198*M3198)</f>
        <v>0</v>
      </c>
      <c r="M3198" s="108">
        <v>1</v>
      </c>
      <c r="N3198" s="95">
        <v>1</v>
      </c>
      <c r="O3198" s="109">
        <f>IF(Key!D$1="ON",P3198,IF(SUM(Q3198:DL3198)&lt;1,"",SUM(Q3198:DL3198)/COUNTIF(Q3198:DL3198,"&gt;0")))</f>
        <v>0</v>
      </c>
      <c r="P3198" s="109">
        <f>SUMIFS(Q3198:DK3198,Q$1:DK$1,Dashboard!$K$31)</f>
        <v>0</v>
      </c>
      <c r="U3198" s="95">
        <v>33</v>
      </c>
      <c r="AA3198" s="95">
        <v>25</v>
      </c>
      <c r="AH3198" s="95">
        <v>75</v>
      </c>
    </row>
    <row r="3199" spans="1:34" x14ac:dyDescent="0.3">
      <c r="A3199" s="89" t="str">
        <f>CONCATENATE(D3199,".",F3199,"-",G3199,".",H3199,"")</f>
        <v>2.6-2.1</v>
      </c>
      <c r="B3199" s="89" t="str">
        <f>IF(CONCATENATE(I3199,Key!F$2)=CONCATENATE(INDEX(Dashboard!J:J,MATCH(I3199,Dashboard!J:J,0),1),INDEX(Dashboard!J:K,MATCH(I3199,Dashboard!J:J,0),2)),"ON",IF(Dashboard!K$32="ALL","ON","-"))</f>
        <v>-</v>
      </c>
      <c r="C3199" s="88" t="s">
        <v>152</v>
      </c>
      <c r="D3199" s="89">
        <f>IF(C3199="ID",1,(IF(C3199="PR",2,(IF(C3199="DE",3,(IF(C3199="RS",4,(IF(C3199="RC",5,0)))))))))</f>
        <v>2</v>
      </c>
      <c r="E3199" s="89" t="s">
        <v>271</v>
      </c>
      <c r="F3199" s="89">
        <f>IF(E3199="AM",1,(IF(E3199="BE",2,(IF(E3199="GV",3,(IF(E3199="RA",4,(IF(E3199="RM",5,(IF(E3199="AC",1,(IF(E3199="AT",2,(IF(E3199="DS",3,(IF(E3199="IP",4,(IF(E3199="MA",5,(IF(E3199="PT",6,(IF(E3199="AE",1,(IF(E3199="CM",2,(IF(E3199="DP",3,(IF(E3199="AN",1,(IF(E3199="CO",2,(IF(E3199="IM",3,(IF(E3199="MI",4,(IF(E3199="RP",5,(IF(E3199="SC",6,0)))))))))))))))))))))))))))))))))))))))</f>
        <v>6</v>
      </c>
      <c r="G3199" s="98">
        <v>2</v>
      </c>
      <c r="H3199" s="99">
        <v>1</v>
      </c>
      <c r="I3199" s="94" t="s">
        <v>73</v>
      </c>
      <c r="J3199" s="86" t="s">
        <v>4192</v>
      </c>
      <c r="K3199" s="107" t="s">
        <v>4316</v>
      </c>
      <c r="L3199" s="117">
        <f>IF(O3199="","",N3199*O3199*M3199)</f>
        <v>0</v>
      </c>
      <c r="M3199" s="108">
        <v>1</v>
      </c>
      <c r="N3199" s="95">
        <v>1</v>
      </c>
      <c r="O3199" s="109">
        <f>IF(Key!D$1="ON",P3199,IF(SUM(Q3199:DL3199)&lt;1,"",SUM(Q3199:DL3199)/COUNTIF(Q3199:DL3199,"&gt;0")))</f>
        <v>0</v>
      </c>
      <c r="P3199" s="109">
        <f>SUMIFS(Q3199:DK3199,Q$1:DK$1,Dashboard!$K$31)</f>
        <v>0</v>
      </c>
      <c r="U3199" s="95">
        <v>33</v>
      </c>
      <c r="AA3199" s="95">
        <v>25</v>
      </c>
      <c r="AH3199" s="95">
        <v>75</v>
      </c>
    </row>
    <row r="3200" spans="1:34" x14ac:dyDescent="0.3">
      <c r="A3200" s="89" t="str">
        <f>CONCATENATE(D3200,".",F3200,"-",G3200,".",H3200,"")</f>
        <v>2.6-2.1</v>
      </c>
      <c r="B3200" s="89" t="str">
        <f>IF(CONCATENATE(I3200,Key!F$2)=CONCATENATE(INDEX(Dashboard!J:J,MATCH(I3200,Dashboard!J:J,0),1),INDEX(Dashboard!J:K,MATCH(I3200,Dashboard!J:J,0),2)),"ON",IF(Dashboard!K$32="ALL","ON","-"))</f>
        <v>-</v>
      </c>
      <c r="C3200" s="88" t="s">
        <v>152</v>
      </c>
      <c r="D3200" s="89">
        <f>IF(C3200="ID",1,(IF(C3200="PR",2,(IF(C3200="DE",3,(IF(C3200="RS",4,(IF(C3200="RC",5,0)))))))))</f>
        <v>2</v>
      </c>
      <c r="E3200" s="89" t="s">
        <v>271</v>
      </c>
      <c r="F3200" s="89">
        <f>IF(E3200="AM",1,(IF(E3200="BE",2,(IF(E3200="GV",3,(IF(E3200="RA",4,(IF(E3200="RM",5,(IF(E3200="AC",1,(IF(E3200="AT",2,(IF(E3200="DS",3,(IF(E3200="IP",4,(IF(E3200="MA",5,(IF(E3200="PT",6,(IF(E3200="AE",1,(IF(E3200="CM",2,(IF(E3200="DP",3,(IF(E3200="AN",1,(IF(E3200="CO",2,(IF(E3200="IM",3,(IF(E3200="MI",4,(IF(E3200="RP",5,(IF(E3200="SC",6,0)))))))))))))))))))))))))))))))))))))))</f>
        <v>6</v>
      </c>
      <c r="G3200" s="98">
        <v>2</v>
      </c>
      <c r="H3200" s="99">
        <v>1</v>
      </c>
      <c r="I3200" s="94" t="s">
        <v>73</v>
      </c>
      <c r="J3200" s="86" t="s">
        <v>4194</v>
      </c>
      <c r="K3200" s="107" t="s">
        <v>4317</v>
      </c>
      <c r="L3200" s="117">
        <f>IF(O3200="","",N3200*O3200*M3200)</f>
        <v>0</v>
      </c>
      <c r="M3200" s="108">
        <v>1</v>
      </c>
      <c r="N3200" s="95">
        <v>1</v>
      </c>
      <c r="O3200" s="109">
        <f>IF(Key!D$1="ON",P3200,IF(SUM(Q3200:DL3200)&lt;1,"",SUM(Q3200:DL3200)/COUNTIF(Q3200:DL3200,"&gt;0")))</f>
        <v>0</v>
      </c>
      <c r="P3200" s="109">
        <f>SUMIFS(Q3200:DK3200,Q$1:DK$1,Dashboard!$K$31)</f>
        <v>0</v>
      </c>
      <c r="U3200" s="95">
        <v>33</v>
      </c>
      <c r="AA3200" s="95">
        <v>25</v>
      </c>
      <c r="AH3200" s="95">
        <v>75</v>
      </c>
    </row>
    <row r="3201" spans="1:34" x14ac:dyDescent="0.3">
      <c r="A3201" s="89" t="str">
        <f>CONCATENATE(D3201,".",F3201,"-",G3201,".",H3201,"")</f>
        <v>2.6-2.1</v>
      </c>
      <c r="B3201" s="89" t="str">
        <f>IF(CONCATENATE(I3201,Key!F$2)=CONCATENATE(INDEX(Dashboard!J:J,MATCH(I3201,Dashboard!J:J,0),1),INDEX(Dashboard!J:K,MATCH(I3201,Dashboard!J:J,0),2)),"ON",IF(Dashboard!K$32="ALL","ON","-"))</f>
        <v>-</v>
      </c>
      <c r="C3201" s="88" t="s">
        <v>152</v>
      </c>
      <c r="D3201" s="89">
        <f>IF(C3201="ID",1,(IF(C3201="PR",2,(IF(C3201="DE",3,(IF(C3201="RS",4,(IF(C3201="RC",5,0)))))))))</f>
        <v>2</v>
      </c>
      <c r="E3201" s="89" t="s">
        <v>271</v>
      </c>
      <c r="F3201" s="89">
        <f>IF(E3201="AM",1,(IF(E3201="BE",2,(IF(E3201="GV",3,(IF(E3201="RA",4,(IF(E3201="RM",5,(IF(E3201="AC",1,(IF(E3201="AT",2,(IF(E3201="DS",3,(IF(E3201="IP",4,(IF(E3201="MA",5,(IF(E3201="PT",6,(IF(E3201="AE",1,(IF(E3201="CM",2,(IF(E3201="DP",3,(IF(E3201="AN",1,(IF(E3201="CO",2,(IF(E3201="IM",3,(IF(E3201="MI",4,(IF(E3201="RP",5,(IF(E3201="SC",6,0)))))))))))))))))))))))))))))))))))))))</f>
        <v>6</v>
      </c>
      <c r="G3201" s="98">
        <v>2</v>
      </c>
      <c r="H3201" s="99">
        <v>1</v>
      </c>
      <c r="I3201" s="94" t="s">
        <v>73</v>
      </c>
      <c r="J3201" s="86" t="s">
        <v>4195</v>
      </c>
      <c r="K3201" s="107" t="s">
        <v>4318</v>
      </c>
      <c r="L3201" s="117">
        <f>IF(O3201="","",N3201*O3201*M3201)</f>
        <v>0</v>
      </c>
      <c r="M3201" s="108">
        <v>1</v>
      </c>
      <c r="N3201" s="95">
        <v>1</v>
      </c>
      <c r="O3201" s="109">
        <f>IF(Key!D$1="ON",P3201,IF(SUM(Q3201:DL3201)&lt;1,"",SUM(Q3201:DL3201)/COUNTIF(Q3201:DL3201,"&gt;0")))</f>
        <v>0</v>
      </c>
      <c r="P3201" s="109">
        <f>SUMIFS(Q3201:DK3201,Q$1:DK$1,Dashboard!$K$31)</f>
        <v>0</v>
      </c>
      <c r="U3201" s="95">
        <v>33</v>
      </c>
      <c r="AA3201" s="95">
        <v>25</v>
      </c>
      <c r="AH3201" s="95">
        <v>75</v>
      </c>
    </row>
    <row r="3202" spans="1:34" ht="15.6" x14ac:dyDescent="0.3">
      <c r="A3202" s="89" t="str">
        <f>CONCATENATE(D3202,".",F3202,"-",G3202,".",H3202,"")</f>
        <v>2.6-2.1</v>
      </c>
      <c r="B3202" s="89" t="str">
        <f>IF(CONCATENATE(I3202,Key!F$2)=CONCATENATE(INDEX(Dashboard!J:J,MATCH(I3202,Dashboard!J:J,0),1),INDEX(Dashboard!J:K,MATCH(I3202,Dashboard!J:J,0),2)),"ON",IF(Dashboard!K$32="ALL","ON","-"))</f>
        <v>-</v>
      </c>
      <c r="C3202" s="88" t="s">
        <v>152</v>
      </c>
      <c r="D3202" s="89">
        <f>IF(C3202="ID",1,(IF(C3202="PR",2,(IF(C3202="DE",3,(IF(C3202="RS",4,(IF(C3202="RC",5,0)))))))))</f>
        <v>2</v>
      </c>
      <c r="E3202" s="89" t="s">
        <v>271</v>
      </c>
      <c r="F3202" s="89">
        <f>IF(E3202="AM",1,(IF(E3202="BE",2,(IF(E3202="GV",3,(IF(E3202="RA",4,(IF(E3202="RM",5,(IF(E3202="AC",1,(IF(E3202="AT",2,(IF(E3202="DS",3,(IF(E3202="IP",4,(IF(E3202="MA",5,(IF(E3202="PT",6,(IF(E3202="AE",1,(IF(E3202="CM",2,(IF(E3202="DP",3,(IF(E3202="AN",1,(IF(E3202="CO",2,(IF(E3202="IM",3,(IF(E3202="MI",4,(IF(E3202="RP",5,(IF(E3202="SC",6,0)))))))))))))))))))))))))))))))))))))))</f>
        <v>6</v>
      </c>
      <c r="G3202" s="52">
        <v>2</v>
      </c>
      <c r="H3202" s="90" t="s">
        <v>115</v>
      </c>
      <c r="I3202" s="94" t="s">
        <v>77</v>
      </c>
      <c r="J3202" s="87" t="s">
        <v>1224</v>
      </c>
      <c r="K3202" s="102" t="s">
        <v>2245</v>
      </c>
      <c r="L3202" s="117">
        <f>IF(O3202="","",N3202*O3202*M3202)</f>
        <v>0</v>
      </c>
      <c r="M3202" s="108">
        <v>1</v>
      </c>
      <c r="N3202" s="95">
        <v>1</v>
      </c>
      <c r="O3202" s="109">
        <f>IF(Key!D$1="ON",P3202,IF(SUM(Q3202:DL3202)&lt;1,"",SUM(Q3202:DL3202)/COUNTIF(Q3202:DL3202,"&gt;0")))</f>
        <v>0</v>
      </c>
      <c r="P3202" s="109">
        <f>SUMIFS(Q3202:DK3202,Q$1:DK$1,Dashboard!$K$31)</f>
        <v>0</v>
      </c>
      <c r="U3202" s="95">
        <v>33</v>
      </c>
      <c r="AA3202" s="95">
        <v>25</v>
      </c>
      <c r="AH3202" s="95">
        <v>75</v>
      </c>
    </row>
    <row r="3203" spans="1:34" ht="15.6" x14ac:dyDescent="0.3">
      <c r="A3203" s="89" t="str">
        <f>CONCATENATE(D3203,".",F3203,"-",G3203,".",H3203,"")</f>
        <v>2.6-2.1</v>
      </c>
      <c r="B3203" s="89" t="str">
        <f>IF(CONCATENATE(I3203,Key!F$2)=CONCATENATE(INDEX(Dashboard!J:J,MATCH(I3203,Dashboard!J:J,0),1),INDEX(Dashboard!J:K,MATCH(I3203,Dashboard!J:J,0),2)),"ON",IF(Dashboard!K$32="ALL","ON","-"))</f>
        <v>-</v>
      </c>
      <c r="C3203" s="96" t="s">
        <v>152</v>
      </c>
      <c r="D3203" s="89">
        <f>IF(C3203="ID",1,(IF(C3203="PR",2,(IF(C3203="DE",3,(IF(C3203="RS",4,(IF(C3203="RC",5,0)))))))))</f>
        <v>2</v>
      </c>
      <c r="E3203" s="89" t="s">
        <v>271</v>
      </c>
      <c r="F3203" s="89">
        <f>IF(E3203="AM",1,(IF(E3203="BE",2,(IF(E3203="GV",3,(IF(E3203="RA",4,(IF(E3203="RM",5,(IF(E3203="AC",1,(IF(E3203="AT",2,(IF(E3203="DS",3,(IF(E3203="IP",4,(IF(E3203="MA",5,(IF(E3203="PT",6,(IF(E3203="AE",1,(IF(E3203="CM",2,(IF(E3203="DP",3,(IF(E3203="AN",1,(IF(E3203="CO",2,(IF(E3203="IM",3,(IF(E3203="MI",4,(IF(E3203="RP",5,(IF(E3203="SC",6,0)))))))))))))))))))))))))))))))))))))))</f>
        <v>6</v>
      </c>
      <c r="G3203" s="52">
        <v>2</v>
      </c>
      <c r="H3203" s="90" t="s">
        <v>115</v>
      </c>
      <c r="I3203" s="94" t="s">
        <v>77</v>
      </c>
      <c r="J3203" s="87" t="s">
        <v>1737</v>
      </c>
      <c r="K3203" s="102" t="s">
        <v>2663</v>
      </c>
      <c r="L3203" s="117">
        <f>IF(O3203="","",N3203*O3203*M3203)</f>
        <v>0</v>
      </c>
      <c r="M3203" s="108">
        <v>1</v>
      </c>
      <c r="N3203" s="95">
        <v>1</v>
      </c>
      <c r="O3203" s="109">
        <f>IF(Key!D$1="ON",P3203,IF(SUM(Q3203:DL3203)&lt;1,"",SUM(Q3203:DL3203)/COUNTIF(Q3203:DL3203,"&gt;0")))</f>
        <v>0</v>
      </c>
      <c r="P3203" s="109">
        <f>SUMIFS(Q3203:DK3203,Q$1:DK$1,Dashboard!$K$31)</f>
        <v>0</v>
      </c>
      <c r="U3203" s="95">
        <v>33</v>
      </c>
      <c r="AA3203" s="95">
        <v>25</v>
      </c>
      <c r="AH3203" s="95">
        <v>75</v>
      </c>
    </row>
    <row r="3204" spans="1:34" ht="15.6" x14ac:dyDescent="0.3">
      <c r="A3204" s="89" t="str">
        <f>CONCATENATE(D3204,".",F3204,"-",G3204,".",H3204,"")</f>
        <v>2.6-2.1</v>
      </c>
      <c r="B3204" s="89" t="str">
        <f>IF(CONCATENATE(I3204,Key!F$2)=CONCATENATE(INDEX(Dashboard!J:J,MATCH(I3204,Dashboard!J:J,0),1),INDEX(Dashboard!J:K,MATCH(I3204,Dashboard!J:J,0),2)),"ON",IF(Dashboard!K$32="ALL","ON","-"))</f>
        <v>-</v>
      </c>
      <c r="C3204" s="96" t="s">
        <v>152</v>
      </c>
      <c r="D3204" s="89">
        <f>IF(C3204="ID",1,(IF(C3204="PR",2,(IF(C3204="DE",3,(IF(C3204="RS",4,(IF(C3204="RC",5,0)))))))))</f>
        <v>2</v>
      </c>
      <c r="E3204" s="89" t="s">
        <v>271</v>
      </c>
      <c r="F3204" s="89">
        <f>IF(E3204="AM",1,(IF(E3204="BE",2,(IF(E3204="GV",3,(IF(E3204="RA",4,(IF(E3204="RM",5,(IF(E3204="AC",1,(IF(E3204="AT",2,(IF(E3204="DS",3,(IF(E3204="IP",4,(IF(E3204="MA",5,(IF(E3204="PT",6,(IF(E3204="AE",1,(IF(E3204="CM",2,(IF(E3204="DP",3,(IF(E3204="AN",1,(IF(E3204="CO",2,(IF(E3204="IM",3,(IF(E3204="MI",4,(IF(E3204="RP",5,(IF(E3204="SC",6,0)))))))))))))))))))))))))))))))))))))))</f>
        <v>6</v>
      </c>
      <c r="G3204" s="52">
        <v>2</v>
      </c>
      <c r="H3204" s="90" t="s">
        <v>115</v>
      </c>
      <c r="I3204" s="94" t="s">
        <v>77</v>
      </c>
      <c r="J3204" s="87" t="s">
        <v>1739</v>
      </c>
      <c r="K3204" s="102" t="s">
        <v>2664</v>
      </c>
      <c r="L3204" s="117">
        <f>IF(O3204="","",N3204*O3204*M3204)</f>
        <v>0</v>
      </c>
      <c r="M3204" s="108">
        <v>1</v>
      </c>
      <c r="N3204" s="95">
        <v>1</v>
      </c>
      <c r="O3204" s="109">
        <f>IF(Key!D$1="ON",P3204,IF(SUM(Q3204:DL3204)&lt;1,"",SUM(Q3204:DL3204)/COUNTIF(Q3204:DL3204,"&gt;0")))</f>
        <v>0</v>
      </c>
      <c r="P3204" s="109">
        <f>SUMIFS(Q3204:DK3204,Q$1:DK$1,Dashboard!$K$31)</f>
        <v>0</v>
      </c>
      <c r="U3204" s="95">
        <v>33</v>
      </c>
      <c r="AA3204" s="95">
        <v>25</v>
      </c>
      <c r="AH3204" s="95">
        <v>75</v>
      </c>
    </row>
    <row r="3205" spans="1:34" ht="15.6" x14ac:dyDescent="0.3">
      <c r="A3205" s="89" t="str">
        <f>CONCATENATE(D3205,".",F3205,"-",G3205,".",H3205,"")</f>
        <v>2.6-2.1</v>
      </c>
      <c r="B3205" s="89" t="str">
        <f>IF(CONCATENATE(I3205,Key!F$2)=CONCATENATE(INDEX(Dashboard!J:J,MATCH(I3205,Dashboard!J:J,0),1),INDEX(Dashboard!J:K,MATCH(I3205,Dashboard!J:J,0),2)),"ON",IF(Dashboard!K$32="ALL","ON","-"))</f>
        <v>-</v>
      </c>
      <c r="C3205" s="88" t="s">
        <v>152</v>
      </c>
      <c r="D3205" s="89">
        <f>IF(C3205="ID",1,(IF(C3205="PR",2,(IF(C3205="DE",3,(IF(C3205="RS",4,(IF(C3205="RC",5,0)))))))))</f>
        <v>2</v>
      </c>
      <c r="E3205" s="89" t="s">
        <v>271</v>
      </c>
      <c r="F3205" s="89">
        <f>IF(E3205="AM",1,(IF(E3205="BE",2,(IF(E3205="GV",3,(IF(E3205="RA",4,(IF(E3205="RM",5,(IF(E3205="AC",1,(IF(E3205="AT",2,(IF(E3205="DS",3,(IF(E3205="IP",4,(IF(E3205="MA",5,(IF(E3205="PT",6,(IF(E3205="AE",1,(IF(E3205="CM",2,(IF(E3205="DP",3,(IF(E3205="AN",1,(IF(E3205="CO",2,(IF(E3205="IM",3,(IF(E3205="MI",4,(IF(E3205="RP",5,(IF(E3205="SC",6,0)))))))))))))))))))))))))))))))))))))))</f>
        <v>6</v>
      </c>
      <c r="G3205" s="52">
        <v>2</v>
      </c>
      <c r="H3205" s="90" t="s">
        <v>115</v>
      </c>
      <c r="I3205" s="94" t="s">
        <v>77</v>
      </c>
      <c r="J3205" s="87" t="s">
        <v>1741</v>
      </c>
      <c r="K3205" s="102" t="s">
        <v>2665</v>
      </c>
      <c r="L3205" s="117">
        <f>IF(O3205="","",N3205*O3205*M3205)</f>
        <v>0</v>
      </c>
      <c r="M3205" s="108">
        <v>1</v>
      </c>
      <c r="N3205" s="95">
        <v>1</v>
      </c>
      <c r="O3205" s="109">
        <f>IF(Key!D$1="ON",P3205,IF(SUM(Q3205:DL3205)&lt;1,"",SUM(Q3205:DL3205)/COUNTIF(Q3205:DL3205,"&gt;0")))</f>
        <v>0</v>
      </c>
      <c r="P3205" s="109">
        <f>SUMIFS(Q3205:DK3205,Q$1:DK$1,Dashboard!$K$31)</f>
        <v>0</v>
      </c>
      <c r="U3205" s="95">
        <v>33</v>
      </c>
      <c r="AA3205" s="95">
        <v>25</v>
      </c>
      <c r="AH3205" s="95">
        <v>75</v>
      </c>
    </row>
    <row r="3206" spans="1:34" ht="15.6" x14ac:dyDescent="0.3">
      <c r="A3206" s="89" t="str">
        <f>CONCATENATE(D3206,".",F3206,"-",G3206,".",H3206,"")</f>
        <v>2.6-2.1</v>
      </c>
      <c r="B3206" s="89" t="str">
        <f>IF(CONCATENATE(I3206,Key!F$2)=CONCATENATE(INDEX(Dashboard!J:J,MATCH(I3206,Dashboard!J:J,0),1),INDEX(Dashboard!J:K,MATCH(I3206,Dashboard!J:J,0),2)),"ON",IF(Dashboard!K$32="ALL","ON","-"))</f>
        <v>-</v>
      </c>
      <c r="C3206" s="96" t="s">
        <v>152</v>
      </c>
      <c r="D3206" s="89">
        <f>IF(C3206="ID",1,(IF(C3206="PR",2,(IF(C3206="DE",3,(IF(C3206="RS",4,(IF(C3206="RC",5,0)))))))))</f>
        <v>2</v>
      </c>
      <c r="E3206" s="89" t="s">
        <v>271</v>
      </c>
      <c r="F3206" s="89">
        <f>IF(E3206="AM",1,(IF(E3206="BE",2,(IF(E3206="GV",3,(IF(E3206="RA",4,(IF(E3206="RM",5,(IF(E3206="AC",1,(IF(E3206="AT",2,(IF(E3206="DS",3,(IF(E3206="IP",4,(IF(E3206="MA",5,(IF(E3206="PT",6,(IF(E3206="AE",1,(IF(E3206="CM",2,(IF(E3206="DP",3,(IF(E3206="AN",1,(IF(E3206="CO",2,(IF(E3206="IM",3,(IF(E3206="MI",4,(IF(E3206="RP",5,(IF(E3206="SC",6,0)))))))))))))))))))))))))))))))))))))))</f>
        <v>6</v>
      </c>
      <c r="G3206" s="52">
        <v>2</v>
      </c>
      <c r="H3206" s="90" t="s">
        <v>115</v>
      </c>
      <c r="I3206" s="94" t="s">
        <v>77</v>
      </c>
      <c r="J3206" s="87" t="s">
        <v>1742</v>
      </c>
      <c r="K3206" s="102" t="s">
        <v>2666</v>
      </c>
      <c r="L3206" s="117">
        <f>IF(O3206="","",N3206*O3206*M3206)</f>
        <v>0</v>
      </c>
      <c r="M3206" s="108">
        <v>1</v>
      </c>
      <c r="N3206" s="95">
        <v>1</v>
      </c>
      <c r="O3206" s="109">
        <f>IF(Key!D$1="ON",P3206,IF(SUM(Q3206:DL3206)&lt;1,"",SUM(Q3206:DL3206)/COUNTIF(Q3206:DL3206,"&gt;0")))</f>
        <v>0</v>
      </c>
      <c r="P3206" s="109">
        <f>SUMIFS(Q3206:DK3206,Q$1:DK$1,Dashboard!$K$31)</f>
        <v>0</v>
      </c>
      <c r="U3206" s="95">
        <v>33</v>
      </c>
      <c r="AA3206" s="95">
        <v>25</v>
      </c>
      <c r="AH3206" s="95">
        <v>75</v>
      </c>
    </row>
    <row r="3207" spans="1:34" ht="15.6" x14ac:dyDescent="0.3">
      <c r="A3207" s="89" t="str">
        <f>CONCATENATE(D3207,".",F3207,"-",G3207,".",H3207,"")</f>
        <v>2.6-2.1</v>
      </c>
      <c r="B3207" s="89" t="str">
        <f>IF(CONCATENATE(I3207,Key!F$2)=CONCATENATE(INDEX(Dashboard!J:J,MATCH(I3207,Dashboard!J:J,0),1),INDEX(Dashboard!J:K,MATCH(I3207,Dashboard!J:J,0),2)),"ON",IF(Dashboard!K$32="ALL","ON","-"))</f>
        <v>-</v>
      </c>
      <c r="C3207" s="88" t="s">
        <v>152</v>
      </c>
      <c r="D3207" s="89">
        <f>IF(C3207="ID",1,(IF(C3207="PR",2,(IF(C3207="DE",3,(IF(C3207="RS",4,(IF(C3207="RC",5,0)))))))))</f>
        <v>2</v>
      </c>
      <c r="E3207" s="89" t="s">
        <v>271</v>
      </c>
      <c r="F3207" s="89">
        <f>IF(E3207="AM",1,(IF(E3207="BE",2,(IF(E3207="GV",3,(IF(E3207="RA",4,(IF(E3207="RM",5,(IF(E3207="AC",1,(IF(E3207="AT",2,(IF(E3207="DS",3,(IF(E3207="IP",4,(IF(E3207="MA",5,(IF(E3207="PT",6,(IF(E3207="AE",1,(IF(E3207="CM",2,(IF(E3207="DP",3,(IF(E3207="AN",1,(IF(E3207="CO",2,(IF(E3207="IM",3,(IF(E3207="MI",4,(IF(E3207="RP",5,(IF(E3207="SC",6,0)))))))))))))))))))))))))))))))))))))))</f>
        <v>6</v>
      </c>
      <c r="G3207" s="52">
        <v>2</v>
      </c>
      <c r="H3207" s="90" t="s">
        <v>115</v>
      </c>
      <c r="I3207" s="94" t="s">
        <v>77</v>
      </c>
      <c r="J3207" s="87" t="s">
        <v>1744</v>
      </c>
      <c r="K3207" s="102" t="s">
        <v>2667</v>
      </c>
      <c r="L3207" s="117">
        <f>IF(O3207="","",N3207*O3207*M3207)</f>
        <v>0</v>
      </c>
      <c r="M3207" s="108">
        <v>1</v>
      </c>
      <c r="N3207" s="95">
        <v>1</v>
      </c>
      <c r="O3207" s="109">
        <f>IF(Key!D$1="ON",P3207,IF(SUM(Q3207:DL3207)&lt;1,"",SUM(Q3207:DL3207)/COUNTIF(Q3207:DL3207,"&gt;0")))</f>
        <v>0</v>
      </c>
      <c r="P3207" s="109">
        <f>SUMIFS(Q3207:DK3207,Q$1:DK$1,Dashboard!$K$31)</f>
        <v>0</v>
      </c>
      <c r="U3207" s="95">
        <v>33</v>
      </c>
      <c r="AA3207" s="95">
        <v>25</v>
      </c>
      <c r="AH3207" s="95">
        <v>75</v>
      </c>
    </row>
    <row r="3208" spans="1:34" ht="15.6" x14ac:dyDescent="0.3">
      <c r="A3208" s="89" t="str">
        <f>CONCATENATE(D3208,".",F3208,"-",G3208,".",H3208,"")</f>
        <v>2.6-2.1</v>
      </c>
      <c r="B3208" s="89" t="str">
        <f>IF(CONCATENATE(I3208,Key!F$2)=CONCATENATE(INDEX(Dashboard!J:J,MATCH(I3208,Dashboard!J:J,0),1),INDEX(Dashboard!J:K,MATCH(I3208,Dashboard!J:J,0),2)),"ON",IF(Dashboard!K$32="ALL","ON","-"))</f>
        <v>-</v>
      </c>
      <c r="C3208" s="88" t="s">
        <v>152</v>
      </c>
      <c r="D3208" s="89">
        <f>IF(C3208="ID",1,(IF(C3208="PR",2,(IF(C3208="DE",3,(IF(C3208="RS",4,(IF(C3208="RC",5,0)))))))))</f>
        <v>2</v>
      </c>
      <c r="E3208" s="89" t="s">
        <v>271</v>
      </c>
      <c r="F3208" s="89">
        <f>IF(E3208="AM",1,(IF(E3208="BE",2,(IF(E3208="GV",3,(IF(E3208="RA",4,(IF(E3208="RM",5,(IF(E3208="AC",1,(IF(E3208="AT",2,(IF(E3208="DS",3,(IF(E3208="IP",4,(IF(E3208="MA",5,(IF(E3208="PT",6,(IF(E3208="AE",1,(IF(E3208="CM",2,(IF(E3208="DP",3,(IF(E3208="AN",1,(IF(E3208="CO",2,(IF(E3208="IM",3,(IF(E3208="MI",4,(IF(E3208="RP",5,(IF(E3208="SC",6,0)))))))))))))))))))))))))))))))))))))))</f>
        <v>6</v>
      </c>
      <c r="G3208" s="52">
        <v>2</v>
      </c>
      <c r="H3208" s="90" t="s">
        <v>115</v>
      </c>
      <c r="I3208" s="94" t="s">
        <v>77</v>
      </c>
      <c r="J3208" s="87" t="s">
        <v>1745</v>
      </c>
      <c r="K3208" s="102" t="s">
        <v>2668</v>
      </c>
      <c r="L3208" s="117">
        <f>IF(O3208="","",N3208*O3208*M3208)</f>
        <v>0</v>
      </c>
      <c r="M3208" s="108">
        <v>1</v>
      </c>
      <c r="N3208" s="95">
        <v>1</v>
      </c>
      <c r="O3208" s="109">
        <f>IF(Key!D$1="ON",P3208,IF(SUM(Q3208:DL3208)&lt;1,"",SUM(Q3208:DL3208)/COUNTIF(Q3208:DL3208,"&gt;0")))</f>
        <v>0</v>
      </c>
      <c r="P3208" s="109">
        <f>SUMIFS(Q3208:DK3208,Q$1:DK$1,Dashboard!$K$31)</f>
        <v>0</v>
      </c>
      <c r="U3208" s="95">
        <v>33</v>
      </c>
      <c r="AA3208" s="95">
        <v>25</v>
      </c>
      <c r="AH3208" s="95">
        <v>75</v>
      </c>
    </row>
    <row r="3209" spans="1:34" ht="15.6" x14ac:dyDescent="0.3">
      <c r="A3209" s="89" t="str">
        <f>CONCATENATE(D3209,".",F3209,"-",G3209,".",H3209,"")</f>
        <v>2.6-2.1</v>
      </c>
      <c r="B3209" s="89" t="str">
        <f>IF(CONCATENATE(I3209,Key!F$2)=CONCATENATE(INDEX(Dashboard!J:J,MATCH(I3209,Dashboard!J:J,0),1),INDEX(Dashboard!J:K,MATCH(I3209,Dashboard!J:J,0),2)),"ON",IF(Dashboard!K$32="ALL","ON","-"))</f>
        <v>-</v>
      </c>
      <c r="C3209" s="96" t="s">
        <v>152</v>
      </c>
      <c r="D3209" s="89">
        <f>IF(C3209="ID",1,(IF(C3209="PR",2,(IF(C3209="DE",3,(IF(C3209="RS",4,(IF(C3209="RC",5,0)))))))))</f>
        <v>2</v>
      </c>
      <c r="E3209" s="89" t="s">
        <v>271</v>
      </c>
      <c r="F3209" s="89">
        <f>IF(E3209="AM",1,(IF(E3209="BE",2,(IF(E3209="GV",3,(IF(E3209="RA",4,(IF(E3209="RM",5,(IF(E3209="AC",1,(IF(E3209="AT",2,(IF(E3209="DS",3,(IF(E3209="IP",4,(IF(E3209="MA",5,(IF(E3209="PT",6,(IF(E3209="AE",1,(IF(E3209="CM",2,(IF(E3209="DP",3,(IF(E3209="AN",1,(IF(E3209="CO",2,(IF(E3209="IM",3,(IF(E3209="MI",4,(IF(E3209="RP",5,(IF(E3209="SC",6,0)))))))))))))))))))))))))))))))))))))))</f>
        <v>6</v>
      </c>
      <c r="G3209" s="52">
        <v>2</v>
      </c>
      <c r="H3209" s="90" t="s">
        <v>115</v>
      </c>
      <c r="I3209" s="94" t="s">
        <v>77</v>
      </c>
      <c r="J3209" s="87" t="s">
        <v>1746</v>
      </c>
      <c r="K3209" s="102" t="s">
        <v>2669</v>
      </c>
      <c r="L3209" s="117">
        <f>IF(O3209="","",N3209*O3209*M3209)</f>
        <v>0</v>
      </c>
      <c r="M3209" s="108">
        <v>1</v>
      </c>
      <c r="N3209" s="95">
        <v>1</v>
      </c>
      <c r="O3209" s="109">
        <f>IF(Key!D$1="ON",P3209,IF(SUM(Q3209:DL3209)&lt;1,"",SUM(Q3209:DL3209)/COUNTIF(Q3209:DL3209,"&gt;0")))</f>
        <v>0</v>
      </c>
      <c r="P3209" s="109">
        <f>SUMIFS(Q3209:DK3209,Q$1:DK$1,Dashboard!$K$31)</f>
        <v>0</v>
      </c>
      <c r="U3209" s="95">
        <v>33</v>
      </c>
      <c r="AA3209" s="95">
        <v>25</v>
      </c>
      <c r="AH3209" s="95">
        <v>75</v>
      </c>
    </row>
    <row r="3210" spans="1:34" ht="15.6" x14ac:dyDescent="0.3">
      <c r="A3210" s="89" t="str">
        <f>CONCATENATE(D3210,".",F3210,"-",G3210,".",H3210,"")</f>
        <v>2.6-2.1</v>
      </c>
      <c r="B3210" s="89" t="str">
        <f>IF(CONCATENATE(I3210,Key!F$2)=CONCATENATE(INDEX(Dashboard!J:J,MATCH(I3210,Dashboard!J:J,0),1),INDEX(Dashboard!J:K,MATCH(I3210,Dashboard!J:J,0),2)),"ON",IF(Dashboard!K$32="ALL","ON","-"))</f>
        <v>-</v>
      </c>
      <c r="C3210" s="88" t="s">
        <v>152</v>
      </c>
      <c r="D3210" s="89">
        <f>IF(C3210="ID",1,(IF(C3210="PR",2,(IF(C3210="DE",3,(IF(C3210="RS",4,(IF(C3210="RC",5,0)))))))))</f>
        <v>2</v>
      </c>
      <c r="E3210" s="89" t="s">
        <v>271</v>
      </c>
      <c r="F3210" s="89">
        <f>IF(E3210="AM",1,(IF(E3210="BE",2,(IF(E3210="GV",3,(IF(E3210="RA",4,(IF(E3210="RM",5,(IF(E3210="AC",1,(IF(E3210="AT",2,(IF(E3210="DS",3,(IF(E3210="IP",4,(IF(E3210="MA",5,(IF(E3210="PT",6,(IF(E3210="AE",1,(IF(E3210="CM",2,(IF(E3210="DP",3,(IF(E3210="AN",1,(IF(E3210="CO",2,(IF(E3210="IM",3,(IF(E3210="MI",4,(IF(E3210="RP",5,(IF(E3210="SC",6,0)))))))))))))))))))))))))))))))))))))))</f>
        <v>6</v>
      </c>
      <c r="G3210" s="52">
        <v>2</v>
      </c>
      <c r="H3210" s="90" t="s">
        <v>115</v>
      </c>
      <c r="I3210" s="94" t="s">
        <v>77</v>
      </c>
      <c r="J3210" s="87" t="s">
        <v>1748</v>
      </c>
      <c r="K3210" s="102" t="s">
        <v>2670</v>
      </c>
      <c r="L3210" s="117">
        <f>IF(O3210="","",N3210*O3210*M3210)</f>
        <v>0</v>
      </c>
      <c r="M3210" s="108">
        <v>1</v>
      </c>
      <c r="N3210" s="95">
        <v>1</v>
      </c>
      <c r="O3210" s="109">
        <f>IF(Key!D$1="ON",P3210,IF(SUM(Q3210:DL3210)&lt;1,"",SUM(Q3210:DL3210)/COUNTIF(Q3210:DL3210,"&gt;0")))</f>
        <v>0</v>
      </c>
      <c r="P3210" s="109">
        <f>SUMIFS(Q3210:DK3210,Q$1:DK$1,Dashboard!$K$31)</f>
        <v>0</v>
      </c>
      <c r="U3210" s="95">
        <v>33</v>
      </c>
      <c r="AA3210" s="95">
        <v>25</v>
      </c>
      <c r="AH3210" s="95">
        <v>75</v>
      </c>
    </row>
    <row r="3211" spans="1:34" ht="15.6" x14ac:dyDescent="0.3">
      <c r="A3211" s="89" t="str">
        <f>CONCATENATE(D3211,".",F3211,"-",G3211,".",H3211,"")</f>
        <v>2.6-2.1</v>
      </c>
      <c r="B3211" s="89" t="str">
        <f>IF(CONCATENATE(I3211,Key!F$2)=CONCATENATE(INDEX(Dashboard!J:J,MATCH(I3211,Dashboard!J:J,0),1),INDEX(Dashboard!J:K,MATCH(I3211,Dashboard!J:J,0),2)),"ON",IF(Dashboard!K$32="ALL","ON","-"))</f>
        <v>-</v>
      </c>
      <c r="C3211" s="88" t="s">
        <v>152</v>
      </c>
      <c r="D3211" s="89">
        <f>IF(C3211="ID",1,(IF(C3211="PR",2,(IF(C3211="DE",3,(IF(C3211="RS",4,(IF(C3211="RC",5,0)))))))))</f>
        <v>2</v>
      </c>
      <c r="E3211" s="89" t="s">
        <v>271</v>
      </c>
      <c r="F3211" s="89">
        <f>IF(E3211="AM",1,(IF(E3211="BE",2,(IF(E3211="GV",3,(IF(E3211="RA",4,(IF(E3211="RM",5,(IF(E3211="AC",1,(IF(E3211="AT",2,(IF(E3211="DS",3,(IF(E3211="IP",4,(IF(E3211="MA",5,(IF(E3211="PT",6,(IF(E3211="AE",1,(IF(E3211="CM",2,(IF(E3211="DP",3,(IF(E3211="AN",1,(IF(E3211="CO",2,(IF(E3211="IM",3,(IF(E3211="MI",4,(IF(E3211="RP",5,(IF(E3211="SC",6,0)))))))))))))))))))))))))))))))))))))))</f>
        <v>6</v>
      </c>
      <c r="G3211" s="52">
        <v>2</v>
      </c>
      <c r="H3211" s="90" t="s">
        <v>115</v>
      </c>
      <c r="I3211" s="94" t="s">
        <v>77</v>
      </c>
      <c r="J3211" s="87" t="s">
        <v>1749</v>
      </c>
      <c r="K3211" s="102" t="s">
        <v>2671</v>
      </c>
      <c r="L3211" s="117">
        <f>IF(O3211="","",N3211*O3211*M3211)</f>
        <v>0</v>
      </c>
      <c r="M3211" s="108">
        <v>1</v>
      </c>
      <c r="N3211" s="95">
        <v>1</v>
      </c>
      <c r="O3211" s="109">
        <f>IF(Key!D$1="ON",P3211,IF(SUM(Q3211:DL3211)&lt;1,"",SUM(Q3211:DL3211)/COUNTIF(Q3211:DL3211,"&gt;0")))</f>
        <v>0</v>
      </c>
      <c r="P3211" s="109">
        <f>SUMIFS(Q3211:DK3211,Q$1:DK$1,Dashboard!$K$31)</f>
        <v>0</v>
      </c>
      <c r="U3211" s="95">
        <v>33</v>
      </c>
      <c r="AA3211" s="95">
        <v>25</v>
      </c>
      <c r="AH3211" s="95">
        <v>75</v>
      </c>
    </row>
    <row r="3212" spans="1:34" x14ac:dyDescent="0.3">
      <c r="A3212" s="89" t="str">
        <f>CONCATENATE(D3212,".",F3212,"-",G3212,".",H3212,"")</f>
        <v>2.6-2.1</v>
      </c>
      <c r="B3212" s="89" t="str">
        <f>IF(CONCATENATE(I3212,Key!F$2)=CONCATENATE(INDEX(Dashboard!J:J,MATCH(I3212,Dashboard!J:J,0),1),INDEX(Dashboard!J:K,MATCH(I3212,Dashboard!J:J,0),2)),"ON",IF(Dashboard!K$32="ALL","ON","-"))</f>
        <v>-</v>
      </c>
      <c r="C3212" s="88" t="s">
        <v>152</v>
      </c>
      <c r="D3212" s="89">
        <f>IF(C3212="ID",1,(IF(C3212="PR",2,(IF(C3212="DE",3,(IF(C3212="RS",4,(IF(C3212="RC",5,0)))))))))</f>
        <v>2</v>
      </c>
      <c r="E3212" s="89" t="s">
        <v>271</v>
      </c>
      <c r="F3212" s="89">
        <f>IF(E3212="AM",1,(IF(E3212="BE",2,(IF(E3212="GV",3,(IF(E3212="RA",4,(IF(E3212="RM",5,(IF(E3212="AC",1,(IF(E3212="AT",2,(IF(E3212="DS",3,(IF(E3212="IP",4,(IF(E3212="MA",5,(IF(E3212="PT",6,(IF(E3212="AE",1,(IF(E3212="CM",2,(IF(E3212="DP",3,(IF(E3212="AN",1,(IF(E3212="CO",2,(IF(E3212="IM",3,(IF(E3212="MI",4,(IF(E3212="RP",5,(IF(E3212="SC",6,0)))))))))))))))))))))))))))))))))))))))</f>
        <v>6</v>
      </c>
      <c r="G3212" s="52">
        <v>2</v>
      </c>
      <c r="H3212" s="90" t="s">
        <v>115</v>
      </c>
      <c r="I3212" s="94" t="s">
        <v>85</v>
      </c>
      <c r="J3212" s="135" t="s">
        <v>632</v>
      </c>
      <c r="K3212" s="143" t="s">
        <v>4591</v>
      </c>
      <c r="L3212" s="117">
        <f>IF(O3212="","",N3212*O3212*M3212)</f>
        <v>0</v>
      </c>
      <c r="M3212" s="108">
        <v>1</v>
      </c>
      <c r="N3212" s="95">
        <v>1</v>
      </c>
      <c r="O3212" s="109">
        <f>IF(Key!D$1="ON",P3212,IF(SUM(Q3212:DL3212)&lt;1,"",SUM(Q3212:DL3212)/COUNTIF(Q3212:DL3212,"&gt;0")))</f>
        <v>0</v>
      </c>
      <c r="P3212" s="109">
        <f>SUMIFS(Q3212:DK3212,Q$1:DK$1,Dashboard!$K$31)</f>
        <v>0</v>
      </c>
      <c r="U3212" s="95">
        <v>33</v>
      </c>
      <c r="AA3212" s="95">
        <v>25</v>
      </c>
      <c r="AH3212" s="95">
        <v>75</v>
      </c>
    </row>
    <row r="3213" spans="1:34" ht="15.6" x14ac:dyDescent="0.3">
      <c r="A3213" s="89" t="str">
        <f>CONCATENATE(D3213,".",F3213,"-",G3213,".",H3213,"")</f>
        <v>2.6-2.1</v>
      </c>
      <c r="B3213" s="89" t="str">
        <f>IF(CONCATENATE(I3213,Key!F$2)=CONCATENATE(INDEX(Dashboard!J:J,MATCH(I3213,Dashboard!J:J,0),1),INDEX(Dashboard!J:K,MATCH(I3213,Dashboard!J:J,0),2)),"ON",IF(Dashboard!K$32="ALL","ON","-"))</f>
        <v>-</v>
      </c>
      <c r="C3213" s="88" t="s">
        <v>152</v>
      </c>
      <c r="D3213" s="89">
        <f>IF(C3213="ID",1,(IF(C3213="PR",2,(IF(C3213="DE",3,(IF(C3213="RS",4,(IF(C3213="RC",5,0)))))))))</f>
        <v>2</v>
      </c>
      <c r="E3213" s="89" t="s">
        <v>271</v>
      </c>
      <c r="F3213" s="89">
        <f>IF(E3213="AM",1,(IF(E3213="BE",2,(IF(E3213="GV",3,(IF(E3213="RA",4,(IF(E3213="RM",5,(IF(E3213="AC",1,(IF(E3213="AT",2,(IF(E3213="DS",3,(IF(E3213="IP",4,(IF(E3213="MA",5,(IF(E3213="PT",6,(IF(E3213="AE",1,(IF(E3213="CM",2,(IF(E3213="DP",3,(IF(E3213="AN",1,(IF(E3213="CO",2,(IF(E3213="IM",3,(IF(E3213="MI",4,(IF(E3213="RP",5,(IF(E3213="SC",6,0)))))))))))))))))))))))))))))))))))))))</f>
        <v>6</v>
      </c>
      <c r="G3213" s="52">
        <v>2</v>
      </c>
      <c r="H3213" s="90" t="s">
        <v>115</v>
      </c>
      <c r="I3213" s="94" t="s">
        <v>85</v>
      </c>
      <c r="J3213" s="87" t="s">
        <v>1224</v>
      </c>
      <c r="K3213" s="119" t="s">
        <v>1225</v>
      </c>
      <c r="L3213" s="117">
        <f>IF(O3213="","",N3213*O3213*M3213)</f>
        <v>0</v>
      </c>
      <c r="M3213" s="108">
        <v>1</v>
      </c>
      <c r="N3213" s="95">
        <v>1</v>
      </c>
      <c r="O3213" s="109">
        <f>IF(Key!D$1="ON",P3213,IF(SUM(Q3213:DL3213)&lt;1,"",SUM(Q3213:DL3213)/COUNTIF(Q3213:DL3213,"&gt;0")))</f>
        <v>0</v>
      </c>
      <c r="P3213" s="109">
        <f>SUMIFS(Q3213:DK3213,Q$1:DK$1,Dashboard!$K$31)</f>
        <v>0</v>
      </c>
      <c r="U3213" s="95">
        <v>33</v>
      </c>
      <c r="AA3213" s="95">
        <v>25</v>
      </c>
      <c r="AH3213" s="95">
        <v>75</v>
      </c>
    </row>
    <row r="3214" spans="1:34" x14ac:dyDescent="0.3">
      <c r="A3214" s="89" t="str">
        <f>CONCATENATE(D3214,".",F3214,"-",G3214,".",H3214,"")</f>
        <v>2.6-2.1</v>
      </c>
      <c r="B3214" s="89" t="str">
        <f>IF(CONCATENATE(I3214,Key!F$2)=CONCATENATE(INDEX(Dashboard!J:J,MATCH(I3214,Dashboard!J:J,0),1),INDEX(Dashboard!J:K,MATCH(I3214,Dashboard!J:J,0),2)),"ON",IF(Dashboard!K$32="ALL","ON","-"))</f>
        <v>-</v>
      </c>
      <c r="C3214" s="88" t="s">
        <v>152</v>
      </c>
      <c r="D3214" s="89">
        <f>IF(C3214="ID",1,(IF(C3214="PR",2,(IF(C3214="DE",3,(IF(C3214="RS",4,(IF(C3214="RC",5,0)))))))))</f>
        <v>2</v>
      </c>
      <c r="E3214" s="89" t="s">
        <v>271</v>
      </c>
      <c r="F3214" s="89">
        <f>IF(E3214="AM",1,(IF(E3214="BE",2,(IF(E3214="GV",3,(IF(E3214="RA",4,(IF(E3214="RM",5,(IF(E3214="AC",1,(IF(E3214="AT",2,(IF(E3214="DS",3,(IF(E3214="IP",4,(IF(E3214="MA",5,(IF(E3214="PT",6,(IF(E3214="AE",1,(IF(E3214="CM",2,(IF(E3214="DP",3,(IF(E3214="AN",1,(IF(E3214="CO",2,(IF(E3214="IM",3,(IF(E3214="MI",4,(IF(E3214="RP",5,(IF(E3214="SC",6,0)))))))))))))))))))))))))))))))))))))))</f>
        <v>6</v>
      </c>
      <c r="G3214" s="52">
        <v>2</v>
      </c>
      <c r="H3214" s="90" t="s">
        <v>115</v>
      </c>
      <c r="I3214" s="94" t="s">
        <v>85</v>
      </c>
      <c r="J3214" s="87" t="s">
        <v>1741</v>
      </c>
      <c r="K3214" s="119" t="s">
        <v>4834</v>
      </c>
      <c r="L3214" s="117">
        <f>IF(O3214="","",N3214*O3214*M3214)</f>
        <v>0</v>
      </c>
      <c r="M3214" s="108">
        <v>1</v>
      </c>
      <c r="N3214" s="95">
        <v>1</v>
      </c>
      <c r="O3214" s="109">
        <f>IF(Key!D$1="ON",P3214,IF(SUM(Q3214:DL3214)&lt;1,"",SUM(Q3214:DL3214)/COUNTIF(Q3214:DL3214,"&gt;0")))</f>
        <v>0</v>
      </c>
      <c r="P3214" s="109">
        <f>SUMIFS(Q3214:DK3214,Q$1:DK$1,Dashboard!$K$31)</f>
        <v>0</v>
      </c>
      <c r="U3214" s="95">
        <v>33</v>
      </c>
      <c r="AA3214" s="95">
        <v>25</v>
      </c>
      <c r="AH3214" s="95">
        <v>75</v>
      </c>
    </row>
    <row r="3215" spans="1:34" x14ac:dyDescent="0.3">
      <c r="A3215" s="89" t="str">
        <f>CONCATENATE(D3215,".",F3215,"-",G3215,".",H3215,"")</f>
        <v>2.6-2.1</v>
      </c>
      <c r="B3215" s="89" t="str">
        <f>IF(CONCATENATE(I3215,Key!F$2)=CONCATENATE(INDEX(Dashboard!J:J,MATCH(I3215,Dashboard!J:J,0),1),INDEX(Dashboard!J:K,MATCH(I3215,Dashboard!J:J,0),2)),"ON",IF(Dashboard!K$32="ALL","ON","-"))</f>
        <v>-</v>
      </c>
      <c r="C3215" s="88" t="s">
        <v>152</v>
      </c>
      <c r="D3215" s="89">
        <f>IF(C3215="ID",1,(IF(C3215="PR",2,(IF(C3215="DE",3,(IF(C3215="RS",4,(IF(C3215="RC",5,0)))))))))</f>
        <v>2</v>
      </c>
      <c r="E3215" s="89" t="s">
        <v>271</v>
      </c>
      <c r="F3215" s="89">
        <f>IF(E3215="AM",1,(IF(E3215="BE",2,(IF(E3215="GV",3,(IF(E3215="RA",4,(IF(E3215="RM",5,(IF(E3215="AC",1,(IF(E3215="AT",2,(IF(E3215="DS",3,(IF(E3215="IP",4,(IF(E3215="MA",5,(IF(E3215="PT",6,(IF(E3215="AE",1,(IF(E3215="CM",2,(IF(E3215="DP",3,(IF(E3215="AN",1,(IF(E3215="CO",2,(IF(E3215="IM",3,(IF(E3215="MI",4,(IF(E3215="RP",5,(IF(E3215="SC",6,0)))))))))))))))))))))))))))))))))))))))</f>
        <v>6</v>
      </c>
      <c r="G3215" s="52">
        <v>2</v>
      </c>
      <c r="H3215" s="90" t="s">
        <v>115</v>
      </c>
      <c r="I3215" s="94" t="s">
        <v>85</v>
      </c>
      <c r="J3215" s="87" t="s">
        <v>1744</v>
      </c>
      <c r="K3215" s="119" t="s">
        <v>4835</v>
      </c>
      <c r="L3215" s="117">
        <f>IF(O3215="","",N3215*O3215*M3215)</f>
        <v>0</v>
      </c>
      <c r="M3215" s="108">
        <v>1</v>
      </c>
      <c r="N3215" s="95">
        <v>1</v>
      </c>
      <c r="O3215" s="109">
        <f>IF(Key!D$1="ON",P3215,IF(SUM(Q3215:DL3215)&lt;1,"",SUM(Q3215:DL3215)/COUNTIF(Q3215:DL3215,"&gt;0")))</f>
        <v>0</v>
      </c>
      <c r="P3215" s="109">
        <f>SUMIFS(Q3215:DK3215,Q$1:DK$1,Dashboard!$K$31)</f>
        <v>0</v>
      </c>
      <c r="U3215" s="95">
        <v>33</v>
      </c>
      <c r="AA3215" s="95">
        <v>25</v>
      </c>
      <c r="AH3215" s="95">
        <v>75</v>
      </c>
    </row>
    <row r="3216" spans="1:34" ht="15.6" x14ac:dyDescent="0.3">
      <c r="A3216" s="89" t="str">
        <f>CONCATENATE(D3216,".",F3216,"-",G3216,".",H3216,"")</f>
        <v>2.6-2.1</v>
      </c>
      <c r="B3216" s="89" t="str">
        <f>IF(CONCATENATE(I3216,Key!F$2)=CONCATENATE(INDEX(Dashboard!J:J,MATCH(I3216,Dashboard!J:J,0),1),INDEX(Dashboard!J:K,MATCH(I3216,Dashboard!J:J,0),2)),"ON",IF(Dashboard!K$32="ALL","ON","-"))</f>
        <v>-</v>
      </c>
      <c r="C3216" s="96" t="s">
        <v>152</v>
      </c>
      <c r="D3216" s="89">
        <f>IF(C3216="ID",1,(IF(C3216="PR",2,(IF(C3216="DE",3,(IF(C3216="RS",4,(IF(C3216="RC",5,0)))))))))</f>
        <v>2</v>
      </c>
      <c r="E3216" s="89" t="s">
        <v>271</v>
      </c>
      <c r="F3216" s="89">
        <f>IF(E3216="AM",1,(IF(E3216="BE",2,(IF(E3216="GV",3,(IF(E3216="RA",4,(IF(E3216="RM",5,(IF(E3216="AC",1,(IF(E3216="AT",2,(IF(E3216="DS",3,(IF(E3216="IP",4,(IF(E3216="MA",5,(IF(E3216="PT",6,(IF(E3216="AE",1,(IF(E3216="CM",2,(IF(E3216="DP",3,(IF(E3216="AN",1,(IF(E3216="CO",2,(IF(E3216="IM",3,(IF(E3216="MI",4,(IF(E3216="RP",5,(IF(E3216="SC",6,0)))))))))))))))))))))))))))))))))))))))</f>
        <v>6</v>
      </c>
      <c r="G3216" s="52">
        <v>2</v>
      </c>
      <c r="H3216" s="90" t="s">
        <v>115</v>
      </c>
      <c r="I3216" s="94" t="s">
        <v>85</v>
      </c>
      <c r="J3216" s="87" t="s">
        <v>1737</v>
      </c>
      <c r="K3216" s="119" t="s">
        <v>1738</v>
      </c>
      <c r="L3216" s="117">
        <f>IF(O3216="","",N3216*O3216*M3216)</f>
        <v>0</v>
      </c>
      <c r="M3216" s="108">
        <v>1</v>
      </c>
      <c r="N3216" s="95">
        <v>1</v>
      </c>
      <c r="O3216" s="109">
        <f>IF(Key!D$1="ON",P3216,IF(SUM(Q3216:DL3216)&lt;1,"",SUM(Q3216:DL3216)/COUNTIF(Q3216:DL3216,"&gt;0")))</f>
        <v>0</v>
      </c>
      <c r="P3216" s="109">
        <f>SUMIFS(Q3216:DK3216,Q$1:DK$1,Dashboard!$K$31)</f>
        <v>0</v>
      </c>
      <c r="U3216" s="95">
        <v>33</v>
      </c>
      <c r="AA3216" s="95">
        <v>25</v>
      </c>
      <c r="AH3216" s="95">
        <v>75</v>
      </c>
    </row>
    <row r="3217" spans="1:34" x14ac:dyDescent="0.3">
      <c r="A3217" s="89" t="str">
        <f>CONCATENATE(D3217,".",F3217,"-",G3217,".",H3217,"")</f>
        <v>2.6-2.1</v>
      </c>
      <c r="B3217" s="89" t="str">
        <f>IF(CONCATENATE(I3217,Key!F$2)=CONCATENATE(INDEX(Dashboard!J:J,MATCH(I3217,Dashboard!J:J,0),1),INDEX(Dashboard!J:K,MATCH(I3217,Dashboard!J:J,0),2)),"ON",IF(Dashboard!K$32="ALL","ON","-"))</f>
        <v>-</v>
      </c>
      <c r="C3217" s="96" t="s">
        <v>152</v>
      </c>
      <c r="D3217" s="89">
        <f>IF(C3217="ID",1,(IF(C3217="PR",2,(IF(C3217="DE",3,(IF(C3217="RS",4,(IF(C3217="RC",5,0)))))))))</f>
        <v>2</v>
      </c>
      <c r="E3217" s="89" t="s">
        <v>271</v>
      </c>
      <c r="F3217" s="89">
        <f>IF(E3217="AM",1,(IF(E3217="BE",2,(IF(E3217="GV",3,(IF(E3217="RA",4,(IF(E3217="RM",5,(IF(E3217="AC",1,(IF(E3217="AT",2,(IF(E3217="DS",3,(IF(E3217="IP",4,(IF(E3217="MA",5,(IF(E3217="PT",6,(IF(E3217="AE",1,(IF(E3217="CM",2,(IF(E3217="DP",3,(IF(E3217="AN",1,(IF(E3217="CO",2,(IF(E3217="IM",3,(IF(E3217="MI",4,(IF(E3217="RP",5,(IF(E3217="SC",6,0)))))))))))))))))))))))))))))))))))))))</f>
        <v>6</v>
      </c>
      <c r="G3217" s="52">
        <v>2</v>
      </c>
      <c r="H3217" s="90" t="s">
        <v>115</v>
      </c>
      <c r="I3217" s="94" t="s">
        <v>85</v>
      </c>
      <c r="J3217" s="87" t="s">
        <v>1739</v>
      </c>
      <c r="K3217" s="119" t="s">
        <v>1740</v>
      </c>
      <c r="L3217" s="117">
        <f>IF(O3217="","",N3217*O3217*M3217)</f>
        <v>0</v>
      </c>
      <c r="M3217" s="108">
        <v>1</v>
      </c>
      <c r="N3217" s="95">
        <v>1</v>
      </c>
      <c r="O3217" s="109">
        <f>IF(Key!D$1="ON",P3217,IF(SUM(Q3217:DL3217)&lt;1,"",SUM(Q3217:DL3217)/COUNTIF(Q3217:DL3217,"&gt;0")))</f>
        <v>0</v>
      </c>
      <c r="P3217" s="109">
        <f>SUMIFS(Q3217:DK3217,Q$1:DK$1,Dashboard!$K$31)</f>
        <v>0</v>
      </c>
      <c r="U3217" s="95">
        <v>33</v>
      </c>
      <c r="AA3217" s="95">
        <v>25</v>
      </c>
      <c r="AH3217" s="95">
        <v>75</v>
      </c>
    </row>
    <row r="3218" spans="1:34" x14ac:dyDescent="0.3">
      <c r="A3218" s="89" t="str">
        <f>CONCATENATE(D3218,".",F3218,"-",G3218,".",H3218,"")</f>
        <v>2.6-2.1</v>
      </c>
      <c r="B3218" s="89" t="str">
        <f>IF(CONCATENATE(I3218,Key!F$2)=CONCATENATE(INDEX(Dashboard!J:J,MATCH(I3218,Dashboard!J:J,0),1),INDEX(Dashboard!J:K,MATCH(I3218,Dashboard!J:J,0),2)),"ON",IF(Dashboard!K$32="ALL","ON","-"))</f>
        <v>-</v>
      </c>
      <c r="C3218" s="96" t="s">
        <v>152</v>
      </c>
      <c r="D3218" s="89">
        <f>IF(C3218="ID",1,(IF(C3218="PR",2,(IF(C3218="DE",3,(IF(C3218="RS",4,(IF(C3218="RC",5,0)))))))))</f>
        <v>2</v>
      </c>
      <c r="E3218" s="89" t="s">
        <v>271</v>
      </c>
      <c r="F3218" s="89">
        <f>IF(E3218="AM",1,(IF(E3218="BE",2,(IF(E3218="GV",3,(IF(E3218="RA",4,(IF(E3218="RM",5,(IF(E3218="AC",1,(IF(E3218="AT",2,(IF(E3218="DS",3,(IF(E3218="IP",4,(IF(E3218="MA",5,(IF(E3218="PT",6,(IF(E3218="AE",1,(IF(E3218="CM",2,(IF(E3218="DP",3,(IF(E3218="AN",1,(IF(E3218="CO",2,(IF(E3218="IM",3,(IF(E3218="MI",4,(IF(E3218="RP",5,(IF(E3218="SC",6,0)))))))))))))))))))))))))))))))))))))))</f>
        <v>6</v>
      </c>
      <c r="G3218" s="52">
        <v>2</v>
      </c>
      <c r="H3218" s="90" t="s">
        <v>115</v>
      </c>
      <c r="I3218" s="94" t="s">
        <v>85</v>
      </c>
      <c r="J3218" s="87" t="s">
        <v>1742</v>
      </c>
      <c r="K3218" s="119" t="s">
        <v>1743</v>
      </c>
      <c r="L3218" s="117">
        <f>IF(O3218="","",N3218*O3218*M3218)</f>
        <v>0</v>
      </c>
      <c r="M3218" s="108">
        <v>1</v>
      </c>
      <c r="N3218" s="95">
        <v>1</v>
      </c>
      <c r="O3218" s="109">
        <f>IF(Key!D$1="ON",P3218,IF(SUM(Q3218:DL3218)&lt;1,"",SUM(Q3218:DL3218)/COUNTIF(Q3218:DL3218,"&gt;0")))</f>
        <v>0</v>
      </c>
      <c r="P3218" s="109">
        <f>SUMIFS(Q3218:DK3218,Q$1:DK$1,Dashboard!$K$31)</f>
        <v>0</v>
      </c>
      <c r="U3218" s="95">
        <v>33</v>
      </c>
      <c r="AA3218" s="95">
        <v>25</v>
      </c>
      <c r="AH3218" s="95">
        <v>75</v>
      </c>
    </row>
    <row r="3219" spans="1:34" ht="15.6" x14ac:dyDescent="0.3">
      <c r="A3219" s="89" t="str">
        <f>CONCATENATE(D3219,".",F3219,"-",G3219,".",H3219,"")</f>
        <v>2.6-2.1</v>
      </c>
      <c r="B3219" s="89" t="str">
        <f>IF(CONCATENATE(I3219,Key!F$2)=CONCATENATE(INDEX(Dashboard!J:J,MATCH(I3219,Dashboard!J:J,0),1),INDEX(Dashboard!J:K,MATCH(I3219,Dashboard!J:J,0),2)),"ON",IF(Dashboard!K$32="ALL","ON","-"))</f>
        <v>-</v>
      </c>
      <c r="C3219" s="96" t="s">
        <v>152</v>
      </c>
      <c r="D3219" s="89">
        <f>IF(C3219="ID",1,(IF(C3219="PR",2,(IF(C3219="DE",3,(IF(C3219="RS",4,(IF(C3219="RC",5,0)))))))))</f>
        <v>2</v>
      </c>
      <c r="E3219" s="89" t="s">
        <v>271</v>
      </c>
      <c r="F3219" s="89">
        <f>IF(E3219="AM",1,(IF(E3219="BE",2,(IF(E3219="GV",3,(IF(E3219="RA",4,(IF(E3219="RM",5,(IF(E3219="AC",1,(IF(E3219="AT",2,(IF(E3219="DS",3,(IF(E3219="IP",4,(IF(E3219="MA",5,(IF(E3219="PT",6,(IF(E3219="AE",1,(IF(E3219="CM",2,(IF(E3219="DP",3,(IF(E3219="AN",1,(IF(E3219="CO",2,(IF(E3219="IM",3,(IF(E3219="MI",4,(IF(E3219="RP",5,(IF(E3219="SC",6,0)))))))))))))))))))))))))))))))))))))))</f>
        <v>6</v>
      </c>
      <c r="G3219" s="52">
        <v>2</v>
      </c>
      <c r="H3219" s="90" t="s">
        <v>115</v>
      </c>
      <c r="I3219" s="94" t="s">
        <v>85</v>
      </c>
      <c r="J3219" s="87" t="s">
        <v>1746</v>
      </c>
      <c r="K3219" s="119" t="s">
        <v>1747</v>
      </c>
      <c r="L3219" s="117">
        <f>IF(O3219="","",N3219*O3219*M3219)</f>
        <v>0</v>
      </c>
      <c r="M3219" s="108">
        <v>1</v>
      </c>
      <c r="N3219" s="95">
        <v>1</v>
      </c>
      <c r="O3219" s="109">
        <f>IF(Key!D$1="ON",P3219,IF(SUM(Q3219:DL3219)&lt;1,"",SUM(Q3219:DL3219)/COUNTIF(Q3219:DL3219,"&gt;0")))</f>
        <v>0</v>
      </c>
      <c r="P3219" s="109">
        <f>SUMIFS(Q3219:DK3219,Q$1:DK$1,Dashboard!$K$31)</f>
        <v>0</v>
      </c>
      <c r="U3219" s="95">
        <v>33</v>
      </c>
      <c r="AA3219" s="95">
        <v>25</v>
      </c>
      <c r="AH3219" s="95">
        <v>75</v>
      </c>
    </row>
    <row r="3220" spans="1:34" x14ac:dyDescent="0.3">
      <c r="A3220" s="89" t="str">
        <f>CONCATENATE(D3220,".",F3220,"-",G3220,".",H3220,"")</f>
        <v>2.6-2.1</v>
      </c>
      <c r="B3220" s="89" t="str">
        <f>IF(CONCATENATE(I3220,Key!F$2)=CONCATENATE(INDEX(Dashboard!J:J,MATCH(I3220,Dashboard!J:J,0),1),INDEX(Dashboard!J:K,MATCH(I3220,Dashboard!J:J,0),2)),"ON",IF(Dashboard!K$32="ALL","ON","-"))</f>
        <v>-</v>
      </c>
      <c r="C3220" s="88" t="s">
        <v>152</v>
      </c>
      <c r="D3220" s="89">
        <f>IF(C3220="ID",1,(IF(C3220="PR",2,(IF(C3220="DE",3,(IF(C3220="RS",4,(IF(C3220="RC",5,0)))))))))</f>
        <v>2</v>
      </c>
      <c r="E3220" s="89" t="s">
        <v>271</v>
      </c>
      <c r="F3220" s="89">
        <f>IF(E3220="AM",1,(IF(E3220="BE",2,(IF(E3220="GV",3,(IF(E3220="RA",4,(IF(E3220="RM",5,(IF(E3220="AC",1,(IF(E3220="AT",2,(IF(E3220="DS",3,(IF(E3220="IP",4,(IF(E3220="MA",5,(IF(E3220="PT",6,(IF(E3220="AE",1,(IF(E3220="CM",2,(IF(E3220="DP",3,(IF(E3220="AN",1,(IF(E3220="CO",2,(IF(E3220="IM",3,(IF(E3220="MI",4,(IF(E3220="RP",5,(IF(E3220="SC",6,0)))))))))))))))))))))))))))))))))))))))</f>
        <v>6</v>
      </c>
      <c r="G3220" s="52">
        <v>2</v>
      </c>
      <c r="H3220" s="90" t="s">
        <v>115</v>
      </c>
      <c r="I3220" s="94" t="s">
        <v>85</v>
      </c>
      <c r="J3220" s="87" t="s">
        <v>1750</v>
      </c>
      <c r="K3220" s="119" t="s">
        <v>1751</v>
      </c>
      <c r="L3220" s="117">
        <f>IF(O3220="","",N3220*O3220*M3220)</f>
        <v>0</v>
      </c>
      <c r="M3220" s="108">
        <v>1</v>
      </c>
      <c r="N3220" s="95">
        <v>1</v>
      </c>
      <c r="O3220" s="109">
        <f>IF(Key!D$1="ON",P3220,IF(SUM(Q3220:DL3220)&lt;1,"",SUM(Q3220:DL3220)/COUNTIF(Q3220:DL3220,"&gt;0")))</f>
        <v>0</v>
      </c>
      <c r="P3220" s="109">
        <f>SUMIFS(Q3220:DK3220,Q$1:DK$1,Dashboard!$K$31)</f>
        <v>0</v>
      </c>
      <c r="U3220" s="95">
        <v>33</v>
      </c>
      <c r="AA3220" s="95">
        <v>25</v>
      </c>
      <c r="AH3220" s="95">
        <v>75</v>
      </c>
    </row>
    <row r="3221" spans="1:34" x14ac:dyDescent="0.3">
      <c r="A3221" s="89" t="str">
        <f>CONCATENATE(D3221,".",F3221,"-",G3221,".",H3221,"")</f>
        <v>2.6-2.1</v>
      </c>
      <c r="B3221" s="89" t="str">
        <f>IF(CONCATENATE(I3221,Key!F$2)=CONCATENATE(INDEX(Dashboard!J:J,MATCH(I3221,Dashboard!J:J,0),1),INDEX(Dashboard!J:K,MATCH(I3221,Dashboard!J:J,0),2)),"ON",IF(Dashboard!K$32="ALL","ON","-"))</f>
        <v>-</v>
      </c>
      <c r="C3221" s="88" t="s">
        <v>152</v>
      </c>
      <c r="D3221" s="89">
        <f>IF(C3221="ID",1,(IF(C3221="PR",2,(IF(C3221="DE",3,(IF(C3221="RS",4,(IF(C3221="RC",5,0)))))))))</f>
        <v>2</v>
      </c>
      <c r="E3221" s="89" t="s">
        <v>271</v>
      </c>
      <c r="F3221" s="89">
        <f>IF(E3221="AM",1,(IF(E3221="BE",2,(IF(E3221="GV",3,(IF(E3221="RA",4,(IF(E3221="RM",5,(IF(E3221="AC",1,(IF(E3221="AT",2,(IF(E3221="DS",3,(IF(E3221="IP",4,(IF(E3221="MA",5,(IF(E3221="PT",6,(IF(E3221="AE",1,(IF(E3221="CM",2,(IF(E3221="DP",3,(IF(E3221="AN",1,(IF(E3221="CO",2,(IF(E3221="IM",3,(IF(E3221="MI",4,(IF(E3221="RP",5,(IF(E3221="SC",6,0)))))))))))))))))))))))))))))))))))))))</f>
        <v>6</v>
      </c>
      <c r="G3221" s="52">
        <v>2</v>
      </c>
      <c r="H3221" s="90" t="s">
        <v>115</v>
      </c>
      <c r="I3221" s="94" t="s">
        <v>85</v>
      </c>
      <c r="J3221" s="87" t="s">
        <v>1749</v>
      </c>
      <c r="K3221" s="119" t="s">
        <v>4842</v>
      </c>
      <c r="L3221" s="117">
        <f>IF(O3221="","",N3221*O3221*M3221)</f>
        <v>0</v>
      </c>
      <c r="M3221" s="108">
        <v>1</v>
      </c>
      <c r="N3221" s="95">
        <v>1</v>
      </c>
      <c r="O3221" s="109">
        <f>IF(Key!D$1="ON",P3221,IF(SUM(Q3221:DL3221)&lt;1,"",SUM(Q3221:DL3221)/COUNTIF(Q3221:DL3221,"&gt;0")))</f>
        <v>0</v>
      </c>
      <c r="P3221" s="109">
        <f>SUMIFS(Q3221:DK3221,Q$1:DK$1,Dashboard!$K$31)</f>
        <v>0</v>
      </c>
      <c r="U3221" s="95">
        <v>33</v>
      </c>
      <c r="AA3221" s="95">
        <v>25</v>
      </c>
      <c r="AH3221" s="95">
        <v>75</v>
      </c>
    </row>
    <row r="3222" spans="1:34" x14ac:dyDescent="0.3">
      <c r="A3222" s="89" t="str">
        <f>CONCATENATE(D3222,".",F3222,"-",G3222,".",H3222,"")</f>
        <v>2.6-2.1</v>
      </c>
      <c r="B3222" s="89" t="str">
        <f>IF(CONCATENATE(I3222,Key!F$2)=CONCATENATE(INDEX(Dashboard!J:J,MATCH(I3222,Dashboard!J:J,0),1),INDEX(Dashboard!J:K,MATCH(I3222,Dashboard!J:J,0),2)),"ON",IF(Dashboard!K$32="ALL","ON","-"))</f>
        <v>-</v>
      </c>
      <c r="C3222" s="88" t="s">
        <v>152</v>
      </c>
      <c r="D3222" s="89">
        <f>IF(C3222="ID",1,(IF(C3222="PR",2,(IF(C3222="DE",3,(IF(C3222="RS",4,(IF(C3222="RC",5,0)))))))))</f>
        <v>2</v>
      </c>
      <c r="E3222" s="89" t="s">
        <v>271</v>
      </c>
      <c r="F3222" s="89">
        <f>IF(E3222="AM",1,(IF(E3222="BE",2,(IF(E3222="GV",3,(IF(E3222="RA",4,(IF(E3222="RM",5,(IF(E3222="AC",1,(IF(E3222="AT",2,(IF(E3222="DS",3,(IF(E3222="IP",4,(IF(E3222="MA",5,(IF(E3222="PT",6,(IF(E3222="AE",1,(IF(E3222="CM",2,(IF(E3222="DP",3,(IF(E3222="AN",1,(IF(E3222="CO",2,(IF(E3222="IM",3,(IF(E3222="MI",4,(IF(E3222="RP",5,(IF(E3222="SC",6,0)))))))))))))))))))))))))))))))))))))))</f>
        <v>6</v>
      </c>
      <c r="G3222" s="52">
        <v>2</v>
      </c>
      <c r="H3222" s="90" t="s">
        <v>115</v>
      </c>
      <c r="I3222" s="94" t="s">
        <v>92</v>
      </c>
      <c r="J3222" s="88" t="s">
        <v>287</v>
      </c>
      <c r="K3222" s="102" t="s">
        <v>5226</v>
      </c>
      <c r="L3222" s="117">
        <f>IF(O3222="","",N3222*O3222*M3222)</f>
        <v>0</v>
      </c>
      <c r="M3222" s="108">
        <v>1</v>
      </c>
      <c r="N3222" s="95">
        <v>1</v>
      </c>
      <c r="O3222" s="109">
        <f>IF(Key!D$1="ON",P3222,IF(SUM(Q3222:DL3222)&lt;1,"",SUM(Q3222:DL3222)/COUNTIF(Q3222:DL3222,"&gt;0")))</f>
        <v>0</v>
      </c>
      <c r="P3222" s="109">
        <f>SUMIFS(Q3222:DK3222,Q$1:DK$1,Dashboard!$K$31)</f>
        <v>0</v>
      </c>
      <c r="U3222" s="95">
        <v>33</v>
      </c>
      <c r="AA3222" s="95">
        <v>25</v>
      </c>
      <c r="AH3222" s="95">
        <v>75</v>
      </c>
    </row>
    <row r="3223" spans="1:34" ht="15.6" x14ac:dyDescent="0.3">
      <c r="A3223" s="89" t="str">
        <f>CONCATENATE(D3223,".",F3223,"-",G3223,".",H3223,"")</f>
        <v>2.6-2.2</v>
      </c>
      <c r="B3223" s="89" t="str">
        <f>IF(CONCATENATE(I3223,Key!F$2)=CONCATENATE(INDEX(Dashboard!J:J,MATCH(I3223,Dashboard!J:J,0),1),INDEX(Dashboard!J:K,MATCH(I3223,Dashboard!J:J,0),2)),"ON",IF(Dashboard!K$32="ALL","ON","-"))</f>
        <v>-</v>
      </c>
      <c r="C3223" s="96" t="s">
        <v>152</v>
      </c>
      <c r="D3223" s="89">
        <f>IF(C3223="ID",1,(IF(C3223="PR",2,(IF(C3223="DE",3,(IF(C3223="RS",4,(IF(C3223="RC",5,0)))))))))</f>
        <v>2</v>
      </c>
      <c r="E3223" s="89" t="s">
        <v>271</v>
      </c>
      <c r="F3223" s="89">
        <f>IF(E3223="AM",1,(IF(E3223="BE",2,(IF(E3223="GV",3,(IF(E3223="RA",4,(IF(E3223="RM",5,(IF(E3223="AC",1,(IF(E3223="AT",2,(IF(E3223="DS",3,(IF(E3223="IP",4,(IF(E3223="MA",5,(IF(E3223="PT",6,(IF(E3223="AE",1,(IF(E3223="CM",2,(IF(E3223="DP",3,(IF(E3223="AN",1,(IF(E3223="CO",2,(IF(E3223="IM",3,(IF(E3223="MI",4,(IF(E3223="RP",5,(IF(E3223="SC",6,0)))))))))))))))))))))))))))))))))))))))</f>
        <v>6</v>
      </c>
      <c r="G3223" s="52">
        <v>2</v>
      </c>
      <c r="H3223" s="90" t="s">
        <v>112</v>
      </c>
      <c r="I3223" s="94" t="s">
        <v>92</v>
      </c>
      <c r="J3223" s="88">
        <v>9.6</v>
      </c>
      <c r="K3223" s="102" t="s">
        <v>5226</v>
      </c>
      <c r="L3223" s="117">
        <f>IF(O3223="","",N3223*O3223*M3223)</f>
        <v>0</v>
      </c>
      <c r="M3223" s="108">
        <v>1</v>
      </c>
      <c r="N3223" s="95">
        <v>1</v>
      </c>
      <c r="O3223" s="109">
        <f>IF(Key!D$1="ON",P3223,IF(SUM(Q3223:DL3223)&lt;1,"",SUM(Q3223:DL3223)/COUNTIF(Q3223:DL3223,"&gt;0")))</f>
        <v>0</v>
      </c>
      <c r="P3223" s="109">
        <f>SUMIFS(Q3223:DK3223,Q$1:DK$1,Dashboard!$K$31)</f>
        <v>0</v>
      </c>
      <c r="U3223" s="95">
        <v>33</v>
      </c>
      <c r="AA3223" s="95">
        <v>25</v>
      </c>
      <c r="AH3223" s="95">
        <v>75</v>
      </c>
    </row>
    <row r="3224" spans="1:34" ht="15.6" x14ac:dyDescent="0.3">
      <c r="A3224" s="89" t="str">
        <f>CONCATENATE(D3224,".",F3224,"-",G3224,".",H3224,"")</f>
        <v>2.6-2.2</v>
      </c>
      <c r="B3224" s="89" t="str">
        <f>IF(CONCATENATE(I3224,Key!F$2)=CONCATENATE(INDEX(Dashboard!J:J,MATCH(I3224,Dashboard!J:J,0),1),INDEX(Dashboard!J:K,MATCH(I3224,Dashboard!J:J,0),2)),"ON",IF(Dashboard!K$32="ALL","ON","-"))</f>
        <v>-</v>
      </c>
      <c r="C3224" s="88" t="s">
        <v>152</v>
      </c>
      <c r="D3224" s="89">
        <f>IF(C3224="ID",1,(IF(C3224="PR",2,(IF(C3224="DE",3,(IF(C3224="RS",4,(IF(C3224="RC",5,0)))))))))</f>
        <v>2</v>
      </c>
      <c r="E3224" s="89" t="s">
        <v>271</v>
      </c>
      <c r="F3224" s="89">
        <f>IF(E3224="AM",1,(IF(E3224="BE",2,(IF(E3224="GV",3,(IF(E3224="RA",4,(IF(E3224="RM",5,(IF(E3224="AC",1,(IF(E3224="AT",2,(IF(E3224="DS",3,(IF(E3224="IP",4,(IF(E3224="MA",5,(IF(E3224="PT",6,(IF(E3224="AE",1,(IF(E3224="CM",2,(IF(E3224="DP",3,(IF(E3224="AN",1,(IF(E3224="CO",2,(IF(E3224="IM",3,(IF(E3224="MI",4,(IF(E3224="RP",5,(IF(E3224="SC",6,0)))))))))))))))))))))))))))))))))))))))</f>
        <v>6</v>
      </c>
      <c r="G3224" s="52">
        <v>2</v>
      </c>
      <c r="H3224" s="90" t="s">
        <v>112</v>
      </c>
      <c r="I3224" s="93" t="s">
        <v>92</v>
      </c>
      <c r="J3224" s="88" t="s">
        <v>288</v>
      </c>
      <c r="K3224" s="102" t="s">
        <v>5226</v>
      </c>
      <c r="L3224" s="117">
        <f>IF(O3224="","",N3224*O3224*M3224)</f>
        <v>0</v>
      </c>
      <c r="M3224" s="108">
        <v>1</v>
      </c>
      <c r="N3224" s="95">
        <v>1</v>
      </c>
      <c r="O3224" s="109">
        <f>IF(Key!D$1="ON",P3224,IF(SUM(Q3224:DL3224)&lt;1,"",SUM(Q3224:DL3224)/COUNTIF(Q3224:DL3224,"&gt;0")))</f>
        <v>0</v>
      </c>
      <c r="P3224" s="109">
        <f>SUMIFS(Q3224:DK3224,Q$1:DK$1,Dashboard!$K$31)</f>
        <v>0</v>
      </c>
      <c r="U3224" s="95">
        <v>33</v>
      </c>
      <c r="AA3224" s="95">
        <v>25</v>
      </c>
      <c r="AH3224" s="95">
        <v>75</v>
      </c>
    </row>
    <row r="3225" spans="1:34" ht="15.6" x14ac:dyDescent="0.3">
      <c r="A3225" s="89" t="str">
        <f>CONCATENATE(D3225,".",F3225,"-",G3225,".",H3225,"")</f>
        <v>2.6-2.2</v>
      </c>
      <c r="B3225" s="89" t="str">
        <f>IF(CONCATENATE(I3225,Key!F$2)=CONCATENATE(INDEX(Dashboard!J:J,MATCH(I3225,Dashboard!J:J,0),1),INDEX(Dashboard!J:K,MATCH(I3225,Dashboard!J:J,0),2)),"ON",IF(Dashboard!K$32="ALL","ON","-"))</f>
        <v>-</v>
      </c>
      <c r="C3225" s="88" t="s">
        <v>152</v>
      </c>
      <c r="D3225" s="89">
        <f>IF(C3225="ID",1,(IF(C3225="PR",2,(IF(C3225="DE",3,(IF(C3225="RS",4,(IF(C3225="RC",5,0)))))))))</f>
        <v>2</v>
      </c>
      <c r="E3225" s="89" t="s">
        <v>271</v>
      </c>
      <c r="F3225" s="89">
        <f>IF(E3225="AM",1,(IF(E3225="BE",2,(IF(E3225="GV",3,(IF(E3225="RA",4,(IF(E3225="RM",5,(IF(E3225="AC",1,(IF(E3225="AT",2,(IF(E3225="DS",3,(IF(E3225="IP",4,(IF(E3225="MA",5,(IF(E3225="PT",6,(IF(E3225="AE",1,(IF(E3225="CM",2,(IF(E3225="DP",3,(IF(E3225="AN",1,(IF(E3225="CO",2,(IF(E3225="IM",3,(IF(E3225="MI",4,(IF(E3225="RP",5,(IF(E3225="SC",6,0)))))))))))))))))))))))))))))))))))))))</f>
        <v>6</v>
      </c>
      <c r="G3225" s="52">
        <v>2</v>
      </c>
      <c r="H3225" s="90" t="s">
        <v>112</v>
      </c>
      <c r="I3225" s="93" t="s">
        <v>92</v>
      </c>
      <c r="J3225" s="88" t="s">
        <v>289</v>
      </c>
      <c r="K3225" s="102" t="s">
        <v>5226</v>
      </c>
      <c r="L3225" s="117">
        <f>IF(O3225="","",N3225*O3225*M3225)</f>
        <v>0</v>
      </c>
      <c r="M3225" s="108">
        <v>1</v>
      </c>
      <c r="N3225" s="95">
        <v>1</v>
      </c>
      <c r="O3225" s="109">
        <f>IF(Key!D$1="ON",P3225,IF(SUM(Q3225:DL3225)&lt;1,"",SUM(Q3225:DL3225)/COUNTIF(Q3225:DL3225,"&gt;0")))</f>
        <v>0</v>
      </c>
      <c r="P3225" s="109">
        <f>SUMIFS(Q3225:DK3225,Q$1:DK$1,Dashboard!$K$31)</f>
        <v>0</v>
      </c>
      <c r="U3225" s="95">
        <v>33</v>
      </c>
      <c r="AA3225" s="95">
        <v>25</v>
      </c>
      <c r="AH3225" s="95">
        <v>75</v>
      </c>
    </row>
    <row r="3226" spans="1:34" ht="15.6" x14ac:dyDescent="0.3">
      <c r="A3226" s="89" t="str">
        <f>CONCATENATE(D3226,".",F3226,"-",G3226,".",H3226,"")</f>
        <v>2.6-2.3</v>
      </c>
      <c r="B3226" s="89" t="str">
        <f>IF(CONCATENATE(I3226,Key!F$2)=CONCATENATE(INDEX(Dashboard!J:J,MATCH(I3226,Dashboard!J:J,0),1),INDEX(Dashboard!J:K,MATCH(I3226,Dashboard!J:J,0),2)),"ON",IF(Dashboard!K$32="ALL","ON","-"))</f>
        <v>-</v>
      </c>
      <c r="C3226" s="96" t="s">
        <v>152</v>
      </c>
      <c r="D3226" s="89">
        <f>IF(C3226="ID",1,(IF(C3226="PR",2,(IF(C3226="DE",3,(IF(C3226="RS",4,(IF(C3226="RC",5,0)))))))))</f>
        <v>2</v>
      </c>
      <c r="E3226" s="89" t="s">
        <v>271</v>
      </c>
      <c r="F3226" s="89">
        <f>IF(E3226="AM",1,(IF(E3226="BE",2,(IF(E3226="GV",3,(IF(E3226="RA",4,(IF(E3226="RM",5,(IF(E3226="AC",1,(IF(E3226="AT",2,(IF(E3226="DS",3,(IF(E3226="IP",4,(IF(E3226="MA",5,(IF(E3226="PT",6,(IF(E3226="AE",1,(IF(E3226="CM",2,(IF(E3226="DP",3,(IF(E3226="AN",1,(IF(E3226="CO",2,(IF(E3226="IM",3,(IF(E3226="MI",4,(IF(E3226="RP",5,(IF(E3226="SC",6,0)))))))))))))))))))))))))))))))))))))))</f>
        <v>6</v>
      </c>
      <c r="G3226" s="52">
        <v>2</v>
      </c>
      <c r="H3226" s="90" t="s">
        <v>280</v>
      </c>
      <c r="I3226" s="93" t="s">
        <v>92</v>
      </c>
      <c r="J3226" s="88">
        <v>9.5</v>
      </c>
      <c r="K3226" s="102" t="s">
        <v>5226</v>
      </c>
      <c r="L3226" s="117">
        <f>IF(O3226="","",N3226*O3226*M3226)</f>
        <v>0</v>
      </c>
      <c r="M3226" s="108">
        <v>1</v>
      </c>
      <c r="N3226" s="95">
        <v>1</v>
      </c>
      <c r="O3226" s="109">
        <f>IF(Key!D$1="ON",P3226,IF(SUM(Q3226:DL3226)&lt;1,"",SUM(Q3226:DL3226)/COUNTIF(Q3226:DL3226,"&gt;0")))</f>
        <v>0</v>
      </c>
      <c r="P3226" s="109">
        <f>SUMIFS(Q3226:DK3226,Q$1:DK$1,Dashboard!$K$31)</f>
        <v>0</v>
      </c>
      <c r="U3226" s="95">
        <v>33</v>
      </c>
      <c r="AA3226" s="95">
        <v>25</v>
      </c>
      <c r="AH3226" s="95">
        <v>75</v>
      </c>
    </row>
    <row r="3227" spans="1:34" x14ac:dyDescent="0.3">
      <c r="A3227" s="89" t="str">
        <f>CONCATENATE(D3227,".",F3227,"-",G3227,".",H3227,"")</f>
        <v>2.6-2.5</v>
      </c>
      <c r="B3227" s="89" t="str">
        <f>IF(CONCATENATE(I3227,Key!F$2)=CONCATENATE(INDEX(Dashboard!J:J,MATCH(I3227,Dashboard!J:J,0),1),INDEX(Dashboard!J:K,MATCH(I3227,Dashboard!J:J,0),2)),"ON",IF(Dashboard!K$32="ALL","ON","-"))</f>
        <v>-</v>
      </c>
      <c r="C3227" s="88" t="s">
        <v>152</v>
      </c>
      <c r="D3227" s="89">
        <f>IF(C3227="ID",1,(IF(C3227="PR",2,(IF(C3227="DE",3,(IF(C3227="RS",4,(IF(C3227="RC",5,0)))))))))</f>
        <v>2</v>
      </c>
      <c r="E3227" s="89" t="s">
        <v>271</v>
      </c>
      <c r="F3227" s="89">
        <f>IF(E3227="AM",1,(IF(E3227="BE",2,(IF(E3227="GV",3,(IF(E3227="RA",4,(IF(E3227="RM",5,(IF(E3227="AC",1,(IF(E3227="AT",2,(IF(E3227="DS",3,(IF(E3227="IP",4,(IF(E3227="MA",5,(IF(E3227="PT",6,(IF(E3227="AE",1,(IF(E3227="CM",2,(IF(E3227="DP",3,(IF(E3227="AN",1,(IF(E3227="CO",2,(IF(E3227="IM",3,(IF(E3227="MI",4,(IF(E3227="RP",5,(IF(E3227="SC",6,0)))))))))))))))))))))))))))))))))))))))</f>
        <v>6</v>
      </c>
      <c r="G3227" s="52">
        <v>2</v>
      </c>
      <c r="H3227" s="90" t="s">
        <v>123</v>
      </c>
      <c r="I3227" s="93" t="s">
        <v>77</v>
      </c>
      <c r="J3227" s="87" t="s">
        <v>1750</v>
      </c>
      <c r="K3227" s="102" t="s">
        <v>2672</v>
      </c>
      <c r="L3227" s="117">
        <f>IF(O3227="","",N3227*O3227*M3227)</f>
        <v>0</v>
      </c>
      <c r="M3227" s="108">
        <v>1</v>
      </c>
      <c r="N3227" s="95">
        <v>1</v>
      </c>
      <c r="O3227" s="109">
        <f>IF(Key!D$1="ON",P3227,IF(SUM(Q3227:DL3227)&lt;1,"",SUM(Q3227:DL3227)/COUNTIF(Q3227:DL3227,"&gt;0")))</f>
        <v>0</v>
      </c>
      <c r="P3227" s="109">
        <f>SUMIFS(Q3227:DK3227,Q$1:DK$1,Dashboard!$K$31)</f>
        <v>0</v>
      </c>
      <c r="U3227" s="95">
        <v>33</v>
      </c>
      <c r="AA3227" s="95">
        <v>25</v>
      </c>
      <c r="AH3227" s="95">
        <v>75</v>
      </c>
    </row>
    <row r="3228" spans="1:34" x14ac:dyDescent="0.3">
      <c r="A3228" s="89" t="str">
        <f>CONCATENATE(D3228,".",F3228,"-",G3228,".",H3228,"")</f>
        <v>2.6-2.5</v>
      </c>
      <c r="B3228" s="89" t="str">
        <f>IF(CONCATENATE(I3228,Key!F$2)=CONCATENATE(INDEX(Dashboard!J:J,MATCH(I3228,Dashboard!J:J,0),1),INDEX(Dashboard!J:K,MATCH(I3228,Dashboard!J:J,0),2)),"ON",IF(Dashboard!K$32="ALL","ON","-"))</f>
        <v>-</v>
      </c>
      <c r="C3228" s="88" t="s">
        <v>152</v>
      </c>
      <c r="D3228" s="89">
        <f>IF(C3228="ID",1,(IF(C3228="PR",2,(IF(C3228="DE",3,(IF(C3228="RS",4,(IF(C3228="RC",5,0)))))))))</f>
        <v>2</v>
      </c>
      <c r="E3228" s="89" t="s">
        <v>271</v>
      </c>
      <c r="F3228" s="89">
        <f>IF(E3228="AM",1,(IF(E3228="BE",2,(IF(E3228="GV",3,(IF(E3228="RA",4,(IF(E3228="RM",5,(IF(E3228="AC",1,(IF(E3228="AT",2,(IF(E3228="DS",3,(IF(E3228="IP",4,(IF(E3228="MA",5,(IF(E3228="PT",6,(IF(E3228="AE",1,(IF(E3228="CM",2,(IF(E3228="DP",3,(IF(E3228="AN",1,(IF(E3228="CO",2,(IF(E3228="IM",3,(IF(E3228="MI",4,(IF(E3228="RP",5,(IF(E3228="SC",6,0)))))))))))))))))))))))))))))))))))))))</f>
        <v>6</v>
      </c>
      <c r="G3228" s="52">
        <v>2</v>
      </c>
      <c r="H3228" s="90" t="s">
        <v>123</v>
      </c>
      <c r="I3228" s="93" t="s">
        <v>77</v>
      </c>
      <c r="J3228" s="87" t="s">
        <v>1330</v>
      </c>
      <c r="K3228" s="102" t="s">
        <v>2334</v>
      </c>
      <c r="L3228" s="117">
        <f>IF(O3228="","",N3228*O3228*M3228)</f>
        <v>0</v>
      </c>
      <c r="M3228" s="108">
        <v>1</v>
      </c>
      <c r="N3228" s="95">
        <v>1</v>
      </c>
      <c r="O3228" s="109">
        <f>IF(Key!D$1="ON",P3228,IF(SUM(Q3228:DL3228)&lt;1,"",SUM(Q3228:DL3228)/COUNTIF(Q3228:DL3228,"&gt;0")))</f>
        <v>0</v>
      </c>
      <c r="P3228" s="109">
        <f>SUMIFS(Q3228:DK3228,Q$1:DK$1,Dashboard!$K$31)</f>
        <v>0</v>
      </c>
      <c r="U3228" s="95">
        <v>33</v>
      </c>
      <c r="AA3228" s="95">
        <v>25</v>
      </c>
      <c r="AH3228" s="95">
        <v>75</v>
      </c>
    </row>
    <row r="3229" spans="1:34" x14ac:dyDescent="0.3">
      <c r="A3229" s="89" t="str">
        <f>CONCATENATE(D3229,".",F3229,"-",G3229,".",H3229,"")</f>
        <v>2.6-3.0</v>
      </c>
      <c r="B3229" s="89" t="str">
        <f>IF(CONCATENATE(I3229,Key!F$2)=CONCATENATE(INDEX(Dashboard!J:J,MATCH(I3229,Dashboard!J:J,0),1),INDEX(Dashboard!J:K,MATCH(I3229,Dashboard!J:J,0),2)),"ON",IF(Dashboard!K$32="ALL","ON","-"))</f>
        <v>-</v>
      </c>
      <c r="C3229" s="88" t="s">
        <v>152</v>
      </c>
      <c r="D3229" s="89">
        <f>IF(C3229="ID",1,(IF(C3229="PR",2,(IF(C3229="DE",3,(IF(C3229="RS",4,(IF(C3229="RC",5,0)))))))))</f>
        <v>2</v>
      </c>
      <c r="E3229" s="89" t="s">
        <v>271</v>
      </c>
      <c r="F3229" s="89">
        <f>IF(E3229="AM",1,(IF(E3229="BE",2,(IF(E3229="GV",3,(IF(E3229="RA",4,(IF(E3229="RM",5,(IF(E3229="AC",1,(IF(E3229="AT",2,(IF(E3229="DS",3,(IF(E3229="IP",4,(IF(E3229="MA",5,(IF(E3229="PT",6,(IF(E3229="AE",1,(IF(E3229="CM",2,(IF(E3229="DP",3,(IF(E3229="AN",1,(IF(E3229="CO",2,(IF(E3229="IM",3,(IF(E3229="MI",4,(IF(E3229="RP",5,(IF(E3229="SC",6,0)))))))))))))))))))))))))))))))))))))))</f>
        <v>6</v>
      </c>
      <c r="G3229" s="52">
        <v>3</v>
      </c>
      <c r="H3229" s="90" t="s">
        <v>347</v>
      </c>
      <c r="I3229" s="93" t="s">
        <v>2835</v>
      </c>
      <c r="J3229" s="53" t="s">
        <v>3000</v>
      </c>
      <c r="K3229" s="150" t="s">
        <v>3001</v>
      </c>
      <c r="L3229" s="117">
        <f>IF(O3229="","",N3229*O3229*M3229)</f>
        <v>0</v>
      </c>
      <c r="M3229" s="108">
        <v>1</v>
      </c>
      <c r="N3229" s="95">
        <v>1</v>
      </c>
      <c r="O3229" s="109">
        <f>IF(Key!D$1="ON",P3229,IF(SUM(Q3229:DL3229)&lt;1,"",SUM(Q3229:DL3229)/COUNTIF(Q3229:DL3229,"&gt;0")))</f>
        <v>0</v>
      </c>
      <c r="P3229" s="109">
        <f>SUMIFS(Q3229:DK3229,Q$1:DK$1,Dashboard!$K$31)</f>
        <v>0</v>
      </c>
      <c r="U3229" s="95">
        <v>33</v>
      </c>
    </row>
    <row r="3230" spans="1:34" ht="15.6" x14ac:dyDescent="0.3">
      <c r="A3230" s="89" t="str">
        <f>CONCATENATE(D3230,".",F3230,"-",G3230,".",H3230,"")</f>
        <v>2.6-3.1</v>
      </c>
      <c r="B3230" s="89" t="str">
        <f>IF(CONCATENATE(I3230,Key!F$2)=CONCATENATE(INDEX(Dashboard!J:J,MATCH(I3230,Dashboard!J:J,0),1),INDEX(Dashboard!J:K,MATCH(I3230,Dashboard!J:J,0),2)),"ON",IF(Dashboard!K$32="ALL","ON","-"))</f>
        <v>ON</v>
      </c>
      <c r="C3230" s="130" t="s">
        <v>152</v>
      </c>
      <c r="D3230" s="89">
        <f>IF(C3230="ID",1,(IF(C3230="PR",2,(IF(C3230="DE",3,(IF(C3230="RS",4,(IF(C3230="RC",5,0)))))))))</f>
        <v>2</v>
      </c>
      <c r="E3230" s="95" t="s">
        <v>271</v>
      </c>
      <c r="F3230" s="89">
        <f>IF(E3230="AM",1,(IF(E3230="BE",2,(IF(E3230="GV",3,(IF(E3230="RA",4,(IF(E3230="RM",5,(IF(E3230="AC",1,(IF(E3230="AT",2,(IF(E3230="DS",3,(IF(E3230="IP",4,(IF(E3230="MA",5,(IF(E3230="PT",6,(IF(E3230="AE",1,(IF(E3230="CM",2,(IF(E3230="DP",3,(IF(E3230="AN",1,(IF(E3230="CO",2,(IF(E3230="IM",3,(IF(E3230="MI",4,(IF(E3230="RP",5,(IF(E3230="SC",6,0)))))))))))))))))))))))))))))))))))))))</f>
        <v>6</v>
      </c>
      <c r="G3230" s="52">
        <v>3</v>
      </c>
      <c r="H3230" s="90" t="s">
        <v>115</v>
      </c>
      <c r="I3230" s="93" t="s">
        <v>4107</v>
      </c>
      <c r="J3230" s="86" t="s">
        <v>3936</v>
      </c>
      <c r="K3230" s="101" t="s">
        <v>4423</v>
      </c>
      <c r="L3230" s="117">
        <f>IF(O3230="","",N3230*O3230*M3230)</f>
        <v>0</v>
      </c>
      <c r="M3230" s="108">
        <v>1</v>
      </c>
      <c r="N3230" s="95">
        <v>1</v>
      </c>
      <c r="O3230" s="109">
        <f>IF(Key!D$1="ON",P3230,IF(SUM(Q3230:DL3230)&lt;1,"",SUM(Q3230:DL3230)/COUNTIF(Q3230:DL3230,"&gt;0")))</f>
        <v>0</v>
      </c>
      <c r="P3230" s="109">
        <f>SUMIFS(Q3230:DK3230,Q$1:DK$1,Dashboard!$K$31)</f>
        <v>0</v>
      </c>
      <c r="U3230" s="95">
        <v>33</v>
      </c>
      <c r="AA3230" s="95">
        <v>25</v>
      </c>
      <c r="AH3230" s="95">
        <v>75</v>
      </c>
    </row>
    <row r="3231" spans="1:34" ht="15.6" x14ac:dyDescent="0.3">
      <c r="A3231" s="89" t="str">
        <f>CONCATENATE(D3231,".",F3231,"-",G3231,".",H3231,"")</f>
        <v>2.6-3.1</v>
      </c>
      <c r="B3231" s="89" t="str">
        <f>IF(CONCATENATE(I3231,Key!F$2)=CONCATENATE(INDEX(Dashboard!J:J,MATCH(I3231,Dashboard!J:J,0),1),INDEX(Dashboard!J:K,MATCH(I3231,Dashboard!J:J,0),2)),"ON",IF(Dashboard!K$32="ALL","ON","-"))</f>
        <v>ON</v>
      </c>
      <c r="C3231" s="130" t="s">
        <v>152</v>
      </c>
      <c r="D3231" s="89">
        <f>IF(C3231="ID",1,(IF(C3231="PR",2,(IF(C3231="DE",3,(IF(C3231="RS",4,(IF(C3231="RC",5,0)))))))))</f>
        <v>2</v>
      </c>
      <c r="E3231" s="95" t="s">
        <v>271</v>
      </c>
      <c r="F3231" s="89">
        <f>IF(E3231="AM",1,(IF(E3231="BE",2,(IF(E3231="GV",3,(IF(E3231="RA",4,(IF(E3231="RM",5,(IF(E3231="AC",1,(IF(E3231="AT",2,(IF(E3231="DS",3,(IF(E3231="IP",4,(IF(E3231="MA",5,(IF(E3231="PT",6,(IF(E3231="AE",1,(IF(E3231="CM",2,(IF(E3231="DP",3,(IF(E3231="AN",1,(IF(E3231="CO",2,(IF(E3231="IM",3,(IF(E3231="MI",4,(IF(E3231="RP",5,(IF(E3231="SC",6,0)))))))))))))))))))))))))))))))))))))))</f>
        <v>6</v>
      </c>
      <c r="G3231" s="52">
        <v>3</v>
      </c>
      <c r="H3231" s="90" t="s">
        <v>115</v>
      </c>
      <c r="I3231" s="93" t="s">
        <v>4107</v>
      </c>
      <c r="J3231" s="86" t="s">
        <v>3937</v>
      </c>
      <c r="K3231" s="101" t="s">
        <v>4113</v>
      </c>
      <c r="L3231" s="117">
        <f>IF(O3231="","",N3231*O3231*M3231)</f>
        <v>0</v>
      </c>
      <c r="M3231" s="108">
        <v>1</v>
      </c>
      <c r="N3231" s="95">
        <v>1</v>
      </c>
      <c r="O3231" s="109">
        <f>IF(Key!D$1="ON",P3231,IF(SUM(Q3231:DL3231)&lt;1,"",SUM(Q3231:DL3231)/COUNTIF(Q3231:DL3231,"&gt;0")))</f>
        <v>0</v>
      </c>
      <c r="P3231" s="109">
        <f>SUMIFS(Q3231:DK3231,Q$1:DK$1,Dashboard!$K$31)</f>
        <v>0</v>
      </c>
      <c r="U3231" s="95">
        <v>33</v>
      </c>
      <c r="AA3231" s="95">
        <v>25</v>
      </c>
      <c r="AH3231" s="95">
        <v>75</v>
      </c>
    </row>
    <row r="3232" spans="1:34" ht="15.6" x14ac:dyDescent="0.3">
      <c r="A3232" s="89" t="str">
        <f>CONCATENATE(D3232,".",F3232,"-",G3232,".",H3232,"")</f>
        <v>2.6-3.1</v>
      </c>
      <c r="B3232" s="89" t="str">
        <f>IF(CONCATENATE(I3232,Key!F$2)=CONCATENATE(INDEX(Dashboard!J:J,MATCH(I3232,Dashboard!J:J,0),1),INDEX(Dashboard!J:K,MATCH(I3232,Dashboard!J:J,0),2)),"ON",IF(Dashboard!K$32="ALL","ON","-"))</f>
        <v>ON</v>
      </c>
      <c r="C3232" s="88" t="s">
        <v>152</v>
      </c>
      <c r="D3232" s="89">
        <f>IF(C3232="ID",1,(IF(C3232="PR",2,(IF(C3232="DE",3,(IF(C3232="RS",4,(IF(C3232="RC",5,0)))))))))</f>
        <v>2</v>
      </c>
      <c r="E3232" s="89" t="s">
        <v>271</v>
      </c>
      <c r="F3232" s="89">
        <f>IF(E3232="AM",1,(IF(E3232="BE",2,(IF(E3232="GV",3,(IF(E3232="RA",4,(IF(E3232="RM",5,(IF(E3232="AC",1,(IF(E3232="AT",2,(IF(E3232="DS",3,(IF(E3232="IP",4,(IF(E3232="MA",5,(IF(E3232="PT",6,(IF(E3232="AE",1,(IF(E3232="CM",2,(IF(E3232="DP",3,(IF(E3232="AN",1,(IF(E3232="CO",2,(IF(E3232="IM",3,(IF(E3232="MI",4,(IF(E3232="RP",5,(IF(E3232="SC",6,0)))))))))))))))))))))))))))))))))))))))</f>
        <v>6</v>
      </c>
      <c r="G3232" s="52">
        <v>3</v>
      </c>
      <c r="H3232" s="90" t="s">
        <v>115</v>
      </c>
      <c r="I3232" s="93" t="s">
        <v>4107</v>
      </c>
      <c r="J3232" s="86" t="s">
        <v>3945</v>
      </c>
      <c r="K3232" s="101" t="s">
        <v>4356</v>
      </c>
      <c r="L3232" s="117">
        <f>IF(O3232="","",N3232*O3232*M3232)</f>
        <v>0</v>
      </c>
      <c r="M3232" s="108">
        <v>1</v>
      </c>
      <c r="N3232" s="95">
        <v>1</v>
      </c>
      <c r="O3232" s="109">
        <f>IF(Key!D$1="ON",P3232,IF(SUM(Q3232:DL3232)&lt;1,"",SUM(Q3232:DL3232)/COUNTIF(Q3232:DL3232,"&gt;0")))</f>
        <v>0</v>
      </c>
      <c r="P3232" s="109">
        <f>SUMIFS(Q3232:DK3232,Q$1:DK$1,Dashboard!$K$31)</f>
        <v>0</v>
      </c>
      <c r="U3232" s="95">
        <v>33</v>
      </c>
      <c r="AA3232" s="95">
        <v>25</v>
      </c>
      <c r="AH3232" s="95">
        <v>75</v>
      </c>
    </row>
    <row r="3233" spans="1:34" ht="15.6" x14ac:dyDescent="0.3">
      <c r="A3233" s="89" t="str">
        <f>CONCATENATE(D3233,".",F3233,"-",G3233,".",H3233,"")</f>
        <v>2.6-3.1</v>
      </c>
      <c r="B3233" s="89" t="str">
        <f>IF(CONCATENATE(I3233,Key!F$2)=CONCATENATE(INDEX(Dashboard!J:J,MATCH(I3233,Dashboard!J:J,0),1),INDEX(Dashboard!J:K,MATCH(I3233,Dashboard!J:J,0),2)),"ON",IF(Dashboard!K$32="ALL","ON","-"))</f>
        <v>ON</v>
      </c>
      <c r="C3233" s="88" t="s">
        <v>152</v>
      </c>
      <c r="D3233" s="89">
        <f>IF(C3233="ID",1,(IF(C3233="PR",2,(IF(C3233="DE",3,(IF(C3233="RS",4,(IF(C3233="RC",5,0)))))))))</f>
        <v>2</v>
      </c>
      <c r="E3233" s="89" t="s">
        <v>271</v>
      </c>
      <c r="F3233" s="89">
        <f>IF(E3233="AM",1,(IF(E3233="BE",2,(IF(E3233="GV",3,(IF(E3233="RA",4,(IF(E3233="RM",5,(IF(E3233="AC",1,(IF(E3233="AT",2,(IF(E3233="DS",3,(IF(E3233="IP",4,(IF(E3233="MA",5,(IF(E3233="PT",6,(IF(E3233="AE",1,(IF(E3233="CM",2,(IF(E3233="DP",3,(IF(E3233="AN",1,(IF(E3233="CO",2,(IF(E3233="IM",3,(IF(E3233="MI",4,(IF(E3233="RP",5,(IF(E3233="SC",6,0)))))))))))))))))))))))))))))))))))))))</f>
        <v>6</v>
      </c>
      <c r="G3233" s="52">
        <v>3</v>
      </c>
      <c r="H3233" s="90" t="s">
        <v>115</v>
      </c>
      <c r="I3233" s="93" t="s">
        <v>4107</v>
      </c>
      <c r="J3233" s="86" t="s">
        <v>3958</v>
      </c>
      <c r="K3233" s="101" t="s">
        <v>4360</v>
      </c>
      <c r="L3233" s="117">
        <f>IF(O3233="","",N3233*O3233*M3233)</f>
        <v>0</v>
      </c>
      <c r="M3233" s="108">
        <v>1</v>
      </c>
      <c r="N3233" s="95">
        <v>1</v>
      </c>
      <c r="O3233" s="109">
        <f>IF(Key!D$1="ON",P3233,IF(SUM(Q3233:DL3233)&lt;1,"",SUM(Q3233:DL3233)/COUNTIF(Q3233:DL3233,"&gt;0")))</f>
        <v>0</v>
      </c>
      <c r="P3233" s="109">
        <f>SUMIFS(Q3233:DK3233,Q$1:DK$1,Dashboard!$K$31)</f>
        <v>0</v>
      </c>
      <c r="U3233" s="95">
        <v>33</v>
      </c>
      <c r="AA3233" s="95">
        <v>25</v>
      </c>
      <c r="AH3233" s="95">
        <v>75</v>
      </c>
    </row>
    <row r="3234" spans="1:34" ht="15.6" x14ac:dyDescent="0.3">
      <c r="A3234" s="89" t="str">
        <f>CONCATENATE(D3234,".",F3234,"-",G3234,".",H3234,"")</f>
        <v>2.6-3.1</v>
      </c>
      <c r="B3234" s="89" t="str">
        <f>IF(CONCATENATE(I3234,Key!F$2)=CONCATENATE(INDEX(Dashboard!J:J,MATCH(I3234,Dashboard!J:J,0),1),INDEX(Dashboard!J:K,MATCH(I3234,Dashboard!J:J,0),2)),"ON",IF(Dashboard!K$32="ALL","ON","-"))</f>
        <v>ON</v>
      </c>
      <c r="C3234" s="130" t="s">
        <v>152</v>
      </c>
      <c r="D3234" s="89">
        <f>IF(C3234="ID",1,(IF(C3234="PR",2,(IF(C3234="DE",3,(IF(C3234="RS",4,(IF(C3234="RC",5,0)))))))))</f>
        <v>2</v>
      </c>
      <c r="E3234" s="95" t="s">
        <v>271</v>
      </c>
      <c r="F3234" s="89">
        <f>IF(E3234="AM",1,(IF(E3234="BE",2,(IF(E3234="GV",3,(IF(E3234="RA",4,(IF(E3234="RM",5,(IF(E3234="AC",1,(IF(E3234="AT",2,(IF(E3234="DS",3,(IF(E3234="IP",4,(IF(E3234="MA",5,(IF(E3234="PT",6,(IF(E3234="AE",1,(IF(E3234="CM",2,(IF(E3234="DP",3,(IF(E3234="AN",1,(IF(E3234="CO",2,(IF(E3234="IM",3,(IF(E3234="MI",4,(IF(E3234="RP",5,(IF(E3234="SC",6,0)))))))))))))))))))))))))))))))))))))))</f>
        <v>6</v>
      </c>
      <c r="G3234" s="52">
        <v>3</v>
      </c>
      <c r="H3234" s="90" t="s">
        <v>115</v>
      </c>
      <c r="I3234" s="93" t="s">
        <v>4107</v>
      </c>
      <c r="J3234" s="86" t="s">
        <v>3984</v>
      </c>
      <c r="K3234" s="101" t="s">
        <v>4372</v>
      </c>
      <c r="L3234" s="117">
        <f>IF(O3234="","",N3234*O3234*M3234)</f>
        <v>0</v>
      </c>
      <c r="M3234" s="108">
        <v>1</v>
      </c>
      <c r="N3234" s="95">
        <v>1</v>
      </c>
      <c r="O3234" s="109">
        <f>IF(Key!D$1="ON",P3234,IF(SUM(Q3234:DL3234)&lt;1,"",SUM(Q3234:DL3234)/COUNTIF(Q3234:DL3234,"&gt;0")))</f>
        <v>0</v>
      </c>
      <c r="P3234" s="109">
        <f>SUMIFS(Q3234:DK3234,Q$1:DK$1,Dashboard!$K$31)</f>
        <v>0</v>
      </c>
      <c r="U3234" s="95">
        <v>33</v>
      </c>
      <c r="AA3234" s="95">
        <v>25</v>
      </c>
      <c r="AH3234" s="95">
        <v>75</v>
      </c>
    </row>
    <row r="3235" spans="1:34" ht="15.6" x14ac:dyDescent="0.3">
      <c r="A3235" s="89" t="str">
        <f>CONCATENATE(D3235,".",F3235,"-",G3235,".",H3235,"")</f>
        <v>2.6-3.1</v>
      </c>
      <c r="B3235" s="89" t="str">
        <f>IF(CONCATENATE(I3235,Key!F$2)=CONCATENATE(INDEX(Dashboard!J:J,MATCH(I3235,Dashboard!J:J,0),1),INDEX(Dashboard!J:K,MATCH(I3235,Dashboard!J:J,0),2)),"ON",IF(Dashboard!K$32="ALL","ON","-"))</f>
        <v>ON</v>
      </c>
      <c r="C3235" s="130" t="s">
        <v>152</v>
      </c>
      <c r="D3235" s="89">
        <f>IF(C3235="ID",1,(IF(C3235="PR",2,(IF(C3235="DE",3,(IF(C3235="RS",4,(IF(C3235="RC",5,0)))))))))</f>
        <v>2</v>
      </c>
      <c r="E3235" s="95" t="s">
        <v>271</v>
      </c>
      <c r="F3235" s="89">
        <f>IF(E3235="AM",1,(IF(E3235="BE",2,(IF(E3235="GV",3,(IF(E3235="RA",4,(IF(E3235="RM",5,(IF(E3235="AC",1,(IF(E3235="AT",2,(IF(E3235="DS",3,(IF(E3235="IP",4,(IF(E3235="MA",5,(IF(E3235="PT",6,(IF(E3235="AE",1,(IF(E3235="CM",2,(IF(E3235="DP",3,(IF(E3235="AN",1,(IF(E3235="CO",2,(IF(E3235="IM",3,(IF(E3235="MI",4,(IF(E3235="RP",5,(IF(E3235="SC",6,0)))))))))))))))))))))))))))))))))))))))</f>
        <v>6</v>
      </c>
      <c r="G3235" s="52">
        <v>3</v>
      </c>
      <c r="H3235" s="90" t="s">
        <v>115</v>
      </c>
      <c r="I3235" s="93" t="s">
        <v>4107</v>
      </c>
      <c r="J3235" s="86" t="s">
        <v>3990</v>
      </c>
      <c r="K3235" s="101" t="s">
        <v>4441</v>
      </c>
      <c r="L3235" s="117">
        <f>IF(O3235="","",N3235*O3235*M3235)</f>
        <v>0</v>
      </c>
      <c r="M3235" s="108">
        <v>1</v>
      </c>
      <c r="N3235" s="95">
        <v>1</v>
      </c>
      <c r="O3235" s="109">
        <f>IF(Key!D$1="ON",P3235,IF(SUM(Q3235:DL3235)&lt;1,"",SUM(Q3235:DL3235)/COUNTIF(Q3235:DL3235,"&gt;0")))</f>
        <v>0</v>
      </c>
      <c r="P3235" s="109">
        <f>SUMIFS(Q3235:DK3235,Q$1:DK$1,Dashboard!$K$31)</f>
        <v>0</v>
      </c>
      <c r="U3235" s="95">
        <v>33</v>
      </c>
      <c r="AA3235" s="95">
        <v>25</v>
      </c>
      <c r="AH3235" s="95">
        <v>75</v>
      </c>
    </row>
    <row r="3236" spans="1:34" x14ac:dyDescent="0.3">
      <c r="A3236" s="89" t="str">
        <f>CONCATENATE(D3236,".",F3236,"-",G3236,".",H3236,"")</f>
        <v>2.6-3.1</v>
      </c>
      <c r="B3236" s="89" t="str">
        <f>IF(CONCATENATE(I3236,Key!F$2)=CONCATENATE(INDEX(Dashboard!J:J,MATCH(I3236,Dashboard!J:J,0),1),INDEX(Dashboard!J:K,MATCH(I3236,Dashboard!J:J,0),2)),"ON",IF(Dashboard!K$32="ALL","ON","-"))</f>
        <v>ON</v>
      </c>
      <c r="C3236" s="130" t="s">
        <v>152</v>
      </c>
      <c r="D3236" s="89">
        <f>IF(C3236="ID",1,(IF(C3236="PR",2,(IF(C3236="DE",3,(IF(C3236="RS",4,(IF(C3236="RC",5,0)))))))))</f>
        <v>2</v>
      </c>
      <c r="E3236" s="95" t="s">
        <v>271</v>
      </c>
      <c r="F3236" s="89">
        <f>IF(E3236="AM",1,(IF(E3236="BE",2,(IF(E3236="GV",3,(IF(E3236="RA",4,(IF(E3236="RM",5,(IF(E3236="AC",1,(IF(E3236="AT",2,(IF(E3236="DS",3,(IF(E3236="IP",4,(IF(E3236="MA",5,(IF(E3236="PT",6,(IF(E3236="AE",1,(IF(E3236="CM",2,(IF(E3236="DP",3,(IF(E3236="AN",1,(IF(E3236="CO",2,(IF(E3236="IM",3,(IF(E3236="MI",4,(IF(E3236="RP",5,(IF(E3236="SC",6,0)))))))))))))))))))))))))))))))))))))))</f>
        <v>6</v>
      </c>
      <c r="G3236" s="52">
        <v>3</v>
      </c>
      <c r="H3236" s="90" t="s">
        <v>115</v>
      </c>
      <c r="I3236" s="93" t="s">
        <v>4107</v>
      </c>
      <c r="J3236" s="86" t="s">
        <v>3991</v>
      </c>
      <c r="K3236" s="101" t="s">
        <v>4442</v>
      </c>
      <c r="L3236" s="117">
        <f>IF(O3236="","",N3236*O3236*M3236)</f>
        <v>0</v>
      </c>
      <c r="M3236" s="108">
        <v>1</v>
      </c>
      <c r="N3236" s="95">
        <v>1</v>
      </c>
      <c r="O3236" s="109">
        <f>IF(Key!D$1="ON",P3236,IF(SUM(Q3236:DL3236)&lt;1,"",SUM(Q3236:DL3236)/COUNTIF(Q3236:DL3236,"&gt;0")))</f>
        <v>0</v>
      </c>
      <c r="P3236" s="109">
        <f>SUMIFS(Q3236:DK3236,Q$1:DK$1,Dashboard!$K$31)</f>
        <v>0</v>
      </c>
      <c r="U3236" s="95">
        <v>33</v>
      </c>
      <c r="AA3236" s="95">
        <v>25</v>
      </c>
      <c r="AH3236" s="95">
        <v>75</v>
      </c>
    </row>
    <row r="3237" spans="1:34" x14ac:dyDescent="0.3">
      <c r="A3237" s="89" t="str">
        <f>CONCATENATE(D3237,".",F3237,"-",G3237,".",H3237,"")</f>
        <v>2.6-3.1</v>
      </c>
      <c r="B3237" s="89" t="str">
        <f>IF(CONCATENATE(I3237,Key!F$2)=CONCATENATE(INDEX(Dashboard!J:J,MATCH(I3237,Dashboard!J:J,0),1),INDEX(Dashboard!J:K,MATCH(I3237,Dashboard!J:J,0),2)),"ON",IF(Dashboard!K$32="ALL","ON","-"))</f>
        <v>ON</v>
      </c>
      <c r="C3237" s="130" t="s">
        <v>152</v>
      </c>
      <c r="D3237" s="89">
        <f>IF(C3237="ID",1,(IF(C3237="PR",2,(IF(C3237="DE",3,(IF(C3237="RS",4,(IF(C3237="RC",5,0)))))))))</f>
        <v>2</v>
      </c>
      <c r="E3237" s="95" t="s">
        <v>271</v>
      </c>
      <c r="F3237" s="89">
        <f>IF(E3237="AM",1,(IF(E3237="BE",2,(IF(E3237="GV",3,(IF(E3237="RA",4,(IF(E3237="RM",5,(IF(E3237="AC",1,(IF(E3237="AT",2,(IF(E3237="DS",3,(IF(E3237="IP",4,(IF(E3237="MA",5,(IF(E3237="PT",6,(IF(E3237="AE",1,(IF(E3237="CM",2,(IF(E3237="DP",3,(IF(E3237="AN",1,(IF(E3237="CO",2,(IF(E3237="IM",3,(IF(E3237="MI",4,(IF(E3237="RP",5,(IF(E3237="SC",6,0)))))))))))))))))))))))))))))))))))))))</f>
        <v>6</v>
      </c>
      <c r="G3237" s="52">
        <v>3</v>
      </c>
      <c r="H3237" s="90" t="s">
        <v>115</v>
      </c>
      <c r="I3237" s="93" t="s">
        <v>4107</v>
      </c>
      <c r="J3237" s="86" t="s">
        <v>3992</v>
      </c>
      <c r="K3237" s="101" t="s">
        <v>4375</v>
      </c>
      <c r="L3237" s="117">
        <f>IF(O3237="","",N3237*O3237*M3237)</f>
        <v>0</v>
      </c>
      <c r="M3237" s="108">
        <v>1</v>
      </c>
      <c r="N3237" s="95">
        <v>1</v>
      </c>
      <c r="O3237" s="109">
        <f>IF(Key!D$1="ON",P3237,IF(SUM(Q3237:DL3237)&lt;1,"",SUM(Q3237:DL3237)/COUNTIF(Q3237:DL3237,"&gt;0")))</f>
        <v>0</v>
      </c>
      <c r="P3237" s="109">
        <f>SUMIFS(Q3237:DK3237,Q$1:DK$1,Dashboard!$K$31)</f>
        <v>0</v>
      </c>
      <c r="U3237" s="95">
        <v>33</v>
      </c>
      <c r="AA3237" s="95">
        <v>25</v>
      </c>
      <c r="AH3237" s="95">
        <v>75</v>
      </c>
    </row>
    <row r="3238" spans="1:34" x14ac:dyDescent="0.3">
      <c r="A3238" s="89" t="str">
        <f>CONCATENATE(D3238,".",F3238,"-",G3238,".",H3238,"")</f>
        <v>2.6-3.1</v>
      </c>
      <c r="B3238" s="89" t="str">
        <f>IF(CONCATENATE(I3238,Key!F$2)=CONCATENATE(INDEX(Dashboard!J:J,MATCH(I3238,Dashboard!J:J,0),1),INDEX(Dashboard!J:K,MATCH(I3238,Dashboard!J:J,0),2)),"ON",IF(Dashboard!K$32="ALL","ON","-"))</f>
        <v>ON</v>
      </c>
      <c r="C3238" s="88" t="s">
        <v>152</v>
      </c>
      <c r="D3238" s="89">
        <f>IF(C3238="ID",1,(IF(C3238="PR",2,(IF(C3238="DE",3,(IF(C3238="RS",4,(IF(C3238="RC",5,0)))))))))</f>
        <v>2</v>
      </c>
      <c r="E3238" s="89" t="s">
        <v>271</v>
      </c>
      <c r="F3238" s="89">
        <f>IF(E3238="AM",1,(IF(E3238="BE",2,(IF(E3238="GV",3,(IF(E3238="RA",4,(IF(E3238="RM",5,(IF(E3238="AC",1,(IF(E3238="AT",2,(IF(E3238="DS",3,(IF(E3238="IP",4,(IF(E3238="MA",5,(IF(E3238="PT",6,(IF(E3238="AE",1,(IF(E3238="CM",2,(IF(E3238="DP",3,(IF(E3238="AN",1,(IF(E3238="CO",2,(IF(E3238="IM",3,(IF(E3238="MI",4,(IF(E3238="RP",5,(IF(E3238="SC",6,0)))))))))))))))))))))))))))))))))))))))</f>
        <v>6</v>
      </c>
      <c r="G3238" s="52">
        <v>3</v>
      </c>
      <c r="H3238" s="90" t="s">
        <v>115</v>
      </c>
      <c r="I3238" s="93" t="s">
        <v>4107</v>
      </c>
      <c r="J3238" s="86" t="s">
        <v>4073</v>
      </c>
      <c r="K3238" s="101" t="s">
        <v>4406</v>
      </c>
      <c r="L3238" s="117">
        <f>IF(O3238="","",N3238*O3238*M3238)</f>
        <v>0</v>
      </c>
      <c r="M3238" s="108">
        <v>1</v>
      </c>
      <c r="N3238" s="95">
        <v>1</v>
      </c>
      <c r="O3238" s="109">
        <f>IF(Key!D$1="ON",P3238,IF(SUM(Q3238:DL3238)&lt;1,"",SUM(Q3238:DL3238)/COUNTIF(Q3238:DL3238,"&gt;0")))</f>
        <v>0</v>
      </c>
      <c r="P3238" s="109">
        <f>SUMIFS(Q3238:DK3238,Q$1:DK$1,Dashboard!$K$31)</f>
        <v>0</v>
      </c>
      <c r="U3238" s="95">
        <v>33</v>
      </c>
      <c r="AA3238" s="95">
        <v>25</v>
      </c>
      <c r="AH3238" s="95">
        <v>75</v>
      </c>
    </row>
    <row r="3239" spans="1:34" x14ac:dyDescent="0.3">
      <c r="A3239" s="89" t="str">
        <f>CONCATENATE(D3239,".",F3239,"-",G3239,".",H3239,"")</f>
        <v>2.6-3.1</v>
      </c>
      <c r="B3239" s="89" t="str">
        <f>IF(CONCATENATE(I3239,Key!F$2)=CONCATENATE(INDEX(Dashboard!J:J,MATCH(I3239,Dashboard!J:J,0),1),INDEX(Dashboard!J:K,MATCH(I3239,Dashboard!J:J,0),2)),"ON",IF(Dashboard!K$32="ALL","ON","-"))</f>
        <v>ON</v>
      </c>
      <c r="C3239" s="88" t="s">
        <v>152</v>
      </c>
      <c r="D3239" s="89">
        <f>IF(C3239="ID",1,(IF(C3239="PR",2,(IF(C3239="DE",3,(IF(C3239="RS",4,(IF(C3239="RC",5,0)))))))))</f>
        <v>2</v>
      </c>
      <c r="E3239" s="89" t="s">
        <v>271</v>
      </c>
      <c r="F3239" s="89">
        <f>IF(E3239="AM",1,(IF(E3239="BE",2,(IF(E3239="GV",3,(IF(E3239="RA",4,(IF(E3239="RM",5,(IF(E3239="AC",1,(IF(E3239="AT",2,(IF(E3239="DS",3,(IF(E3239="IP",4,(IF(E3239="MA",5,(IF(E3239="PT",6,(IF(E3239="AE",1,(IF(E3239="CM",2,(IF(E3239="DP",3,(IF(E3239="AN",1,(IF(E3239="CO",2,(IF(E3239="IM",3,(IF(E3239="MI",4,(IF(E3239="RP",5,(IF(E3239="SC",6,0)))))))))))))))))))))))))))))))))))))))</f>
        <v>6</v>
      </c>
      <c r="G3239" s="52">
        <v>3</v>
      </c>
      <c r="H3239" s="90" t="s">
        <v>115</v>
      </c>
      <c r="I3239" s="93" t="s">
        <v>4107</v>
      </c>
      <c r="J3239" s="86" t="s">
        <v>4074</v>
      </c>
      <c r="K3239" s="101" t="s">
        <v>4220</v>
      </c>
      <c r="L3239" s="117">
        <f>IF(O3239="","",N3239*O3239*M3239)</f>
        <v>0</v>
      </c>
      <c r="M3239" s="108">
        <v>1</v>
      </c>
      <c r="N3239" s="95">
        <v>1</v>
      </c>
      <c r="O3239" s="109">
        <f>IF(Key!D$1="ON",P3239,IF(SUM(Q3239:DL3239)&lt;1,"",SUM(Q3239:DL3239)/COUNTIF(Q3239:DL3239,"&gt;0")))</f>
        <v>0</v>
      </c>
      <c r="P3239" s="109">
        <f>SUMIFS(Q3239:DK3239,Q$1:DK$1,Dashboard!$K$31)</f>
        <v>0</v>
      </c>
      <c r="U3239" s="95">
        <v>33</v>
      </c>
      <c r="AA3239" s="95">
        <v>25</v>
      </c>
      <c r="AH3239" s="95">
        <v>75</v>
      </c>
    </row>
    <row r="3240" spans="1:34" ht="15.6" x14ac:dyDescent="0.3">
      <c r="A3240" s="89" t="str">
        <f>CONCATENATE(D3240,".",F3240,"-",G3240,".",H3240,"")</f>
        <v>2.6-3.1</v>
      </c>
      <c r="B3240" s="89" t="str">
        <f>IF(CONCATENATE(I3240,Key!F$2)=CONCATENATE(INDEX(Dashboard!J:J,MATCH(I3240,Dashboard!J:J,0),1),INDEX(Dashboard!J:K,MATCH(I3240,Dashboard!J:J,0),2)),"ON",IF(Dashboard!K$32="ALL","ON","-"))</f>
        <v>ON</v>
      </c>
      <c r="C3240" s="88" t="s">
        <v>152</v>
      </c>
      <c r="D3240" s="89">
        <f>IF(C3240="ID",1,(IF(C3240="PR",2,(IF(C3240="DE",3,(IF(C3240="RS",4,(IF(C3240="RC",5,0)))))))))</f>
        <v>2</v>
      </c>
      <c r="E3240" s="89" t="s">
        <v>271</v>
      </c>
      <c r="F3240" s="89">
        <f>IF(E3240="AM",1,(IF(E3240="BE",2,(IF(E3240="GV",3,(IF(E3240="RA",4,(IF(E3240="RM",5,(IF(E3240="AC",1,(IF(E3240="AT",2,(IF(E3240="DS",3,(IF(E3240="IP",4,(IF(E3240="MA",5,(IF(E3240="PT",6,(IF(E3240="AE",1,(IF(E3240="CM",2,(IF(E3240="DP",3,(IF(E3240="AN",1,(IF(E3240="CO",2,(IF(E3240="IM",3,(IF(E3240="MI",4,(IF(E3240="RP",5,(IF(E3240="SC",6,0)))))))))))))))))))))))))))))))))))))))</f>
        <v>6</v>
      </c>
      <c r="G3240" s="52">
        <v>3</v>
      </c>
      <c r="H3240" s="89">
        <v>1</v>
      </c>
      <c r="I3240" s="93" t="s">
        <v>4107</v>
      </c>
      <c r="J3240" s="86" t="s">
        <v>4093</v>
      </c>
      <c r="K3240" s="101" t="s">
        <v>4414</v>
      </c>
      <c r="L3240" s="117">
        <f>IF(O3240="","",N3240*O3240*M3240)</f>
        <v>0</v>
      </c>
      <c r="M3240" s="108">
        <v>1</v>
      </c>
      <c r="N3240" s="95">
        <v>1</v>
      </c>
      <c r="O3240" s="109">
        <f>IF(Key!D$1="ON",P3240,IF(SUM(Q3240:DL3240)&lt;1,"",SUM(Q3240:DL3240)/COUNTIF(Q3240:DL3240,"&gt;0")))</f>
        <v>0</v>
      </c>
      <c r="P3240" s="109">
        <f>SUMIFS(Q3240:DK3240,Q$1:DK$1,Dashboard!$K$31)</f>
        <v>0</v>
      </c>
      <c r="U3240" s="95">
        <v>33</v>
      </c>
      <c r="AA3240" s="95">
        <v>25</v>
      </c>
      <c r="AH3240" s="95">
        <v>75</v>
      </c>
    </row>
    <row r="3241" spans="1:34" ht="15.6" x14ac:dyDescent="0.3">
      <c r="A3241" s="89" t="str">
        <f>CONCATENATE(D3241,".",F3241,"-",G3241,".",H3241,"")</f>
        <v>2.6-3.1</v>
      </c>
      <c r="B3241" s="89" t="str">
        <f>IF(CONCATENATE(I3241,Key!F$2)=CONCATENATE(INDEX(Dashboard!J:J,MATCH(I3241,Dashboard!J:J,0),1),INDEX(Dashboard!J:K,MATCH(I3241,Dashboard!J:J,0),2)),"ON",IF(Dashboard!K$32="ALL","ON","-"))</f>
        <v>-</v>
      </c>
      <c r="C3241" s="88" t="s">
        <v>152</v>
      </c>
      <c r="D3241" s="89">
        <f>IF(C3241="ID",1,(IF(C3241="PR",2,(IF(C3241="DE",3,(IF(C3241="RS",4,(IF(C3241="RC",5,0)))))))))</f>
        <v>2</v>
      </c>
      <c r="E3241" s="89" t="s">
        <v>271</v>
      </c>
      <c r="F3241" s="89">
        <f>IF(E3241="AM",1,(IF(E3241="BE",2,(IF(E3241="GV",3,(IF(E3241="RA",4,(IF(E3241="RM",5,(IF(E3241="AC",1,(IF(E3241="AT",2,(IF(E3241="DS",3,(IF(E3241="IP",4,(IF(E3241="MA",5,(IF(E3241="PT",6,(IF(E3241="AE",1,(IF(E3241="CM",2,(IF(E3241="DP",3,(IF(E3241="AN",1,(IF(E3241="CO",2,(IF(E3241="IM",3,(IF(E3241="MI",4,(IF(E3241="RP",5,(IF(E3241="SC",6,0)))))))))))))))))))))))))))))))))))))))</f>
        <v>6</v>
      </c>
      <c r="G3241" s="52">
        <v>3</v>
      </c>
      <c r="H3241" s="99">
        <v>1</v>
      </c>
      <c r="I3241" s="93" t="s">
        <v>37</v>
      </c>
      <c r="J3241" s="86">
        <v>2.2000000000000002</v>
      </c>
      <c r="K3241" s="102" t="s">
        <v>3791</v>
      </c>
      <c r="L3241" s="117">
        <f>IF(O3241="","",N3241*O3241*M3241)</f>
        <v>0</v>
      </c>
      <c r="M3241" s="108">
        <v>1</v>
      </c>
      <c r="N3241" s="95">
        <v>1</v>
      </c>
      <c r="O3241" s="109">
        <f>IF(Key!D$1="ON",P3241,IF(SUM(Q3241:DL3241)&lt;1,"",SUM(Q3241:DL3241)/COUNTIF(Q3241:DL3241,"&gt;0")))</f>
        <v>0</v>
      </c>
      <c r="P3241" s="109">
        <f>SUMIFS(Q3241:DK3241,Q$1:DK$1,Dashboard!$K$31)</f>
        <v>0</v>
      </c>
      <c r="U3241" s="95">
        <v>33</v>
      </c>
      <c r="AA3241" s="95">
        <v>25</v>
      </c>
      <c r="AH3241" s="95">
        <v>75</v>
      </c>
    </row>
    <row r="3242" spans="1:34" ht="15.6" x14ac:dyDescent="0.3">
      <c r="A3242" s="89" t="str">
        <f>CONCATENATE(D3242,".",F3242,"-",G3242,".",H3242,"")</f>
        <v>2.6-3.1</v>
      </c>
      <c r="B3242" s="89" t="str">
        <f>IF(CONCATENATE(I3242,Key!F$2)=CONCATENATE(INDEX(Dashboard!J:J,MATCH(I3242,Dashboard!J:J,0),1),INDEX(Dashboard!J:K,MATCH(I3242,Dashboard!J:J,0),2)),"ON",IF(Dashboard!K$32="ALL","ON","-"))</f>
        <v>-</v>
      </c>
      <c r="C3242" s="88" t="s">
        <v>152</v>
      </c>
      <c r="D3242" s="89">
        <f>IF(C3242="ID",1,(IF(C3242="PR",2,(IF(C3242="DE",3,(IF(C3242="RS",4,(IF(C3242="RC",5,0)))))))))</f>
        <v>2</v>
      </c>
      <c r="E3242" s="89" t="s">
        <v>271</v>
      </c>
      <c r="F3242" s="89">
        <f>IF(E3242="AM",1,(IF(E3242="BE",2,(IF(E3242="GV",3,(IF(E3242="RA",4,(IF(E3242="RM",5,(IF(E3242="AC",1,(IF(E3242="AT",2,(IF(E3242="DS",3,(IF(E3242="IP",4,(IF(E3242="MA",5,(IF(E3242="PT",6,(IF(E3242="AE",1,(IF(E3242="CM",2,(IF(E3242="DP",3,(IF(E3242="AN",1,(IF(E3242="CO",2,(IF(E3242="IM",3,(IF(E3242="MI",4,(IF(E3242="RP",5,(IF(E3242="SC",6,0)))))))))))))))))))))))))))))))))))))))</f>
        <v>6</v>
      </c>
      <c r="G3242" s="52">
        <v>3</v>
      </c>
      <c r="H3242" s="99">
        <v>1</v>
      </c>
      <c r="I3242" s="93" t="s">
        <v>37</v>
      </c>
      <c r="J3242" s="86">
        <v>7.2</v>
      </c>
      <c r="K3242" s="102" t="s">
        <v>3793</v>
      </c>
      <c r="L3242" s="117">
        <f>IF(O3242="","",N3242*O3242*M3242)</f>
        <v>0</v>
      </c>
      <c r="M3242" s="108">
        <v>1</v>
      </c>
      <c r="N3242" s="95">
        <v>1</v>
      </c>
      <c r="O3242" s="109">
        <f>IF(Key!D$1="ON",P3242,IF(SUM(Q3242:DL3242)&lt;1,"",SUM(Q3242:DL3242)/COUNTIF(Q3242:DL3242,"&gt;0")))</f>
        <v>0</v>
      </c>
      <c r="P3242" s="109">
        <f>SUMIFS(Q3242:DK3242,Q$1:DK$1,Dashboard!$K$31)</f>
        <v>0</v>
      </c>
      <c r="U3242" s="95">
        <v>33</v>
      </c>
      <c r="AA3242" s="95">
        <v>25</v>
      </c>
      <c r="AH3242" s="95">
        <v>75</v>
      </c>
    </row>
    <row r="3243" spans="1:34" x14ac:dyDescent="0.3">
      <c r="A3243" s="89" t="str">
        <f>CONCATENATE(D3243,".",F3243,"-",G3243,".",H3243,"")</f>
        <v>2.6-3.1</v>
      </c>
      <c r="B3243" s="89" t="str">
        <f>IF(CONCATENATE(I3243,Key!F$2)=CONCATENATE(INDEX(Dashboard!J:J,MATCH(I3243,Dashboard!J:J,0),1),INDEX(Dashboard!J:K,MATCH(I3243,Dashboard!J:J,0),2)),"ON",IF(Dashboard!K$32="ALL","ON","-"))</f>
        <v>-</v>
      </c>
      <c r="C3243" s="96" t="s">
        <v>152</v>
      </c>
      <c r="D3243" s="89">
        <f>IF(C3243="ID",1,(IF(C3243="PR",2,(IF(C3243="DE",3,(IF(C3243="RS",4,(IF(C3243="RC",5,0)))))))))</f>
        <v>2</v>
      </c>
      <c r="E3243" s="131" t="s">
        <v>271</v>
      </c>
      <c r="F3243" s="89">
        <f>IF(E3243="AM",1,(IF(E3243="BE",2,(IF(E3243="GV",3,(IF(E3243="RA",4,(IF(E3243="RM",5,(IF(E3243="AC",1,(IF(E3243="AT",2,(IF(E3243="DS",3,(IF(E3243="IP",4,(IF(E3243="MA",5,(IF(E3243="PT",6,(IF(E3243="AE",1,(IF(E3243="CM",2,(IF(E3243="DP",3,(IF(E3243="AN",1,(IF(E3243="CO",2,(IF(E3243="IM",3,(IF(E3243="MI",4,(IF(E3243="RP",5,(IF(E3243="SC",6,0)))))))))))))))))))))))))))))))))))))))</f>
        <v>6</v>
      </c>
      <c r="G3243" s="52">
        <v>3</v>
      </c>
      <c r="H3243" s="99">
        <v>1</v>
      </c>
      <c r="I3243" s="93" t="s">
        <v>37</v>
      </c>
      <c r="J3243" s="86">
        <v>9</v>
      </c>
      <c r="K3243" s="102" t="s">
        <v>3797</v>
      </c>
      <c r="L3243" s="117">
        <f>IF(O3243="","",N3243*O3243*M3243)</f>
        <v>0</v>
      </c>
      <c r="M3243" s="108">
        <v>1</v>
      </c>
      <c r="N3243" s="95">
        <v>1</v>
      </c>
      <c r="O3243" s="109">
        <f>IF(Key!D$1="ON",P3243,IF(SUM(Q3243:DL3243)&lt;1,"",SUM(Q3243:DL3243)/COUNTIF(Q3243:DL3243,"&gt;0")))</f>
        <v>0</v>
      </c>
      <c r="P3243" s="109">
        <f>SUMIFS(Q3243:DK3243,Q$1:DK$1,Dashboard!$K$31)</f>
        <v>0</v>
      </c>
      <c r="U3243" s="95">
        <v>33</v>
      </c>
      <c r="AA3243" s="95">
        <v>25</v>
      </c>
      <c r="AH3243" s="95">
        <v>75</v>
      </c>
    </row>
    <row r="3244" spans="1:34" ht="15.6" x14ac:dyDescent="0.3">
      <c r="A3244" s="89" t="str">
        <f>CONCATENATE(D3244,".",F3244,"-",G3244,".",H3244,"")</f>
        <v>2.6-3.1</v>
      </c>
      <c r="B3244" s="89" t="str">
        <f>IF(CONCATENATE(I3244,Key!F$2)=CONCATENATE(INDEX(Dashboard!J:J,MATCH(I3244,Dashboard!J:J,0),1),INDEX(Dashboard!J:K,MATCH(I3244,Dashboard!J:J,0),2)),"ON",IF(Dashboard!K$32="ALL","ON","-"))</f>
        <v>-</v>
      </c>
      <c r="C3244" s="96" t="s">
        <v>152</v>
      </c>
      <c r="D3244" s="89">
        <f>IF(C3244="ID",1,(IF(C3244="PR",2,(IF(C3244="DE",3,(IF(C3244="RS",4,(IF(C3244="RC",5,0)))))))))</f>
        <v>2</v>
      </c>
      <c r="E3244" s="131" t="s">
        <v>271</v>
      </c>
      <c r="F3244" s="89">
        <f>IF(E3244="AM",1,(IF(E3244="BE",2,(IF(E3244="GV",3,(IF(E3244="RA",4,(IF(E3244="RM",5,(IF(E3244="AC",1,(IF(E3244="AT",2,(IF(E3244="DS",3,(IF(E3244="IP",4,(IF(E3244="MA",5,(IF(E3244="PT",6,(IF(E3244="AE",1,(IF(E3244="CM",2,(IF(E3244="DP",3,(IF(E3244="AN",1,(IF(E3244="CO",2,(IF(E3244="IM",3,(IF(E3244="MI",4,(IF(E3244="RP",5,(IF(E3244="SC",6,0)))))))))))))))))))))))))))))))))))))))</f>
        <v>6</v>
      </c>
      <c r="G3244" s="52">
        <v>3</v>
      </c>
      <c r="H3244" s="99">
        <v>1</v>
      </c>
      <c r="I3244" s="93" t="s">
        <v>37</v>
      </c>
      <c r="J3244" s="86">
        <v>9.1</v>
      </c>
      <c r="K3244" s="102" t="s">
        <v>3798</v>
      </c>
      <c r="L3244" s="117">
        <f>IF(O3244="","",N3244*O3244*M3244)</f>
        <v>0</v>
      </c>
      <c r="M3244" s="108">
        <v>1</v>
      </c>
      <c r="N3244" s="95">
        <v>1</v>
      </c>
      <c r="O3244" s="109">
        <f>IF(Key!D$1="ON",P3244,IF(SUM(Q3244:DL3244)&lt;1,"",SUM(Q3244:DL3244)/COUNTIF(Q3244:DL3244,"&gt;0")))</f>
        <v>0</v>
      </c>
      <c r="P3244" s="109">
        <f>SUMIFS(Q3244:DK3244,Q$1:DK$1,Dashboard!$K$31)</f>
        <v>0</v>
      </c>
      <c r="U3244" s="95">
        <v>33</v>
      </c>
      <c r="AA3244" s="95">
        <v>25</v>
      </c>
      <c r="AH3244" s="95">
        <v>75</v>
      </c>
    </row>
    <row r="3245" spans="1:34" x14ac:dyDescent="0.3">
      <c r="A3245" s="89" t="str">
        <f>CONCATENATE(D3245,".",F3245,"-",G3245,".",H3245,"")</f>
        <v>2.6-3.1</v>
      </c>
      <c r="B3245" s="89" t="str">
        <f>IF(CONCATENATE(I3245,Key!F$2)=CONCATENATE(INDEX(Dashboard!J:J,MATCH(I3245,Dashboard!J:J,0),1),INDEX(Dashboard!J:K,MATCH(I3245,Dashboard!J:J,0),2)),"ON",IF(Dashboard!K$32="ALL","ON","-"))</f>
        <v>-</v>
      </c>
      <c r="C3245" s="96" t="s">
        <v>152</v>
      </c>
      <c r="D3245" s="89">
        <f>IF(C3245="ID",1,(IF(C3245="PR",2,(IF(C3245="DE",3,(IF(C3245="RS",4,(IF(C3245="RC",5,0)))))))))</f>
        <v>2</v>
      </c>
      <c r="E3245" s="131" t="s">
        <v>271</v>
      </c>
      <c r="F3245" s="89">
        <f>IF(E3245="AM",1,(IF(E3245="BE",2,(IF(E3245="GV",3,(IF(E3245="RA",4,(IF(E3245="RM",5,(IF(E3245="AC",1,(IF(E3245="AT",2,(IF(E3245="DS",3,(IF(E3245="IP",4,(IF(E3245="MA",5,(IF(E3245="PT",6,(IF(E3245="AE",1,(IF(E3245="CM",2,(IF(E3245="DP",3,(IF(E3245="AN",1,(IF(E3245="CO",2,(IF(E3245="IM",3,(IF(E3245="MI",4,(IF(E3245="RP",5,(IF(E3245="SC",6,0)))))))))))))))))))))))))))))))))))))))</f>
        <v>6</v>
      </c>
      <c r="G3245" s="52">
        <v>3</v>
      </c>
      <c r="H3245" s="99">
        <v>1</v>
      </c>
      <c r="I3245" s="93" t="s">
        <v>37</v>
      </c>
      <c r="J3245" s="86">
        <v>9.1999999999999993</v>
      </c>
      <c r="K3245" s="102" t="s">
        <v>3799</v>
      </c>
      <c r="L3245" s="117">
        <f>IF(O3245="","",N3245*O3245*M3245)</f>
        <v>0</v>
      </c>
      <c r="M3245" s="108">
        <v>1</v>
      </c>
      <c r="N3245" s="95">
        <v>1</v>
      </c>
      <c r="O3245" s="109">
        <f>IF(Key!D$1="ON",P3245,IF(SUM(Q3245:DL3245)&lt;1,"",SUM(Q3245:DL3245)/COUNTIF(Q3245:DL3245,"&gt;0")))</f>
        <v>0</v>
      </c>
      <c r="P3245" s="109">
        <f>SUMIFS(Q3245:DK3245,Q$1:DK$1,Dashboard!$K$31)</f>
        <v>0</v>
      </c>
      <c r="U3245" s="95">
        <v>33</v>
      </c>
      <c r="AA3245" s="95">
        <v>25</v>
      </c>
      <c r="AH3245" s="95">
        <v>75</v>
      </c>
    </row>
    <row r="3246" spans="1:34" x14ac:dyDescent="0.3">
      <c r="A3246" s="89" t="str">
        <f>CONCATENATE(D3246,".",F3246,"-",G3246,".",H3246,"")</f>
        <v>2.6-3.1</v>
      </c>
      <c r="B3246" s="89" t="str">
        <f>IF(CONCATENATE(I3246,Key!F$2)=CONCATENATE(INDEX(Dashboard!J:J,MATCH(I3246,Dashboard!J:J,0),1),INDEX(Dashboard!J:K,MATCH(I3246,Dashboard!J:J,0),2)),"ON",IF(Dashboard!K$32="ALL","ON","-"))</f>
        <v>-</v>
      </c>
      <c r="C3246" s="88" t="s">
        <v>152</v>
      </c>
      <c r="D3246" s="89">
        <f>IF(C3246="ID",1,(IF(C3246="PR",2,(IF(C3246="DE",3,(IF(C3246="RS",4,(IF(C3246="RC",5,0)))))))))</f>
        <v>2</v>
      </c>
      <c r="E3246" s="89" t="s">
        <v>271</v>
      </c>
      <c r="F3246" s="89">
        <f>IF(E3246="AM",1,(IF(E3246="BE",2,(IF(E3246="GV",3,(IF(E3246="RA",4,(IF(E3246="RM",5,(IF(E3246="AC",1,(IF(E3246="AT",2,(IF(E3246="DS",3,(IF(E3246="IP",4,(IF(E3246="MA",5,(IF(E3246="PT",6,(IF(E3246="AE",1,(IF(E3246="CM",2,(IF(E3246="DP",3,(IF(E3246="AN",1,(IF(E3246="CO",2,(IF(E3246="IM",3,(IF(E3246="MI",4,(IF(E3246="RP",5,(IF(E3246="SC",6,0)))))))))))))))))))))))))))))))))))))))</f>
        <v>6</v>
      </c>
      <c r="G3246" s="52">
        <v>3</v>
      </c>
      <c r="H3246" s="99">
        <v>1</v>
      </c>
      <c r="I3246" s="93" t="s">
        <v>37</v>
      </c>
      <c r="J3246" s="86">
        <v>12.3</v>
      </c>
      <c r="K3246" s="102" t="s">
        <v>3801</v>
      </c>
      <c r="L3246" s="117">
        <f>IF(O3246="","",N3246*O3246*M3246)</f>
        <v>0</v>
      </c>
      <c r="M3246" s="108">
        <v>1</v>
      </c>
      <c r="N3246" s="95">
        <v>1</v>
      </c>
      <c r="O3246" s="109">
        <f>IF(Key!D$1="ON",P3246,IF(SUM(Q3246:DL3246)&lt;1,"",SUM(Q3246:DL3246)/COUNTIF(Q3246:DL3246,"&gt;0")))</f>
        <v>0</v>
      </c>
      <c r="P3246" s="109">
        <f>SUMIFS(Q3246:DK3246,Q$1:DK$1,Dashboard!$K$31)</f>
        <v>0</v>
      </c>
      <c r="U3246" s="95">
        <v>33</v>
      </c>
      <c r="AA3246" s="95">
        <v>25</v>
      </c>
      <c r="AH3246" s="95">
        <v>75</v>
      </c>
    </row>
    <row r="3247" spans="1:34" ht="15.6" x14ac:dyDescent="0.3">
      <c r="A3247" s="89" t="str">
        <f>CONCATENATE(D3247,".",F3247,"-",G3247,".",H3247,"")</f>
        <v>2.6-3.1</v>
      </c>
      <c r="B3247" s="89" t="str">
        <f>IF(CONCATENATE(I3247,Key!F$2)=CONCATENATE(INDEX(Dashboard!J:J,MATCH(I3247,Dashboard!J:J,0),1),INDEX(Dashboard!J:K,MATCH(I3247,Dashboard!J:J,0),2)),"ON",IF(Dashboard!K$32="ALL","ON","-"))</f>
        <v>-</v>
      </c>
      <c r="C3247" s="88" t="s">
        <v>152</v>
      </c>
      <c r="D3247" s="89">
        <f>IF(C3247="ID",1,(IF(C3247="PR",2,(IF(C3247="DE",3,(IF(C3247="RS",4,(IF(C3247="RC",5,0)))))))))</f>
        <v>2</v>
      </c>
      <c r="E3247" s="89" t="s">
        <v>271</v>
      </c>
      <c r="F3247" s="89">
        <f>IF(E3247="AM",1,(IF(E3247="BE",2,(IF(E3247="GV",3,(IF(E3247="RA",4,(IF(E3247="RM",5,(IF(E3247="AC",1,(IF(E3247="AT",2,(IF(E3247="DS",3,(IF(E3247="IP",4,(IF(E3247="MA",5,(IF(E3247="PT",6,(IF(E3247="AE",1,(IF(E3247="CM",2,(IF(E3247="DP",3,(IF(E3247="AN",1,(IF(E3247="CO",2,(IF(E3247="IM",3,(IF(E3247="MI",4,(IF(E3247="RP",5,(IF(E3247="SC",6,0)))))))))))))))))))))))))))))))))))))))</f>
        <v>6</v>
      </c>
      <c r="G3247" s="52">
        <v>3</v>
      </c>
      <c r="H3247" s="99">
        <v>1</v>
      </c>
      <c r="I3247" s="93" t="s">
        <v>37</v>
      </c>
      <c r="J3247" s="86">
        <v>15.7</v>
      </c>
      <c r="K3247" s="102" t="s">
        <v>3804</v>
      </c>
      <c r="L3247" s="117">
        <f>IF(O3247="","",N3247*O3247*M3247)</f>
        <v>0</v>
      </c>
      <c r="M3247" s="108">
        <v>1</v>
      </c>
      <c r="N3247" s="95">
        <v>1</v>
      </c>
      <c r="O3247" s="109">
        <f>IF(Key!D$1="ON",P3247,IF(SUM(Q3247:DL3247)&lt;1,"",SUM(Q3247:DL3247)/COUNTIF(Q3247:DL3247,"&gt;0")))</f>
        <v>0</v>
      </c>
      <c r="P3247" s="109">
        <f>SUMIFS(Q3247:DK3247,Q$1:DK$1,Dashboard!$K$31)</f>
        <v>0</v>
      </c>
      <c r="U3247" s="95">
        <v>33</v>
      </c>
      <c r="AA3247" s="95">
        <v>25</v>
      </c>
      <c r="AH3247" s="95">
        <v>75</v>
      </c>
    </row>
    <row r="3248" spans="1:34" ht="15.6" x14ac:dyDescent="0.3">
      <c r="A3248" s="89" t="str">
        <f>CONCATENATE(D3248,".",F3248,"-",G3248,".",H3248,"")</f>
        <v>2.6-3.1</v>
      </c>
      <c r="B3248" s="89" t="str">
        <f>IF(CONCATENATE(I3248,Key!F$2)=CONCATENATE(INDEX(Dashboard!J:J,MATCH(I3248,Dashboard!J:J,0),1),INDEX(Dashboard!J:K,MATCH(I3248,Dashboard!J:J,0),2)),"ON",IF(Dashboard!K$32="ALL","ON","-"))</f>
        <v>-</v>
      </c>
      <c r="C3248" s="88" t="s">
        <v>152</v>
      </c>
      <c r="D3248" s="89">
        <f>IF(C3248="ID",1,(IF(C3248="PR",2,(IF(C3248="DE",3,(IF(C3248="RS",4,(IF(C3248="RC",5,0)))))))))</f>
        <v>2</v>
      </c>
      <c r="E3248" s="89" t="s">
        <v>271</v>
      </c>
      <c r="F3248" s="89">
        <f>IF(E3248="AM",1,(IF(E3248="BE",2,(IF(E3248="GV",3,(IF(E3248="RA",4,(IF(E3248="RM",5,(IF(E3248="AC",1,(IF(E3248="AT",2,(IF(E3248="DS",3,(IF(E3248="IP",4,(IF(E3248="MA",5,(IF(E3248="PT",6,(IF(E3248="AE",1,(IF(E3248="CM",2,(IF(E3248="DP",3,(IF(E3248="AN",1,(IF(E3248="CO",2,(IF(E3248="IM",3,(IF(E3248="MI",4,(IF(E3248="RP",5,(IF(E3248="SC",6,0)))))))))))))))))))))))))))))))))))))))</f>
        <v>6</v>
      </c>
      <c r="G3248" s="52">
        <v>3</v>
      </c>
      <c r="H3248" s="99">
        <v>1</v>
      </c>
      <c r="I3248" s="93" t="s">
        <v>37</v>
      </c>
      <c r="J3248" s="86">
        <v>15.8</v>
      </c>
      <c r="K3248" s="102" t="s">
        <v>3805</v>
      </c>
      <c r="L3248" s="117">
        <f>IF(O3248="","",N3248*O3248*M3248)</f>
        <v>0</v>
      </c>
      <c r="M3248" s="108">
        <v>1</v>
      </c>
      <c r="N3248" s="95">
        <v>1</v>
      </c>
      <c r="O3248" s="109">
        <f>IF(Key!D$1="ON",P3248,IF(SUM(Q3248:DL3248)&lt;1,"",SUM(Q3248:DL3248)/COUNTIF(Q3248:DL3248,"&gt;0")))</f>
        <v>0</v>
      </c>
      <c r="P3248" s="109">
        <f>SUMIFS(Q3248:DK3248,Q$1:DK$1,Dashboard!$K$31)</f>
        <v>0</v>
      </c>
      <c r="U3248" s="95">
        <v>33</v>
      </c>
      <c r="AA3248" s="95">
        <v>25</v>
      </c>
      <c r="AH3248" s="95">
        <v>75</v>
      </c>
    </row>
    <row r="3249" spans="1:34" ht="15.6" x14ac:dyDescent="0.3">
      <c r="A3249" s="89" t="str">
        <f>CONCATENATE(D3249,".",F3249,"-",G3249,".",H3249,"")</f>
        <v>2.6-3.1</v>
      </c>
      <c r="B3249" s="89" t="str">
        <f>IF(CONCATENATE(I3249,Key!F$2)=CONCATENATE(INDEX(Dashboard!J:J,MATCH(I3249,Dashboard!J:J,0),1),INDEX(Dashboard!J:K,MATCH(I3249,Dashboard!J:J,0),2)),"ON",IF(Dashboard!K$32="ALL","ON","-"))</f>
        <v>-</v>
      </c>
      <c r="C3249" s="88" t="s">
        <v>152</v>
      </c>
      <c r="D3249" s="89">
        <f>IF(C3249="ID",1,(IF(C3249="PR",2,(IF(C3249="DE",3,(IF(C3249="RS",4,(IF(C3249="RC",5,0)))))))))</f>
        <v>2</v>
      </c>
      <c r="E3249" s="89" t="s">
        <v>271</v>
      </c>
      <c r="F3249" s="89">
        <f>IF(E3249="AM",1,(IF(E3249="BE",2,(IF(E3249="GV",3,(IF(E3249="RA",4,(IF(E3249="RM",5,(IF(E3249="AC",1,(IF(E3249="AT",2,(IF(E3249="DS",3,(IF(E3249="IP",4,(IF(E3249="MA",5,(IF(E3249="PT",6,(IF(E3249="AE",1,(IF(E3249="CM",2,(IF(E3249="DP",3,(IF(E3249="AN",1,(IF(E3249="CO",2,(IF(E3249="IM",3,(IF(E3249="MI",4,(IF(E3249="RP",5,(IF(E3249="SC",6,0)))))))))))))))))))))))))))))))))))))))</f>
        <v>6</v>
      </c>
      <c r="G3249" s="52">
        <v>3</v>
      </c>
      <c r="H3249" s="99">
        <v>1</v>
      </c>
      <c r="I3249" s="93" t="s">
        <v>37</v>
      </c>
      <c r="J3249" s="86">
        <v>5.9</v>
      </c>
      <c r="K3249" s="102" t="s">
        <v>3792</v>
      </c>
      <c r="L3249" s="117">
        <f>IF(O3249="","",N3249*O3249*M3249)</f>
        <v>0</v>
      </c>
      <c r="M3249" s="108">
        <v>1</v>
      </c>
      <c r="N3249" s="95">
        <v>1</v>
      </c>
      <c r="O3249" s="109">
        <f>IF(Key!D$1="ON",P3249,IF(SUM(Q3249:DL3249)&lt;1,"",SUM(Q3249:DL3249)/COUNTIF(Q3249:DL3249,"&gt;0")))</f>
        <v>0</v>
      </c>
      <c r="P3249" s="109">
        <f>SUMIFS(Q3249:DK3249,Q$1:DK$1,Dashboard!$K$31)</f>
        <v>0</v>
      </c>
      <c r="U3249" s="95">
        <v>33</v>
      </c>
      <c r="AA3249" s="95">
        <v>25</v>
      </c>
      <c r="AH3249" s="95">
        <v>75</v>
      </c>
    </row>
    <row r="3250" spans="1:34" x14ac:dyDescent="0.3">
      <c r="A3250" s="89" t="str">
        <f>CONCATENATE(D3250,".",F3250,"-",G3250,".",H3250,"")</f>
        <v>2.6-3.1</v>
      </c>
      <c r="B3250" s="89" t="str">
        <f>IF(CONCATENATE(I3250,Key!F$2)=CONCATENATE(INDEX(Dashboard!J:J,MATCH(I3250,Dashboard!J:J,0),1),INDEX(Dashboard!J:K,MATCH(I3250,Dashboard!J:J,0),2)),"ON",IF(Dashboard!K$32="ALL","ON","-"))</f>
        <v>-</v>
      </c>
      <c r="C3250" s="88" t="s">
        <v>152</v>
      </c>
      <c r="D3250" s="89">
        <f>IF(C3250="ID",1,(IF(C3250="PR",2,(IF(C3250="DE",3,(IF(C3250="RS",4,(IF(C3250="RC",5,0)))))))))</f>
        <v>2</v>
      </c>
      <c r="E3250" s="89" t="s">
        <v>271</v>
      </c>
      <c r="F3250" s="89">
        <f>IF(E3250="AM",1,(IF(E3250="BE",2,(IF(E3250="GV",3,(IF(E3250="RA",4,(IF(E3250="RM",5,(IF(E3250="AC",1,(IF(E3250="AT",2,(IF(E3250="DS",3,(IF(E3250="IP",4,(IF(E3250="MA",5,(IF(E3250="PT",6,(IF(E3250="AE",1,(IF(E3250="CM",2,(IF(E3250="DP",3,(IF(E3250="AN",1,(IF(E3250="CO",2,(IF(E3250="IM",3,(IF(E3250="MI",4,(IF(E3250="RP",5,(IF(E3250="SC",6,0)))))))))))))))))))))))))))))))))))))))</f>
        <v>6</v>
      </c>
      <c r="G3250" s="52">
        <v>3</v>
      </c>
      <c r="H3250" s="99">
        <v>1</v>
      </c>
      <c r="I3250" s="93" t="s">
        <v>37</v>
      </c>
      <c r="J3250" s="86">
        <v>7.5</v>
      </c>
      <c r="K3250" s="102" t="s">
        <v>3794</v>
      </c>
      <c r="L3250" s="117">
        <f>IF(O3250="","",N3250*O3250*M3250)</f>
        <v>0</v>
      </c>
      <c r="M3250" s="108">
        <v>1</v>
      </c>
      <c r="N3250" s="95">
        <v>1</v>
      </c>
      <c r="O3250" s="109">
        <f>IF(Key!D$1="ON",P3250,IF(SUM(Q3250:DL3250)&lt;1,"",SUM(Q3250:DL3250)/COUNTIF(Q3250:DL3250,"&gt;0")))</f>
        <v>0</v>
      </c>
      <c r="P3250" s="109">
        <f>SUMIFS(Q3250:DK3250,Q$1:DK$1,Dashboard!$K$31)</f>
        <v>0</v>
      </c>
      <c r="U3250" s="95">
        <v>33</v>
      </c>
      <c r="AA3250" s="95">
        <v>25</v>
      </c>
      <c r="AH3250" s="95">
        <v>75</v>
      </c>
    </row>
    <row r="3251" spans="1:34" ht="15.6" x14ac:dyDescent="0.3">
      <c r="A3251" s="89" t="str">
        <f>CONCATENATE(D3251,".",F3251,"-",G3251,".",H3251,"")</f>
        <v>2.6-3.1</v>
      </c>
      <c r="B3251" s="89" t="str">
        <f>IF(CONCATENATE(I3251,Key!F$2)=CONCATENATE(INDEX(Dashboard!J:J,MATCH(I3251,Dashboard!J:J,0),1),INDEX(Dashboard!J:K,MATCH(I3251,Dashboard!J:J,0),2)),"ON",IF(Dashboard!K$32="ALL","ON","-"))</f>
        <v>-</v>
      </c>
      <c r="C3251" s="88" t="s">
        <v>152</v>
      </c>
      <c r="D3251" s="89">
        <f>IF(C3251="ID",1,(IF(C3251="PR",2,(IF(C3251="DE",3,(IF(C3251="RS",4,(IF(C3251="RC",5,0)))))))))</f>
        <v>2</v>
      </c>
      <c r="E3251" s="89" t="s">
        <v>271</v>
      </c>
      <c r="F3251" s="89">
        <f>IF(E3251="AM",1,(IF(E3251="BE",2,(IF(E3251="GV",3,(IF(E3251="RA",4,(IF(E3251="RM",5,(IF(E3251="AC",1,(IF(E3251="AT",2,(IF(E3251="DS",3,(IF(E3251="IP",4,(IF(E3251="MA",5,(IF(E3251="PT",6,(IF(E3251="AE",1,(IF(E3251="CM",2,(IF(E3251="DP",3,(IF(E3251="AN",1,(IF(E3251="CO",2,(IF(E3251="IM",3,(IF(E3251="MI",4,(IF(E3251="RP",5,(IF(E3251="SC",6,0)))))))))))))))))))))))))))))))))))))))</f>
        <v>6</v>
      </c>
      <c r="G3251" s="52">
        <v>3</v>
      </c>
      <c r="H3251" s="99">
        <v>1</v>
      </c>
      <c r="I3251" s="93" t="s">
        <v>37</v>
      </c>
      <c r="J3251" s="86">
        <v>8.3000000000000007</v>
      </c>
      <c r="K3251" s="102" t="s">
        <v>3795</v>
      </c>
      <c r="L3251" s="117">
        <f>IF(O3251="","",N3251*O3251*M3251)</f>
        <v>0</v>
      </c>
      <c r="M3251" s="108">
        <v>1</v>
      </c>
      <c r="N3251" s="95">
        <v>1</v>
      </c>
      <c r="O3251" s="109">
        <f>IF(Key!D$1="ON",P3251,IF(SUM(Q3251:DL3251)&lt;1,"",SUM(Q3251:DL3251)/COUNTIF(Q3251:DL3251,"&gt;0")))</f>
        <v>0</v>
      </c>
      <c r="P3251" s="109">
        <f>SUMIFS(Q3251:DK3251,Q$1:DK$1,Dashboard!$K$31)</f>
        <v>0</v>
      </c>
      <c r="U3251" s="95">
        <v>33</v>
      </c>
      <c r="AA3251" s="95">
        <v>25</v>
      </c>
      <c r="AH3251" s="95">
        <v>75</v>
      </c>
    </row>
    <row r="3252" spans="1:34" x14ac:dyDescent="0.3">
      <c r="A3252" s="89" t="str">
        <f>CONCATENATE(D3252,".",F3252,"-",G3252,".",H3252,"")</f>
        <v>2.6-3.1</v>
      </c>
      <c r="B3252" s="89" t="str">
        <f>IF(CONCATENATE(I3252,Key!F$2)=CONCATENATE(INDEX(Dashboard!J:J,MATCH(I3252,Dashboard!J:J,0),1),INDEX(Dashboard!J:K,MATCH(I3252,Dashboard!J:J,0),2)),"ON",IF(Dashboard!K$32="ALL","ON","-"))</f>
        <v>-</v>
      </c>
      <c r="C3252" s="88" t="s">
        <v>152</v>
      </c>
      <c r="D3252" s="89">
        <f>IF(C3252="ID",1,(IF(C3252="PR",2,(IF(C3252="DE",3,(IF(C3252="RS",4,(IF(C3252="RC",5,0)))))))))</f>
        <v>2</v>
      </c>
      <c r="E3252" s="89" t="s">
        <v>271</v>
      </c>
      <c r="F3252" s="89">
        <f>IF(E3252="AM",1,(IF(E3252="BE",2,(IF(E3252="GV",3,(IF(E3252="RA",4,(IF(E3252="RM",5,(IF(E3252="AC",1,(IF(E3252="AT",2,(IF(E3252="DS",3,(IF(E3252="IP",4,(IF(E3252="MA",5,(IF(E3252="PT",6,(IF(E3252="AE",1,(IF(E3252="CM",2,(IF(E3252="DP",3,(IF(E3252="AN",1,(IF(E3252="CO",2,(IF(E3252="IM",3,(IF(E3252="MI",4,(IF(E3252="RP",5,(IF(E3252="SC",6,0)))))))))))))))))))))))))))))))))))))))</f>
        <v>6</v>
      </c>
      <c r="G3252" s="52">
        <v>3</v>
      </c>
      <c r="H3252" s="99">
        <v>1</v>
      </c>
      <c r="I3252" s="93" t="s">
        <v>37</v>
      </c>
      <c r="J3252" s="86">
        <v>8.4</v>
      </c>
      <c r="K3252" s="102" t="s">
        <v>3796</v>
      </c>
      <c r="L3252" s="117">
        <f>IF(O3252="","",N3252*O3252*M3252)</f>
        <v>0</v>
      </c>
      <c r="M3252" s="108">
        <v>1</v>
      </c>
      <c r="N3252" s="95">
        <v>1</v>
      </c>
      <c r="O3252" s="109">
        <f>IF(Key!D$1="ON",P3252,IF(SUM(Q3252:DL3252)&lt;1,"",SUM(Q3252:DL3252)/COUNTIF(Q3252:DL3252,"&gt;0")))</f>
        <v>0</v>
      </c>
      <c r="P3252" s="109">
        <f>SUMIFS(Q3252:DK3252,Q$1:DK$1,Dashboard!$K$31)</f>
        <v>0</v>
      </c>
      <c r="U3252" s="95">
        <v>33</v>
      </c>
      <c r="AA3252" s="95">
        <v>25</v>
      </c>
      <c r="AH3252" s="95">
        <v>75</v>
      </c>
    </row>
    <row r="3253" spans="1:34" ht="15.6" x14ac:dyDescent="0.3">
      <c r="A3253" s="89" t="str">
        <f>CONCATENATE(D3253,".",F3253,"-",G3253,".",H3253,"")</f>
        <v>2.6-3.1</v>
      </c>
      <c r="B3253" s="89" t="str">
        <f>IF(CONCATENATE(I3253,Key!F$2)=CONCATENATE(INDEX(Dashboard!J:J,MATCH(I3253,Dashboard!J:J,0),1),INDEX(Dashboard!J:K,MATCH(I3253,Dashboard!J:J,0),2)),"ON",IF(Dashboard!K$32="ALL","ON","-"))</f>
        <v>-</v>
      </c>
      <c r="C3253" s="88" t="s">
        <v>152</v>
      </c>
      <c r="D3253" s="89">
        <f>IF(C3253="ID",1,(IF(C3253="PR",2,(IF(C3253="DE",3,(IF(C3253="RS",4,(IF(C3253="RC",5,0)))))))))</f>
        <v>2</v>
      </c>
      <c r="E3253" s="89" t="s">
        <v>271</v>
      </c>
      <c r="F3253" s="89">
        <f>IF(E3253="AM",1,(IF(E3253="BE",2,(IF(E3253="GV",3,(IF(E3253="RA",4,(IF(E3253="RM",5,(IF(E3253="AC",1,(IF(E3253="AT",2,(IF(E3253="DS",3,(IF(E3253="IP",4,(IF(E3253="MA",5,(IF(E3253="PT",6,(IF(E3253="AE",1,(IF(E3253="CM",2,(IF(E3253="DP",3,(IF(E3253="AN",1,(IF(E3253="CO",2,(IF(E3253="IM",3,(IF(E3253="MI",4,(IF(E3253="RP",5,(IF(E3253="SC",6,0)))))))))))))))))))))))))))))))))))))))</f>
        <v>6</v>
      </c>
      <c r="G3253" s="52">
        <v>3</v>
      </c>
      <c r="H3253" s="99">
        <v>1</v>
      </c>
      <c r="I3253" s="93" t="s">
        <v>37</v>
      </c>
      <c r="J3253" s="86">
        <v>11.6</v>
      </c>
      <c r="K3253" s="102" t="s">
        <v>3800</v>
      </c>
      <c r="L3253" s="117">
        <f>IF(O3253="","",N3253*O3253*M3253)</f>
        <v>0</v>
      </c>
      <c r="M3253" s="108">
        <v>1</v>
      </c>
      <c r="N3253" s="95">
        <v>1</v>
      </c>
      <c r="O3253" s="109">
        <f>IF(Key!D$1="ON",P3253,IF(SUM(Q3253:DL3253)&lt;1,"",SUM(Q3253:DL3253)/COUNTIF(Q3253:DL3253,"&gt;0")))</f>
        <v>0</v>
      </c>
      <c r="P3253" s="109">
        <f>SUMIFS(Q3253:DK3253,Q$1:DK$1,Dashboard!$K$31)</f>
        <v>0</v>
      </c>
      <c r="U3253" s="95">
        <v>33</v>
      </c>
      <c r="AA3253" s="95">
        <v>25</v>
      </c>
      <c r="AH3253" s="95">
        <v>75</v>
      </c>
    </row>
    <row r="3254" spans="1:34" ht="15.6" x14ac:dyDescent="0.3">
      <c r="A3254" s="89" t="str">
        <f>CONCATENATE(D3254,".",F3254,"-",G3254,".",H3254,"")</f>
        <v>2.6-3.1</v>
      </c>
      <c r="B3254" s="89" t="str">
        <f>IF(CONCATENATE(I3254,Key!F$2)=CONCATENATE(INDEX(Dashboard!J:J,MATCH(I3254,Dashboard!J:J,0),1),INDEX(Dashboard!J:K,MATCH(I3254,Dashboard!J:J,0),2)),"ON",IF(Dashboard!K$32="ALL","ON","-"))</f>
        <v>-</v>
      </c>
      <c r="C3254" s="88" t="s">
        <v>152</v>
      </c>
      <c r="D3254" s="89">
        <f>IF(C3254="ID",1,(IF(C3254="PR",2,(IF(C3254="DE",3,(IF(C3254="RS",4,(IF(C3254="RC",5,0)))))))))</f>
        <v>2</v>
      </c>
      <c r="E3254" s="89" t="s">
        <v>271</v>
      </c>
      <c r="F3254" s="89">
        <f>IF(E3254="AM",1,(IF(E3254="BE",2,(IF(E3254="GV",3,(IF(E3254="RA",4,(IF(E3254="RM",5,(IF(E3254="AC",1,(IF(E3254="AT",2,(IF(E3254="DS",3,(IF(E3254="IP",4,(IF(E3254="MA",5,(IF(E3254="PT",6,(IF(E3254="AE",1,(IF(E3254="CM",2,(IF(E3254="DP",3,(IF(E3254="AN",1,(IF(E3254="CO",2,(IF(E3254="IM",3,(IF(E3254="MI",4,(IF(E3254="RP",5,(IF(E3254="SC",6,0)))))))))))))))))))))))))))))))))))))))</f>
        <v>6</v>
      </c>
      <c r="G3254" s="52">
        <v>3</v>
      </c>
      <c r="H3254" s="99">
        <v>1</v>
      </c>
      <c r="I3254" s="93" t="s">
        <v>37</v>
      </c>
      <c r="J3254" s="86">
        <v>12.4</v>
      </c>
      <c r="K3254" s="102" t="s">
        <v>3802</v>
      </c>
      <c r="L3254" s="117">
        <f>IF(O3254="","",N3254*O3254*M3254)</f>
        <v>0</v>
      </c>
      <c r="M3254" s="108">
        <v>1</v>
      </c>
      <c r="N3254" s="95">
        <v>1</v>
      </c>
      <c r="O3254" s="109">
        <f>IF(Key!D$1="ON",P3254,IF(SUM(Q3254:DL3254)&lt;1,"",SUM(Q3254:DL3254)/COUNTIF(Q3254:DL3254,"&gt;0")))</f>
        <v>0</v>
      </c>
      <c r="P3254" s="109">
        <f>SUMIFS(Q3254:DK3254,Q$1:DK$1,Dashboard!$K$31)</f>
        <v>0</v>
      </c>
      <c r="U3254" s="95">
        <v>33</v>
      </c>
      <c r="AA3254" s="95">
        <v>25</v>
      </c>
      <c r="AH3254" s="95">
        <v>75</v>
      </c>
    </row>
    <row r="3255" spans="1:34" x14ac:dyDescent="0.3">
      <c r="A3255" s="89" t="str">
        <f>CONCATENATE(D3255,".",F3255,"-",G3255,".",H3255,"")</f>
        <v>2.6-3.1</v>
      </c>
      <c r="B3255" s="89" t="str">
        <f>IF(CONCATENATE(I3255,Key!F$2)=CONCATENATE(INDEX(Dashboard!J:J,MATCH(I3255,Dashboard!J:J,0),1),INDEX(Dashboard!J:K,MATCH(I3255,Dashboard!J:J,0),2)),"ON",IF(Dashboard!K$32="ALL","ON","-"))</f>
        <v>-</v>
      </c>
      <c r="C3255" s="88" t="s">
        <v>152</v>
      </c>
      <c r="D3255" s="89">
        <f>IF(C3255="ID",1,(IF(C3255="PR",2,(IF(C3255="DE",3,(IF(C3255="RS",4,(IF(C3255="RC",5,0)))))))))</f>
        <v>2</v>
      </c>
      <c r="E3255" s="89" t="s">
        <v>271</v>
      </c>
      <c r="F3255" s="89">
        <f>IF(E3255="AM",1,(IF(E3255="BE",2,(IF(E3255="GV",3,(IF(E3255="RA",4,(IF(E3255="RM",5,(IF(E3255="AC",1,(IF(E3255="AT",2,(IF(E3255="DS",3,(IF(E3255="IP",4,(IF(E3255="MA",5,(IF(E3255="PT",6,(IF(E3255="AE",1,(IF(E3255="CM",2,(IF(E3255="DP",3,(IF(E3255="AN",1,(IF(E3255="CO",2,(IF(E3255="IM",3,(IF(E3255="MI",4,(IF(E3255="RP",5,(IF(E3255="SC",6,0)))))))))))))))))))))))))))))))))))))))</f>
        <v>6</v>
      </c>
      <c r="G3255" s="52">
        <v>3</v>
      </c>
      <c r="H3255" s="99">
        <v>1</v>
      </c>
      <c r="I3255" s="93" t="s">
        <v>37</v>
      </c>
      <c r="J3255" s="86">
        <v>14.7</v>
      </c>
      <c r="K3255" s="102" t="s">
        <v>3803</v>
      </c>
      <c r="L3255" s="117">
        <f>IF(O3255="","",N3255*O3255*M3255)</f>
        <v>0</v>
      </c>
      <c r="M3255" s="108">
        <v>1</v>
      </c>
      <c r="N3255" s="95">
        <v>1</v>
      </c>
      <c r="O3255" s="109">
        <f>IF(Key!D$1="ON",P3255,IF(SUM(Q3255:DL3255)&lt;1,"",SUM(Q3255:DL3255)/COUNTIF(Q3255:DL3255,"&gt;0")))</f>
        <v>0</v>
      </c>
      <c r="P3255" s="109">
        <f>SUMIFS(Q3255:DK3255,Q$1:DK$1,Dashboard!$K$31)</f>
        <v>0</v>
      </c>
      <c r="U3255" s="95">
        <v>33</v>
      </c>
      <c r="AA3255" s="95">
        <v>25</v>
      </c>
      <c r="AH3255" s="95">
        <v>75</v>
      </c>
    </row>
    <row r="3256" spans="1:34" x14ac:dyDescent="0.3">
      <c r="A3256" s="89" t="str">
        <f>CONCATENATE(D3256,".",F3256,"-",G3256,".",H3256,"")</f>
        <v>2.6-3.1</v>
      </c>
      <c r="B3256" s="89" t="str">
        <f>IF(CONCATENATE(I3256,Key!F$2)=CONCATENATE(INDEX(Dashboard!J:J,MATCH(I3256,Dashboard!J:J,0),1),INDEX(Dashboard!J:K,MATCH(I3256,Dashboard!J:J,0),2)),"ON",IF(Dashboard!K$32="ALL","ON","-"))</f>
        <v>-</v>
      </c>
      <c r="C3256" s="88" t="s">
        <v>152</v>
      </c>
      <c r="D3256" s="89">
        <f>IF(C3256="ID",1,(IF(C3256="PR",2,(IF(C3256="DE",3,(IF(C3256="RS",4,(IF(C3256="RC",5,0)))))))))</f>
        <v>2</v>
      </c>
      <c r="E3256" s="89" t="s">
        <v>271</v>
      </c>
      <c r="F3256" s="89">
        <f>IF(E3256="AM",1,(IF(E3256="BE",2,(IF(E3256="GV",3,(IF(E3256="RA",4,(IF(E3256="RM",5,(IF(E3256="AC",1,(IF(E3256="AT",2,(IF(E3256="DS",3,(IF(E3256="IP",4,(IF(E3256="MA",5,(IF(E3256="PT",6,(IF(E3256="AE",1,(IF(E3256="CM",2,(IF(E3256="DP",3,(IF(E3256="AN",1,(IF(E3256="CO",2,(IF(E3256="IM",3,(IF(E3256="MI",4,(IF(E3256="RP",5,(IF(E3256="SC",6,0)))))))))))))))))))))))))))))))))))))))</f>
        <v>6</v>
      </c>
      <c r="G3256" s="52">
        <v>3</v>
      </c>
      <c r="H3256" s="99">
        <v>1</v>
      </c>
      <c r="I3256" s="93" t="s">
        <v>41</v>
      </c>
      <c r="J3256" s="86">
        <v>2.7</v>
      </c>
      <c r="K3256" s="103" t="s">
        <v>3467</v>
      </c>
      <c r="L3256" s="117">
        <f>IF(O3256="","",N3256*O3256*M3256)</f>
        <v>0</v>
      </c>
      <c r="M3256" s="108">
        <v>1</v>
      </c>
      <c r="N3256" s="95">
        <v>1</v>
      </c>
      <c r="O3256" s="109">
        <f>IF(Key!D$1="ON",P3256,IF(SUM(Q3256:DL3256)&lt;1,"",SUM(Q3256:DL3256)/COUNTIF(Q3256:DL3256,"&gt;0")))</f>
        <v>0</v>
      </c>
      <c r="P3256" s="109">
        <f>SUMIFS(Q3256:DK3256,Q$1:DK$1,Dashboard!$K$31)</f>
        <v>0</v>
      </c>
      <c r="U3256" s="95">
        <v>33</v>
      </c>
    </row>
    <row r="3257" spans="1:34" ht="15.6" x14ac:dyDescent="0.3">
      <c r="A3257" s="89" t="str">
        <f>CONCATENATE(D3257,".",F3257,"-",G3257,".",H3257,"")</f>
        <v>2.6-3.1</v>
      </c>
      <c r="B3257" s="89" t="str">
        <f>IF(CONCATENATE(I3257,Key!F$2)=CONCATENATE(INDEX(Dashboard!J:J,MATCH(I3257,Dashboard!J:J,0),1),INDEX(Dashboard!J:K,MATCH(I3257,Dashboard!J:J,0),2)),"ON",IF(Dashboard!K$32="ALL","ON","-"))</f>
        <v>-</v>
      </c>
      <c r="C3257" s="88" t="s">
        <v>152</v>
      </c>
      <c r="D3257" s="89">
        <f>IF(C3257="ID",1,(IF(C3257="PR",2,(IF(C3257="DE",3,(IF(C3257="RS",4,(IF(C3257="RC",5,0)))))))))</f>
        <v>2</v>
      </c>
      <c r="E3257" s="89" t="s">
        <v>271</v>
      </c>
      <c r="F3257" s="89">
        <f>IF(E3257="AM",1,(IF(E3257="BE",2,(IF(E3257="GV",3,(IF(E3257="RA",4,(IF(E3257="RM",5,(IF(E3257="AC",1,(IF(E3257="AT",2,(IF(E3257="DS",3,(IF(E3257="IP",4,(IF(E3257="MA",5,(IF(E3257="PT",6,(IF(E3257="AE",1,(IF(E3257="CM",2,(IF(E3257="DP",3,(IF(E3257="AN",1,(IF(E3257="CO",2,(IF(E3257="IM",3,(IF(E3257="MI",4,(IF(E3257="RP",5,(IF(E3257="SC",6,0)))))))))))))))))))))))))))))))))))))))</f>
        <v>6</v>
      </c>
      <c r="G3257" s="52">
        <v>3</v>
      </c>
      <c r="H3257" s="99">
        <v>1</v>
      </c>
      <c r="I3257" s="93" t="s">
        <v>41</v>
      </c>
      <c r="J3257" s="86">
        <v>2.8</v>
      </c>
      <c r="K3257" s="103" t="s">
        <v>3468</v>
      </c>
      <c r="L3257" s="117">
        <f>IF(O3257="","",N3257*O3257*M3257)</f>
        <v>0</v>
      </c>
      <c r="M3257" s="108">
        <v>1</v>
      </c>
      <c r="N3257" s="95">
        <v>1</v>
      </c>
      <c r="O3257" s="109">
        <f>IF(Key!D$1="ON",P3257,IF(SUM(Q3257:DL3257)&lt;1,"",SUM(Q3257:DL3257)/COUNTIF(Q3257:DL3257,"&gt;0")))</f>
        <v>0</v>
      </c>
      <c r="P3257" s="109">
        <f>SUMIFS(Q3257:DK3257,Q$1:DK$1,Dashboard!$K$31)</f>
        <v>0</v>
      </c>
      <c r="U3257" s="95">
        <v>33</v>
      </c>
    </row>
    <row r="3258" spans="1:34" ht="15.6" x14ac:dyDescent="0.3">
      <c r="A3258" s="89" t="str">
        <f>CONCATENATE(D3258,".",F3258,"-",G3258,".",H3258,"")</f>
        <v>2.6-3.1</v>
      </c>
      <c r="B3258" s="89" t="str">
        <f>IF(CONCATENATE(I3258,Key!F$2)=CONCATENATE(INDEX(Dashboard!J:J,MATCH(I3258,Dashboard!J:J,0),1),INDEX(Dashboard!J:K,MATCH(I3258,Dashboard!J:J,0),2)),"ON",IF(Dashboard!K$32="ALL","ON","-"))</f>
        <v>-</v>
      </c>
      <c r="C3258" s="88" t="s">
        <v>152</v>
      </c>
      <c r="D3258" s="89">
        <f>IF(C3258="ID",1,(IF(C3258="PR",2,(IF(C3258="DE",3,(IF(C3258="RS",4,(IF(C3258="RC",5,0)))))))))</f>
        <v>2</v>
      </c>
      <c r="E3258" s="89" t="s">
        <v>271</v>
      </c>
      <c r="F3258" s="89">
        <f>IF(E3258="AM",1,(IF(E3258="BE",2,(IF(E3258="GV",3,(IF(E3258="RA",4,(IF(E3258="RM",5,(IF(E3258="AC",1,(IF(E3258="AT",2,(IF(E3258="DS",3,(IF(E3258="IP",4,(IF(E3258="MA",5,(IF(E3258="PT",6,(IF(E3258="AE",1,(IF(E3258="CM",2,(IF(E3258="DP",3,(IF(E3258="AN",1,(IF(E3258="CO",2,(IF(E3258="IM",3,(IF(E3258="MI",4,(IF(E3258="RP",5,(IF(E3258="SC",6,0)))))))))))))))))))))))))))))))))))))))</f>
        <v>6</v>
      </c>
      <c r="G3258" s="52">
        <v>3</v>
      </c>
      <c r="H3258" s="99">
        <v>1</v>
      </c>
      <c r="I3258" s="93" t="s">
        <v>41</v>
      </c>
      <c r="J3258" s="86">
        <v>4.7</v>
      </c>
      <c r="K3258" s="103" t="s">
        <v>3483</v>
      </c>
      <c r="L3258" s="117">
        <f>IF(O3258="","",N3258*O3258*M3258)</f>
        <v>0</v>
      </c>
      <c r="M3258" s="108">
        <v>1</v>
      </c>
      <c r="N3258" s="95">
        <v>1</v>
      </c>
      <c r="O3258" s="109">
        <f>IF(Key!D$1="ON",P3258,IF(SUM(Q3258:DL3258)&lt;1,"",SUM(Q3258:DL3258)/COUNTIF(Q3258:DL3258,"&gt;0")))</f>
        <v>0</v>
      </c>
      <c r="P3258" s="109">
        <f>SUMIFS(Q3258:DK3258,Q$1:DK$1,Dashboard!$K$31)</f>
        <v>0</v>
      </c>
      <c r="U3258" s="95">
        <v>33</v>
      </c>
    </row>
    <row r="3259" spans="1:34" ht="15.6" x14ac:dyDescent="0.3">
      <c r="A3259" s="89" t="str">
        <f>CONCATENATE(D3259,".",F3259,"-",G3259,".",H3259,"")</f>
        <v>2.6-3.1</v>
      </c>
      <c r="B3259" s="89" t="str">
        <f>IF(CONCATENATE(I3259,Key!F$2)=CONCATENATE(INDEX(Dashboard!J:J,MATCH(I3259,Dashboard!J:J,0),1),INDEX(Dashboard!J:K,MATCH(I3259,Dashboard!J:J,0),2)),"ON",IF(Dashboard!K$32="ALL","ON","-"))</f>
        <v>-</v>
      </c>
      <c r="C3259" s="88" t="s">
        <v>152</v>
      </c>
      <c r="D3259" s="89">
        <f>IF(C3259="ID",1,(IF(C3259="PR",2,(IF(C3259="DE",3,(IF(C3259="RS",4,(IF(C3259="RC",5,0)))))))))</f>
        <v>2</v>
      </c>
      <c r="E3259" s="89" t="s">
        <v>271</v>
      </c>
      <c r="F3259" s="89">
        <f>IF(E3259="AM",1,(IF(E3259="BE",2,(IF(E3259="GV",3,(IF(E3259="RA",4,(IF(E3259="RM",5,(IF(E3259="AC",1,(IF(E3259="AT",2,(IF(E3259="DS",3,(IF(E3259="IP",4,(IF(E3259="MA",5,(IF(E3259="PT",6,(IF(E3259="AE",1,(IF(E3259="CM",2,(IF(E3259="DP",3,(IF(E3259="AN",1,(IF(E3259="CO",2,(IF(E3259="IM",3,(IF(E3259="MI",4,(IF(E3259="RP",5,(IF(E3259="SC",6,0)))))))))))))))))))))))))))))))))))))))</f>
        <v>6</v>
      </c>
      <c r="G3259" s="52">
        <v>3</v>
      </c>
      <c r="H3259" s="99">
        <v>1</v>
      </c>
      <c r="I3259" s="93" t="s">
        <v>41</v>
      </c>
      <c r="J3259" s="86">
        <v>7.2</v>
      </c>
      <c r="K3259" s="103" t="s">
        <v>3503</v>
      </c>
      <c r="L3259" s="117">
        <f>IF(O3259="","",N3259*O3259*M3259)</f>
        <v>0</v>
      </c>
      <c r="M3259" s="108">
        <v>1</v>
      </c>
      <c r="N3259" s="95">
        <v>1</v>
      </c>
      <c r="O3259" s="109">
        <f>IF(Key!D$1="ON",P3259,IF(SUM(Q3259:DL3259)&lt;1,"",SUM(Q3259:DL3259)/COUNTIF(Q3259:DL3259,"&gt;0")))</f>
        <v>0</v>
      </c>
      <c r="P3259" s="109">
        <f>SUMIFS(Q3259:DK3259,Q$1:DK$1,Dashboard!$K$31)</f>
        <v>0</v>
      </c>
      <c r="U3259" s="95">
        <v>33</v>
      </c>
    </row>
    <row r="3260" spans="1:34" x14ac:dyDescent="0.3">
      <c r="A3260" s="89" t="str">
        <f>CONCATENATE(D3260,".",F3260,"-",G3260,".",H3260,"")</f>
        <v>2.6-3.1</v>
      </c>
      <c r="B3260" s="89" t="str">
        <f>IF(CONCATENATE(I3260,Key!F$2)=CONCATENATE(INDEX(Dashboard!J:J,MATCH(I3260,Dashboard!J:J,0),1),INDEX(Dashboard!J:K,MATCH(I3260,Dashboard!J:J,0),2)),"ON",IF(Dashboard!K$32="ALL","ON","-"))</f>
        <v>-</v>
      </c>
      <c r="C3260" s="96" t="s">
        <v>152</v>
      </c>
      <c r="D3260" s="89">
        <f>IF(C3260="ID",1,(IF(C3260="PR",2,(IF(C3260="DE",3,(IF(C3260="RS",4,(IF(C3260="RC",5,0)))))))))</f>
        <v>2</v>
      </c>
      <c r="E3260" s="131" t="s">
        <v>271</v>
      </c>
      <c r="F3260" s="89">
        <f>IF(E3260="AM",1,(IF(E3260="BE",2,(IF(E3260="GV",3,(IF(E3260="RA",4,(IF(E3260="RM",5,(IF(E3260="AC",1,(IF(E3260="AT",2,(IF(E3260="DS",3,(IF(E3260="IP",4,(IF(E3260="MA",5,(IF(E3260="PT",6,(IF(E3260="AE",1,(IF(E3260="CM",2,(IF(E3260="DP",3,(IF(E3260="AN",1,(IF(E3260="CO",2,(IF(E3260="IM",3,(IF(E3260="MI",4,(IF(E3260="RP",5,(IF(E3260="SC",6,0)))))))))))))))))))))))))))))))))))))))</f>
        <v>6</v>
      </c>
      <c r="G3260" s="52">
        <v>3</v>
      </c>
      <c r="H3260" s="99">
        <v>1</v>
      </c>
      <c r="I3260" s="93" t="s">
        <v>41</v>
      </c>
      <c r="J3260" s="86">
        <v>9</v>
      </c>
      <c r="K3260" s="103" t="s">
        <v>3520</v>
      </c>
      <c r="L3260" s="117">
        <f>IF(O3260="","",N3260*O3260*M3260)</f>
        <v>0</v>
      </c>
      <c r="M3260" s="108">
        <v>1</v>
      </c>
      <c r="N3260" s="95">
        <v>1</v>
      </c>
      <c r="O3260" s="109">
        <f>IF(Key!D$1="ON",P3260,IF(SUM(Q3260:DL3260)&lt;1,"",SUM(Q3260:DL3260)/COUNTIF(Q3260:DL3260,"&gt;0")))</f>
        <v>0</v>
      </c>
      <c r="P3260" s="109">
        <f>SUMIFS(Q3260:DK3260,Q$1:DK$1,Dashboard!$K$31)</f>
        <v>0</v>
      </c>
      <c r="U3260" s="95">
        <v>33</v>
      </c>
    </row>
    <row r="3261" spans="1:34" x14ac:dyDescent="0.3">
      <c r="A3261" s="89" t="str">
        <f>CONCATENATE(D3261,".",F3261,"-",G3261,".",H3261,"")</f>
        <v>2.6-3.1</v>
      </c>
      <c r="B3261" s="89" t="str">
        <f>IF(CONCATENATE(I3261,Key!F$2)=CONCATENATE(INDEX(Dashboard!J:J,MATCH(I3261,Dashboard!J:J,0),1),INDEX(Dashboard!J:K,MATCH(I3261,Dashboard!J:J,0),2)),"ON",IF(Dashboard!K$32="ALL","ON","-"))</f>
        <v>-</v>
      </c>
      <c r="C3261" s="96" t="s">
        <v>152</v>
      </c>
      <c r="D3261" s="89">
        <f>IF(C3261="ID",1,(IF(C3261="PR",2,(IF(C3261="DE",3,(IF(C3261="RS",4,(IF(C3261="RC",5,0)))))))))</f>
        <v>2</v>
      </c>
      <c r="E3261" s="131" t="s">
        <v>271</v>
      </c>
      <c r="F3261" s="89">
        <f>IF(E3261="AM",1,(IF(E3261="BE",2,(IF(E3261="GV",3,(IF(E3261="RA",4,(IF(E3261="RM",5,(IF(E3261="AC",1,(IF(E3261="AT",2,(IF(E3261="DS",3,(IF(E3261="IP",4,(IF(E3261="MA",5,(IF(E3261="PT",6,(IF(E3261="AE",1,(IF(E3261="CM",2,(IF(E3261="DP",3,(IF(E3261="AN",1,(IF(E3261="CO",2,(IF(E3261="IM",3,(IF(E3261="MI",4,(IF(E3261="RP",5,(IF(E3261="SC",6,0)))))))))))))))))))))))))))))))))))))))</f>
        <v>6</v>
      </c>
      <c r="G3261" s="52">
        <v>3</v>
      </c>
      <c r="H3261" s="99">
        <v>1</v>
      </c>
      <c r="I3261" s="93" t="s">
        <v>41</v>
      </c>
      <c r="J3261" s="86">
        <v>9.1999999999999993</v>
      </c>
      <c r="K3261" s="103" t="s">
        <v>3522</v>
      </c>
      <c r="L3261" s="117">
        <f>IF(O3261="","",N3261*O3261*M3261)</f>
        <v>0</v>
      </c>
      <c r="M3261" s="108">
        <v>1</v>
      </c>
      <c r="N3261" s="95">
        <v>1</v>
      </c>
      <c r="O3261" s="109">
        <f>IF(Key!D$1="ON",P3261,IF(SUM(Q3261:DL3261)&lt;1,"",SUM(Q3261:DL3261)/COUNTIF(Q3261:DL3261,"&gt;0")))</f>
        <v>0</v>
      </c>
      <c r="P3261" s="109">
        <f>SUMIFS(Q3261:DK3261,Q$1:DK$1,Dashboard!$K$31)</f>
        <v>0</v>
      </c>
      <c r="U3261" s="95">
        <v>33</v>
      </c>
    </row>
    <row r="3262" spans="1:34" x14ac:dyDescent="0.3">
      <c r="A3262" s="89" t="str">
        <f>CONCATENATE(D3262,".",F3262,"-",G3262,".",H3262,"")</f>
        <v>2.6-3.1</v>
      </c>
      <c r="B3262" s="89" t="str">
        <f>IF(CONCATENATE(I3262,Key!F$2)=CONCATENATE(INDEX(Dashboard!J:J,MATCH(I3262,Dashboard!J:J,0),1),INDEX(Dashboard!J:K,MATCH(I3262,Dashboard!J:J,0),2)),"ON",IF(Dashboard!K$32="ALL","ON","-"))</f>
        <v>-</v>
      </c>
      <c r="C3262" s="96" t="s">
        <v>152</v>
      </c>
      <c r="D3262" s="89">
        <f>IF(C3262="ID",1,(IF(C3262="PR",2,(IF(C3262="DE",3,(IF(C3262="RS",4,(IF(C3262="RC",5,0)))))))))</f>
        <v>2</v>
      </c>
      <c r="E3262" s="131" t="s">
        <v>271</v>
      </c>
      <c r="F3262" s="89">
        <f>IF(E3262="AM",1,(IF(E3262="BE",2,(IF(E3262="GV",3,(IF(E3262="RA",4,(IF(E3262="RM",5,(IF(E3262="AC",1,(IF(E3262="AT",2,(IF(E3262="DS",3,(IF(E3262="IP",4,(IF(E3262="MA",5,(IF(E3262="PT",6,(IF(E3262="AE",1,(IF(E3262="CM",2,(IF(E3262="DP",3,(IF(E3262="AN",1,(IF(E3262="CO",2,(IF(E3262="IM",3,(IF(E3262="MI",4,(IF(E3262="RP",5,(IF(E3262="SC",6,0)))))))))))))))))))))))))))))))))))))))</f>
        <v>6</v>
      </c>
      <c r="G3262" s="52">
        <v>3</v>
      </c>
      <c r="H3262" s="99">
        <v>1</v>
      </c>
      <c r="I3262" s="93" t="s">
        <v>41</v>
      </c>
      <c r="J3262" s="86">
        <v>9.4</v>
      </c>
      <c r="K3262" s="103" t="s">
        <v>3524</v>
      </c>
      <c r="L3262" s="117">
        <f>IF(O3262="","",N3262*O3262*M3262)</f>
        <v>0</v>
      </c>
      <c r="M3262" s="108">
        <v>1</v>
      </c>
      <c r="N3262" s="95">
        <v>1</v>
      </c>
      <c r="O3262" s="109">
        <f>IF(Key!D$1="ON",P3262,IF(SUM(Q3262:DL3262)&lt;1,"",SUM(Q3262:DL3262)/COUNTIF(Q3262:DL3262,"&gt;0")))</f>
        <v>0</v>
      </c>
      <c r="P3262" s="109">
        <f>SUMIFS(Q3262:DK3262,Q$1:DK$1,Dashboard!$K$31)</f>
        <v>0</v>
      </c>
      <c r="U3262" s="95">
        <v>33</v>
      </c>
    </row>
    <row r="3263" spans="1:34" x14ac:dyDescent="0.3">
      <c r="A3263" s="89" t="str">
        <f>CONCATENATE(D3263,".",F3263,"-",G3263,".",H3263,"")</f>
        <v>2.6-3.1</v>
      </c>
      <c r="B3263" s="89" t="str">
        <f>IF(CONCATENATE(I3263,Key!F$2)=CONCATENATE(INDEX(Dashboard!J:J,MATCH(I3263,Dashboard!J:J,0),1),INDEX(Dashboard!J:K,MATCH(I3263,Dashboard!J:J,0),2)),"ON",IF(Dashboard!K$32="ALL","ON","-"))</f>
        <v>-</v>
      </c>
      <c r="C3263" s="88" t="s">
        <v>152</v>
      </c>
      <c r="D3263" s="89">
        <f>IF(C3263="ID",1,(IF(C3263="PR",2,(IF(C3263="DE",3,(IF(C3263="RS",4,(IF(C3263="RC",5,0)))))))))</f>
        <v>2</v>
      </c>
      <c r="E3263" s="89" t="s">
        <v>271</v>
      </c>
      <c r="F3263" s="89">
        <f>IF(E3263="AM",1,(IF(E3263="BE",2,(IF(E3263="GV",3,(IF(E3263="RA",4,(IF(E3263="RM",5,(IF(E3263="AC",1,(IF(E3263="AT",2,(IF(E3263="DS",3,(IF(E3263="IP",4,(IF(E3263="MA",5,(IF(E3263="PT",6,(IF(E3263="AE",1,(IF(E3263="CM",2,(IF(E3263="DP",3,(IF(E3263="AN",1,(IF(E3263="CO",2,(IF(E3263="IM",3,(IF(E3263="MI",4,(IF(E3263="RP",5,(IF(E3263="SC",6,0)))))))))))))))))))))))))))))))))))))))</f>
        <v>6</v>
      </c>
      <c r="G3263" s="52">
        <v>3</v>
      </c>
      <c r="H3263" s="99">
        <v>1</v>
      </c>
      <c r="I3263" s="93" t="s">
        <v>41</v>
      </c>
      <c r="J3263" s="86">
        <v>12.3</v>
      </c>
      <c r="K3263" s="103" t="s">
        <v>3545</v>
      </c>
      <c r="L3263" s="117">
        <f>IF(O3263="","",N3263*O3263*M3263)</f>
        <v>0</v>
      </c>
      <c r="M3263" s="108">
        <v>1</v>
      </c>
      <c r="N3263" s="95">
        <v>1</v>
      </c>
      <c r="O3263" s="109">
        <f>IF(Key!D$1="ON",P3263,IF(SUM(Q3263:DL3263)&lt;1,"",SUM(Q3263:DL3263)/COUNTIF(Q3263:DL3263,"&gt;0")))</f>
        <v>0</v>
      </c>
      <c r="P3263" s="109">
        <f>SUMIFS(Q3263:DK3263,Q$1:DK$1,Dashboard!$K$31)</f>
        <v>0</v>
      </c>
      <c r="U3263" s="95">
        <v>33</v>
      </c>
    </row>
    <row r="3264" spans="1:34" x14ac:dyDescent="0.3">
      <c r="A3264" s="89" t="str">
        <f>CONCATENATE(D3264,".",F3264,"-",G3264,".",H3264,"")</f>
        <v>2.6-3.1</v>
      </c>
      <c r="B3264" s="89" t="str">
        <f>IF(CONCATENATE(I3264,Key!F$2)=CONCATENATE(INDEX(Dashboard!J:J,MATCH(I3264,Dashboard!J:J,0),1),INDEX(Dashboard!J:K,MATCH(I3264,Dashboard!J:J,0),2)),"ON",IF(Dashboard!K$32="ALL","ON","-"))</f>
        <v>-</v>
      </c>
      <c r="C3264" s="88" t="s">
        <v>152</v>
      </c>
      <c r="D3264" s="89">
        <f>IF(C3264="ID",1,(IF(C3264="PR",2,(IF(C3264="DE",3,(IF(C3264="RS",4,(IF(C3264="RC",5,0)))))))))</f>
        <v>2</v>
      </c>
      <c r="E3264" s="89" t="s">
        <v>271</v>
      </c>
      <c r="F3264" s="89">
        <f>IF(E3264="AM",1,(IF(E3264="BE",2,(IF(E3264="GV",3,(IF(E3264="RA",4,(IF(E3264="RM",5,(IF(E3264="AC",1,(IF(E3264="AT",2,(IF(E3264="DS",3,(IF(E3264="IP",4,(IF(E3264="MA",5,(IF(E3264="PT",6,(IF(E3264="AE",1,(IF(E3264="CM",2,(IF(E3264="DP",3,(IF(E3264="AN",1,(IF(E3264="CO",2,(IF(E3264="IM",3,(IF(E3264="MI",4,(IF(E3264="RP",5,(IF(E3264="SC",6,0)))))))))))))))))))))))))))))))))))))))</f>
        <v>6</v>
      </c>
      <c r="G3264" s="52">
        <v>3</v>
      </c>
      <c r="H3264" s="99">
        <v>1</v>
      </c>
      <c r="I3264" s="93" t="s">
        <v>41</v>
      </c>
      <c r="J3264" s="86">
        <v>14.3</v>
      </c>
      <c r="K3264" s="103" t="s">
        <v>3565</v>
      </c>
      <c r="L3264" s="117">
        <f>IF(O3264="","",N3264*O3264*M3264)</f>
        <v>0</v>
      </c>
      <c r="M3264" s="108">
        <v>1</v>
      </c>
      <c r="N3264" s="95">
        <v>1</v>
      </c>
      <c r="O3264" s="109">
        <f>IF(Key!D$1="ON",P3264,IF(SUM(Q3264:DL3264)&lt;1,"",SUM(Q3264:DL3264)/COUNTIF(Q3264:DL3264,"&gt;0")))</f>
        <v>0</v>
      </c>
      <c r="P3264" s="109">
        <f>SUMIFS(Q3264:DK3264,Q$1:DK$1,Dashboard!$K$31)</f>
        <v>0</v>
      </c>
      <c r="U3264" s="95">
        <v>33</v>
      </c>
    </row>
    <row r="3265" spans="1:34" x14ac:dyDescent="0.3">
      <c r="A3265" s="89" t="str">
        <f>CONCATENATE(D3265,".",F3265,"-",G3265,".",H3265,"")</f>
        <v>2.6-3.1</v>
      </c>
      <c r="B3265" s="89" t="str">
        <f>IF(CONCATENATE(I3265,Key!F$2)=CONCATENATE(INDEX(Dashboard!J:J,MATCH(I3265,Dashboard!J:J,0),1),INDEX(Dashboard!J:K,MATCH(I3265,Dashboard!J:J,0),2)),"ON",IF(Dashboard!K$32="ALL","ON","-"))</f>
        <v>-</v>
      </c>
      <c r="C3265" s="88" t="s">
        <v>152</v>
      </c>
      <c r="D3265" s="89">
        <f>IF(C3265="ID",1,(IF(C3265="PR",2,(IF(C3265="DE",3,(IF(C3265="RS",4,(IF(C3265="RC",5,0)))))))))</f>
        <v>2</v>
      </c>
      <c r="E3265" s="89" t="s">
        <v>271</v>
      </c>
      <c r="F3265" s="89">
        <f>IF(E3265="AM",1,(IF(E3265="BE",2,(IF(E3265="GV",3,(IF(E3265="RA",4,(IF(E3265="RM",5,(IF(E3265="AC",1,(IF(E3265="AT",2,(IF(E3265="DS",3,(IF(E3265="IP",4,(IF(E3265="MA",5,(IF(E3265="PT",6,(IF(E3265="AE",1,(IF(E3265="CM",2,(IF(E3265="DP",3,(IF(E3265="AN",1,(IF(E3265="CO",2,(IF(E3265="IM",3,(IF(E3265="MI",4,(IF(E3265="RP",5,(IF(E3265="SC",6,0)))))))))))))))))))))))))))))))))))))))</f>
        <v>6</v>
      </c>
      <c r="G3265" s="52">
        <v>3</v>
      </c>
      <c r="H3265" s="99">
        <v>1</v>
      </c>
      <c r="I3265" s="93" t="s">
        <v>41</v>
      </c>
      <c r="J3265" s="86">
        <v>15.6</v>
      </c>
      <c r="K3265" s="103" t="s">
        <v>3578</v>
      </c>
      <c r="L3265" s="117">
        <f>IF(O3265="","",N3265*O3265*M3265)</f>
        <v>0</v>
      </c>
      <c r="M3265" s="108">
        <v>1</v>
      </c>
      <c r="N3265" s="95">
        <v>1</v>
      </c>
      <c r="O3265" s="109">
        <f>IF(Key!D$1="ON",P3265,IF(SUM(Q3265:DL3265)&lt;1,"",SUM(Q3265:DL3265)/COUNTIF(Q3265:DL3265,"&gt;0")))</f>
        <v>0</v>
      </c>
      <c r="P3265" s="109">
        <f>SUMIFS(Q3265:DK3265,Q$1:DK$1,Dashboard!$K$31)</f>
        <v>0</v>
      </c>
      <c r="U3265" s="95">
        <v>33</v>
      </c>
    </row>
    <row r="3266" spans="1:34" ht="15.6" x14ac:dyDescent="0.3">
      <c r="A3266" s="89" t="str">
        <f>CONCATENATE(D3266,".",F3266,"-",G3266,".",H3266,"")</f>
        <v>2.6-3.1</v>
      </c>
      <c r="B3266" s="89" t="str">
        <f>IF(CONCATENATE(I3266,Key!F$2)=CONCATENATE(INDEX(Dashboard!J:J,MATCH(I3266,Dashboard!J:J,0),1),INDEX(Dashboard!J:K,MATCH(I3266,Dashboard!J:J,0),2)),"ON",IF(Dashboard!K$32="ALL","ON","-"))</f>
        <v>-</v>
      </c>
      <c r="C3266" s="88" t="s">
        <v>152</v>
      </c>
      <c r="D3266" s="89">
        <f>IF(C3266="ID",1,(IF(C3266="PR",2,(IF(C3266="DE",3,(IF(C3266="RS",4,(IF(C3266="RC",5,0)))))))))</f>
        <v>2</v>
      </c>
      <c r="E3266" s="89" t="s">
        <v>271</v>
      </c>
      <c r="F3266" s="89">
        <f>IF(E3266="AM",1,(IF(E3266="BE",2,(IF(E3266="GV",3,(IF(E3266="RA",4,(IF(E3266="RM",5,(IF(E3266="AC",1,(IF(E3266="AT",2,(IF(E3266="DS",3,(IF(E3266="IP",4,(IF(E3266="MA",5,(IF(E3266="PT",6,(IF(E3266="AE",1,(IF(E3266="CM",2,(IF(E3266="DP",3,(IF(E3266="AN",1,(IF(E3266="CO",2,(IF(E3266="IM",3,(IF(E3266="MI",4,(IF(E3266="RP",5,(IF(E3266="SC",6,0)))))))))))))))))))))))))))))))))))))))</f>
        <v>6</v>
      </c>
      <c r="G3266" s="52">
        <v>3</v>
      </c>
      <c r="H3266" s="99">
        <v>1</v>
      </c>
      <c r="I3266" s="93" t="s">
        <v>41</v>
      </c>
      <c r="J3266" s="86">
        <v>15.9</v>
      </c>
      <c r="K3266" s="103" t="s">
        <v>3581</v>
      </c>
      <c r="L3266" s="117">
        <f>IF(O3266="","",N3266*O3266*M3266)</f>
        <v>0</v>
      </c>
      <c r="M3266" s="108">
        <v>1</v>
      </c>
      <c r="N3266" s="95">
        <v>1</v>
      </c>
      <c r="O3266" s="109">
        <f>IF(Key!D$1="ON",P3266,IF(SUM(Q3266:DL3266)&lt;1,"",SUM(Q3266:DL3266)/COUNTIF(Q3266:DL3266,"&gt;0")))</f>
        <v>0</v>
      </c>
      <c r="P3266" s="109">
        <f>SUMIFS(Q3266:DK3266,Q$1:DK$1,Dashboard!$K$31)</f>
        <v>0</v>
      </c>
      <c r="U3266" s="95">
        <v>33</v>
      </c>
    </row>
    <row r="3267" spans="1:34" x14ac:dyDescent="0.3">
      <c r="A3267" s="89" t="str">
        <f>CONCATENATE(D3267,".",F3267,"-",G3267,".",H3267,"")</f>
        <v>2.6-3.1</v>
      </c>
      <c r="B3267" s="89" t="str">
        <f>IF(CONCATENATE(I3267,Key!F$2)=CONCATENATE(INDEX(Dashboard!J:J,MATCH(I3267,Dashboard!J:J,0),1),INDEX(Dashboard!J:K,MATCH(I3267,Dashboard!J:J,0),2)),"ON",IF(Dashboard!K$32="ALL","ON","-"))</f>
        <v>-</v>
      </c>
      <c r="C3267" s="88" t="s">
        <v>152</v>
      </c>
      <c r="D3267" s="89">
        <f>IF(C3267="ID",1,(IF(C3267="PR",2,(IF(C3267="DE",3,(IF(C3267="RS",4,(IF(C3267="RC",5,0)))))))))</f>
        <v>2</v>
      </c>
      <c r="E3267" s="89" t="s">
        <v>271</v>
      </c>
      <c r="F3267" s="89">
        <f>IF(E3267="AM",1,(IF(E3267="BE",2,(IF(E3267="GV",3,(IF(E3267="RA",4,(IF(E3267="RM",5,(IF(E3267="AC",1,(IF(E3267="AT",2,(IF(E3267="DS",3,(IF(E3267="IP",4,(IF(E3267="MA",5,(IF(E3267="PT",6,(IF(E3267="AE",1,(IF(E3267="CM",2,(IF(E3267="DP",3,(IF(E3267="AN",1,(IF(E3267="CO",2,(IF(E3267="IM",3,(IF(E3267="MI",4,(IF(E3267="RP",5,(IF(E3267="SC",6,0)))))))))))))))))))))))))))))))))))))))</f>
        <v>6</v>
      </c>
      <c r="G3267" s="52">
        <v>3</v>
      </c>
      <c r="H3267" s="99">
        <v>1</v>
      </c>
      <c r="I3267" s="93" t="s">
        <v>41</v>
      </c>
      <c r="J3267" s="86" t="s">
        <v>3281</v>
      </c>
      <c r="K3267" s="103" t="s">
        <v>3660</v>
      </c>
      <c r="L3267" s="117">
        <f>IF(O3267="","",N3267*O3267*M3267)</f>
        <v>0</v>
      </c>
      <c r="M3267" s="108">
        <v>1</v>
      </c>
      <c r="N3267" s="95">
        <v>1</v>
      </c>
      <c r="O3267" s="109">
        <f>IF(Key!D$1="ON",P3267,IF(SUM(Q3267:DL3267)&lt;1,"",SUM(Q3267:DL3267)/COUNTIF(Q3267:DL3267,"&gt;0")))</f>
        <v>0</v>
      </c>
      <c r="P3267" s="109">
        <f>SUMIFS(Q3267:DK3267,Q$1:DK$1,Dashboard!$K$31)</f>
        <v>0</v>
      </c>
      <c r="U3267" s="95">
        <v>33</v>
      </c>
    </row>
    <row r="3268" spans="1:34" x14ac:dyDescent="0.3">
      <c r="A3268" s="89" t="str">
        <f>CONCATENATE(D3268,".",F3268,"-",G3268,".",H3268,"")</f>
        <v>2.6-3.1</v>
      </c>
      <c r="B3268" s="89" t="str">
        <f>IF(CONCATENATE(I3268,Key!F$2)=CONCATENATE(INDEX(Dashboard!J:J,MATCH(I3268,Dashboard!J:J,0),1),INDEX(Dashboard!J:K,MATCH(I3268,Dashboard!J:J,0),2)),"ON",IF(Dashboard!K$32="ALL","ON","-"))</f>
        <v>-</v>
      </c>
      <c r="C3268" s="96" t="s">
        <v>152</v>
      </c>
      <c r="D3268" s="89">
        <f>IF(C3268="ID",1,(IF(C3268="PR",2,(IF(C3268="DE",3,(IF(C3268="RS",4,(IF(C3268="RC",5,0)))))))))</f>
        <v>2</v>
      </c>
      <c r="E3268" s="89" t="s">
        <v>271</v>
      </c>
      <c r="F3268" s="89">
        <f>IF(E3268="AM",1,(IF(E3268="BE",2,(IF(E3268="GV",3,(IF(E3268="RA",4,(IF(E3268="RM",5,(IF(E3268="AC",1,(IF(E3268="AT",2,(IF(E3268="DS",3,(IF(E3268="IP",4,(IF(E3268="MA",5,(IF(E3268="PT",6,(IF(E3268="AE",1,(IF(E3268="CM",2,(IF(E3268="DP",3,(IF(E3268="AN",1,(IF(E3268="CO",2,(IF(E3268="IM",3,(IF(E3268="MI",4,(IF(E3268="RP",5,(IF(E3268="SC",6,0)))))))))))))))))))))))))))))))))))))))</f>
        <v>6</v>
      </c>
      <c r="G3268" s="52">
        <v>3</v>
      </c>
      <c r="H3268" s="90" t="s">
        <v>115</v>
      </c>
      <c r="I3268" s="93" t="s">
        <v>52</v>
      </c>
      <c r="J3268" s="88">
        <v>164.31200000000001</v>
      </c>
      <c r="K3268" s="103" t="s">
        <v>3445</v>
      </c>
      <c r="L3268" s="117">
        <f>IF(O3268="","",N3268*O3268*M3268)</f>
        <v>0</v>
      </c>
      <c r="M3268" s="108">
        <v>1</v>
      </c>
      <c r="N3268" s="95">
        <v>1</v>
      </c>
      <c r="O3268" s="109">
        <f>IF(Key!D$1="ON",P3268,IF(SUM(Q3268:DL3268)&lt;1,"",SUM(Q3268:DL3268)/COUNTIF(Q3268:DL3268,"&gt;0")))</f>
        <v>0</v>
      </c>
      <c r="P3268" s="109">
        <f>SUMIFS(Q3268:DK3268,Q$1:DK$1,Dashboard!$K$31)</f>
        <v>0</v>
      </c>
      <c r="U3268" s="95">
        <v>33</v>
      </c>
      <c r="AA3268" s="95">
        <v>25</v>
      </c>
      <c r="AH3268" s="95">
        <v>75</v>
      </c>
    </row>
    <row r="3269" spans="1:34" ht="15.6" x14ac:dyDescent="0.3">
      <c r="A3269" s="89" t="str">
        <f>CONCATENATE(D3269,".",F3269,"-",G3269,".",H3269,"")</f>
        <v>2.6-3.1</v>
      </c>
      <c r="B3269" s="89" t="str">
        <f>IF(CONCATENATE(I3269,Key!F$2)=CONCATENATE(INDEX(Dashboard!J:J,MATCH(I3269,Dashboard!J:J,0),1),INDEX(Dashboard!J:K,MATCH(I3269,Dashboard!J:J,0),2)),"ON",IF(Dashboard!K$32="ALL","ON","-"))</f>
        <v>-</v>
      </c>
      <c r="C3269" s="96" t="s">
        <v>152</v>
      </c>
      <c r="D3269" s="89">
        <f>IF(C3269="ID",1,(IF(C3269="PR",2,(IF(C3269="DE",3,(IF(C3269="RS",4,(IF(C3269="RC",5,0)))))))))</f>
        <v>2</v>
      </c>
      <c r="E3269" s="89" t="s">
        <v>271</v>
      </c>
      <c r="F3269" s="89">
        <f>IF(E3269="AM",1,(IF(E3269="BE",2,(IF(E3269="GV",3,(IF(E3269="RA",4,(IF(E3269="RM",5,(IF(E3269="AC",1,(IF(E3269="AT",2,(IF(E3269="DS",3,(IF(E3269="IP",4,(IF(E3269="MA",5,(IF(E3269="PT",6,(IF(E3269="AE",1,(IF(E3269="CM",2,(IF(E3269="DP",3,(IF(E3269="AN",1,(IF(E3269="CO",2,(IF(E3269="IM",3,(IF(E3269="MI",4,(IF(E3269="RP",5,(IF(E3269="SC",6,0)))))))))))))))))))))))))))))))))))))))</f>
        <v>6</v>
      </c>
      <c r="G3269" s="52">
        <v>3</v>
      </c>
      <c r="H3269" s="90" t="s">
        <v>115</v>
      </c>
      <c r="I3269" s="93" t="s">
        <v>52</v>
      </c>
      <c r="J3269" s="88" t="s">
        <v>3373</v>
      </c>
      <c r="K3269" s="103" t="s">
        <v>3374</v>
      </c>
      <c r="L3269" s="117">
        <f>IF(O3269="","",N3269*O3269*M3269)</f>
        <v>0</v>
      </c>
      <c r="M3269" s="108">
        <v>1</v>
      </c>
      <c r="N3269" s="95">
        <v>1</v>
      </c>
      <c r="O3269" s="109">
        <f>IF(Key!D$1="ON",P3269,IF(SUM(Q3269:DL3269)&lt;1,"",SUM(Q3269:DL3269)/COUNTIF(Q3269:DL3269,"&gt;0")))</f>
        <v>0</v>
      </c>
      <c r="P3269" s="109">
        <f>SUMIFS(Q3269:DK3269,Q$1:DK$1,Dashboard!$K$31)</f>
        <v>0</v>
      </c>
      <c r="U3269" s="95">
        <v>33</v>
      </c>
      <c r="AA3269" s="95">
        <v>25</v>
      </c>
      <c r="AH3269" s="95">
        <v>75</v>
      </c>
    </row>
    <row r="3270" spans="1:34" x14ac:dyDescent="0.3">
      <c r="A3270" s="89" t="str">
        <f>CONCATENATE(D3270,".",F3270,"-",G3270,".",H3270,"")</f>
        <v>2.6-3.1</v>
      </c>
      <c r="B3270" s="89" t="str">
        <f>IF(CONCATENATE(I3270,Key!F$2)=CONCATENATE(INDEX(Dashboard!J:J,MATCH(I3270,Dashboard!J:J,0),1),INDEX(Dashboard!J:K,MATCH(I3270,Dashboard!J:J,0),2)),"ON",IF(Dashboard!K$32="ALL","ON","-"))</f>
        <v>-</v>
      </c>
      <c r="C3270" s="96" t="s">
        <v>152</v>
      </c>
      <c r="D3270" s="89">
        <f>IF(C3270="ID",1,(IF(C3270="PR",2,(IF(C3270="DE",3,(IF(C3270="RS",4,(IF(C3270="RC",5,0)))))))))</f>
        <v>2</v>
      </c>
      <c r="E3270" s="89" t="s">
        <v>271</v>
      </c>
      <c r="F3270" s="89">
        <f>IF(E3270="AM",1,(IF(E3270="BE",2,(IF(E3270="GV",3,(IF(E3270="RA",4,(IF(E3270="RM",5,(IF(E3270="AC",1,(IF(E3270="AT",2,(IF(E3270="DS",3,(IF(E3270="IP",4,(IF(E3270="MA",5,(IF(E3270="PT",6,(IF(E3270="AE",1,(IF(E3270="CM",2,(IF(E3270="DP",3,(IF(E3270="AN",1,(IF(E3270="CO",2,(IF(E3270="IM",3,(IF(E3270="MI",4,(IF(E3270="RP",5,(IF(E3270="SC",6,0)))))))))))))))))))))))))))))))))))))))</f>
        <v>6</v>
      </c>
      <c r="G3270" s="52">
        <v>3</v>
      </c>
      <c r="H3270" s="90" t="s">
        <v>115</v>
      </c>
      <c r="I3270" s="93" t="s">
        <v>52</v>
      </c>
      <c r="J3270" s="88" t="s">
        <v>3375</v>
      </c>
      <c r="K3270" s="103" t="s">
        <v>3376</v>
      </c>
      <c r="L3270" s="117">
        <f>IF(O3270="","",N3270*O3270*M3270)</f>
        <v>0</v>
      </c>
      <c r="M3270" s="108">
        <v>1</v>
      </c>
      <c r="N3270" s="95">
        <v>1</v>
      </c>
      <c r="O3270" s="109">
        <f>IF(Key!D$1="ON",P3270,IF(SUM(Q3270:DL3270)&lt;1,"",SUM(Q3270:DL3270)/COUNTIF(Q3270:DL3270,"&gt;0")))</f>
        <v>0</v>
      </c>
      <c r="P3270" s="109">
        <f>SUMIFS(Q3270:DK3270,Q$1:DK$1,Dashboard!$K$31)</f>
        <v>0</v>
      </c>
      <c r="U3270" s="95">
        <v>33</v>
      </c>
      <c r="AA3270" s="95">
        <v>25</v>
      </c>
      <c r="AH3270" s="95">
        <v>75</v>
      </c>
    </row>
    <row r="3271" spans="1:34" ht="15.6" x14ac:dyDescent="0.3">
      <c r="A3271" s="89" t="str">
        <f>CONCATENATE(D3271,".",F3271,"-",G3271,".",H3271,"")</f>
        <v>2.6-3.1</v>
      </c>
      <c r="B3271" s="89" t="str">
        <f>IF(CONCATENATE(I3271,Key!F$2)=CONCATENATE(INDEX(Dashboard!J:J,MATCH(I3271,Dashboard!J:J,0),1),INDEX(Dashboard!J:K,MATCH(I3271,Dashboard!J:J,0),2)),"ON",IF(Dashboard!K$32="ALL","ON","-"))</f>
        <v>-</v>
      </c>
      <c r="C3271" s="96" t="s">
        <v>152</v>
      </c>
      <c r="D3271" s="89">
        <f>IF(C3271="ID",1,(IF(C3271="PR",2,(IF(C3271="DE",3,(IF(C3271="RS",4,(IF(C3271="RC",5,0)))))))))</f>
        <v>2</v>
      </c>
      <c r="E3271" s="89" t="s">
        <v>271</v>
      </c>
      <c r="F3271" s="89">
        <f>IF(E3271="AM",1,(IF(E3271="BE",2,(IF(E3271="GV",3,(IF(E3271="RA",4,(IF(E3271="RM",5,(IF(E3271="AC",1,(IF(E3271="AT",2,(IF(E3271="DS",3,(IF(E3271="IP",4,(IF(E3271="MA",5,(IF(E3271="PT",6,(IF(E3271="AE",1,(IF(E3271="CM",2,(IF(E3271="DP",3,(IF(E3271="AN",1,(IF(E3271="CO",2,(IF(E3271="IM",3,(IF(E3271="MI",4,(IF(E3271="RP",5,(IF(E3271="SC",6,0)))))))))))))))))))))))))))))))))))))))</f>
        <v>6</v>
      </c>
      <c r="G3271" s="52">
        <v>3</v>
      </c>
      <c r="H3271" s="90" t="s">
        <v>115</v>
      </c>
      <c r="I3271" s="93" t="s">
        <v>52</v>
      </c>
      <c r="J3271" s="88" t="s">
        <v>3377</v>
      </c>
      <c r="K3271" s="103" t="s">
        <v>3378</v>
      </c>
      <c r="L3271" s="117">
        <f>IF(O3271="","",N3271*O3271*M3271)</f>
        <v>0</v>
      </c>
      <c r="M3271" s="108">
        <v>1</v>
      </c>
      <c r="N3271" s="95">
        <v>1</v>
      </c>
      <c r="O3271" s="109">
        <f>IF(Key!D$1="ON",P3271,IF(SUM(Q3271:DL3271)&lt;1,"",SUM(Q3271:DL3271)/COUNTIF(Q3271:DL3271,"&gt;0")))</f>
        <v>0</v>
      </c>
      <c r="P3271" s="109">
        <f>SUMIFS(Q3271:DK3271,Q$1:DK$1,Dashboard!$K$31)</f>
        <v>0</v>
      </c>
      <c r="U3271" s="95">
        <v>33</v>
      </c>
      <c r="AA3271" s="95">
        <v>25</v>
      </c>
      <c r="AH3271" s="95">
        <v>75</v>
      </c>
    </row>
    <row r="3272" spans="1:34" x14ac:dyDescent="0.3">
      <c r="A3272" s="89" t="str">
        <f>CONCATENATE(D3272,".",F3272,"-",G3272,".",H3272,"")</f>
        <v>2.6-3.1</v>
      </c>
      <c r="B3272" s="89" t="str">
        <f>IF(CONCATENATE(I3272,Key!F$2)=CONCATENATE(INDEX(Dashboard!J:J,MATCH(I3272,Dashboard!J:J,0),1),INDEX(Dashboard!J:K,MATCH(I3272,Dashboard!J:J,0),2)),"ON",IF(Dashboard!K$32="ALL","ON","-"))</f>
        <v>-</v>
      </c>
      <c r="C3272" s="96" t="s">
        <v>152</v>
      </c>
      <c r="D3272" s="89">
        <f>IF(C3272="ID",1,(IF(C3272="PR",2,(IF(C3272="DE",3,(IF(C3272="RS",4,(IF(C3272="RC",5,0)))))))))</f>
        <v>2</v>
      </c>
      <c r="E3272" s="89" t="s">
        <v>271</v>
      </c>
      <c r="F3272" s="89">
        <f>IF(E3272="AM",1,(IF(E3272="BE",2,(IF(E3272="GV",3,(IF(E3272="RA",4,(IF(E3272="RM",5,(IF(E3272="AC",1,(IF(E3272="AT",2,(IF(E3272="DS",3,(IF(E3272="IP",4,(IF(E3272="MA",5,(IF(E3272="PT",6,(IF(E3272="AE",1,(IF(E3272="CM",2,(IF(E3272="DP",3,(IF(E3272="AN",1,(IF(E3272="CO",2,(IF(E3272="IM",3,(IF(E3272="MI",4,(IF(E3272="RP",5,(IF(E3272="SC",6,0)))))))))))))))))))))))))))))))))))))))</f>
        <v>6</v>
      </c>
      <c r="G3272" s="52">
        <v>3</v>
      </c>
      <c r="H3272" s="90" t="s">
        <v>115</v>
      </c>
      <c r="I3272" s="93" t="s">
        <v>52</v>
      </c>
      <c r="J3272" s="88" t="s">
        <v>3313</v>
      </c>
      <c r="K3272" s="103" t="s">
        <v>3314</v>
      </c>
      <c r="L3272" s="117">
        <f>IF(O3272="","",N3272*O3272*M3272)</f>
        <v>0</v>
      </c>
      <c r="M3272" s="108">
        <v>1</v>
      </c>
      <c r="N3272" s="95">
        <v>1</v>
      </c>
      <c r="O3272" s="109">
        <f>IF(Key!D$1="ON",P3272,IF(SUM(Q3272:DL3272)&lt;1,"",SUM(Q3272:DL3272)/COUNTIF(Q3272:DL3272,"&gt;0")))</f>
        <v>0</v>
      </c>
      <c r="P3272" s="109">
        <f>SUMIFS(Q3272:DK3272,Q$1:DK$1,Dashboard!$K$31)</f>
        <v>0</v>
      </c>
      <c r="U3272" s="95">
        <v>33</v>
      </c>
      <c r="AA3272" s="95">
        <v>25</v>
      </c>
      <c r="AH3272" s="95">
        <v>75</v>
      </c>
    </row>
    <row r="3273" spans="1:34" x14ac:dyDescent="0.3">
      <c r="A3273" s="89" t="str">
        <f>CONCATENATE(D3273,".",F3273,"-",G3273,".",H3273,"")</f>
        <v>2.6-3.1</v>
      </c>
      <c r="B3273" s="89" t="str">
        <f>IF(CONCATENATE(I3273,Key!F$2)=CONCATENATE(INDEX(Dashboard!J:J,MATCH(I3273,Dashboard!J:J,0),1),INDEX(Dashboard!J:K,MATCH(I3273,Dashboard!J:J,0),2)),"ON",IF(Dashboard!K$32="ALL","ON","-"))</f>
        <v>-</v>
      </c>
      <c r="C3273" s="96" t="s">
        <v>152</v>
      </c>
      <c r="D3273" s="89">
        <f>IF(C3273="ID",1,(IF(C3273="PR",2,(IF(C3273="DE",3,(IF(C3273="RS",4,(IF(C3273="RC",5,0)))))))))</f>
        <v>2</v>
      </c>
      <c r="E3273" s="89" t="s">
        <v>271</v>
      </c>
      <c r="F3273" s="89">
        <f>IF(E3273="AM",1,(IF(E3273="BE",2,(IF(E3273="GV",3,(IF(E3273="RA",4,(IF(E3273="RM",5,(IF(E3273="AC",1,(IF(E3273="AT",2,(IF(E3273="DS",3,(IF(E3273="IP",4,(IF(E3273="MA",5,(IF(E3273="PT",6,(IF(E3273="AE",1,(IF(E3273="CM",2,(IF(E3273="DP",3,(IF(E3273="AN",1,(IF(E3273="CO",2,(IF(E3273="IM",3,(IF(E3273="MI",4,(IF(E3273="RP",5,(IF(E3273="SC",6,0)))))))))))))))))))))))))))))))))))))))</f>
        <v>6</v>
      </c>
      <c r="G3273" s="52">
        <v>3</v>
      </c>
      <c r="H3273" s="90" t="s">
        <v>115</v>
      </c>
      <c r="I3273" s="93" t="s">
        <v>52</v>
      </c>
      <c r="J3273" s="88" t="s">
        <v>3408</v>
      </c>
      <c r="K3273" s="103" t="s">
        <v>3409</v>
      </c>
      <c r="L3273" s="117">
        <f>IF(O3273="","",N3273*O3273*M3273)</f>
        <v>0</v>
      </c>
      <c r="M3273" s="108">
        <v>1</v>
      </c>
      <c r="N3273" s="95">
        <v>1</v>
      </c>
      <c r="O3273" s="109">
        <f>IF(Key!D$1="ON",P3273,IF(SUM(Q3273:DL3273)&lt;1,"",SUM(Q3273:DL3273)/COUNTIF(Q3273:DL3273,"&gt;0")))</f>
        <v>0</v>
      </c>
      <c r="P3273" s="109">
        <f>SUMIFS(Q3273:DK3273,Q$1:DK$1,Dashboard!$K$31)</f>
        <v>0</v>
      </c>
      <c r="U3273" s="95">
        <v>33</v>
      </c>
      <c r="AA3273" s="95">
        <v>25</v>
      </c>
      <c r="AH3273" s="95">
        <v>75</v>
      </c>
    </row>
    <row r="3274" spans="1:34" x14ac:dyDescent="0.3">
      <c r="A3274" s="89" t="str">
        <f>CONCATENATE(D3274,".",F3274,"-",G3274,".",H3274,"")</f>
        <v>2.6-3.1</v>
      </c>
      <c r="B3274" s="89" t="str">
        <f>IF(CONCATENATE(I3274,Key!F$2)=CONCATENATE(INDEX(Dashboard!J:J,MATCH(I3274,Dashboard!J:J,0),1),INDEX(Dashboard!J:K,MATCH(I3274,Dashboard!J:J,0),2)),"ON",IF(Dashboard!K$32="ALL","ON","-"))</f>
        <v>-</v>
      </c>
      <c r="C3274" s="88" t="s">
        <v>152</v>
      </c>
      <c r="D3274" s="89">
        <f>IF(C3274="ID",1,(IF(C3274="PR",2,(IF(C3274="DE",3,(IF(C3274="RS",4,(IF(C3274="RC",5,0)))))))))</f>
        <v>2</v>
      </c>
      <c r="E3274" s="89" t="s">
        <v>271</v>
      </c>
      <c r="F3274" s="89">
        <f>IF(E3274="AM",1,(IF(E3274="BE",2,(IF(E3274="GV",3,(IF(E3274="RA",4,(IF(E3274="RM",5,(IF(E3274="AC",1,(IF(E3274="AT",2,(IF(E3274="DS",3,(IF(E3274="IP",4,(IF(E3274="MA",5,(IF(E3274="PT",6,(IF(E3274="AE",1,(IF(E3274="CM",2,(IF(E3274="DP",3,(IF(E3274="AN",1,(IF(E3274="CO",2,(IF(E3274="IM",3,(IF(E3274="MI",4,(IF(E3274="RP",5,(IF(E3274="SC",6,0)))))))))))))))))))))))))))))))))))))))</f>
        <v>6</v>
      </c>
      <c r="G3274" s="52">
        <v>3</v>
      </c>
      <c r="H3274" s="89">
        <v>1</v>
      </c>
      <c r="I3274" s="93" t="s">
        <v>60</v>
      </c>
      <c r="J3274" s="88" t="s">
        <v>3124</v>
      </c>
      <c r="K3274" s="51" t="s">
        <v>5237</v>
      </c>
      <c r="L3274" s="117">
        <f>IF(O3274="","",N3274*O3274*M3274)</f>
        <v>0</v>
      </c>
      <c r="M3274" s="108">
        <v>1</v>
      </c>
      <c r="N3274" s="95">
        <v>1</v>
      </c>
      <c r="O3274" s="109">
        <f>IF(Key!D$1="ON",P3274,IF(SUM(Q3274:DL3274)&lt;1,"",SUM(Q3274:DL3274)/COUNTIF(Q3274:DL3274,"&gt;0")))</f>
        <v>0</v>
      </c>
      <c r="P3274" s="109">
        <f>SUMIFS(Q3274:DK3274,Q$1:DK$1,Dashboard!$K$31)</f>
        <v>0</v>
      </c>
      <c r="U3274" s="95">
        <v>33</v>
      </c>
      <c r="AA3274" s="95">
        <v>25</v>
      </c>
      <c r="AH3274" s="95">
        <v>75</v>
      </c>
    </row>
    <row r="3275" spans="1:34" ht="15.6" x14ac:dyDescent="0.3">
      <c r="A3275" s="89" t="str">
        <f>CONCATENATE(D3275,".",F3275,"-",G3275,".",H3275,"")</f>
        <v>2.6-3.1</v>
      </c>
      <c r="B3275" s="89" t="str">
        <f>IF(CONCATENATE(I3275,Key!F$2)=CONCATENATE(INDEX(Dashboard!J:J,MATCH(I3275,Dashboard!J:J,0),1),INDEX(Dashboard!J:K,MATCH(I3275,Dashboard!J:J,0),2)),"ON",IF(Dashboard!K$32="ALL","ON","-"))</f>
        <v>-</v>
      </c>
      <c r="C3275" s="88" t="s">
        <v>152</v>
      </c>
      <c r="D3275" s="89">
        <f>IF(C3275="ID",1,(IF(C3275="PR",2,(IF(C3275="DE",3,(IF(C3275="RS",4,(IF(C3275="RC",5,0)))))))))</f>
        <v>2</v>
      </c>
      <c r="E3275" s="89" t="s">
        <v>271</v>
      </c>
      <c r="F3275" s="89">
        <f>IF(E3275="AM",1,(IF(E3275="BE",2,(IF(E3275="GV",3,(IF(E3275="RA",4,(IF(E3275="RM",5,(IF(E3275="AC",1,(IF(E3275="AT",2,(IF(E3275="DS",3,(IF(E3275="IP",4,(IF(E3275="MA",5,(IF(E3275="PT",6,(IF(E3275="AE",1,(IF(E3275="CM",2,(IF(E3275="DP",3,(IF(E3275="AN",1,(IF(E3275="CO",2,(IF(E3275="IM",3,(IF(E3275="MI",4,(IF(E3275="RP",5,(IF(E3275="SC",6,0)))))))))))))))))))))))))))))))))))))))</f>
        <v>6</v>
      </c>
      <c r="G3275" s="52">
        <v>3</v>
      </c>
      <c r="H3275" s="90" t="s">
        <v>115</v>
      </c>
      <c r="I3275" s="93" t="s">
        <v>60</v>
      </c>
      <c r="J3275" s="87" t="s">
        <v>3264</v>
      </c>
      <c r="K3275" s="51" t="s">
        <v>5377</v>
      </c>
      <c r="L3275" s="117">
        <f>IF(O3275="","",N3275*O3275*M3275)</f>
        <v>0</v>
      </c>
      <c r="M3275" s="108">
        <v>1</v>
      </c>
      <c r="N3275" s="95">
        <v>1</v>
      </c>
      <c r="O3275" s="109">
        <f>IF(Key!D$1="ON",P3275,IF(SUM(Q3275:DL3275)&lt;1,"",SUM(Q3275:DL3275)/COUNTIF(Q3275:DL3275,"&gt;0")))</f>
        <v>0</v>
      </c>
      <c r="P3275" s="109">
        <f>SUMIFS(Q3275:DK3275,Q$1:DK$1,Dashboard!$K$31)</f>
        <v>0</v>
      </c>
      <c r="U3275" s="95">
        <v>33</v>
      </c>
      <c r="AA3275" s="95">
        <v>25</v>
      </c>
      <c r="AH3275" s="95">
        <v>75</v>
      </c>
    </row>
    <row r="3276" spans="1:34" ht="15.6" x14ac:dyDescent="0.3">
      <c r="A3276" s="89" t="str">
        <f>CONCATENATE(D3276,".",F3276,"-",G3276,".",H3276,"")</f>
        <v>2.6-3.1</v>
      </c>
      <c r="B3276" s="89" t="str">
        <f>IF(CONCATENATE(I3276,Key!F$2)=CONCATENATE(INDEX(Dashboard!J:J,MATCH(I3276,Dashboard!J:J,0),1),INDEX(Dashboard!J:K,MATCH(I3276,Dashboard!J:J,0),2)),"ON",IF(Dashboard!K$32="ALL","ON","-"))</f>
        <v>-</v>
      </c>
      <c r="C3276" s="88" t="s">
        <v>152</v>
      </c>
      <c r="D3276" s="89">
        <f>IF(C3276="ID",1,(IF(C3276="PR",2,(IF(C3276="DE",3,(IF(C3276="RS",4,(IF(C3276="RC",5,0)))))))))</f>
        <v>2</v>
      </c>
      <c r="E3276" s="89" t="s">
        <v>271</v>
      </c>
      <c r="F3276" s="89">
        <f>IF(E3276="AM",1,(IF(E3276="BE",2,(IF(E3276="GV",3,(IF(E3276="RA",4,(IF(E3276="RM",5,(IF(E3276="AC",1,(IF(E3276="AT",2,(IF(E3276="DS",3,(IF(E3276="IP",4,(IF(E3276="MA",5,(IF(E3276="PT",6,(IF(E3276="AE",1,(IF(E3276="CM",2,(IF(E3276="DP",3,(IF(E3276="AN",1,(IF(E3276="CO",2,(IF(E3276="IM",3,(IF(E3276="MI",4,(IF(E3276="RP",5,(IF(E3276="SC",6,0)))))))))))))))))))))))))))))))))))))))</f>
        <v>6</v>
      </c>
      <c r="G3276" s="52">
        <v>3</v>
      </c>
      <c r="H3276" s="90" t="s">
        <v>115</v>
      </c>
      <c r="I3276" s="93" t="s">
        <v>60</v>
      </c>
      <c r="J3276" s="87" t="s">
        <v>3182</v>
      </c>
      <c r="K3276" s="51" t="s">
        <v>5295</v>
      </c>
      <c r="L3276" s="117">
        <f>IF(O3276="","",N3276*O3276*M3276)</f>
        <v>0</v>
      </c>
      <c r="M3276" s="108">
        <v>1</v>
      </c>
      <c r="N3276" s="95">
        <v>1</v>
      </c>
      <c r="O3276" s="109">
        <f>IF(Key!D$1="ON",P3276,IF(SUM(Q3276:DL3276)&lt;1,"",SUM(Q3276:DL3276)/COUNTIF(Q3276:DL3276,"&gt;0")))</f>
        <v>0</v>
      </c>
      <c r="P3276" s="109">
        <f>SUMIFS(Q3276:DK3276,Q$1:DK$1,Dashboard!$K$31)</f>
        <v>0</v>
      </c>
      <c r="U3276" s="95">
        <v>33</v>
      </c>
      <c r="AA3276" s="95">
        <v>25</v>
      </c>
      <c r="AH3276" s="95">
        <v>75</v>
      </c>
    </row>
    <row r="3277" spans="1:34" ht="15.6" x14ac:dyDescent="0.3">
      <c r="A3277" s="89" t="str">
        <f>CONCATENATE(D3277,".",F3277,"-",G3277,".",H3277,"")</f>
        <v>2.6-3.1</v>
      </c>
      <c r="B3277" s="89" t="str">
        <f>IF(CONCATENATE(I3277,Key!F$2)=CONCATENATE(INDEX(Dashboard!J:J,MATCH(I3277,Dashboard!J:J,0),1),INDEX(Dashboard!J:K,MATCH(I3277,Dashboard!J:J,0),2)),"ON",IF(Dashboard!K$32="ALL","ON","-"))</f>
        <v>-</v>
      </c>
      <c r="C3277" s="88" t="s">
        <v>152</v>
      </c>
      <c r="D3277" s="89">
        <f>IF(C3277="ID",1,(IF(C3277="PR",2,(IF(C3277="DE",3,(IF(C3277="RS",4,(IF(C3277="RC",5,0)))))))))</f>
        <v>2</v>
      </c>
      <c r="E3277" s="89" t="s">
        <v>271</v>
      </c>
      <c r="F3277" s="89">
        <f>IF(E3277="AM",1,(IF(E3277="BE",2,(IF(E3277="GV",3,(IF(E3277="RA",4,(IF(E3277="RM",5,(IF(E3277="AC",1,(IF(E3277="AT",2,(IF(E3277="DS",3,(IF(E3277="IP",4,(IF(E3277="MA",5,(IF(E3277="PT",6,(IF(E3277="AE",1,(IF(E3277="CM",2,(IF(E3277="DP",3,(IF(E3277="AN",1,(IF(E3277="CO",2,(IF(E3277="IM",3,(IF(E3277="MI",4,(IF(E3277="RP",5,(IF(E3277="SC",6,0)))))))))))))))))))))))))))))))))))))))</f>
        <v>6</v>
      </c>
      <c r="G3277" s="52">
        <v>3</v>
      </c>
      <c r="H3277" s="89">
        <v>1</v>
      </c>
      <c r="I3277" s="93" t="s">
        <v>60</v>
      </c>
      <c r="J3277" s="88" t="s">
        <v>3226</v>
      </c>
      <c r="K3277" s="51" t="s">
        <v>5339</v>
      </c>
      <c r="L3277" s="117">
        <f>IF(O3277="","",N3277*O3277*M3277)</f>
        <v>0</v>
      </c>
      <c r="M3277" s="108">
        <v>1</v>
      </c>
      <c r="N3277" s="95">
        <v>1</v>
      </c>
      <c r="O3277" s="109">
        <f>IF(Key!D$1="ON",P3277,IF(SUM(Q3277:DL3277)&lt;1,"",SUM(Q3277:DL3277)/COUNTIF(Q3277:DL3277,"&gt;0")))</f>
        <v>0</v>
      </c>
      <c r="P3277" s="109">
        <f>SUMIFS(Q3277:DK3277,Q$1:DK$1,Dashboard!$K$31)</f>
        <v>0</v>
      </c>
      <c r="U3277" s="95">
        <v>33</v>
      </c>
      <c r="AA3277" s="95">
        <v>25</v>
      </c>
      <c r="AH3277" s="95">
        <v>75</v>
      </c>
    </row>
    <row r="3278" spans="1:34" ht="15.6" x14ac:dyDescent="0.3">
      <c r="A3278" s="89" t="str">
        <f>CONCATENATE(D3278,".",F3278,"-",G3278,".",H3278,"")</f>
        <v>2.6-3.1</v>
      </c>
      <c r="B3278" s="89" t="str">
        <f>IF(CONCATENATE(I3278,Key!F$2)=CONCATENATE(INDEX(Dashboard!J:J,MATCH(I3278,Dashboard!J:J,0),1),INDEX(Dashboard!J:K,MATCH(I3278,Dashboard!J:J,0),2)),"ON",IF(Dashboard!K$32="ALL","ON","-"))</f>
        <v>-</v>
      </c>
      <c r="C3278" s="88" t="s">
        <v>152</v>
      </c>
      <c r="D3278" s="89">
        <f>IF(C3278="ID",1,(IF(C3278="PR",2,(IF(C3278="DE",3,(IF(C3278="RS",4,(IF(C3278="RC",5,0)))))))))</f>
        <v>2</v>
      </c>
      <c r="E3278" s="89" t="s">
        <v>271</v>
      </c>
      <c r="F3278" s="89">
        <f>IF(E3278="AM",1,(IF(E3278="BE",2,(IF(E3278="GV",3,(IF(E3278="RA",4,(IF(E3278="RM",5,(IF(E3278="AC",1,(IF(E3278="AT",2,(IF(E3278="DS",3,(IF(E3278="IP",4,(IF(E3278="MA",5,(IF(E3278="PT",6,(IF(E3278="AE",1,(IF(E3278="CM",2,(IF(E3278="DP",3,(IF(E3278="AN",1,(IF(E3278="CO",2,(IF(E3278="IM",3,(IF(E3278="MI",4,(IF(E3278="RP",5,(IF(E3278="SC",6,0)))))))))))))))))))))))))))))))))))))))</f>
        <v>6</v>
      </c>
      <c r="G3278" s="52">
        <v>3</v>
      </c>
      <c r="H3278" s="90" t="s">
        <v>115</v>
      </c>
      <c r="I3278" s="93" t="s">
        <v>64</v>
      </c>
      <c r="J3278" s="86" t="s">
        <v>626</v>
      </c>
      <c r="K3278" s="103" t="s">
        <v>2673</v>
      </c>
      <c r="L3278" s="117">
        <f>IF(O3278="","",N3278*O3278*M3278)</f>
        <v>0</v>
      </c>
      <c r="M3278" s="108">
        <v>1</v>
      </c>
      <c r="N3278" s="95">
        <v>1</v>
      </c>
      <c r="O3278" s="109">
        <f>IF(Key!D$1="ON",P3278,IF(SUM(Q3278:DL3278)&lt;1,"",SUM(Q3278:DL3278)/COUNTIF(Q3278:DL3278,"&gt;0")))</f>
        <v>0</v>
      </c>
      <c r="P3278" s="109">
        <f>SUMIFS(Q3278:DK3278,Q$1:DK$1,Dashboard!$K$31)</f>
        <v>0</v>
      </c>
      <c r="U3278" s="95">
        <v>33</v>
      </c>
      <c r="AA3278" s="95">
        <v>25</v>
      </c>
      <c r="AH3278" s="95">
        <v>75</v>
      </c>
    </row>
    <row r="3279" spans="1:34" ht="15.6" x14ac:dyDescent="0.3">
      <c r="A3279" s="89" t="str">
        <f>CONCATENATE(D3279,".",F3279,"-",G3279,".",H3279,"")</f>
        <v>2.6-3.1</v>
      </c>
      <c r="B3279" s="89" t="str">
        <f>IF(CONCATENATE(I3279,Key!F$2)=CONCATENATE(INDEX(Dashboard!J:J,MATCH(I3279,Dashboard!J:J,0),1),INDEX(Dashboard!J:K,MATCH(I3279,Dashboard!J:J,0),2)),"ON",IF(Dashboard!K$32="ALL","ON","-"))</f>
        <v>-</v>
      </c>
      <c r="C3279" s="88" t="s">
        <v>152</v>
      </c>
      <c r="D3279" s="89">
        <f>IF(C3279="ID",1,(IF(C3279="PR",2,(IF(C3279="DE",3,(IF(C3279="RS",4,(IF(C3279="RC",5,0)))))))))</f>
        <v>2</v>
      </c>
      <c r="E3279" s="89" t="s">
        <v>271</v>
      </c>
      <c r="F3279" s="89">
        <f>IF(E3279="AM",1,(IF(E3279="BE",2,(IF(E3279="GV",3,(IF(E3279="RA",4,(IF(E3279="RM",5,(IF(E3279="AC",1,(IF(E3279="AT",2,(IF(E3279="DS",3,(IF(E3279="IP",4,(IF(E3279="MA",5,(IF(E3279="PT",6,(IF(E3279="AE",1,(IF(E3279="CM",2,(IF(E3279="DP",3,(IF(E3279="AN",1,(IF(E3279="CO",2,(IF(E3279="IM",3,(IF(E3279="MI",4,(IF(E3279="RP",5,(IF(E3279="SC",6,0)))))))))))))))))))))))))))))))))))))))</f>
        <v>6</v>
      </c>
      <c r="G3279" s="52">
        <v>3</v>
      </c>
      <c r="H3279" s="90" t="s">
        <v>115</v>
      </c>
      <c r="I3279" s="93" t="s">
        <v>64</v>
      </c>
      <c r="J3279" s="87" t="s">
        <v>1752</v>
      </c>
      <c r="K3279" s="102" t="s">
        <v>2674</v>
      </c>
      <c r="L3279" s="117">
        <f>IF(O3279="","",N3279*O3279*M3279)</f>
        <v>0</v>
      </c>
      <c r="M3279" s="108">
        <v>1</v>
      </c>
      <c r="N3279" s="95">
        <v>1</v>
      </c>
      <c r="O3279" s="109">
        <f>IF(Key!D$1="ON",P3279,IF(SUM(Q3279:DL3279)&lt;1,"",SUM(Q3279:DL3279)/COUNTIF(Q3279:DL3279,"&gt;0")))</f>
        <v>0</v>
      </c>
      <c r="P3279" s="109">
        <f>SUMIFS(Q3279:DK3279,Q$1:DK$1,Dashboard!$K$31)</f>
        <v>0</v>
      </c>
      <c r="U3279" s="95">
        <v>33</v>
      </c>
      <c r="AA3279" s="95">
        <v>25</v>
      </c>
      <c r="AH3279" s="95">
        <v>75</v>
      </c>
    </row>
    <row r="3280" spans="1:34" ht="15.6" x14ac:dyDescent="0.3">
      <c r="A3280" s="89" t="str">
        <f>CONCATENATE(D3280,".",F3280,"-",G3280,".",H3280,"")</f>
        <v>2.6-3.1</v>
      </c>
      <c r="B3280" s="89" t="str">
        <f>IF(CONCATENATE(I3280,Key!F$2)=CONCATENATE(INDEX(Dashboard!J:J,MATCH(I3280,Dashboard!J:J,0),1),INDEX(Dashboard!J:K,MATCH(I3280,Dashboard!J:J,0),2)),"ON",IF(Dashboard!K$32="ALL","ON","-"))</f>
        <v>-</v>
      </c>
      <c r="C3280" s="88" t="s">
        <v>152</v>
      </c>
      <c r="D3280" s="89">
        <f>IF(C3280="ID",1,(IF(C3280="PR",2,(IF(C3280="DE",3,(IF(C3280="RS",4,(IF(C3280="RC",5,0)))))))))</f>
        <v>2</v>
      </c>
      <c r="E3280" s="89" t="s">
        <v>271</v>
      </c>
      <c r="F3280" s="89">
        <f>IF(E3280="AM",1,(IF(E3280="BE",2,(IF(E3280="GV",3,(IF(E3280="RA",4,(IF(E3280="RM",5,(IF(E3280="AC",1,(IF(E3280="AT",2,(IF(E3280="DS",3,(IF(E3280="IP",4,(IF(E3280="MA",5,(IF(E3280="PT",6,(IF(E3280="AE",1,(IF(E3280="CM",2,(IF(E3280="DP",3,(IF(E3280="AN",1,(IF(E3280="CO",2,(IF(E3280="IM",3,(IF(E3280="MI",4,(IF(E3280="RP",5,(IF(E3280="SC",6,0)))))))))))))))))))))))))))))))))))))))</f>
        <v>6</v>
      </c>
      <c r="G3280" s="52">
        <v>3</v>
      </c>
      <c r="H3280" s="90" t="s">
        <v>115</v>
      </c>
      <c r="I3280" s="93" t="s">
        <v>64</v>
      </c>
      <c r="J3280" s="87" t="s">
        <v>1762</v>
      </c>
      <c r="K3280" s="102" t="s">
        <v>2683</v>
      </c>
      <c r="L3280" s="117">
        <f>IF(O3280="","",N3280*O3280*M3280)</f>
        <v>0</v>
      </c>
      <c r="M3280" s="108">
        <v>1</v>
      </c>
      <c r="N3280" s="95">
        <v>1</v>
      </c>
      <c r="O3280" s="109">
        <f>IF(Key!D$1="ON",P3280,IF(SUM(Q3280:DL3280)&lt;1,"",SUM(Q3280:DL3280)/COUNTIF(Q3280:DL3280,"&gt;0")))</f>
        <v>0</v>
      </c>
      <c r="P3280" s="109">
        <f>SUMIFS(Q3280:DK3280,Q$1:DK$1,Dashboard!$K$31)</f>
        <v>0</v>
      </c>
      <c r="U3280" s="95">
        <v>33</v>
      </c>
      <c r="AA3280" s="95">
        <v>25</v>
      </c>
      <c r="AH3280" s="95">
        <v>75</v>
      </c>
    </row>
    <row r="3281" spans="1:34" ht="15.6" x14ac:dyDescent="0.3">
      <c r="A3281" s="89" t="str">
        <f>CONCATENATE(D3281,".",F3281,"-",G3281,".",H3281,"")</f>
        <v>2.6-3.1</v>
      </c>
      <c r="B3281" s="89" t="str">
        <f>IF(CONCATENATE(I3281,Key!F$2)=CONCATENATE(INDEX(Dashboard!J:J,MATCH(I3281,Dashboard!J:J,0),1),INDEX(Dashboard!J:K,MATCH(I3281,Dashboard!J:J,0),2)),"ON",IF(Dashboard!K$32="ALL","ON","-"))</f>
        <v>-</v>
      </c>
      <c r="C3281" s="88" t="s">
        <v>152</v>
      </c>
      <c r="D3281" s="89">
        <f>IF(C3281="ID",1,(IF(C3281="PR",2,(IF(C3281="DE",3,(IF(C3281="RS",4,(IF(C3281="RC",5,0)))))))))</f>
        <v>2</v>
      </c>
      <c r="E3281" s="89" t="s">
        <v>271</v>
      </c>
      <c r="F3281" s="89">
        <f>IF(E3281="AM",1,(IF(E3281="BE",2,(IF(E3281="GV",3,(IF(E3281="RA",4,(IF(E3281="RM",5,(IF(E3281="AC",1,(IF(E3281="AT",2,(IF(E3281="DS",3,(IF(E3281="IP",4,(IF(E3281="MA",5,(IF(E3281="PT",6,(IF(E3281="AE",1,(IF(E3281="CM",2,(IF(E3281="DP",3,(IF(E3281="AN",1,(IF(E3281="CO",2,(IF(E3281="IM",3,(IF(E3281="MI",4,(IF(E3281="RP",5,(IF(E3281="SC",6,0)))))))))))))))))))))))))))))))))))))))</f>
        <v>6</v>
      </c>
      <c r="G3281" s="52">
        <v>3</v>
      </c>
      <c r="H3281" s="90" t="s">
        <v>115</v>
      </c>
      <c r="I3281" s="93" t="s">
        <v>64</v>
      </c>
      <c r="J3281" s="87" t="s">
        <v>1763</v>
      </c>
      <c r="K3281" s="102" t="s">
        <v>2684</v>
      </c>
      <c r="L3281" s="117">
        <f>IF(O3281="","",N3281*O3281*M3281)</f>
        <v>0</v>
      </c>
      <c r="M3281" s="108">
        <v>1</v>
      </c>
      <c r="N3281" s="95">
        <v>1</v>
      </c>
      <c r="O3281" s="109">
        <f>IF(Key!D$1="ON",P3281,IF(SUM(Q3281:DL3281)&lt;1,"",SUM(Q3281:DL3281)/COUNTIF(Q3281:DL3281,"&gt;0")))</f>
        <v>0</v>
      </c>
      <c r="P3281" s="109">
        <f>SUMIFS(Q3281:DK3281,Q$1:DK$1,Dashboard!$K$31)</f>
        <v>0</v>
      </c>
      <c r="U3281" s="95">
        <v>33</v>
      </c>
      <c r="AA3281" s="95">
        <v>25</v>
      </c>
      <c r="AH3281" s="95">
        <v>75</v>
      </c>
    </row>
    <row r="3282" spans="1:34" ht="15.6" x14ac:dyDescent="0.3">
      <c r="A3282" s="89" t="str">
        <f>CONCATENATE(D3282,".",F3282,"-",G3282,".",H3282,"")</f>
        <v>2.6-3.1</v>
      </c>
      <c r="B3282" s="89" t="str">
        <f>IF(CONCATENATE(I3282,Key!F$2)=CONCATENATE(INDEX(Dashboard!J:J,MATCH(I3282,Dashboard!J:J,0),1),INDEX(Dashboard!J:K,MATCH(I3282,Dashboard!J:J,0),2)),"ON",IF(Dashboard!K$32="ALL","ON","-"))</f>
        <v>-</v>
      </c>
      <c r="C3282" s="88" t="s">
        <v>152</v>
      </c>
      <c r="D3282" s="89">
        <f>IF(C3282="ID",1,(IF(C3282="PR",2,(IF(C3282="DE",3,(IF(C3282="RS",4,(IF(C3282="RC",5,0)))))))))</f>
        <v>2</v>
      </c>
      <c r="E3282" s="89" t="s">
        <v>271</v>
      </c>
      <c r="F3282" s="89">
        <f>IF(E3282="AM",1,(IF(E3282="BE",2,(IF(E3282="GV",3,(IF(E3282="RA",4,(IF(E3282="RM",5,(IF(E3282="AC",1,(IF(E3282="AT",2,(IF(E3282="DS",3,(IF(E3282="IP",4,(IF(E3282="MA",5,(IF(E3282="PT",6,(IF(E3282="AE",1,(IF(E3282="CM",2,(IF(E3282="DP",3,(IF(E3282="AN",1,(IF(E3282="CO",2,(IF(E3282="IM",3,(IF(E3282="MI",4,(IF(E3282="RP",5,(IF(E3282="SC",6,0)))))))))))))))))))))))))))))))))))))))</f>
        <v>6</v>
      </c>
      <c r="G3282" s="52">
        <v>3</v>
      </c>
      <c r="H3282" s="90" t="s">
        <v>115</v>
      </c>
      <c r="I3282" s="93" t="s">
        <v>64</v>
      </c>
      <c r="J3282" s="87" t="s">
        <v>1781</v>
      </c>
      <c r="K3282" s="102" t="s">
        <v>2699</v>
      </c>
      <c r="L3282" s="117">
        <f>IF(O3282="","",N3282*O3282*M3282)</f>
        <v>0</v>
      </c>
      <c r="M3282" s="108">
        <v>1</v>
      </c>
      <c r="N3282" s="95">
        <v>1</v>
      </c>
      <c r="O3282" s="109">
        <f>IF(Key!D$1="ON",P3282,IF(SUM(Q3282:DL3282)&lt;1,"",SUM(Q3282:DL3282)/COUNTIF(Q3282:DL3282,"&gt;0")))</f>
        <v>0</v>
      </c>
      <c r="P3282" s="109">
        <f>SUMIFS(Q3282:DK3282,Q$1:DK$1,Dashboard!$K$31)</f>
        <v>0</v>
      </c>
      <c r="U3282" s="95">
        <v>33</v>
      </c>
      <c r="AA3282" s="95">
        <v>25</v>
      </c>
      <c r="AH3282" s="95">
        <v>75</v>
      </c>
    </row>
    <row r="3283" spans="1:34" ht="15.6" x14ac:dyDescent="0.3">
      <c r="A3283" s="89" t="str">
        <f>CONCATENATE(D3283,".",F3283,"-",G3283,".",H3283,"")</f>
        <v>2.6-3.1</v>
      </c>
      <c r="B3283" s="89" t="str">
        <f>IF(CONCATENATE(I3283,Key!F$2)=CONCATENATE(INDEX(Dashboard!J:J,MATCH(I3283,Dashboard!J:J,0),1),INDEX(Dashboard!J:K,MATCH(I3283,Dashboard!J:J,0),2)),"ON",IF(Dashboard!K$32="ALL","ON","-"))</f>
        <v>-</v>
      </c>
      <c r="C3283" s="88" t="s">
        <v>152</v>
      </c>
      <c r="D3283" s="89">
        <f>IF(C3283="ID",1,(IF(C3283="PR",2,(IF(C3283="DE",3,(IF(C3283="RS",4,(IF(C3283="RC",5,0)))))))))</f>
        <v>2</v>
      </c>
      <c r="E3283" s="89" t="s">
        <v>271</v>
      </c>
      <c r="F3283" s="89">
        <f>IF(E3283="AM",1,(IF(E3283="BE",2,(IF(E3283="GV",3,(IF(E3283="RA",4,(IF(E3283="RM",5,(IF(E3283="AC",1,(IF(E3283="AT",2,(IF(E3283="DS",3,(IF(E3283="IP",4,(IF(E3283="MA",5,(IF(E3283="PT",6,(IF(E3283="AE",1,(IF(E3283="CM",2,(IF(E3283="DP",3,(IF(E3283="AN",1,(IF(E3283="CO",2,(IF(E3283="IM",3,(IF(E3283="MI",4,(IF(E3283="RP",5,(IF(E3283="SC",6,0)))))))))))))))))))))))))))))))))))))))</f>
        <v>6</v>
      </c>
      <c r="G3283" s="52">
        <v>3</v>
      </c>
      <c r="H3283" s="90" t="s">
        <v>115</v>
      </c>
      <c r="I3283" s="93" t="s">
        <v>73</v>
      </c>
      <c r="J3283" s="86" t="s">
        <v>5187</v>
      </c>
      <c r="K3283" s="101" t="s">
        <v>5188</v>
      </c>
      <c r="L3283" s="117">
        <f>IF(O3283="","",N3283*O3283*M3283)</f>
        <v>0</v>
      </c>
      <c r="M3283" s="108">
        <v>1</v>
      </c>
      <c r="N3283" s="95">
        <v>1</v>
      </c>
      <c r="O3283" s="109">
        <f>IF(Key!D$1="ON",P3283,IF(SUM(Q3283:DL3283)&lt;1,"",SUM(Q3283:DL3283)/COUNTIF(Q3283:DL3283,"&gt;0")))</f>
        <v>0</v>
      </c>
      <c r="P3283" s="109">
        <f>SUMIFS(Q3283:DK3283,Q$1:DK$1,Dashboard!$K$31)</f>
        <v>0</v>
      </c>
      <c r="U3283" s="95">
        <v>33</v>
      </c>
      <c r="AA3283" s="95">
        <v>25</v>
      </c>
      <c r="AH3283" s="95">
        <v>75</v>
      </c>
    </row>
    <row r="3284" spans="1:34" ht="15.6" x14ac:dyDescent="0.3">
      <c r="A3284" s="89" t="str">
        <f>CONCATENATE(D3284,".",F3284,"-",G3284,".",H3284,"")</f>
        <v>2.6-3.1</v>
      </c>
      <c r="B3284" s="89" t="str">
        <f>IF(CONCATENATE(I3284,Key!F$2)=CONCATENATE(INDEX(Dashboard!J:J,MATCH(I3284,Dashboard!J:J,0),1),INDEX(Dashboard!J:K,MATCH(I3284,Dashboard!J:J,0),2)),"ON",IF(Dashboard!K$32="ALL","ON","-"))</f>
        <v>-</v>
      </c>
      <c r="C3284" s="88" t="s">
        <v>152</v>
      </c>
      <c r="D3284" s="89">
        <f>IF(C3284="ID",1,(IF(C3284="PR",2,(IF(C3284="DE",3,(IF(C3284="RS",4,(IF(C3284="RC",5,0)))))))))</f>
        <v>2</v>
      </c>
      <c r="E3284" s="89" t="s">
        <v>271</v>
      </c>
      <c r="F3284" s="89">
        <f>IF(E3284="AM",1,(IF(E3284="BE",2,(IF(E3284="GV",3,(IF(E3284="RA",4,(IF(E3284="RM",5,(IF(E3284="AC",1,(IF(E3284="AT",2,(IF(E3284="DS",3,(IF(E3284="IP",4,(IF(E3284="MA",5,(IF(E3284="PT",6,(IF(E3284="AE",1,(IF(E3284="CM",2,(IF(E3284="DP",3,(IF(E3284="AN",1,(IF(E3284="CO",2,(IF(E3284="IM",3,(IF(E3284="MI",4,(IF(E3284="RP",5,(IF(E3284="SC",6,0)))))))))))))))))))))))))))))))))))))))</f>
        <v>6</v>
      </c>
      <c r="G3284" s="52">
        <v>3</v>
      </c>
      <c r="H3284" s="90" t="s">
        <v>115</v>
      </c>
      <c r="I3284" s="93" t="s">
        <v>73</v>
      </c>
      <c r="J3284" s="86" t="s">
        <v>4112</v>
      </c>
      <c r="K3284" s="101" t="s">
        <v>5189</v>
      </c>
      <c r="L3284" s="117">
        <f>IF(O3284="","",N3284*O3284*M3284)</f>
        <v>0</v>
      </c>
      <c r="M3284" s="108">
        <v>1</v>
      </c>
      <c r="N3284" s="95">
        <v>1</v>
      </c>
      <c r="O3284" s="109">
        <f>IF(Key!D$1="ON",P3284,IF(SUM(Q3284:DL3284)&lt;1,"",SUM(Q3284:DL3284)/COUNTIF(Q3284:DL3284,"&gt;0")))</f>
        <v>0</v>
      </c>
      <c r="P3284" s="109">
        <f>SUMIFS(Q3284:DK3284,Q$1:DK$1,Dashboard!$K$31)</f>
        <v>0</v>
      </c>
      <c r="U3284" s="95">
        <v>33</v>
      </c>
      <c r="AA3284" s="95">
        <v>25</v>
      </c>
      <c r="AH3284" s="95">
        <v>75</v>
      </c>
    </row>
    <row r="3285" spans="1:34" x14ac:dyDescent="0.3">
      <c r="A3285" s="89" t="str">
        <f>CONCATENATE(D3285,".",F3285,"-",G3285,".",H3285,"")</f>
        <v>2.6-3.1</v>
      </c>
      <c r="B3285" s="89" t="str">
        <f>IF(CONCATENATE(I3285,Key!F$2)=CONCATENATE(INDEX(Dashboard!J:J,MATCH(I3285,Dashboard!J:J,0),1),INDEX(Dashboard!J:K,MATCH(I3285,Dashboard!J:J,0),2)),"ON",IF(Dashboard!K$32="ALL","ON","-"))</f>
        <v>-</v>
      </c>
      <c r="C3285" s="88" t="s">
        <v>152</v>
      </c>
      <c r="D3285" s="89">
        <f>IF(C3285="ID",1,(IF(C3285="PR",2,(IF(C3285="DE",3,(IF(C3285="RS",4,(IF(C3285="RC",5,0)))))))))</f>
        <v>2</v>
      </c>
      <c r="E3285" s="89" t="s">
        <v>271</v>
      </c>
      <c r="F3285" s="89">
        <f>IF(E3285="AM",1,(IF(E3285="BE",2,(IF(E3285="GV",3,(IF(E3285="RA",4,(IF(E3285="RM",5,(IF(E3285="AC",1,(IF(E3285="AT",2,(IF(E3285="DS",3,(IF(E3285="IP",4,(IF(E3285="MA",5,(IF(E3285="PT",6,(IF(E3285="AE",1,(IF(E3285="CM",2,(IF(E3285="DP",3,(IF(E3285="AN",1,(IF(E3285="CO",2,(IF(E3285="IM",3,(IF(E3285="MI",4,(IF(E3285="RP",5,(IF(E3285="SC",6,0)))))))))))))))))))))))))))))))))))))))</f>
        <v>6</v>
      </c>
      <c r="G3285" s="52">
        <v>3</v>
      </c>
      <c r="H3285" s="90" t="s">
        <v>115</v>
      </c>
      <c r="I3285" s="93" t="s">
        <v>73</v>
      </c>
      <c r="J3285" s="86" t="s">
        <v>4161</v>
      </c>
      <c r="K3285" s="101" t="s">
        <v>4372</v>
      </c>
      <c r="L3285" s="117">
        <f>IF(O3285="","",N3285*O3285*M3285)</f>
        <v>0</v>
      </c>
      <c r="M3285" s="108">
        <v>1</v>
      </c>
      <c r="N3285" s="95">
        <v>1</v>
      </c>
      <c r="O3285" s="109">
        <f>IF(Key!D$1="ON",P3285,IF(SUM(Q3285:DL3285)&lt;1,"",SUM(Q3285:DL3285)/COUNTIF(Q3285:DL3285,"&gt;0")))</f>
        <v>0</v>
      </c>
      <c r="P3285" s="109">
        <f>SUMIFS(Q3285:DK3285,Q$1:DK$1,Dashboard!$K$31)</f>
        <v>0</v>
      </c>
      <c r="U3285" s="95">
        <v>33</v>
      </c>
      <c r="AA3285" s="95">
        <v>25</v>
      </c>
      <c r="AH3285" s="95">
        <v>75</v>
      </c>
    </row>
    <row r="3286" spans="1:34" x14ac:dyDescent="0.3">
      <c r="A3286" s="89" t="str">
        <f>CONCATENATE(D3286,".",F3286,"-",G3286,".",H3286,"")</f>
        <v>2.6-3.1</v>
      </c>
      <c r="B3286" s="89" t="str">
        <f>IF(CONCATENATE(I3286,Key!F$2)=CONCATENATE(INDEX(Dashboard!J:J,MATCH(I3286,Dashboard!J:J,0),1),INDEX(Dashboard!J:K,MATCH(I3286,Dashboard!J:J,0),2)),"ON",IF(Dashboard!K$32="ALL","ON","-"))</f>
        <v>-</v>
      </c>
      <c r="C3286" s="88" t="s">
        <v>152</v>
      </c>
      <c r="D3286" s="89">
        <f>IF(C3286="ID",1,(IF(C3286="PR",2,(IF(C3286="DE",3,(IF(C3286="RS",4,(IF(C3286="RC",5,0)))))))))</f>
        <v>2</v>
      </c>
      <c r="E3286" s="89" t="s">
        <v>271</v>
      </c>
      <c r="F3286" s="89">
        <f>IF(E3286="AM",1,(IF(E3286="BE",2,(IF(E3286="GV",3,(IF(E3286="RA",4,(IF(E3286="RM",5,(IF(E3286="AC",1,(IF(E3286="AT",2,(IF(E3286="DS",3,(IF(E3286="IP",4,(IF(E3286="MA",5,(IF(E3286="PT",6,(IF(E3286="AE",1,(IF(E3286="CM",2,(IF(E3286="DP",3,(IF(E3286="AN",1,(IF(E3286="CO",2,(IF(E3286="IM",3,(IF(E3286="MI",4,(IF(E3286="RP",5,(IF(E3286="SC",6,0)))))))))))))))))))))))))))))))))))))))</f>
        <v>6</v>
      </c>
      <c r="G3286" s="52">
        <v>3</v>
      </c>
      <c r="H3286" s="90" t="s">
        <v>115</v>
      </c>
      <c r="I3286" s="93" t="s">
        <v>73</v>
      </c>
      <c r="J3286" s="86" t="s">
        <v>4162</v>
      </c>
      <c r="K3286" s="101" t="s">
        <v>5198</v>
      </c>
      <c r="L3286" s="117">
        <f>IF(O3286="","",N3286*O3286*M3286)</f>
        <v>0</v>
      </c>
      <c r="M3286" s="108">
        <v>1</v>
      </c>
      <c r="N3286" s="95">
        <v>1</v>
      </c>
      <c r="O3286" s="109">
        <f>IF(Key!D$1="ON",P3286,IF(SUM(Q3286:DL3286)&lt;1,"",SUM(Q3286:DL3286)/COUNTIF(Q3286:DL3286,"&gt;0")))</f>
        <v>0</v>
      </c>
      <c r="P3286" s="109">
        <f>SUMIFS(Q3286:DK3286,Q$1:DK$1,Dashboard!$K$31)</f>
        <v>0</v>
      </c>
      <c r="U3286" s="95">
        <v>33</v>
      </c>
      <c r="AA3286" s="95">
        <v>25</v>
      </c>
      <c r="AH3286" s="95">
        <v>75</v>
      </c>
    </row>
    <row r="3287" spans="1:34" x14ac:dyDescent="0.3">
      <c r="A3287" s="89" t="str">
        <f>CONCATENATE(D3287,".",F3287,"-",G3287,".",H3287,"")</f>
        <v>2.6-3.1</v>
      </c>
      <c r="B3287" s="89" t="str">
        <f>IF(CONCATENATE(I3287,Key!F$2)=CONCATENATE(INDEX(Dashboard!J:J,MATCH(I3287,Dashboard!J:J,0),1),INDEX(Dashboard!J:K,MATCH(I3287,Dashboard!J:J,0),2)),"ON",IF(Dashboard!K$32="ALL","ON","-"))</f>
        <v>-</v>
      </c>
      <c r="C3287" s="88" t="s">
        <v>152</v>
      </c>
      <c r="D3287" s="89">
        <f>IF(C3287="ID",1,(IF(C3287="PR",2,(IF(C3287="DE",3,(IF(C3287="RS",4,(IF(C3287="RC",5,0)))))))))</f>
        <v>2</v>
      </c>
      <c r="E3287" s="89" t="s">
        <v>271</v>
      </c>
      <c r="F3287" s="89">
        <f>IF(E3287="AM",1,(IF(E3287="BE",2,(IF(E3287="GV",3,(IF(E3287="RA",4,(IF(E3287="RM",5,(IF(E3287="AC",1,(IF(E3287="AT",2,(IF(E3287="DS",3,(IF(E3287="IP",4,(IF(E3287="MA",5,(IF(E3287="PT",6,(IF(E3287="AE",1,(IF(E3287="CM",2,(IF(E3287="DP",3,(IF(E3287="AN",1,(IF(E3287="CO",2,(IF(E3287="IM",3,(IF(E3287="MI",4,(IF(E3287="RP",5,(IF(E3287="SC",6,0)))))))))))))))))))))))))))))))))))))))</f>
        <v>6</v>
      </c>
      <c r="G3287" s="52">
        <v>3</v>
      </c>
      <c r="H3287" s="90" t="s">
        <v>115</v>
      </c>
      <c r="I3287" s="93" t="s">
        <v>73</v>
      </c>
      <c r="J3287" s="86" t="s">
        <v>4163</v>
      </c>
      <c r="K3287" s="101" t="s">
        <v>5199</v>
      </c>
      <c r="L3287" s="117">
        <f>IF(O3287="","",N3287*O3287*M3287)</f>
        <v>0</v>
      </c>
      <c r="M3287" s="108">
        <v>1</v>
      </c>
      <c r="N3287" s="95">
        <v>1</v>
      </c>
      <c r="O3287" s="109">
        <f>IF(Key!D$1="ON",P3287,IF(SUM(Q3287:DL3287)&lt;1,"",SUM(Q3287:DL3287)/COUNTIF(Q3287:DL3287,"&gt;0")))</f>
        <v>0</v>
      </c>
      <c r="P3287" s="109">
        <f>SUMIFS(Q3287:DK3287,Q$1:DK$1,Dashboard!$K$31)</f>
        <v>0</v>
      </c>
      <c r="U3287" s="95">
        <v>33</v>
      </c>
      <c r="AA3287" s="95">
        <v>25</v>
      </c>
      <c r="AH3287" s="95">
        <v>75</v>
      </c>
    </row>
    <row r="3288" spans="1:34" x14ac:dyDescent="0.3">
      <c r="A3288" s="89" t="str">
        <f>CONCATENATE(D3288,".",F3288,"-",G3288,".",H3288,"")</f>
        <v>2.6-3.1</v>
      </c>
      <c r="B3288" s="89" t="str">
        <f>IF(CONCATENATE(I3288,Key!F$2)=CONCATENATE(INDEX(Dashboard!J:J,MATCH(I3288,Dashboard!J:J,0),1),INDEX(Dashboard!J:K,MATCH(I3288,Dashboard!J:J,0),2)),"ON",IF(Dashboard!K$32="ALL","ON","-"))</f>
        <v>-</v>
      </c>
      <c r="C3288" s="88" t="s">
        <v>152</v>
      </c>
      <c r="D3288" s="89">
        <f>IF(C3288="ID",1,(IF(C3288="PR",2,(IF(C3288="DE",3,(IF(C3288="RS",4,(IF(C3288="RC",5,0)))))))))</f>
        <v>2</v>
      </c>
      <c r="E3288" s="89" t="s">
        <v>271</v>
      </c>
      <c r="F3288" s="89">
        <f>IF(E3288="AM",1,(IF(E3288="BE",2,(IF(E3288="GV",3,(IF(E3288="RA",4,(IF(E3288="RM",5,(IF(E3288="AC",1,(IF(E3288="AT",2,(IF(E3288="DS",3,(IF(E3288="IP",4,(IF(E3288="MA",5,(IF(E3288="PT",6,(IF(E3288="AE",1,(IF(E3288="CM",2,(IF(E3288="DP",3,(IF(E3288="AN",1,(IF(E3288="CO",2,(IF(E3288="IM",3,(IF(E3288="MI",4,(IF(E3288="RP",5,(IF(E3288="SC",6,0)))))))))))))))))))))))))))))))))))))))</f>
        <v>6</v>
      </c>
      <c r="G3288" s="52">
        <v>3</v>
      </c>
      <c r="H3288" s="90" t="s">
        <v>115</v>
      </c>
      <c r="I3288" s="93" t="s">
        <v>77</v>
      </c>
      <c r="J3288" s="87" t="s">
        <v>626</v>
      </c>
      <c r="K3288" s="102" t="s">
        <v>2673</v>
      </c>
      <c r="L3288" s="117">
        <f>IF(O3288="","",N3288*O3288*M3288)</f>
        <v>0</v>
      </c>
      <c r="M3288" s="108">
        <v>1</v>
      </c>
      <c r="N3288" s="95">
        <v>1</v>
      </c>
      <c r="O3288" s="109">
        <f>IF(Key!D$1="ON",P3288,IF(SUM(Q3288:DL3288)&lt;1,"",SUM(Q3288:DL3288)/COUNTIF(Q3288:DL3288,"&gt;0")))</f>
        <v>0</v>
      </c>
      <c r="P3288" s="109">
        <f>SUMIFS(Q3288:DK3288,Q$1:DK$1,Dashboard!$K$31)</f>
        <v>0</v>
      </c>
      <c r="U3288" s="95">
        <v>33</v>
      </c>
      <c r="AA3288" s="95">
        <v>25</v>
      </c>
      <c r="AH3288" s="95">
        <v>75</v>
      </c>
    </row>
    <row r="3289" spans="1:34" ht="15.6" x14ac:dyDescent="0.3">
      <c r="A3289" s="89" t="str">
        <f>CONCATENATE(D3289,".",F3289,"-",G3289,".",H3289,"")</f>
        <v>2.6-3.1</v>
      </c>
      <c r="B3289" s="89" t="str">
        <f>IF(CONCATENATE(I3289,Key!F$2)=CONCATENATE(INDEX(Dashboard!J:J,MATCH(I3289,Dashboard!J:J,0),1),INDEX(Dashboard!J:K,MATCH(I3289,Dashboard!J:J,0),2)),"ON",IF(Dashboard!K$32="ALL","ON","-"))</f>
        <v>-</v>
      </c>
      <c r="C3289" s="88" t="s">
        <v>152</v>
      </c>
      <c r="D3289" s="89">
        <f>IF(C3289="ID",1,(IF(C3289="PR",2,(IF(C3289="DE",3,(IF(C3289="RS",4,(IF(C3289="RC",5,0)))))))))</f>
        <v>2</v>
      </c>
      <c r="E3289" s="89" t="s">
        <v>271</v>
      </c>
      <c r="F3289" s="89">
        <f>IF(E3289="AM",1,(IF(E3289="BE",2,(IF(E3289="GV",3,(IF(E3289="RA",4,(IF(E3289="RM",5,(IF(E3289="AC",1,(IF(E3289="AT",2,(IF(E3289="DS",3,(IF(E3289="IP",4,(IF(E3289="MA",5,(IF(E3289="PT",6,(IF(E3289="AE",1,(IF(E3289="CM",2,(IF(E3289="DP",3,(IF(E3289="AN",1,(IF(E3289="CO",2,(IF(E3289="IM",3,(IF(E3289="MI",4,(IF(E3289="RP",5,(IF(E3289="SC",6,0)))))))))))))))))))))))))))))))))))))))</f>
        <v>6</v>
      </c>
      <c r="G3289" s="52">
        <v>3</v>
      </c>
      <c r="H3289" s="90" t="s">
        <v>115</v>
      </c>
      <c r="I3289" s="93" t="s">
        <v>77</v>
      </c>
      <c r="J3289" s="87" t="s">
        <v>1752</v>
      </c>
      <c r="K3289" s="102" t="s">
        <v>2674</v>
      </c>
      <c r="L3289" s="117">
        <f>IF(O3289="","",N3289*O3289*M3289)</f>
        <v>0</v>
      </c>
      <c r="M3289" s="108">
        <v>1</v>
      </c>
      <c r="N3289" s="95">
        <v>1</v>
      </c>
      <c r="O3289" s="109">
        <f>IF(Key!D$1="ON",P3289,IF(SUM(Q3289:DL3289)&lt;1,"",SUM(Q3289:DL3289)/COUNTIF(Q3289:DL3289,"&gt;0")))</f>
        <v>0</v>
      </c>
      <c r="P3289" s="109">
        <f>SUMIFS(Q3289:DK3289,Q$1:DK$1,Dashboard!$K$31)</f>
        <v>0</v>
      </c>
      <c r="U3289" s="95">
        <v>33</v>
      </c>
      <c r="AA3289" s="95">
        <v>25</v>
      </c>
      <c r="AH3289" s="95">
        <v>75</v>
      </c>
    </row>
    <row r="3290" spans="1:34" x14ac:dyDescent="0.3">
      <c r="A3290" s="89" t="str">
        <f>CONCATENATE(D3290,".",F3290,"-",G3290,".",H3290,"")</f>
        <v>2.6-3.1</v>
      </c>
      <c r="B3290" s="89" t="str">
        <f>IF(CONCATENATE(I3290,Key!F$2)=CONCATENATE(INDEX(Dashboard!J:J,MATCH(I3290,Dashboard!J:J,0),1),INDEX(Dashboard!J:K,MATCH(I3290,Dashboard!J:J,0),2)),"ON",IF(Dashboard!K$32="ALL","ON","-"))</f>
        <v>-</v>
      </c>
      <c r="C3290" s="88" t="s">
        <v>152</v>
      </c>
      <c r="D3290" s="89">
        <f>IF(C3290="ID",1,(IF(C3290="PR",2,(IF(C3290="DE",3,(IF(C3290="RS",4,(IF(C3290="RC",5,0)))))))))</f>
        <v>2</v>
      </c>
      <c r="E3290" s="89" t="s">
        <v>271</v>
      </c>
      <c r="F3290" s="89">
        <f>IF(E3290="AM",1,(IF(E3290="BE",2,(IF(E3290="GV",3,(IF(E3290="RA",4,(IF(E3290="RM",5,(IF(E3290="AC",1,(IF(E3290="AT",2,(IF(E3290="DS",3,(IF(E3290="IP",4,(IF(E3290="MA",5,(IF(E3290="PT",6,(IF(E3290="AE",1,(IF(E3290="CM",2,(IF(E3290="DP",3,(IF(E3290="AN",1,(IF(E3290="CO",2,(IF(E3290="IM",3,(IF(E3290="MI",4,(IF(E3290="RP",5,(IF(E3290="SC",6,0)))))))))))))))))))))))))))))))))))))))</f>
        <v>6</v>
      </c>
      <c r="G3290" s="52">
        <v>3</v>
      </c>
      <c r="H3290" s="90" t="s">
        <v>115</v>
      </c>
      <c r="I3290" s="93" t="s">
        <v>77</v>
      </c>
      <c r="J3290" s="87" t="s">
        <v>1753</v>
      </c>
      <c r="K3290" s="102" t="s">
        <v>2675</v>
      </c>
      <c r="L3290" s="117">
        <f>IF(O3290="","",N3290*O3290*M3290)</f>
        <v>0</v>
      </c>
      <c r="M3290" s="108">
        <v>1</v>
      </c>
      <c r="N3290" s="95">
        <v>1</v>
      </c>
      <c r="O3290" s="109">
        <f>IF(Key!D$1="ON",P3290,IF(SUM(Q3290:DL3290)&lt;1,"",SUM(Q3290:DL3290)/COUNTIF(Q3290:DL3290,"&gt;0")))</f>
        <v>0</v>
      </c>
      <c r="P3290" s="109">
        <f>SUMIFS(Q3290:DK3290,Q$1:DK$1,Dashboard!$K$31)</f>
        <v>0</v>
      </c>
      <c r="U3290" s="95">
        <v>33</v>
      </c>
      <c r="AA3290" s="95">
        <v>25</v>
      </c>
      <c r="AH3290" s="95">
        <v>75</v>
      </c>
    </row>
    <row r="3291" spans="1:34" ht="15.6" x14ac:dyDescent="0.3">
      <c r="A3291" s="89" t="str">
        <f>CONCATENATE(D3291,".",F3291,"-",G3291,".",H3291,"")</f>
        <v>2.6-3.1</v>
      </c>
      <c r="B3291" s="89" t="str">
        <f>IF(CONCATENATE(I3291,Key!F$2)=CONCATENATE(INDEX(Dashboard!J:J,MATCH(I3291,Dashboard!J:J,0),1),INDEX(Dashboard!J:K,MATCH(I3291,Dashboard!J:J,0),2)),"ON",IF(Dashboard!K$32="ALL","ON","-"))</f>
        <v>-</v>
      </c>
      <c r="C3291" s="88" t="s">
        <v>152</v>
      </c>
      <c r="D3291" s="89">
        <f>IF(C3291="ID",1,(IF(C3291="PR",2,(IF(C3291="DE",3,(IF(C3291="RS",4,(IF(C3291="RC",5,0)))))))))</f>
        <v>2</v>
      </c>
      <c r="E3291" s="89" t="s">
        <v>271</v>
      </c>
      <c r="F3291" s="89">
        <f>IF(E3291="AM",1,(IF(E3291="BE",2,(IF(E3291="GV",3,(IF(E3291="RA",4,(IF(E3291="RM",5,(IF(E3291="AC",1,(IF(E3291="AT",2,(IF(E3291="DS",3,(IF(E3291="IP",4,(IF(E3291="MA",5,(IF(E3291="PT",6,(IF(E3291="AE",1,(IF(E3291="CM",2,(IF(E3291="DP",3,(IF(E3291="AN",1,(IF(E3291="CO",2,(IF(E3291="IM",3,(IF(E3291="MI",4,(IF(E3291="RP",5,(IF(E3291="SC",6,0)))))))))))))))))))))))))))))))))))))))</f>
        <v>6</v>
      </c>
      <c r="G3291" s="52">
        <v>3</v>
      </c>
      <c r="H3291" s="90" t="s">
        <v>115</v>
      </c>
      <c r="I3291" s="93" t="s">
        <v>77</v>
      </c>
      <c r="J3291" s="87" t="s">
        <v>1754</v>
      </c>
      <c r="K3291" s="102" t="s">
        <v>2676</v>
      </c>
      <c r="L3291" s="117">
        <f>IF(O3291="","",N3291*O3291*M3291)</f>
        <v>0</v>
      </c>
      <c r="M3291" s="108">
        <v>1</v>
      </c>
      <c r="N3291" s="95">
        <v>1</v>
      </c>
      <c r="O3291" s="109">
        <f>IF(Key!D$1="ON",P3291,IF(SUM(Q3291:DL3291)&lt;1,"",SUM(Q3291:DL3291)/COUNTIF(Q3291:DL3291,"&gt;0")))</f>
        <v>0</v>
      </c>
      <c r="P3291" s="109">
        <f>SUMIFS(Q3291:DK3291,Q$1:DK$1,Dashboard!$K$31)</f>
        <v>0</v>
      </c>
      <c r="U3291" s="95">
        <v>33</v>
      </c>
      <c r="AA3291" s="95">
        <v>25</v>
      </c>
      <c r="AH3291" s="95">
        <v>75</v>
      </c>
    </row>
    <row r="3292" spans="1:34" x14ac:dyDescent="0.3">
      <c r="A3292" s="89" t="str">
        <f>CONCATENATE(D3292,".",F3292,"-",G3292,".",H3292,"")</f>
        <v>2.6-3.1</v>
      </c>
      <c r="B3292" s="89" t="str">
        <f>IF(CONCATENATE(I3292,Key!F$2)=CONCATENATE(INDEX(Dashboard!J:J,MATCH(I3292,Dashboard!J:J,0),1),INDEX(Dashboard!J:K,MATCH(I3292,Dashboard!J:J,0),2)),"ON",IF(Dashboard!K$32="ALL","ON","-"))</f>
        <v>-</v>
      </c>
      <c r="C3292" s="88" t="s">
        <v>152</v>
      </c>
      <c r="D3292" s="89">
        <f>IF(C3292="ID",1,(IF(C3292="PR",2,(IF(C3292="DE",3,(IF(C3292="RS",4,(IF(C3292="RC",5,0)))))))))</f>
        <v>2</v>
      </c>
      <c r="E3292" s="89" t="s">
        <v>271</v>
      </c>
      <c r="F3292" s="89">
        <f>IF(E3292="AM",1,(IF(E3292="BE",2,(IF(E3292="GV",3,(IF(E3292="RA",4,(IF(E3292="RM",5,(IF(E3292="AC",1,(IF(E3292="AT",2,(IF(E3292="DS",3,(IF(E3292="IP",4,(IF(E3292="MA",5,(IF(E3292="PT",6,(IF(E3292="AE",1,(IF(E3292="CM",2,(IF(E3292="DP",3,(IF(E3292="AN",1,(IF(E3292="CO",2,(IF(E3292="IM",3,(IF(E3292="MI",4,(IF(E3292="RP",5,(IF(E3292="SC",6,0)))))))))))))))))))))))))))))))))))))))</f>
        <v>6</v>
      </c>
      <c r="G3292" s="52">
        <v>3</v>
      </c>
      <c r="H3292" s="90" t="s">
        <v>115</v>
      </c>
      <c r="I3292" s="93" t="s">
        <v>77</v>
      </c>
      <c r="J3292" s="87" t="s">
        <v>1755</v>
      </c>
      <c r="K3292" s="102" t="s">
        <v>2677</v>
      </c>
      <c r="L3292" s="117">
        <f>IF(O3292="","",N3292*O3292*M3292)</f>
        <v>0</v>
      </c>
      <c r="M3292" s="108">
        <v>1</v>
      </c>
      <c r="N3292" s="95">
        <v>1</v>
      </c>
      <c r="O3292" s="109">
        <f>IF(Key!D$1="ON",P3292,IF(SUM(Q3292:DL3292)&lt;1,"",SUM(Q3292:DL3292)/COUNTIF(Q3292:DL3292,"&gt;0")))</f>
        <v>0</v>
      </c>
      <c r="P3292" s="109">
        <f>SUMIFS(Q3292:DK3292,Q$1:DK$1,Dashboard!$K$31)</f>
        <v>0</v>
      </c>
      <c r="U3292" s="95">
        <v>33</v>
      </c>
      <c r="AA3292" s="95">
        <v>25</v>
      </c>
      <c r="AH3292" s="95">
        <v>75</v>
      </c>
    </row>
    <row r="3293" spans="1:34" x14ac:dyDescent="0.3">
      <c r="A3293" s="89" t="str">
        <f>CONCATENATE(D3293,".",F3293,"-",G3293,".",H3293,"")</f>
        <v>2.6-3.1</v>
      </c>
      <c r="B3293" s="89" t="str">
        <f>IF(CONCATENATE(I3293,Key!F$2)=CONCATENATE(INDEX(Dashboard!J:J,MATCH(I3293,Dashboard!J:J,0),1),INDEX(Dashboard!J:K,MATCH(I3293,Dashboard!J:J,0),2)),"ON",IF(Dashboard!K$32="ALL","ON","-"))</f>
        <v>-</v>
      </c>
      <c r="C3293" s="88" t="s">
        <v>152</v>
      </c>
      <c r="D3293" s="89">
        <f>IF(C3293="ID",1,(IF(C3293="PR",2,(IF(C3293="DE",3,(IF(C3293="RS",4,(IF(C3293="RC",5,0)))))))))</f>
        <v>2</v>
      </c>
      <c r="E3293" s="89" t="s">
        <v>271</v>
      </c>
      <c r="F3293" s="89">
        <f>IF(E3293="AM",1,(IF(E3293="BE",2,(IF(E3293="GV",3,(IF(E3293="RA",4,(IF(E3293="RM",5,(IF(E3293="AC",1,(IF(E3293="AT",2,(IF(E3293="DS",3,(IF(E3293="IP",4,(IF(E3293="MA",5,(IF(E3293="PT",6,(IF(E3293="AE",1,(IF(E3293="CM",2,(IF(E3293="DP",3,(IF(E3293="AN",1,(IF(E3293="CO",2,(IF(E3293="IM",3,(IF(E3293="MI",4,(IF(E3293="RP",5,(IF(E3293="SC",6,0)))))))))))))))))))))))))))))))))))))))</f>
        <v>6</v>
      </c>
      <c r="G3293" s="52">
        <v>3</v>
      </c>
      <c r="H3293" s="90" t="s">
        <v>115</v>
      </c>
      <c r="I3293" s="93" t="s">
        <v>77</v>
      </c>
      <c r="J3293" s="87" t="s">
        <v>1756</v>
      </c>
      <c r="K3293" s="102" t="s">
        <v>2678</v>
      </c>
      <c r="L3293" s="117">
        <f>IF(O3293="","",N3293*O3293*M3293)</f>
        <v>0</v>
      </c>
      <c r="M3293" s="108">
        <v>1</v>
      </c>
      <c r="N3293" s="95">
        <v>1</v>
      </c>
      <c r="O3293" s="109">
        <f>IF(Key!D$1="ON",P3293,IF(SUM(Q3293:DL3293)&lt;1,"",SUM(Q3293:DL3293)/COUNTIF(Q3293:DL3293,"&gt;0")))</f>
        <v>0</v>
      </c>
      <c r="P3293" s="109">
        <f>SUMIFS(Q3293:DK3293,Q$1:DK$1,Dashboard!$K$31)</f>
        <v>0</v>
      </c>
      <c r="U3293" s="95">
        <v>33</v>
      </c>
      <c r="AA3293" s="95">
        <v>25</v>
      </c>
      <c r="AH3293" s="95">
        <v>75</v>
      </c>
    </row>
    <row r="3294" spans="1:34" x14ac:dyDescent="0.3">
      <c r="A3294" s="89" t="str">
        <f>CONCATENATE(D3294,".",F3294,"-",G3294,".",H3294,"")</f>
        <v>2.6-3.1</v>
      </c>
      <c r="B3294" s="89" t="str">
        <f>IF(CONCATENATE(I3294,Key!F$2)=CONCATENATE(INDEX(Dashboard!J:J,MATCH(I3294,Dashboard!J:J,0),1),INDEX(Dashboard!J:K,MATCH(I3294,Dashboard!J:J,0),2)),"ON",IF(Dashboard!K$32="ALL","ON","-"))</f>
        <v>-</v>
      </c>
      <c r="C3294" s="88" t="s">
        <v>152</v>
      </c>
      <c r="D3294" s="89">
        <f>IF(C3294="ID",1,(IF(C3294="PR",2,(IF(C3294="DE",3,(IF(C3294="RS",4,(IF(C3294="RC",5,0)))))))))</f>
        <v>2</v>
      </c>
      <c r="E3294" s="89" t="s">
        <v>271</v>
      </c>
      <c r="F3294" s="89">
        <f>IF(E3294="AM",1,(IF(E3294="BE",2,(IF(E3294="GV",3,(IF(E3294="RA",4,(IF(E3294="RM",5,(IF(E3294="AC",1,(IF(E3294="AT",2,(IF(E3294="DS",3,(IF(E3294="IP",4,(IF(E3294="MA",5,(IF(E3294="PT",6,(IF(E3294="AE",1,(IF(E3294="CM",2,(IF(E3294="DP",3,(IF(E3294="AN",1,(IF(E3294="CO",2,(IF(E3294="IM",3,(IF(E3294="MI",4,(IF(E3294="RP",5,(IF(E3294="SC",6,0)))))))))))))))))))))))))))))))))))))))</f>
        <v>6</v>
      </c>
      <c r="G3294" s="52">
        <v>3</v>
      </c>
      <c r="H3294" s="90" t="s">
        <v>115</v>
      </c>
      <c r="I3294" s="93" t="s">
        <v>77</v>
      </c>
      <c r="J3294" s="87" t="s">
        <v>1758</v>
      </c>
      <c r="K3294" s="102" t="s">
        <v>2679</v>
      </c>
      <c r="L3294" s="117">
        <f>IF(O3294="","",N3294*O3294*M3294)</f>
        <v>0</v>
      </c>
      <c r="M3294" s="108">
        <v>1</v>
      </c>
      <c r="N3294" s="95">
        <v>1</v>
      </c>
      <c r="O3294" s="109">
        <f>IF(Key!D$1="ON",P3294,IF(SUM(Q3294:DL3294)&lt;1,"",SUM(Q3294:DL3294)/COUNTIF(Q3294:DL3294,"&gt;0")))</f>
        <v>0</v>
      </c>
      <c r="P3294" s="109">
        <f>SUMIFS(Q3294:DK3294,Q$1:DK$1,Dashboard!$K$31)</f>
        <v>0</v>
      </c>
      <c r="U3294" s="95">
        <v>33</v>
      </c>
      <c r="AA3294" s="95">
        <v>25</v>
      </c>
      <c r="AH3294" s="95">
        <v>75</v>
      </c>
    </row>
    <row r="3295" spans="1:34" x14ac:dyDescent="0.3">
      <c r="A3295" s="89" t="str">
        <f>CONCATENATE(D3295,".",F3295,"-",G3295,".",H3295,"")</f>
        <v>2.6-3.1</v>
      </c>
      <c r="B3295" s="89" t="str">
        <f>IF(CONCATENATE(I3295,Key!F$2)=CONCATENATE(INDEX(Dashboard!J:J,MATCH(I3295,Dashboard!J:J,0),1),INDEX(Dashboard!J:K,MATCH(I3295,Dashboard!J:J,0),2)),"ON",IF(Dashboard!K$32="ALL","ON","-"))</f>
        <v>-</v>
      </c>
      <c r="C3295" s="88" t="s">
        <v>152</v>
      </c>
      <c r="D3295" s="89">
        <f>IF(C3295="ID",1,(IF(C3295="PR",2,(IF(C3295="DE",3,(IF(C3295="RS",4,(IF(C3295="RC",5,0)))))))))</f>
        <v>2</v>
      </c>
      <c r="E3295" s="89" t="s">
        <v>271</v>
      </c>
      <c r="F3295" s="89">
        <f>IF(E3295="AM",1,(IF(E3295="BE",2,(IF(E3295="GV",3,(IF(E3295="RA",4,(IF(E3295="RM",5,(IF(E3295="AC",1,(IF(E3295="AT",2,(IF(E3295="DS",3,(IF(E3295="IP",4,(IF(E3295="MA",5,(IF(E3295="PT",6,(IF(E3295="AE",1,(IF(E3295="CM",2,(IF(E3295="DP",3,(IF(E3295="AN",1,(IF(E3295="CO",2,(IF(E3295="IM",3,(IF(E3295="MI",4,(IF(E3295="RP",5,(IF(E3295="SC",6,0)))))))))))))))))))))))))))))))))))))))</f>
        <v>6</v>
      </c>
      <c r="G3295" s="52">
        <v>3</v>
      </c>
      <c r="H3295" s="90" t="s">
        <v>115</v>
      </c>
      <c r="I3295" s="93" t="s">
        <v>77</v>
      </c>
      <c r="J3295" s="87" t="s">
        <v>1759</v>
      </c>
      <c r="K3295" s="102" t="s">
        <v>2680</v>
      </c>
      <c r="L3295" s="117">
        <f>IF(O3295="","",N3295*O3295*M3295)</f>
        <v>0</v>
      </c>
      <c r="M3295" s="108">
        <v>1</v>
      </c>
      <c r="N3295" s="95">
        <v>1</v>
      </c>
      <c r="O3295" s="109">
        <f>IF(Key!D$1="ON",P3295,IF(SUM(Q3295:DL3295)&lt;1,"",SUM(Q3295:DL3295)/COUNTIF(Q3295:DL3295,"&gt;0")))</f>
        <v>0</v>
      </c>
      <c r="P3295" s="109">
        <f>SUMIFS(Q3295:DK3295,Q$1:DK$1,Dashboard!$K$31)</f>
        <v>0</v>
      </c>
      <c r="U3295" s="95">
        <v>33</v>
      </c>
      <c r="AA3295" s="95">
        <v>25</v>
      </c>
      <c r="AH3295" s="95">
        <v>75</v>
      </c>
    </row>
    <row r="3296" spans="1:34" ht="15.6" x14ac:dyDescent="0.3">
      <c r="A3296" s="89" t="str">
        <f>CONCATENATE(D3296,".",F3296,"-",G3296,".",H3296,"")</f>
        <v>2.6-3.1</v>
      </c>
      <c r="B3296" s="89" t="str">
        <f>IF(CONCATENATE(I3296,Key!F$2)=CONCATENATE(INDEX(Dashboard!J:J,MATCH(I3296,Dashboard!J:J,0),1),INDEX(Dashboard!J:K,MATCH(I3296,Dashboard!J:J,0),2)),"ON",IF(Dashboard!K$32="ALL","ON","-"))</f>
        <v>-</v>
      </c>
      <c r="C3296" s="88" t="s">
        <v>152</v>
      </c>
      <c r="D3296" s="89">
        <f>IF(C3296="ID",1,(IF(C3296="PR",2,(IF(C3296="DE",3,(IF(C3296="RS",4,(IF(C3296="RC",5,0)))))))))</f>
        <v>2</v>
      </c>
      <c r="E3296" s="89" t="s">
        <v>271</v>
      </c>
      <c r="F3296" s="89">
        <f>IF(E3296="AM",1,(IF(E3296="BE",2,(IF(E3296="GV",3,(IF(E3296="RA",4,(IF(E3296="RM",5,(IF(E3296="AC",1,(IF(E3296="AT",2,(IF(E3296="DS",3,(IF(E3296="IP",4,(IF(E3296="MA",5,(IF(E3296="PT",6,(IF(E3296="AE",1,(IF(E3296="CM",2,(IF(E3296="DP",3,(IF(E3296="AN",1,(IF(E3296="CO",2,(IF(E3296="IM",3,(IF(E3296="MI",4,(IF(E3296="RP",5,(IF(E3296="SC",6,0)))))))))))))))))))))))))))))))))))))))</f>
        <v>6</v>
      </c>
      <c r="G3296" s="52">
        <v>3</v>
      </c>
      <c r="H3296" s="90" t="s">
        <v>115</v>
      </c>
      <c r="I3296" s="93" t="s">
        <v>77</v>
      </c>
      <c r="J3296" s="87" t="s">
        <v>1760</v>
      </c>
      <c r="K3296" s="102" t="s">
        <v>2681</v>
      </c>
      <c r="L3296" s="117">
        <f>IF(O3296="","",N3296*O3296*M3296)</f>
        <v>0</v>
      </c>
      <c r="M3296" s="108">
        <v>1</v>
      </c>
      <c r="N3296" s="95">
        <v>1</v>
      </c>
      <c r="O3296" s="109">
        <f>IF(Key!D$1="ON",P3296,IF(SUM(Q3296:DL3296)&lt;1,"",SUM(Q3296:DL3296)/COUNTIF(Q3296:DL3296,"&gt;0")))</f>
        <v>0</v>
      </c>
      <c r="P3296" s="109">
        <f>SUMIFS(Q3296:DK3296,Q$1:DK$1,Dashboard!$K$31)</f>
        <v>0</v>
      </c>
      <c r="U3296" s="95">
        <v>33</v>
      </c>
      <c r="AA3296" s="95">
        <v>25</v>
      </c>
      <c r="AH3296" s="95">
        <v>75</v>
      </c>
    </row>
    <row r="3297" spans="1:34" x14ac:dyDescent="0.3">
      <c r="A3297" s="89" t="str">
        <f>CONCATENATE(D3297,".",F3297,"-",G3297,".",H3297,"")</f>
        <v>2.6-3.1</v>
      </c>
      <c r="B3297" s="89" t="str">
        <f>IF(CONCATENATE(I3297,Key!F$2)=CONCATENATE(INDEX(Dashboard!J:J,MATCH(I3297,Dashboard!J:J,0),1),INDEX(Dashboard!J:K,MATCH(I3297,Dashboard!J:J,0),2)),"ON",IF(Dashboard!K$32="ALL","ON","-"))</f>
        <v>-</v>
      </c>
      <c r="C3297" s="88" t="s">
        <v>152</v>
      </c>
      <c r="D3297" s="89">
        <f>IF(C3297="ID",1,(IF(C3297="PR",2,(IF(C3297="DE",3,(IF(C3297="RS",4,(IF(C3297="RC",5,0)))))))))</f>
        <v>2</v>
      </c>
      <c r="E3297" s="89" t="s">
        <v>271</v>
      </c>
      <c r="F3297" s="89">
        <f>IF(E3297="AM",1,(IF(E3297="BE",2,(IF(E3297="GV",3,(IF(E3297="RA",4,(IF(E3297="RM",5,(IF(E3297="AC",1,(IF(E3297="AT",2,(IF(E3297="DS",3,(IF(E3297="IP",4,(IF(E3297="MA",5,(IF(E3297="PT",6,(IF(E3297="AE",1,(IF(E3297="CM",2,(IF(E3297="DP",3,(IF(E3297="AN",1,(IF(E3297="CO",2,(IF(E3297="IM",3,(IF(E3297="MI",4,(IF(E3297="RP",5,(IF(E3297="SC",6,0)))))))))))))))))))))))))))))))))))))))</f>
        <v>6</v>
      </c>
      <c r="G3297" s="52">
        <v>3</v>
      </c>
      <c r="H3297" s="90" t="s">
        <v>115</v>
      </c>
      <c r="I3297" s="93" t="s">
        <v>77</v>
      </c>
      <c r="J3297" s="87" t="s">
        <v>1761</v>
      </c>
      <c r="K3297" s="102" t="s">
        <v>2682</v>
      </c>
      <c r="L3297" s="117">
        <f>IF(O3297="","",N3297*O3297*M3297)</f>
        <v>0</v>
      </c>
      <c r="M3297" s="108">
        <v>1</v>
      </c>
      <c r="N3297" s="95">
        <v>1</v>
      </c>
      <c r="O3297" s="109">
        <f>IF(Key!D$1="ON",P3297,IF(SUM(Q3297:DL3297)&lt;1,"",SUM(Q3297:DL3297)/COUNTIF(Q3297:DL3297,"&gt;0")))</f>
        <v>0</v>
      </c>
      <c r="P3297" s="109">
        <f>SUMIFS(Q3297:DK3297,Q$1:DK$1,Dashboard!$K$31)</f>
        <v>0</v>
      </c>
      <c r="U3297" s="95">
        <v>33</v>
      </c>
      <c r="AA3297" s="95">
        <v>25</v>
      </c>
      <c r="AH3297" s="95">
        <v>75</v>
      </c>
    </row>
    <row r="3298" spans="1:34" ht="15.6" x14ac:dyDescent="0.3">
      <c r="A3298" s="89" t="str">
        <f>CONCATENATE(D3298,".",F3298,"-",G3298,".",H3298,"")</f>
        <v>2.6-3.1</v>
      </c>
      <c r="B3298" s="89" t="str">
        <f>IF(CONCATENATE(I3298,Key!F$2)=CONCATENATE(INDEX(Dashboard!J:J,MATCH(I3298,Dashboard!J:J,0),1),INDEX(Dashboard!J:K,MATCH(I3298,Dashboard!J:J,0),2)),"ON",IF(Dashboard!K$32="ALL","ON","-"))</f>
        <v>-</v>
      </c>
      <c r="C3298" s="88" t="s">
        <v>152</v>
      </c>
      <c r="D3298" s="89">
        <f>IF(C3298="ID",1,(IF(C3298="PR",2,(IF(C3298="DE",3,(IF(C3298="RS",4,(IF(C3298="RC",5,0)))))))))</f>
        <v>2</v>
      </c>
      <c r="E3298" s="89" t="s">
        <v>271</v>
      </c>
      <c r="F3298" s="89">
        <f>IF(E3298="AM",1,(IF(E3298="BE",2,(IF(E3298="GV",3,(IF(E3298="RA",4,(IF(E3298="RM",5,(IF(E3298="AC",1,(IF(E3298="AT",2,(IF(E3298="DS",3,(IF(E3298="IP",4,(IF(E3298="MA",5,(IF(E3298="PT",6,(IF(E3298="AE",1,(IF(E3298="CM",2,(IF(E3298="DP",3,(IF(E3298="AN",1,(IF(E3298="CO",2,(IF(E3298="IM",3,(IF(E3298="MI",4,(IF(E3298="RP",5,(IF(E3298="SC",6,0)))))))))))))))))))))))))))))))))))))))</f>
        <v>6</v>
      </c>
      <c r="G3298" s="52">
        <v>3</v>
      </c>
      <c r="H3298" s="90" t="s">
        <v>115</v>
      </c>
      <c r="I3298" s="93" t="s">
        <v>85</v>
      </c>
      <c r="J3298" s="135" t="s">
        <v>856</v>
      </c>
      <c r="K3298" s="143" t="s">
        <v>5150</v>
      </c>
      <c r="L3298" s="117">
        <f>IF(O3298="","",N3298*O3298*M3298)</f>
        <v>0</v>
      </c>
      <c r="M3298" s="108">
        <v>1</v>
      </c>
      <c r="N3298" s="95">
        <v>1</v>
      </c>
      <c r="O3298" s="109">
        <f>IF(Key!D$1="ON",P3298,IF(SUM(Q3298:DL3298)&lt;1,"",SUM(Q3298:DL3298)/COUNTIF(Q3298:DL3298,"&gt;0")))</f>
        <v>0</v>
      </c>
      <c r="P3298" s="109">
        <f>SUMIFS(Q3298:DK3298,Q$1:DK$1,Dashboard!$K$31)</f>
        <v>0</v>
      </c>
      <c r="U3298" s="95">
        <v>33</v>
      </c>
      <c r="AA3298" s="95">
        <v>25</v>
      </c>
      <c r="AH3298" s="95">
        <v>75</v>
      </c>
    </row>
    <row r="3299" spans="1:34" x14ac:dyDescent="0.3">
      <c r="A3299" s="89" t="str">
        <f>CONCATENATE(D3299,".",F3299,"-",G3299,".",H3299,"")</f>
        <v>2.6-3.1</v>
      </c>
      <c r="B3299" s="89" t="str">
        <f>IF(CONCATENATE(I3299,Key!F$2)=CONCATENATE(INDEX(Dashboard!J:J,MATCH(I3299,Dashboard!J:J,0),1),INDEX(Dashboard!J:K,MATCH(I3299,Dashboard!J:J,0),2)),"ON",IF(Dashboard!K$32="ALL","ON","-"))</f>
        <v>-</v>
      </c>
      <c r="C3299" s="88" t="s">
        <v>152</v>
      </c>
      <c r="D3299" s="89">
        <f>IF(C3299="ID",1,(IF(C3299="PR",2,(IF(C3299="DE",3,(IF(C3299="RS",4,(IF(C3299="RC",5,0)))))))))</f>
        <v>2</v>
      </c>
      <c r="E3299" s="89" t="s">
        <v>271</v>
      </c>
      <c r="F3299" s="89">
        <f>IF(E3299="AM",1,(IF(E3299="BE",2,(IF(E3299="GV",3,(IF(E3299="RA",4,(IF(E3299="RM",5,(IF(E3299="AC",1,(IF(E3299="AT",2,(IF(E3299="DS",3,(IF(E3299="IP",4,(IF(E3299="MA",5,(IF(E3299="PT",6,(IF(E3299="AE",1,(IF(E3299="CM",2,(IF(E3299="DP",3,(IF(E3299="AN",1,(IF(E3299="CO",2,(IF(E3299="IM",3,(IF(E3299="MI",4,(IF(E3299="RP",5,(IF(E3299="SC",6,0)))))))))))))))))))))))))))))))))))))))</f>
        <v>6</v>
      </c>
      <c r="G3299" s="52">
        <v>3</v>
      </c>
      <c r="H3299" s="90" t="s">
        <v>115</v>
      </c>
      <c r="I3299" s="93" t="s">
        <v>85</v>
      </c>
      <c r="J3299" s="135" t="s">
        <v>679</v>
      </c>
      <c r="K3299" s="143" t="s">
        <v>4691</v>
      </c>
      <c r="L3299" s="117">
        <f>IF(O3299="","",N3299*O3299*M3299)</f>
        <v>0</v>
      </c>
      <c r="M3299" s="108">
        <v>1</v>
      </c>
      <c r="N3299" s="95">
        <v>1</v>
      </c>
      <c r="O3299" s="109">
        <f>IF(Key!D$1="ON",P3299,IF(SUM(Q3299:DL3299)&lt;1,"",SUM(Q3299:DL3299)/COUNTIF(Q3299:DL3299,"&gt;0")))</f>
        <v>0</v>
      </c>
      <c r="P3299" s="109">
        <f>SUMIFS(Q3299:DK3299,Q$1:DK$1,Dashboard!$K$31)</f>
        <v>0</v>
      </c>
      <c r="U3299" s="95">
        <v>33</v>
      </c>
      <c r="AA3299" s="95">
        <v>25</v>
      </c>
      <c r="AH3299" s="95">
        <v>75</v>
      </c>
    </row>
    <row r="3300" spans="1:34" x14ac:dyDescent="0.3">
      <c r="A3300" s="89" t="str">
        <f>CONCATENATE(D3300,".",F3300,"-",G3300,".",H3300,"")</f>
        <v>2.6-3.1</v>
      </c>
      <c r="B3300" s="89" t="str">
        <f>IF(CONCATENATE(I3300,Key!F$2)=CONCATENATE(INDEX(Dashboard!J:J,MATCH(I3300,Dashboard!J:J,0),1),INDEX(Dashboard!J:K,MATCH(I3300,Dashboard!J:J,0),2)),"ON",IF(Dashboard!K$32="ALL","ON","-"))</f>
        <v>-</v>
      </c>
      <c r="C3300" s="88" t="s">
        <v>152</v>
      </c>
      <c r="D3300" s="89">
        <f>IF(C3300="ID",1,(IF(C3300="PR",2,(IF(C3300="DE",3,(IF(C3300="RS",4,(IF(C3300="RC",5,0)))))))))</f>
        <v>2</v>
      </c>
      <c r="E3300" s="89" t="s">
        <v>271</v>
      </c>
      <c r="F3300" s="89">
        <f>IF(E3300="AM",1,(IF(E3300="BE",2,(IF(E3300="GV",3,(IF(E3300="RA",4,(IF(E3300="RM",5,(IF(E3300="AC",1,(IF(E3300="AT",2,(IF(E3300="DS",3,(IF(E3300="IP",4,(IF(E3300="MA",5,(IF(E3300="PT",6,(IF(E3300="AE",1,(IF(E3300="CM",2,(IF(E3300="DP",3,(IF(E3300="AN",1,(IF(E3300="CO",2,(IF(E3300="IM",3,(IF(E3300="MI",4,(IF(E3300="RP",5,(IF(E3300="SC",6,0)))))))))))))))))))))))))))))))))))))))</f>
        <v>6</v>
      </c>
      <c r="G3300" s="52">
        <v>3</v>
      </c>
      <c r="H3300" s="90" t="s">
        <v>115</v>
      </c>
      <c r="I3300" s="93" t="s">
        <v>85</v>
      </c>
      <c r="J3300" s="135" t="s">
        <v>680</v>
      </c>
      <c r="K3300" s="143" t="s">
        <v>4692</v>
      </c>
      <c r="L3300" s="117">
        <f>IF(O3300="","",N3300*O3300*M3300)</f>
        <v>0</v>
      </c>
      <c r="M3300" s="108">
        <v>1</v>
      </c>
      <c r="N3300" s="95">
        <v>1</v>
      </c>
      <c r="O3300" s="109">
        <f>IF(Key!D$1="ON",P3300,IF(SUM(Q3300:DL3300)&lt;1,"",SUM(Q3300:DL3300)/COUNTIF(Q3300:DL3300,"&gt;0")))</f>
        <v>0</v>
      </c>
      <c r="P3300" s="109">
        <f>SUMIFS(Q3300:DK3300,Q$1:DK$1,Dashboard!$K$31)</f>
        <v>0</v>
      </c>
      <c r="U3300" s="95">
        <v>33</v>
      </c>
      <c r="AA3300" s="95">
        <v>25</v>
      </c>
      <c r="AH3300" s="95">
        <v>75</v>
      </c>
    </row>
    <row r="3301" spans="1:34" ht="15.6" x14ac:dyDescent="0.3">
      <c r="A3301" s="89" t="str">
        <f>CONCATENATE(D3301,".",F3301,"-",G3301,".",H3301,"")</f>
        <v>2.6-3.1</v>
      </c>
      <c r="B3301" s="89" t="str">
        <f>IF(CONCATENATE(I3301,Key!F$2)=CONCATENATE(INDEX(Dashboard!J:J,MATCH(I3301,Dashboard!J:J,0),1),INDEX(Dashboard!J:K,MATCH(I3301,Dashboard!J:J,0),2)),"ON",IF(Dashboard!K$32="ALL","ON","-"))</f>
        <v>-</v>
      </c>
      <c r="C3301" s="88" t="s">
        <v>152</v>
      </c>
      <c r="D3301" s="89">
        <f>IF(C3301="ID",1,(IF(C3301="PR",2,(IF(C3301="DE",3,(IF(C3301="RS",4,(IF(C3301="RC",5,0)))))))))</f>
        <v>2</v>
      </c>
      <c r="E3301" s="89" t="s">
        <v>271</v>
      </c>
      <c r="F3301" s="89">
        <f>IF(E3301="AM",1,(IF(E3301="BE",2,(IF(E3301="GV",3,(IF(E3301="RA",4,(IF(E3301="RM",5,(IF(E3301="AC",1,(IF(E3301="AT",2,(IF(E3301="DS",3,(IF(E3301="IP",4,(IF(E3301="MA",5,(IF(E3301="PT",6,(IF(E3301="AE",1,(IF(E3301="CM",2,(IF(E3301="DP",3,(IF(E3301="AN",1,(IF(E3301="CO",2,(IF(E3301="IM",3,(IF(E3301="MI",4,(IF(E3301="RP",5,(IF(E3301="SC",6,0)))))))))))))))))))))))))))))))))))))))</f>
        <v>6</v>
      </c>
      <c r="G3301" s="52">
        <v>3</v>
      </c>
      <c r="H3301" s="90" t="s">
        <v>115</v>
      </c>
      <c r="I3301" s="93" t="s">
        <v>85</v>
      </c>
      <c r="J3301" s="135" t="s">
        <v>681</v>
      </c>
      <c r="K3301" s="143" t="s">
        <v>4693</v>
      </c>
      <c r="L3301" s="117">
        <f>IF(O3301="","",N3301*O3301*M3301)</f>
        <v>0</v>
      </c>
      <c r="M3301" s="108">
        <v>1</v>
      </c>
      <c r="N3301" s="95">
        <v>1</v>
      </c>
      <c r="O3301" s="109">
        <f>IF(Key!D$1="ON",P3301,IF(SUM(Q3301:DL3301)&lt;1,"",SUM(Q3301:DL3301)/COUNTIF(Q3301:DL3301,"&gt;0")))</f>
        <v>0</v>
      </c>
      <c r="P3301" s="109">
        <f>SUMIFS(Q3301:DK3301,Q$1:DK$1,Dashboard!$K$31)</f>
        <v>0</v>
      </c>
      <c r="U3301" s="95">
        <v>33</v>
      </c>
      <c r="AA3301" s="95">
        <v>25</v>
      </c>
      <c r="AH3301" s="95">
        <v>75</v>
      </c>
    </row>
    <row r="3302" spans="1:34" x14ac:dyDescent="0.3">
      <c r="A3302" s="89" t="str">
        <f>CONCATENATE(D3302,".",F3302,"-",G3302,".",H3302,"")</f>
        <v>2.6-3.1</v>
      </c>
      <c r="B3302" s="89" t="str">
        <f>IF(CONCATENATE(I3302,Key!F$2)=CONCATENATE(INDEX(Dashboard!J:J,MATCH(I3302,Dashboard!J:J,0),1),INDEX(Dashboard!J:K,MATCH(I3302,Dashboard!J:J,0),2)),"ON",IF(Dashboard!K$32="ALL","ON","-"))</f>
        <v>-</v>
      </c>
      <c r="C3302" s="88" t="s">
        <v>152</v>
      </c>
      <c r="D3302" s="89">
        <f>IF(C3302="ID",1,(IF(C3302="PR",2,(IF(C3302="DE",3,(IF(C3302="RS",4,(IF(C3302="RC",5,0)))))))))</f>
        <v>2</v>
      </c>
      <c r="E3302" s="89" t="s">
        <v>271</v>
      </c>
      <c r="F3302" s="89">
        <f>IF(E3302="AM",1,(IF(E3302="BE",2,(IF(E3302="GV",3,(IF(E3302="RA",4,(IF(E3302="RM",5,(IF(E3302="AC",1,(IF(E3302="AT",2,(IF(E3302="DS",3,(IF(E3302="IP",4,(IF(E3302="MA",5,(IF(E3302="PT",6,(IF(E3302="AE",1,(IF(E3302="CM",2,(IF(E3302="DP",3,(IF(E3302="AN",1,(IF(E3302="CO",2,(IF(E3302="IM",3,(IF(E3302="MI",4,(IF(E3302="RP",5,(IF(E3302="SC",6,0)))))))))))))))))))))))))))))))))))))))</f>
        <v>6</v>
      </c>
      <c r="G3302" s="52">
        <v>3</v>
      </c>
      <c r="H3302" s="89">
        <v>1</v>
      </c>
      <c r="I3302" s="93" t="s">
        <v>85</v>
      </c>
      <c r="J3302" s="135" t="s">
        <v>877</v>
      </c>
      <c r="K3302" s="143" t="s">
        <v>878</v>
      </c>
      <c r="L3302" s="117">
        <f>IF(O3302="","",N3302*O3302*M3302)</f>
        <v>0</v>
      </c>
      <c r="M3302" s="108">
        <v>1</v>
      </c>
      <c r="N3302" s="95">
        <v>1</v>
      </c>
      <c r="O3302" s="109">
        <f>IF(Key!D$1="ON",P3302,IF(SUM(Q3302:DL3302)&lt;1,"",SUM(Q3302:DL3302)/COUNTIF(Q3302:DL3302,"&gt;0")))</f>
        <v>0</v>
      </c>
      <c r="P3302" s="109">
        <f>SUMIFS(Q3302:DK3302,Q$1:DK$1,Dashboard!$K$31)</f>
        <v>0</v>
      </c>
      <c r="U3302" s="95">
        <v>33</v>
      </c>
      <c r="AA3302" s="95">
        <v>25</v>
      </c>
      <c r="AH3302" s="95">
        <v>75</v>
      </c>
    </row>
    <row r="3303" spans="1:34" x14ac:dyDescent="0.3">
      <c r="A3303" s="89" t="str">
        <f>CONCATENATE(D3303,".",F3303,"-",G3303,".",H3303,"")</f>
        <v>2.6-3.1</v>
      </c>
      <c r="B3303" s="89" t="str">
        <f>IF(CONCATENATE(I3303,Key!F$2)=CONCATENATE(INDEX(Dashboard!J:J,MATCH(I3303,Dashboard!J:J,0),1),INDEX(Dashboard!J:K,MATCH(I3303,Dashboard!J:J,0),2)),"ON",IF(Dashboard!K$32="ALL","ON","-"))</f>
        <v>-</v>
      </c>
      <c r="C3303" s="96" t="s">
        <v>152</v>
      </c>
      <c r="D3303" s="89">
        <f>IF(C3303="ID",1,(IF(C3303="PR",2,(IF(C3303="DE",3,(IF(C3303="RS",4,(IF(C3303="RC",5,0)))))))))</f>
        <v>2</v>
      </c>
      <c r="E3303" s="89" t="s">
        <v>271</v>
      </c>
      <c r="F3303" s="89">
        <f>IF(E3303="AM",1,(IF(E3303="BE",2,(IF(E3303="GV",3,(IF(E3303="RA",4,(IF(E3303="RM",5,(IF(E3303="AC",1,(IF(E3303="AT",2,(IF(E3303="DS",3,(IF(E3303="IP",4,(IF(E3303="MA",5,(IF(E3303="PT",6,(IF(E3303="AE",1,(IF(E3303="CM",2,(IF(E3303="DP",3,(IF(E3303="AN",1,(IF(E3303="CO",2,(IF(E3303="IM",3,(IF(E3303="MI",4,(IF(E3303="RP",5,(IF(E3303="SC",6,0)))))))))))))))))))))))))))))))))))))))</f>
        <v>6</v>
      </c>
      <c r="G3303" s="52">
        <v>3</v>
      </c>
      <c r="H3303" s="90" t="s">
        <v>115</v>
      </c>
      <c r="I3303" s="93" t="s">
        <v>85</v>
      </c>
      <c r="J3303" s="135" t="s">
        <v>785</v>
      </c>
      <c r="K3303" s="143" t="s">
        <v>4924</v>
      </c>
      <c r="L3303" s="117">
        <f>IF(O3303="","",N3303*O3303*M3303)</f>
        <v>0</v>
      </c>
      <c r="M3303" s="108">
        <v>1</v>
      </c>
      <c r="N3303" s="95">
        <v>1</v>
      </c>
      <c r="O3303" s="109">
        <f>IF(Key!D$1="ON",P3303,IF(SUM(Q3303:DL3303)&lt;1,"",SUM(Q3303:DL3303)/COUNTIF(Q3303:DL3303,"&gt;0")))</f>
        <v>0</v>
      </c>
      <c r="P3303" s="109">
        <f>SUMIFS(Q3303:DK3303,Q$1:DK$1,Dashboard!$K$31)</f>
        <v>0</v>
      </c>
      <c r="U3303" s="95">
        <v>33</v>
      </c>
      <c r="AA3303" s="95">
        <v>25</v>
      </c>
      <c r="AH3303" s="95">
        <v>75</v>
      </c>
    </row>
    <row r="3304" spans="1:34" x14ac:dyDescent="0.3">
      <c r="A3304" s="89" t="str">
        <f>CONCATENATE(D3304,".",F3304,"-",G3304,".",H3304,"")</f>
        <v>2.6-3.1</v>
      </c>
      <c r="B3304" s="89" t="str">
        <f>IF(CONCATENATE(I3304,Key!F$2)=CONCATENATE(INDEX(Dashboard!J:J,MATCH(I3304,Dashboard!J:J,0),1),INDEX(Dashboard!J:K,MATCH(I3304,Dashboard!J:J,0),2)),"ON",IF(Dashboard!K$32="ALL","ON","-"))</f>
        <v>-</v>
      </c>
      <c r="C3304" s="96" t="s">
        <v>152</v>
      </c>
      <c r="D3304" s="89">
        <f>IF(C3304="ID",1,(IF(C3304="PR",2,(IF(C3304="DE",3,(IF(C3304="RS",4,(IF(C3304="RC",5,0)))))))))</f>
        <v>2</v>
      </c>
      <c r="E3304" s="89" t="s">
        <v>271</v>
      </c>
      <c r="F3304" s="89">
        <f>IF(E3304="AM",1,(IF(E3304="BE",2,(IF(E3304="GV",3,(IF(E3304="RA",4,(IF(E3304="RM",5,(IF(E3304="AC",1,(IF(E3304="AT",2,(IF(E3304="DS",3,(IF(E3304="IP",4,(IF(E3304="MA",5,(IF(E3304="PT",6,(IF(E3304="AE",1,(IF(E3304="CM",2,(IF(E3304="DP",3,(IF(E3304="AN",1,(IF(E3304="CO",2,(IF(E3304="IM",3,(IF(E3304="MI",4,(IF(E3304="RP",5,(IF(E3304="SC",6,0)))))))))))))))))))))))))))))))))))))))</f>
        <v>6</v>
      </c>
      <c r="G3304" s="52">
        <v>3</v>
      </c>
      <c r="H3304" s="90" t="s">
        <v>115</v>
      </c>
      <c r="I3304" s="93" t="s">
        <v>85</v>
      </c>
      <c r="J3304" s="135" t="s">
        <v>796</v>
      </c>
      <c r="K3304" s="143" t="s">
        <v>4925</v>
      </c>
      <c r="L3304" s="117">
        <f>IF(O3304="","",N3304*O3304*M3304)</f>
        <v>0</v>
      </c>
      <c r="M3304" s="108">
        <v>1</v>
      </c>
      <c r="N3304" s="95">
        <v>1</v>
      </c>
      <c r="O3304" s="109">
        <f>IF(Key!D$1="ON",P3304,IF(SUM(Q3304:DL3304)&lt;1,"",SUM(Q3304:DL3304)/COUNTIF(Q3304:DL3304,"&gt;0")))</f>
        <v>0</v>
      </c>
      <c r="P3304" s="109">
        <f>SUMIFS(Q3304:DK3304,Q$1:DK$1,Dashboard!$K$31)</f>
        <v>0</v>
      </c>
      <c r="U3304" s="95">
        <v>33</v>
      </c>
      <c r="AA3304" s="95">
        <v>25</v>
      </c>
      <c r="AH3304" s="95">
        <v>75</v>
      </c>
    </row>
    <row r="3305" spans="1:34" x14ac:dyDescent="0.3">
      <c r="A3305" s="89" t="str">
        <f>CONCATENATE(D3305,".",F3305,"-",G3305,".",H3305,"")</f>
        <v>2.6-3.1</v>
      </c>
      <c r="B3305" s="89" t="str">
        <f>IF(CONCATENATE(I3305,Key!F$2)=CONCATENATE(INDEX(Dashboard!J:J,MATCH(I3305,Dashboard!J:J,0),1),INDEX(Dashboard!J:K,MATCH(I3305,Dashboard!J:J,0),2)),"ON",IF(Dashboard!K$32="ALL","ON","-"))</f>
        <v>-</v>
      </c>
      <c r="C3305" s="96" t="s">
        <v>152</v>
      </c>
      <c r="D3305" s="89">
        <f>IF(C3305="ID",1,(IF(C3305="PR",2,(IF(C3305="DE",3,(IF(C3305="RS",4,(IF(C3305="RC",5,0)))))))))</f>
        <v>2</v>
      </c>
      <c r="E3305" s="89" t="s">
        <v>271</v>
      </c>
      <c r="F3305" s="89">
        <f>IF(E3305="AM",1,(IF(E3305="BE",2,(IF(E3305="GV",3,(IF(E3305="RA",4,(IF(E3305="RM",5,(IF(E3305="AC",1,(IF(E3305="AT",2,(IF(E3305="DS",3,(IF(E3305="IP",4,(IF(E3305="MA",5,(IF(E3305="PT",6,(IF(E3305="AE",1,(IF(E3305="CM",2,(IF(E3305="DP",3,(IF(E3305="AN",1,(IF(E3305="CO",2,(IF(E3305="IM",3,(IF(E3305="MI",4,(IF(E3305="RP",5,(IF(E3305="SC",6,0)))))))))))))))))))))))))))))))))))))))</f>
        <v>6</v>
      </c>
      <c r="G3305" s="52">
        <v>3</v>
      </c>
      <c r="H3305" s="90" t="s">
        <v>115</v>
      </c>
      <c r="I3305" s="93" t="s">
        <v>85</v>
      </c>
      <c r="J3305" s="135" t="s">
        <v>807</v>
      </c>
      <c r="K3305" s="143" t="s">
        <v>4926</v>
      </c>
      <c r="L3305" s="117">
        <f>IF(O3305="","",N3305*O3305*M3305)</f>
        <v>0</v>
      </c>
      <c r="M3305" s="108">
        <v>1</v>
      </c>
      <c r="N3305" s="95">
        <v>1</v>
      </c>
      <c r="O3305" s="109">
        <f>IF(Key!D$1="ON",P3305,IF(SUM(Q3305:DL3305)&lt;1,"",SUM(Q3305:DL3305)/COUNTIF(Q3305:DL3305,"&gt;0")))</f>
        <v>0</v>
      </c>
      <c r="P3305" s="109">
        <f>SUMIFS(Q3305:DK3305,Q$1:DK$1,Dashboard!$K$31)</f>
        <v>0</v>
      </c>
      <c r="U3305" s="95">
        <v>33</v>
      </c>
      <c r="AA3305" s="95">
        <v>25</v>
      </c>
      <c r="AH3305" s="95">
        <v>75</v>
      </c>
    </row>
    <row r="3306" spans="1:34" x14ac:dyDescent="0.3">
      <c r="A3306" s="89" t="str">
        <f>CONCATENATE(D3306,".",F3306,"-",G3306,".",H3306,"")</f>
        <v>2.6-3.1</v>
      </c>
      <c r="B3306" s="89" t="str">
        <f>IF(CONCATENATE(I3306,Key!F$2)=CONCATENATE(INDEX(Dashboard!J:J,MATCH(I3306,Dashboard!J:J,0),1),INDEX(Dashboard!J:K,MATCH(I3306,Dashboard!J:J,0),2)),"ON",IF(Dashboard!K$32="ALL","ON","-"))</f>
        <v>-</v>
      </c>
      <c r="C3306" s="96" t="s">
        <v>152</v>
      </c>
      <c r="D3306" s="89">
        <f>IF(C3306="ID",1,(IF(C3306="PR",2,(IF(C3306="DE",3,(IF(C3306="RS",4,(IF(C3306="RC",5,0)))))))))</f>
        <v>2</v>
      </c>
      <c r="E3306" s="89" t="s">
        <v>271</v>
      </c>
      <c r="F3306" s="89">
        <f>IF(E3306="AM",1,(IF(E3306="BE",2,(IF(E3306="GV",3,(IF(E3306="RA",4,(IF(E3306="RM",5,(IF(E3306="AC",1,(IF(E3306="AT",2,(IF(E3306="DS",3,(IF(E3306="IP",4,(IF(E3306="MA",5,(IF(E3306="PT",6,(IF(E3306="AE",1,(IF(E3306="CM",2,(IF(E3306="DP",3,(IF(E3306="AN",1,(IF(E3306="CO",2,(IF(E3306="IM",3,(IF(E3306="MI",4,(IF(E3306="RP",5,(IF(E3306="SC",6,0)))))))))))))))))))))))))))))))))))))))</f>
        <v>6</v>
      </c>
      <c r="G3306" s="52">
        <v>3</v>
      </c>
      <c r="H3306" s="90" t="s">
        <v>115</v>
      </c>
      <c r="I3306" s="93" t="s">
        <v>85</v>
      </c>
      <c r="J3306" s="135" t="s">
        <v>812</v>
      </c>
      <c r="K3306" s="143" t="s">
        <v>4928</v>
      </c>
      <c r="L3306" s="117">
        <f>IF(O3306="","",N3306*O3306*M3306)</f>
        <v>0</v>
      </c>
      <c r="M3306" s="108">
        <v>1</v>
      </c>
      <c r="N3306" s="95">
        <v>1</v>
      </c>
      <c r="O3306" s="109">
        <f>IF(Key!D$1="ON",P3306,IF(SUM(Q3306:DL3306)&lt;1,"",SUM(Q3306:DL3306)/COUNTIF(Q3306:DL3306,"&gt;0")))</f>
        <v>0</v>
      </c>
      <c r="P3306" s="109">
        <f>SUMIFS(Q3306:DK3306,Q$1:DK$1,Dashboard!$K$31)</f>
        <v>0</v>
      </c>
      <c r="U3306" s="95">
        <v>33</v>
      </c>
      <c r="AA3306" s="95">
        <v>25</v>
      </c>
      <c r="AH3306" s="95">
        <v>75</v>
      </c>
    </row>
    <row r="3307" spans="1:34" ht="15.6" x14ac:dyDescent="0.3">
      <c r="A3307" s="89" t="str">
        <f>CONCATENATE(D3307,".",F3307,"-",G3307,".",H3307,"")</f>
        <v>2.6-3.1</v>
      </c>
      <c r="B3307" s="89" t="str">
        <f>IF(CONCATENATE(I3307,Key!F$2)=CONCATENATE(INDEX(Dashboard!J:J,MATCH(I3307,Dashboard!J:J,0),1),INDEX(Dashboard!J:K,MATCH(I3307,Dashboard!J:J,0),2)),"ON",IF(Dashboard!K$32="ALL","ON","-"))</f>
        <v>-</v>
      </c>
      <c r="C3307" s="96" t="s">
        <v>152</v>
      </c>
      <c r="D3307" s="89">
        <f>IF(C3307="ID",1,(IF(C3307="PR",2,(IF(C3307="DE",3,(IF(C3307="RS",4,(IF(C3307="RC",5,0)))))))))</f>
        <v>2</v>
      </c>
      <c r="E3307" s="89" t="s">
        <v>271</v>
      </c>
      <c r="F3307" s="89">
        <f>IF(E3307="AM",1,(IF(E3307="BE",2,(IF(E3307="GV",3,(IF(E3307="RA",4,(IF(E3307="RM",5,(IF(E3307="AC",1,(IF(E3307="AT",2,(IF(E3307="DS",3,(IF(E3307="IP",4,(IF(E3307="MA",5,(IF(E3307="PT",6,(IF(E3307="AE",1,(IF(E3307="CM",2,(IF(E3307="DP",3,(IF(E3307="AN",1,(IF(E3307="CO",2,(IF(E3307="IM",3,(IF(E3307="MI",4,(IF(E3307="RP",5,(IF(E3307="SC",6,0)))))))))))))))))))))))))))))))))))))))</f>
        <v>6</v>
      </c>
      <c r="G3307" s="52">
        <v>3</v>
      </c>
      <c r="H3307" s="90" t="s">
        <v>115</v>
      </c>
      <c r="I3307" s="93" t="s">
        <v>85</v>
      </c>
      <c r="J3307" s="135" t="s">
        <v>816</v>
      </c>
      <c r="K3307" s="143" t="s">
        <v>4932</v>
      </c>
      <c r="L3307" s="117">
        <f>IF(O3307="","",N3307*O3307*M3307)</f>
        <v>0</v>
      </c>
      <c r="M3307" s="108">
        <v>1</v>
      </c>
      <c r="N3307" s="95">
        <v>1</v>
      </c>
      <c r="O3307" s="109">
        <f>IF(Key!D$1="ON",P3307,IF(SUM(Q3307:DL3307)&lt;1,"",SUM(Q3307:DL3307)/COUNTIF(Q3307:DL3307,"&gt;0")))</f>
        <v>0</v>
      </c>
      <c r="P3307" s="109">
        <f>SUMIFS(Q3307:DK3307,Q$1:DK$1,Dashboard!$K$31)</f>
        <v>0</v>
      </c>
      <c r="U3307" s="95">
        <v>33</v>
      </c>
      <c r="AA3307" s="95">
        <v>25</v>
      </c>
      <c r="AH3307" s="95">
        <v>75</v>
      </c>
    </row>
    <row r="3308" spans="1:34" x14ac:dyDescent="0.3">
      <c r="A3308" s="89" t="str">
        <f>CONCATENATE(D3308,".",F3308,"-",G3308,".",H3308,"")</f>
        <v>2.6-3.1</v>
      </c>
      <c r="B3308" s="89" t="str">
        <f>IF(CONCATENATE(I3308,Key!F$2)=CONCATENATE(INDEX(Dashboard!J:J,MATCH(I3308,Dashboard!J:J,0),1),INDEX(Dashboard!J:K,MATCH(I3308,Dashboard!J:J,0),2)),"ON",IF(Dashboard!K$32="ALL","ON","-"))</f>
        <v>-</v>
      </c>
      <c r="C3308" s="88" t="s">
        <v>152</v>
      </c>
      <c r="D3308" s="89">
        <f>IF(C3308="ID",1,(IF(C3308="PR",2,(IF(C3308="DE",3,(IF(C3308="RS",4,(IF(C3308="RC",5,0)))))))))</f>
        <v>2</v>
      </c>
      <c r="E3308" s="89" t="s">
        <v>271</v>
      </c>
      <c r="F3308" s="89">
        <f>IF(E3308="AM",1,(IF(E3308="BE",2,(IF(E3308="GV",3,(IF(E3308="RA",4,(IF(E3308="RM",5,(IF(E3308="AC",1,(IF(E3308="AT",2,(IF(E3308="DS",3,(IF(E3308="IP",4,(IF(E3308="MA",5,(IF(E3308="PT",6,(IF(E3308="AE",1,(IF(E3308="CM",2,(IF(E3308="DP",3,(IF(E3308="AN",1,(IF(E3308="CO",2,(IF(E3308="IM",3,(IF(E3308="MI",4,(IF(E3308="RP",5,(IF(E3308="SC",6,0)))))))))))))))))))))))))))))))))))))))</f>
        <v>6</v>
      </c>
      <c r="G3308" s="52">
        <v>3</v>
      </c>
      <c r="H3308" s="90" t="s">
        <v>115</v>
      </c>
      <c r="I3308" s="93" t="s">
        <v>85</v>
      </c>
      <c r="J3308" s="87" t="s">
        <v>1759</v>
      </c>
      <c r="K3308" s="119" t="s">
        <v>5002</v>
      </c>
      <c r="L3308" s="117">
        <f>IF(O3308="","",N3308*O3308*M3308)</f>
        <v>0</v>
      </c>
      <c r="M3308" s="108">
        <v>1</v>
      </c>
      <c r="N3308" s="95">
        <v>1</v>
      </c>
      <c r="O3308" s="109">
        <f>IF(Key!D$1="ON",P3308,IF(SUM(Q3308:DL3308)&lt;1,"",SUM(Q3308:DL3308)/COUNTIF(Q3308:DL3308,"&gt;0")))</f>
        <v>0</v>
      </c>
      <c r="P3308" s="109">
        <f>SUMIFS(Q3308:DK3308,Q$1:DK$1,Dashboard!$K$31)</f>
        <v>0</v>
      </c>
      <c r="U3308" s="95">
        <v>33</v>
      </c>
      <c r="AA3308" s="95">
        <v>25</v>
      </c>
      <c r="AH3308" s="95">
        <v>75</v>
      </c>
    </row>
    <row r="3309" spans="1:34" ht="15.6" x14ac:dyDescent="0.3">
      <c r="A3309" s="89" t="str">
        <f>CONCATENATE(D3309,".",F3309,"-",G3309,".",H3309,"")</f>
        <v>2.6-3.1</v>
      </c>
      <c r="B3309" s="89" t="str">
        <f>IF(CONCATENATE(I3309,Key!F$2)=CONCATENATE(INDEX(Dashboard!J:J,MATCH(I3309,Dashboard!J:J,0),1),INDEX(Dashboard!J:K,MATCH(I3309,Dashboard!J:J,0),2)),"ON",IF(Dashboard!K$32="ALL","ON","-"))</f>
        <v>-</v>
      </c>
      <c r="C3309" s="88" t="s">
        <v>152</v>
      </c>
      <c r="D3309" s="89">
        <f>IF(C3309="ID",1,(IF(C3309="PR",2,(IF(C3309="DE",3,(IF(C3309="RS",4,(IF(C3309="RC",5,0)))))))))</f>
        <v>2</v>
      </c>
      <c r="E3309" s="89" t="s">
        <v>271</v>
      </c>
      <c r="F3309" s="89">
        <f>IF(E3309="AM",1,(IF(E3309="BE",2,(IF(E3309="GV",3,(IF(E3309="RA",4,(IF(E3309="RM",5,(IF(E3309="AC",1,(IF(E3309="AT",2,(IF(E3309="DS",3,(IF(E3309="IP",4,(IF(E3309="MA",5,(IF(E3309="PT",6,(IF(E3309="AE",1,(IF(E3309="CM",2,(IF(E3309="DP",3,(IF(E3309="AN",1,(IF(E3309="CO",2,(IF(E3309="IM",3,(IF(E3309="MI",4,(IF(E3309="RP",5,(IF(E3309="SC",6,0)))))))))))))))))))))))))))))))))))))))</f>
        <v>6</v>
      </c>
      <c r="G3309" s="52">
        <v>3</v>
      </c>
      <c r="H3309" s="90" t="s">
        <v>115</v>
      </c>
      <c r="I3309" s="93" t="s">
        <v>85</v>
      </c>
      <c r="J3309" s="87" t="s">
        <v>1763</v>
      </c>
      <c r="K3309" s="119" t="s">
        <v>5040</v>
      </c>
      <c r="L3309" s="117">
        <f>IF(O3309="","",N3309*O3309*M3309)</f>
        <v>0</v>
      </c>
      <c r="M3309" s="108">
        <v>1</v>
      </c>
      <c r="N3309" s="95">
        <v>1</v>
      </c>
      <c r="O3309" s="109">
        <f>IF(Key!D$1="ON",P3309,IF(SUM(Q3309:DL3309)&lt;1,"",SUM(Q3309:DL3309)/COUNTIF(Q3309:DL3309,"&gt;0")))</f>
        <v>0</v>
      </c>
      <c r="P3309" s="109">
        <f>SUMIFS(Q3309:DK3309,Q$1:DK$1,Dashboard!$K$31)</f>
        <v>0</v>
      </c>
      <c r="U3309" s="95">
        <v>33</v>
      </c>
      <c r="AA3309" s="95">
        <v>25</v>
      </c>
      <c r="AH3309" s="95">
        <v>75</v>
      </c>
    </row>
    <row r="3310" spans="1:34" ht="15.6" x14ac:dyDescent="0.3">
      <c r="A3310" s="89" t="str">
        <f>CONCATENATE(D3310,".",F3310,"-",G3310,".",H3310,"")</f>
        <v>2.6-3.1</v>
      </c>
      <c r="B3310" s="89" t="str">
        <f>IF(CONCATENATE(I3310,Key!F$2)=CONCATENATE(INDEX(Dashboard!J:J,MATCH(I3310,Dashboard!J:J,0),1),INDEX(Dashboard!J:K,MATCH(I3310,Dashboard!J:J,0),2)),"ON",IF(Dashboard!K$32="ALL","ON","-"))</f>
        <v>-</v>
      </c>
      <c r="C3310" s="88" t="s">
        <v>152</v>
      </c>
      <c r="D3310" s="89">
        <f>IF(C3310="ID",1,(IF(C3310="PR",2,(IF(C3310="DE",3,(IF(C3310="RS",4,(IF(C3310="RC",5,0)))))))))</f>
        <v>2</v>
      </c>
      <c r="E3310" s="89" t="s">
        <v>271</v>
      </c>
      <c r="F3310" s="89">
        <f>IF(E3310="AM",1,(IF(E3310="BE",2,(IF(E3310="GV",3,(IF(E3310="RA",4,(IF(E3310="RM",5,(IF(E3310="AC",1,(IF(E3310="AT",2,(IF(E3310="DS",3,(IF(E3310="IP",4,(IF(E3310="MA",5,(IF(E3310="PT",6,(IF(E3310="AE",1,(IF(E3310="CM",2,(IF(E3310="DP",3,(IF(E3310="AN",1,(IF(E3310="CO",2,(IF(E3310="IM",3,(IF(E3310="MI",4,(IF(E3310="RP",5,(IF(E3310="SC",6,0)))))))))))))))))))))))))))))))))))))))</f>
        <v>6</v>
      </c>
      <c r="G3310" s="52">
        <v>3</v>
      </c>
      <c r="H3310" s="90" t="s">
        <v>115</v>
      </c>
      <c r="I3310" s="93" t="s">
        <v>85</v>
      </c>
      <c r="J3310" s="86" t="s">
        <v>626</v>
      </c>
      <c r="K3310" s="119" t="s">
        <v>627</v>
      </c>
      <c r="L3310" s="117">
        <f>IF(O3310="","",N3310*O3310*M3310)</f>
        <v>0</v>
      </c>
      <c r="M3310" s="108">
        <v>1</v>
      </c>
      <c r="N3310" s="95">
        <v>1</v>
      </c>
      <c r="O3310" s="109">
        <f>IF(Key!D$1="ON",P3310,IF(SUM(Q3310:DL3310)&lt;1,"",SUM(Q3310:DL3310)/COUNTIF(Q3310:DL3310,"&gt;0")))</f>
        <v>0</v>
      </c>
      <c r="P3310" s="109">
        <f>SUMIFS(Q3310:DK3310,Q$1:DK$1,Dashboard!$K$31)</f>
        <v>0</v>
      </c>
      <c r="U3310" s="95">
        <v>33</v>
      </c>
      <c r="AA3310" s="95">
        <v>25</v>
      </c>
      <c r="AH3310" s="95">
        <v>75</v>
      </c>
    </row>
    <row r="3311" spans="1:34" x14ac:dyDescent="0.3">
      <c r="A3311" s="89" t="str">
        <f>CONCATENATE(D3311,".",F3311,"-",G3311,".",H3311,"")</f>
        <v>2.6-3.1</v>
      </c>
      <c r="B3311" s="89" t="str">
        <f>IF(CONCATENATE(I3311,Key!F$2)=CONCATENATE(INDEX(Dashboard!J:J,MATCH(I3311,Dashboard!J:J,0),1),INDEX(Dashboard!J:K,MATCH(I3311,Dashboard!J:J,0),2)),"ON",IF(Dashboard!K$32="ALL","ON","-"))</f>
        <v>-</v>
      </c>
      <c r="C3311" s="88" t="s">
        <v>152</v>
      </c>
      <c r="D3311" s="89">
        <f>IF(C3311="ID",1,(IF(C3311="PR",2,(IF(C3311="DE",3,(IF(C3311="RS",4,(IF(C3311="RC",5,0)))))))))</f>
        <v>2</v>
      </c>
      <c r="E3311" s="89" t="s">
        <v>271</v>
      </c>
      <c r="F3311" s="89">
        <f>IF(E3311="AM",1,(IF(E3311="BE",2,(IF(E3311="GV",3,(IF(E3311="RA",4,(IF(E3311="RM",5,(IF(E3311="AC",1,(IF(E3311="AT",2,(IF(E3311="DS",3,(IF(E3311="IP",4,(IF(E3311="MA",5,(IF(E3311="PT",6,(IF(E3311="AE",1,(IF(E3311="CM",2,(IF(E3311="DP",3,(IF(E3311="AN",1,(IF(E3311="CO",2,(IF(E3311="IM",3,(IF(E3311="MI",4,(IF(E3311="RP",5,(IF(E3311="SC",6,0)))))))))))))))))))))))))))))))))))))))</f>
        <v>6</v>
      </c>
      <c r="G3311" s="52">
        <v>3</v>
      </c>
      <c r="H3311" s="90" t="s">
        <v>115</v>
      </c>
      <c r="I3311" s="93" t="s">
        <v>85</v>
      </c>
      <c r="J3311" s="87" t="s">
        <v>1765</v>
      </c>
      <c r="K3311" s="119" t="s">
        <v>5043</v>
      </c>
      <c r="L3311" s="117">
        <f>IF(O3311="","",N3311*O3311*M3311)</f>
        <v>0</v>
      </c>
      <c r="M3311" s="108">
        <v>1</v>
      </c>
      <c r="N3311" s="95">
        <v>1</v>
      </c>
      <c r="O3311" s="109">
        <f>IF(Key!D$1="ON",P3311,IF(SUM(Q3311:DL3311)&lt;1,"",SUM(Q3311:DL3311)/COUNTIF(Q3311:DL3311,"&gt;0")))</f>
        <v>0</v>
      </c>
      <c r="P3311" s="109">
        <f>SUMIFS(Q3311:DK3311,Q$1:DK$1,Dashboard!$K$31)</f>
        <v>0</v>
      </c>
      <c r="U3311" s="95">
        <v>33</v>
      </c>
      <c r="AA3311" s="95">
        <v>25</v>
      </c>
      <c r="AH3311" s="95">
        <v>75</v>
      </c>
    </row>
    <row r="3312" spans="1:34" x14ac:dyDescent="0.3">
      <c r="A3312" s="89" t="str">
        <f>CONCATENATE(D3312,".",F3312,"-",G3312,".",H3312,"")</f>
        <v>2.6-3.1</v>
      </c>
      <c r="B3312" s="89" t="str">
        <f>IF(CONCATENATE(I3312,Key!F$2)=CONCATENATE(INDEX(Dashboard!J:J,MATCH(I3312,Dashboard!J:J,0),1),INDEX(Dashboard!J:K,MATCH(I3312,Dashboard!J:J,0),2)),"ON",IF(Dashboard!K$32="ALL","ON","-"))</f>
        <v>-</v>
      </c>
      <c r="C3312" s="88" t="s">
        <v>152</v>
      </c>
      <c r="D3312" s="89">
        <f>IF(C3312="ID",1,(IF(C3312="PR",2,(IF(C3312="DE",3,(IF(C3312="RS",4,(IF(C3312="RC",5,0)))))))))</f>
        <v>2</v>
      </c>
      <c r="E3312" s="89" t="s">
        <v>271</v>
      </c>
      <c r="F3312" s="89">
        <f>IF(E3312="AM",1,(IF(E3312="BE",2,(IF(E3312="GV",3,(IF(E3312="RA",4,(IF(E3312="RM",5,(IF(E3312="AC",1,(IF(E3312="AT",2,(IF(E3312="DS",3,(IF(E3312="IP",4,(IF(E3312="MA",5,(IF(E3312="PT",6,(IF(E3312="AE",1,(IF(E3312="CM",2,(IF(E3312="DP",3,(IF(E3312="AN",1,(IF(E3312="CO",2,(IF(E3312="IM",3,(IF(E3312="MI",4,(IF(E3312="RP",5,(IF(E3312="SC",6,0)))))))))))))))))))))))))))))))))))))))</f>
        <v>6</v>
      </c>
      <c r="G3312" s="52">
        <v>3</v>
      </c>
      <c r="H3312" s="90" t="s">
        <v>115</v>
      </c>
      <c r="I3312" s="93" t="s">
        <v>85</v>
      </c>
      <c r="J3312" s="87" t="s">
        <v>1758</v>
      </c>
      <c r="K3312" s="119" t="s">
        <v>5001</v>
      </c>
      <c r="L3312" s="117">
        <f>IF(O3312="","",N3312*O3312*M3312)</f>
        <v>0</v>
      </c>
      <c r="M3312" s="108">
        <v>1</v>
      </c>
      <c r="N3312" s="95">
        <v>1</v>
      </c>
      <c r="O3312" s="109">
        <f>IF(Key!D$1="ON",P3312,IF(SUM(Q3312:DL3312)&lt;1,"",SUM(Q3312:DL3312)/COUNTIF(Q3312:DL3312,"&gt;0")))</f>
        <v>0</v>
      </c>
      <c r="P3312" s="109">
        <f>SUMIFS(Q3312:DK3312,Q$1:DK$1,Dashboard!$K$31)</f>
        <v>0</v>
      </c>
      <c r="U3312" s="95">
        <v>33</v>
      </c>
      <c r="AA3312" s="95">
        <v>25</v>
      </c>
      <c r="AH3312" s="95">
        <v>75</v>
      </c>
    </row>
    <row r="3313" spans="1:34" x14ac:dyDescent="0.3">
      <c r="A3313" s="89" t="str">
        <f>CONCATENATE(D3313,".",F3313,"-",G3313,".",H3313,"")</f>
        <v>2.6-3.1</v>
      </c>
      <c r="B3313" s="89" t="str">
        <f>IF(CONCATENATE(I3313,Key!F$2)=CONCATENATE(INDEX(Dashboard!J:J,MATCH(I3313,Dashboard!J:J,0),1),INDEX(Dashboard!J:K,MATCH(I3313,Dashboard!J:J,0),2)),"ON",IF(Dashboard!K$32="ALL","ON","-"))</f>
        <v>-</v>
      </c>
      <c r="C3313" s="88" t="s">
        <v>152</v>
      </c>
      <c r="D3313" s="89">
        <f>IF(C3313="ID",1,(IF(C3313="PR",2,(IF(C3313="DE",3,(IF(C3313="RS",4,(IF(C3313="RC",5,0)))))))))</f>
        <v>2</v>
      </c>
      <c r="E3313" s="89" t="s">
        <v>271</v>
      </c>
      <c r="F3313" s="89">
        <f>IF(E3313="AM",1,(IF(E3313="BE",2,(IF(E3313="GV",3,(IF(E3313="RA",4,(IF(E3313="RM",5,(IF(E3313="AC",1,(IF(E3313="AT",2,(IF(E3313="DS",3,(IF(E3313="IP",4,(IF(E3313="MA",5,(IF(E3313="PT",6,(IF(E3313="AE",1,(IF(E3313="CM",2,(IF(E3313="DP",3,(IF(E3313="AN",1,(IF(E3313="CO",2,(IF(E3313="IM",3,(IF(E3313="MI",4,(IF(E3313="RP",5,(IF(E3313="SC",6,0)))))))))))))))))))))))))))))))))))))))</f>
        <v>6</v>
      </c>
      <c r="G3313" s="52">
        <v>3</v>
      </c>
      <c r="H3313" s="90" t="s">
        <v>115</v>
      </c>
      <c r="I3313" s="93" t="s">
        <v>85</v>
      </c>
      <c r="J3313" s="87" t="s">
        <v>1777</v>
      </c>
      <c r="K3313" s="119" t="s">
        <v>5001</v>
      </c>
      <c r="L3313" s="117">
        <f>IF(O3313="","",N3313*O3313*M3313)</f>
        <v>0</v>
      </c>
      <c r="M3313" s="108">
        <v>1</v>
      </c>
      <c r="N3313" s="95">
        <v>1</v>
      </c>
      <c r="O3313" s="109">
        <f>IF(Key!D$1="ON",P3313,IF(SUM(Q3313:DL3313)&lt;1,"",SUM(Q3313:DL3313)/COUNTIF(Q3313:DL3313,"&gt;0")))</f>
        <v>0</v>
      </c>
      <c r="P3313" s="109">
        <f>SUMIFS(Q3313:DK3313,Q$1:DK$1,Dashboard!$K$31)</f>
        <v>0</v>
      </c>
      <c r="U3313" s="95">
        <v>33</v>
      </c>
      <c r="AA3313" s="95">
        <v>25</v>
      </c>
      <c r="AH3313" s="95">
        <v>75</v>
      </c>
    </row>
    <row r="3314" spans="1:34" ht="15.6" x14ac:dyDescent="0.3">
      <c r="A3314" s="89" t="str">
        <f>CONCATENATE(D3314,".",F3314,"-",G3314,".",H3314,"")</f>
        <v>2.6-3.1</v>
      </c>
      <c r="B3314" s="89" t="str">
        <f>IF(CONCATENATE(I3314,Key!F$2)=CONCATENATE(INDEX(Dashboard!J:J,MATCH(I3314,Dashboard!J:J,0),1),INDEX(Dashboard!J:K,MATCH(I3314,Dashboard!J:J,0),2)),"ON",IF(Dashboard!K$32="ALL","ON","-"))</f>
        <v>-</v>
      </c>
      <c r="C3314" s="88" t="s">
        <v>152</v>
      </c>
      <c r="D3314" s="89">
        <f>IF(C3314="ID",1,(IF(C3314="PR",2,(IF(C3314="DE",3,(IF(C3314="RS",4,(IF(C3314="RC",5,0)))))))))</f>
        <v>2</v>
      </c>
      <c r="E3314" s="89" t="s">
        <v>271</v>
      </c>
      <c r="F3314" s="89">
        <f>IF(E3314="AM",1,(IF(E3314="BE",2,(IF(E3314="GV",3,(IF(E3314="RA",4,(IF(E3314="RM",5,(IF(E3314="AC",1,(IF(E3314="AT",2,(IF(E3314="DS",3,(IF(E3314="IP",4,(IF(E3314="MA",5,(IF(E3314="PT",6,(IF(E3314="AE",1,(IF(E3314="CM",2,(IF(E3314="DP",3,(IF(E3314="AN",1,(IF(E3314="CO",2,(IF(E3314="IM",3,(IF(E3314="MI",4,(IF(E3314="RP",5,(IF(E3314="SC",6,0)))))))))))))))))))))))))))))))))))))))</f>
        <v>6</v>
      </c>
      <c r="G3314" s="52">
        <v>3</v>
      </c>
      <c r="H3314" s="90" t="s">
        <v>115</v>
      </c>
      <c r="I3314" s="93" t="s">
        <v>85</v>
      </c>
      <c r="J3314" s="86" t="s">
        <v>844</v>
      </c>
      <c r="K3314" s="119" t="s">
        <v>5088</v>
      </c>
      <c r="L3314" s="117">
        <f>IF(O3314="","",N3314*O3314*M3314)</f>
        <v>0</v>
      </c>
      <c r="M3314" s="108">
        <v>1</v>
      </c>
      <c r="N3314" s="95">
        <v>1</v>
      </c>
      <c r="O3314" s="109">
        <f>IF(Key!D$1="ON",P3314,IF(SUM(Q3314:DL3314)&lt;1,"",SUM(Q3314:DL3314)/COUNTIF(Q3314:DL3314,"&gt;0")))</f>
        <v>0</v>
      </c>
      <c r="P3314" s="109">
        <f>SUMIFS(Q3314:DK3314,Q$1:DK$1,Dashboard!$K$31)</f>
        <v>0</v>
      </c>
      <c r="U3314" s="95">
        <v>33</v>
      </c>
      <c r="AA3314" s="95">
        <v>25</v>
      </c>
      <c r="AH3314" s="95">
        <v>75</v>
      </c>
    </row>
    <row r="3315" spans="1:34" ht="15.6" x14ac:dyDescent="0.3">
      <c r="A3315" s="89" t="str">
        <f>CONCATENATE(D3315,".",F3315,"-",G3315,".",H3315,"")</f>
        <v>2.6-3.1</v>
      </c>
      <c r="B3315" s="89" t="str">
        <f>IF(CONCATENATE(I3315,Key!F$2)=CONCATENATE(INDEX(Dashboard!J:J,MATCH(I3315,Dashboard!J:J,0),1),INDEX(Dashboard!J:K,MATCH(I3315,Dashboard!J:J,0),2)),"ON",IF(Dashboard!K$32="ALL","ON","-"))</f>
        <v>-</v>
      </c>
      <c r="C3315" s="88" t="s">
        <v>152</v>
      </c>
      <c r="D3315" s="89">
        <f>IF(C3315="ID",1,(IF(C3315="PR",2,(IF(C3315="DE",3,(IF(C3315="RS",4,(IF(C3315="RC",5,0)))))))))</f>
        <v>2</v>
      </c>
      <c r="E3315" s="89" t="s">
        <v>271</v>
      </c>
      <c r="F3315" s="89">
        <f>IF(E3315="AM",1,(IF(E3315="BE",2,(IF(E3315="GV",3,(IF(E3315="RA",4,(IF(E3315="RM",5,(IF(E3315="AC",1,(IF(E3315="AT",2,(IF(E3315="DS",3,(IF(E3315="IP",4,(IF(E3315="MA",5,(IF(E3315="PT",6,(IF(E3315="AE",1,(IF(E3315="CM",2,(IF(E3315="DP",3,(IF(E3315="AN",1,(IF(E3315="CO",2,(IF(E3315="IM",3,(IF(E3315="MI",4,(IF(E3315="RP",5,(IF(E3315="SC",6,0)))))))))))))))))))))))))))))))))))))))</f>
        <v>6</v>
      </c>
      <c r="G3315" s="52">
        <v>3</v>
      </c>
      <c r="H3315" s="90" t="s">
        <v>115</v>
      </c>
      <c r="I3315" s="93" t="s">
        <v>85</v>
      </c>
      <c r="J3315" s="87" t="s">
        <v>1779</v>
      </c>
      <c r="K3315" s="119" t="s">
        <v>1780</v>
      </c>
      <c r="L3315" s="117">
        <f>IF(O3315="","",N3315*O3315*M3315)</f>
        <v>0</v>
      </c>
      <c r="M3315" s="108">
        <v>1</v>
      </c>
      <c r="N3315" s="95">
        <v>1</v>
      </c>
      <c r="O3315" s="109">
        <f>IF(Key!D$1="ON",P3315,IF(SUM(Q3315:DL3315)&lt;1,"",SUM(Q3315:DL3315)/COUNTIF(Q3315:DL3315,"&gt;0")))</f>
        <v>0</v>
      </c>
      <c r="P3315" s="109">
        <f>SUMIFS(Q3315:DK3315,Q$1:DK$1,Dashboard!$K$31)</f>
        <v>0</v>
      </c>
      <c r="U3315" s="95">
        <v>33</v>
      </c>
      <c r="AA3315" s="95">
        <v>25</v>
      </c>
      <c r="AH3315" s="95">
        <v>75</v>
      </c>
    </row>
    <row r="3316" spans="1:34" ht="15.6" x14ac:dyDescent="0.3">
      <c r="A3316" s="89" t="str">
        <f>CONCATENATE(D3316,".",F3316,"-",G3316,".",H3316,"")</f>
        <v>2.6-3.1</v>
      </c>
      <c r="B3316" s="89" t="str">
        <f>IF(CONCATENATE(I3316,Key!F$2)=CONCATENATE(INDEX(Dashboard!J:J,MATCH(I3316,Dashboard!J:J,0),1),INDEX(Dashboard!J:K,MATCH(I3316,Dashboard!J:J,0),2)),"ON",IF(Dashboard!K$32="ALL","ON","-"))</f>
        <v>-</v>
      </c>
      <c r="C3316" s="88" t="s">
        <v>152</v>
      </c>
      <c r="D3316" s="89">
        <f>IF(C3316="ID",1,(IF(C3316="PR",2,(IF(C3316="DE",3,(IF(C3316="RS",4,(IF(C3316="RC",5,0)))))))))</f>
        <v>2</v>
      </c>
      <c r="E3316" s="89" t="s">
        <v>271</v>
      </c>
      <c r="F3316" s="89">
        <f>IF(E3316="AM",1,(IF(E3316="BE",2,(IF(E3316="GV",3,(IF(E3316="RA",4,(IF(E3316="RM",5,(IF(E3316="AC",1,(IF(E3316="AT",2,(IF(E3316="DS",3,(IF(E3316="IP",4,(IF(E3316="MA",5,(IF(E3316="PT",6,(IF(E3316="AE",1,(IF(E3316="CM",2,(IF(E3316="DP",3,(IF(E3316="AN",1,(IF(E3316="CO",2,(IF(E3316="IM",3,(IF(E3316="MI",4,(IF(E3316="RP",5,(IF(E3316="SC",6,0)))))))))))))))))))))))))))))))))))))))</f>
        <v>6</v>
      </c>
      <c r="G3316" s="52">
        <v>3</v>
      </c>
      <c r="H3316" s="90" t="s">
        <v>115</v>
      </c>
      <c r="I3316" s="93" t="s">
        <v>85</v>
      </c>
      <c r="J3316" s="87" t="s">
        <v>1761</v>
      </c>
      <c r="K3316" s="119" t="s">
        <v>5005</v>
      </c>
      <c r="L3316" s="117">
        <f>IF(O3316="","",N3316*O3316*M3316)</f>
        <v>0</v>
      </c>
      <c r="M3316" s="108">
        <v>1</v>
      </c>
      <c r="N3316" s="95">
        <v>1</v>
      </c>
      <c r="O3316" s="109">
        <f>IF(Key!D$1="ON",P3316,IF(SUM(Q3316:DL3316)&lt;1,"",SUM(Q3316:DL3316)/COUNTIF(Q3316:DL3316,"&gt;0")))</f>
        <v>0</v>
      </c>
      <c r="P3316" s="109">
        <f>SUMIFS(Q3316:DK3316,Q$1:DK$1,Dashboard!$K$31)</f>
        <v>0</v>
      </c>
      <c r="U3316" s="95">
        <v>33</v>
      </c>
      <c r="AA3316" s="95">
        <v>25</v>
      </c>
      <c r="AH3316" s="95">
        <v>75</v>
      </c>
    </row>
    <row r="3317" spans="1:34" x14ac:dyDescent="0.3">
      <c r="A3317" s="89" t="str">
        <f>CONCATENATE(D3317,".",F3317,"-",G3317,".",H3317,"")</f>
        <v>2.6-3.1</v>
      </c>
      <c r="B3317" s="89" t="str">
        <f>IF(CONCATENATE(I3317,Key!F$2)=CONCATENATE(INDEX(Dashboard!J:J,MATCH(I3317,Dashboard!J:J,0),1),INDEX(Dashboard!J:K,MATCH(I3317,Dashboard!J:J,0),2)),"ON",IF(Dashboard!K$32="ALL","ON","-"))</f>
        <v>-</v>
      </c>
      <c r="C3317" s="96" t="s">
        <v>152</v>
      </c>
      <c r="D3317" s="89">
        <f>IF(C3317="ID",1,(IF(C3317="PR",2,(IF(C3317="DE",3,(IF(C3317="RS",4,(IF(C3317="RC",5,0)))))))))</f>
        <v>2</v>
      </c>
      <c r="E3317" s="89" t="s">
        <v>271</v>
      </c>
      <c r="F3317" s="89">
        <f>IF(E3317="AM",1,(IF(E3317="BE",2,(IF(E3317="GV",3,(IF(E3317="RA",4,(IF(E3317="RM",5,(IF(E3317="AC",1,(IF(E3317="AT",2,(IF(E3317="DS",3,(IF(E3317="IP",4,(IF(E3317="MA",5,(IF(E3317="PT",6,(IF(E3317="AE",1,(IF(E3317="CM",2,(IF(E3317="DP",3,(IF(E3317="AN",1,(IF(E3317="CO",2,(IF(E3317="IM",3,(IF(E3317="MI",4,(IF(E3317="RP",5,(IF(E3317="SC",6,0)))))))))))))))))))))))))))))))))))))))</f>
        <v>6</v>
      </c>
      <c r="G3317" s="52">
        <v>3</v>
      </c>
      <c r="H3317" s="90" t="s">
        <v>115</v>
      </c>
      <c r="I3317" s="93" t="s">
        <v>85</v>
      </c>
      <c r="J3317" s="86" t="s">
        <v>3923</v>
      </c>
      <c r="K3317" s="119" t="s">
        <v>4955</v>
      </c>
      <c r="L3317" s="117">
        <f>IF(O3317="","",N3317*O3317*M3317)</f>
        <v>0</v>
      </c>
      <c r="M3317" s="108">
        <v>1</v>
      </c>
      <c r="N3317" s="95">
        <v>1</v>
      </c>
      <c r="O3317" s="109">
        <f>IF(Key!D$1="ON",P3317,IF(SUM(Q3317:DL3317)&lt;1,"",SUM(Q3317:DL3317)/COUNTIF(Q3317:DL3317,"&gt;0")))</f>
        <v>0</v>
      </c>
      <c r="P3317" s="109">
        <f>SUMIFS(Q3317:DK3317,Q$1:DK$1,Dashboard!$K$31)</f>
        <v>0</v>
      </c>
      <c r="U3317" s="95">
        <v>33</v>
      </c>
      <c r="AA3317" s="95">
        <v>25</v>
      </c>
      <c r="AH3317" s="95">
        <v>75</v>
      </c>
    </row>
    <row r="3318" spans="1:34" x14ac:dyDescent="0.3">
      <c r="A3318" s="89" t="str">
        <f>CONCATENATE(D3318,".",F3318,"-",G3318,".",H3318,"")</f>
        <v>2.6-3.1</v>
      </c>
      <c r="B3318" s="89" t="str">
        <f>IF(CONCATENATE(I3318,Key!F$2)=CONCATENATE(INDEX(Dashboard!J:J,MATCH(I3318,Dashboard!J:J,0),1),INDEX(Dashboard!J:K,MATCH(I3318,Dashboard!J:J,0),2)),"ON",IF(Dashboard!K$32="ALL","ON","-"))</f>
        <v>-</v>
      </c>
      <c r="C3318" s="88" t="s">
        <v>152</v>
      </c>
      <c r="D3318" s="89">
        <f>IF(C3318="ID",1,(IF(C3318="PR",2,(IF(C3318="DE",3,(IF(C3318="RS",4,(IF(C3318="RC",5,0)))))))))</f>
        <v>2</v>
      </c>
      <c r="E3318" s="89" t="s">
        <v>271</v>
      </c>
      <c r="F3318" s="89">
        <f>IF(E3318="AM",1,(IF(E3318="BE",2,(IF(E3318="GV",3,(IF(E3318="RA",4,(IF(E3318="RM",5,(IF(E3318="AC",1,(IF(E3318="AT",2,(IF(E3318="DS",3,(IF(E3318="IP",4,(IF(E3318="MA",5,(IF(E3318="PT",6,(IF(E3318="AE",1,(IF(E3318="CM",2,(IF(E3318="DP",3,(IF(E3318="AN",1,(IF(E3318="CO",2,(IF(E3318="IM",3,(IF(E3318="MI",4,(IF(E3318="RP",5,(IF(E3318="SC",6,0)))))))))))))))))))))))))))))))))))))))</f>
        <v>6</v>
      </c>
      <c r="G3318" s="52">
        <v>3</v>
      </c>
      <c r="H3318" s="90" t="s">
        <v>115</v>
      </c>
      <c r="I3318" s="93" t="s">
        <v>85</v>
      </c>
      <c r="J3318" s="87" t="s">
        <v>1760</v>
      </c>
      <c r="K3318" s="119" t="s">
        <v>5003</v>
      </c>
      <c r="L3318" s="117">
        <f>IF(O3318="","",N3318*O3318*M3318)</f>
        <v>0</v>
      </c>
      <c r="M3318" s="108">
        <v>1</v>
      </c>
      <c r="N3318" s="95">
        <v>1</v>
      </c>
      <c r="O3318" s="109">
        <f>IF(Key!D$1="ON",P3318,IF(SUM(Q3318:DL3318)&lt;1,"",SUM(Q3318:DL3318)/COUNTIF(Q3318:DL3318,"&gt;0")))</f>
        <v>0</v>
      </c>
      <c r="P3318" s="109">
        <f>SUMIFS(Q3318:DK3318,Q$1:DK$1,Dashboard!$K$31)</f>
        <v>0</v>
      </c>
      <c r="U3318" s="95">
        <v>33</v>
      </c>
      <c r="AA3318" s="95">
        <v>25</v>
      </c>
      <c r="AH3318" s="95">
        <v>75</v>
      </c>
    </row>
    <row r="3319" spans="1:34" x14ac:dyDescent="0.3">
      <c r="A3319" s="89" t="str">
        <f>CONCATENATE(D3319,".",F3319,"-",G3319,".",H3319,"")</f>
        <v>2.6-3.1</v>
      </c>
      <c r="B3319" s="89" t="str">
        <f>IF(CONCATENATE(I3319,Key!F$2)=CONCATENATE(INDEX(Dashboard!J:J,MATCH(I3319,Dashboard!J:J,0),1),INDEX(Dashboard!J:K,MATCH(I3319,Dashboard!J:J,0),2)),"ON",IF(Dashboard!K$32="ALL","ON","-"))</f>
        <v>-</v>
      </c>
      <c r="C3319" s="88" t="s">
        <v>152</v>
      </c>
      <c r="D3319" s="89">
        <f>IF(C3319="ID",1,(IF(C3319="PR",2,(IF(C3319="DE",3,(IF(C3319="RS",4,(IF(C3319="RC",5,0)))))))))</f>
        <v>2</v>
      </c>
      <c r="E3319" s="89" t="s">
        <v>271</v>
      </c>
      <c r="F3319" s="89">
        <f>IF(E3319="AM",1,(IF(E3319="BE",2,(IF(E3319="GV",3,(IF(E3319="RA",4,(IF(E3319="RM",5,(IF(E3319="AC",1,(IF(E3319="AT",2,(IF(E3319="DS",3,(IF(E3319="IP",4,(IF(E3319="MA",5,(IF(E3319="PT",6,(IF(E3319="AE",1,(IF(E3319="CM",2,(IF(E3319="DP",3,(IF(E3319="AN",1,(IF(E3319="CO",2,(IF(E3319="IM",3,(IF(E3319="MI",4,(IF(E3319="RP",5,(IF(E3319="SC",6,0)))))))))))))))))))))))))))))))))))))))</f>
        <v>6</v>
      </c>
      <c r="G3319" s="52">
        <v>3</v>
      </c>
      <c r="H3319" s="90" t="s">
        <v>115</v>
      </c>
      <c r="I3319" s="93" t="s">
        <v>85</v>
      </c>
      <c r="J3319" s="86" t="s">
        <v>774</v>
      </c>
      <c r="K3319" s="119" t="s">
        <v>4986</v>
      </c>
      <c r="L3319" s="117">
        <f>IF(O3319="","",N3319*O3319*M3319)</f>
        <v>0</v>
      </c>
      <c r="M3319" s="108">
        <v>1</v>
      </c>
      <c r="N3319" s="95">
        <v>1</v>
      </c>
      <c r="O3319" s="109">
        <f>IF(Key!D$1="ON",P3319,IF(SUM(Q3319:DL3319)&lt;1,"",SUM(Q3319:DL3319)/COUNTIF(Q3319:DL3319,"&gt;0")))</f>
        <v>0</v>
      </c>
      <c r="P3319" s="109">
        <f>SUMIFS(Q3319:DK3319,Q$1:DK$1,Dashboard!$K$31)</f>
        <v>0</v>
      </c>
      <c r="U3319" s="95">
        <v>33</v>
      </c>
      <c r="AA3319" s="95">
        <v>25</v>
      </c>
      <c r="AH3319" s="95">
        <v>75</v>
      </c>
    </row>
    <row r="3320" spans="1:34" x14ac:dyDescent="0.3">
      <c r="A3320" s="89" t="str">
        <f>CONCATENATE(D3320,".",F3320,"-",G3320,".",H3320,"")</f>
        <v>2.6-3.1</v>
      </c>
      <c r="B3320" s="89" t="str">
        <f>IF(CONCATENATE(I3320,Key!F$2)=CONCATENATE(INDEX(Dashboard!J:J,MATCH(I3320,Dashboard!J:J,0),1),INDEX(Dashboard!J:K,MATCH(I3320,Dashboard!J:J,0),2)),"ON",IF(Dashboard!K$32="ALL","ON","-"))</f>
        <v>-</v>
      </c>
      <c r="C3320" s="96" t="s">
        <v>152</v>
      </c>
      <c r="D3320" s="89">
        <f>IF(C3320="ID",1,(IF(C3320="PR",2,(IF(C3320="DE",3,(IF(C3320="RS",4,(IF(C3320="RC",5,0)))))))))</f>
        <v>2</v>
      </c>
      <c r="E3320" s="89" t="s">
        <v>271</v>
      </c>
      <c r="F3320" s="89">
        <f>IF(E3320="AM",1,(IF(E3320="BE",2,(IF(E3320="GV",3,(IF(E3320="RA",4,(IF(E3320="RM",5,(IF(E3320="AC",1,(IF(E3320="AT",2,(IF(E3320="DS",3,(IF(E3320="IP",4,(IF(E3320="MA",5,(IF(E3320="PT",6,(IF(E3320="AE",1,(IF(E3320="CM",2,(IF(E3320="DP",3,(IF(E3320="AN",1,(IF(E3320="CO",2,(IF(E3320="IM",3,(IF(E3320="MI",4,(IF(E3320="RP",5,(IF(E3320="SC",6,0)))))))))))))))))))))))))))))))))))))))</f>
        <v>6</v>
      </c>
      <c r="G3320" s="52">
        <v>3</v>
      </c>
      <c r="H3320" s="90" t="s">
        <v>115</v>
      </c>
      <c r="I3320" s="93" t="s">
        <v>85</v>
      </c>
      <c r="J3320" s="86" t="s">
        <v>789</v>
      </c>
      <c r="K3320" s="119" t="s">
        <v>4936</v>
      </c>
      <c r="L3320" s="117">
        <f>IF(O3320="","",N3320*O3320*M3320)</f>
        <v>0</v>
      </c>
      <c r="M3320" s="108">
        <v>1</v>
      </c>
      <c r="N3320" s="95">
        <v>1</v>
      </c>
      <c r="O3320" s="109">
        <f>IF(Key!D$1="ON",P3320,IF(SUM(Q3320:DL3320)&lt;1,"",SUM(Q3320:DL3320)/COUNTIF(Q3320:DL3320,"&gt;0")))</f>
        <v>0</v>
      </c>
      <c r="P3320" s="109">
        <f>SUMIFS(Q3320:DK3320,Q$1:DK$1,Dashboard!$K$31)</f>
        <v>0</v>
      </c>
      <c r="U3320" s="95">
        <v>33</v>
      </c>
      <c r="AA3320" s="95">
        <v>25</v>
      </c>
      <c r="AH3320" s="95">
        <v>75</v>
      </c>
    </row>
    <row r="3321" spans="1:34" ht="15.6" x14ac:dyDescent="0.3">
      <c r="A3321" s="89" t="str">
        <f>CONCATENATE(D3321,".",F3321,"-",G3321,".",H3321,"")</f>
        <v>2.6-3.1</v>
      </c>
      <c r="B3321" s="89" t="str">
        <f>IF(CONCATENATE(I3321,Key!F$2)=CONCATENATE(INDEX(Dashboard!J:J,MATCH(I3321,Dashboard!J:J,0),1),INDEX(Dashboard!J:K,MATCH(I3321,Dashboard!J:J,0),2)),"ON",IF(Dashboard!K$32="ALL","ON","-"))</f>
        <v>-</v>
      </c>
      <c r="C3321" s="96" t="s">
        <v>152</v>
      </c>
      <c r="D3321" s="89">
        <f>IF(C3321="ID",1,(IF(C3321="PR",2,(IF(C3321="DE",3,(IF(C3321="RS",4,(IF(C3321="RC",5,0)))))))))</f>
        <v>2</v>
      </c>
      <c r="E3321" s="89" t="s">
        <v>271</v>
      </c>
      <c r="F3321" s="89">
        <f>IF(E3321="AM",1,(IF(E3321="BE",2,(IF(E3321="GV",3,(IF(E3321="RA",4,(IF(E3321="RM",5,(IF(E3321="AC",1,(IF(E3321="AT",2,(IF(E3321="DS",3,(IF(E3321="IP",4,(IF(E3321="MA",5,(IF(E3321="PT",6,(IF(E3321="AE",1,(IF(E3321="CM",2,(IF(E3321="DP",3,(IF(E3321="AN",1,(IF(E3321="CO",2,(IF(E3321="IM",3,(IF(E3321="MI",4,(IF(E3321="RP",5,(IF(E3321="SC",6,0)))))))))))))))))))))))))))))))))))))))</f>
        <v>6</v>
      </c>
      <c r="G3321" s="52">
        <v>3</v>
      </c>
      <c r="H3321" s="90" t="s">
        <v>115</v>
      </c>
      <c r="I3321" s="93" t="s">
        <v>85</v>
      </c>
      <c r="J3321" s="86" t="s">
        <v>813</v>
      </c>
      <c r="K3321" s="119" t="s">
        <v>4929</v>
      </c>
      <c r="L3321" s="117">
        <f>IF(O3321="","",N3321*O3321*M3321)</f>
        <v>0</v>
      </c>
      <c r="M3321" s="108">
        <v>1</v>
      </c>
      <c r="N3321" s="95">
        <v>1</v>
      </c>
      <c r="O3321" s="109">
        <f>IF(Key!D$1="ON",P3321,IF(SUM(Q3321:DL3321)&lt;1,"",SUM(Q3321:DL3321)/COUNTIF(Q3321:DL3321,"&gt;0")))</f>
        <v>0</v>
      </c>
      <c r="P3321" s="109">
        <f>SUMIFS(Q3321:DK3321,Q$1:DK$1,Dashboard!$K$31)</f>
        <v>0</v>
      </c>
      <c r="U3321" s="95">
        <v>33</v>
      </c>
      <c r="AA3321" s="95">
        <v>25</v>
      </c>
      <c r="AH3321" s="95">
        <v>75</v>
      </c>
    </row>
    <row r="3322" spans="1:34" ht="15.6" x14ac:dyDescent="0.3">
      <c r="A3322" s="89" t="str">
        <f>CONCATENATE(D3322,".",F3322,"-",G3322,".",H3322,"")</f>
        <v>2.6-3.1</v>
      </c>
      <c r="B3322" s="89" t="str">
        <f>IF(CONCATENATE(I3322,Key!F$2)=CONCATENATE(INDEX(Dashboard!J:J,MATCH(I3322,Dashboard!J:J,0),1),INDEX(Dashboard!J:K,MATCH(I3322,Dashboard!J:J,0),2)),"ON",IF(Dashboard!K$32="ALL","ON","-"))</f>
        <v>-</v>
      </c>
      <c r="C3322" s="88" t="s">
        <v>152</v>
      </c>
      <c r="D3322" s="89">
        <f>IF(C3322="ID",1,(IF(C3322="PR",2,(IF(C3322="DE",3,(IF(C3322="RS",4,(IF(C3322="RC",5,0)))))))))</f>
        <v>2</v>
      </c>
      <c r="E3322" s="89" t="s">
        <v>271</v>
      </c>
      <c r="F3322" s="89">
        <f>IF(E3322="AM",1,(IF(E3322="BE",2,(IF(E3322="GV",3,(IF(E3322="RA",4,(IF(E3322="RM",5,(IF(E3322="AC",1,(IF(E3322="AT",2,(IF(E3322="DS",3,(IF(E3322="IP",4,(IF(E3322="MA",5,(IF(E3322="PT",6,(IF(E3322="AE",1,(IF(E3322="CM",2,(IF(E3322="DP",3,(IF(E3322="AN",1,(IF(E3322="CO",2,(IF(E3322="IM",3,(IF(E3322="MI",4,(IF(E3322="RP",5,(IF(E3322="SC",6,0)))))))))))))))))))))))))))))))))))))))</f>
        <v>6</v>
      </c>
      <c r="G3322" s="52">
        <v>3</v>
      </c>
      <c r="H3322" s="90" t="s">
        <v>115</v>
      </c>
      <c r="I3322" s="93" t="s">
        <v>85</v>
      </c>
      <c r="J3322" s="86" t="s">
        <v>917</v>
      </c>
      <c r="K3322" s="119" t="s">
        <v>5174</v>
      </c>
      <c r="L3322" s="117">
        <f>IF(O3322="","",N3322*O3322*M3322)</f>
        <v>0</v>
      </c>
      <c r="M3322" s="108">
        <v>1</v>
      </c>
      <c r="N3322" s="95">
        <v>1</v>
      </c>
      <c r="O3322" s="109">
        <f>IF(Key!D$1="ON",P3322,IF(SUM(Q3322:DL3322)&lt;1,"",SUM(Q3322:DL3322)/COUNTIF(Q3322:DL3322,"&gt;0")))</f>
        <v>0</v>
      </c>
      <c r="P3322" s="109">
        <f>SUMIFS(Q3322:DK3322,Q$1:DK$1,Dashboard!$K$31)</f>
        <v>0</v>
      </c>
      <c r="U3322" s="95">
        <v>33</v>
      </c>
      <c r="AA3322" s="95">
        <v>25</v>
      </c>
      <c r="AH3322" s="95">
        <v>75</v>
      </c>
    </row>
    <row r="3323" spans="1:34" x14ac:dyDescent="0.3">
      <c r="A3323" s="89" t="str">
        <f>CONCATENATE(D3323,".",F3323,"-",G3323,".",H3323,"")</f>
        <v>2.6-3.1</v>
      </c>
      <c r="B3323" s="89" t="str">
        <f>IF(CONCATENATE(I3323,Key!F$2)=CONCATENATE(INDEX(Dashboard!J:J,MATCH(I3323,Dashboard!J:J,0),1),INDEX(Dashboard!J:K,MATCH(I3323,Dashboard!J:J,0),2)),"ON",IF(Dashboard!K$32="ALL","ON","-"))</f>
        <v>-</v>
      </c>
      <c r="C3323" s="88" t="s">
        <v>152</v>
      </c>
      <c r="D3323" s="89">
        <f>IF(C3323="ID",1,(IF(C3323="PR",2,(IF(C3323="DE",3,(IF(C3323="RS",4,(IF(C3323="RC",5,0)))))))))</f>
        <v>2</v>
      </c>
      <c r="E3323" s="89" t="s">
        <v>271</v>
      </c>
      <c r="F3323" s="89">
        <f>IF(E3323="AM",1,(IF(E3323="BE",2,(IF(E3323="GV",3,(IF(E3323="RA",4,(IF(E3323="RM",5,(IF(E3323="AC",1,(IF(E3323="AT",2,(IF(E3323="DS",3,(IF(E3323="IP",4,(IF(E3323="MA",5,(IF(E3323="PT",6,(IF(E3323="AE",1,(IF(E3323="CM",2,(IF(E3323="DP",3,(IF(E3323="AN",1,(IF(E3323="CO",2,(IF(E3323="IM",3,(IF(E3323="MI",4,(IF(E3323="RP",5,(IF(E3323="SC",6,0)))))))))))))))))))))))))))))))))))))))</f>
        <v>6</v>
      </c>
      <c r="G3323" s="52">
        <v>3</v>
      </c>
      <c r="H3323" s="90" t="s">
        <v>115</v>
      </c>
      <c r="I3323" s="93" t="s">
        <v>85</v>
      </c>
      <c r="J3323" s="87" t="s">
        <v>1294</v>
      </c>
      <c r="K3323" s="119" t="s">
        <v>1295</v>
      </c>
      <c r="L3323" s="117">
        <f>IF(O3323="","",N3323*O3323*M3323)</f>
        <v>0</v>
      </c>
      <c r="M3323" s="108">
        <v>1</v>
      </c>
      <c r="N3323" s="95">
        <v>1</v>
      </c>
      <c r="O3323" s="109">
        <f>IF(Key!D$1="ON",P3323,IF(SUM(Q3323:DL3323)&lt;1,"",SUM(Q3323:DL3323)/COUNTIF(Q3323:DL3323,"&gt;0")))</f>
        <v>0</v>
      </c>
      <c r="P3323" s="109">
        <f>SUMIFS(Q3323:DK3323,Q$1:DK$1,Dashboard!$K$31)</f>
        <v>0</v>
      </c>
      <c r="U3323" s="95">
        <v>33</v>
      </c>
      <c r="AA3323" s="95">
        <v>25</v>
      </c>
      <c r="AH3323" s="95">
        <v>75</v>
      </c>
    </row>
    <row r="3324" spans="1:34" x14ac:dyDescent="0.3">
      <c r="A3324" s="89" t="str">
        <f>CONCATENATE(D3324,".",F3324,"-",G3324,".",H3324,"")</f>
        <v>2.6-3.1</v>
      </c>
      <c r="B3324" s="89" t="str">
        <f>IF(CONCATENATE(I3324,Key!F$2)=CONCATENATE(INDEX(Dashboard!J:J,MATCH(I3324,Dashboard!J:J,0),1),INDEX(Dashboard!J:K,MATCH(I3324,Dashboard!J:J,0),2)),"ON",IF(Dashboard!K$32="ALL","ON","-"))</f>
        <v>-</v>
      </c>
      <c r="C3324" s="88" t="s">
        <v>152</v>
      </c>
      <c r="D3324" s="89">
        <f>IF(C3324="ID",1,(IF(C3324="PR",2,(IF(C3324="DE",3,(IF(C3324="RS",4,(IF(C3324="RC",5,0)))))))))</f>
        <v>2</v>
      </c>
      <c r="E3324" s="89" t="s">
        <v>271</v>
      </c>
      <c r="F3324" s="89">
        <f>IF(E3324="AM",1,(IF(E3324="BE",2,(IF(E3324="GV",3,(IF(E3324="RA",4,(IF(E3324="RM",5,(IF(E3324="AC",1,(IF(E3324="AT",2,(IF(E3324="DS",3,(IF(E3324="IP",4,(IF(E3324="MA",5,(IF(E3324="PT",6,(IF(E3324="AE",1,(IF(E3324="CM",2,(IF(E3324="DP",3,(IF(E3324="AN",1,(IF(E3324="CO",2,(IF(E3324="IM",3,(IF(E3324="MI",4,(IF(E3324="RP",5,(IF(E3324="SC",6,0)))))))))))))))))))))))))))))))))))))))</f>
        <v>6</v>
      </c>
      <c r="G3324" s="52">
        <v>3</v>
      </c>
      <c r="H3324" s="90" t="s">
        <v>115</v>
      </c>
      <c r="I3324" s="93" t="s">
        <v>85</v>
      </c>
      <c r="J3324" s="87" t="s">
        <v>1753</v>
      </c>
      <c r="K3324" s="119" t="s">
        <v>4512</v>
      </c>
      <c r="L3324" s="117">
        <f>IF(O3324="","",N3324*O3324*M3324)</f>
        <v>0</v>
      </c>
      <c r="M3324" s="108">
        <v>1</v>
      </c>
      <c r="N3324" s="95">
        <v>1</v>
      </c>
      <c r="O3324" s="109">
        <f>IF(Key!D$1="ON",P3324,IF(SUM(Q3324:DL3324)&lt;1,"",SUM(Q3324:DL3324)/COUNTIF(Q3324:DL3324,"&gt;0")))</f>
        <v>0</v>
      </c>
      <c r="P3324" s="109">
        <f>SUMIFS(Q3324:DK3324,Q$1:DK$1,Dashboard!$K$31)</f>
        <v>0</v>
      </c>
      <c r="U3324" s="95">
        <v>33</v>
      </c>
      <c r="AA3324" s="95">
        <v>25</v>
      </c>
      <c r="AH3324" s="95">
        <v>75</v>
      </c>
    </row>
    <row r="3325" spans="1:34" x14ac:dyDescent="0.3">
      <c r="A3325" s="89" t="str">
        <f>CONCATENATE(D3325,".",F3325,"-",G3325,".",H3325,"")</f>
        <v>2.6-3.1</v>
      </c>
      <c r="B3325" s="89" t="str">
        <f>IF(CONCATENATE(I3325,Key!F$2)=CONCATENATE(INDEX(Dashboard!J:J,MATCH(I3325,Dashboard!J:J,0),1),INDEX(Dashboard!J:K,MATCH(I3325,Dashboard!J:J,0),2)),"ON",IF(Dashboard!K$32="ALL","ON","-"))</f>
        <v>-</v>
      </c>
      <c r="C3325" s="88" t="s">
        <v>152</v>
      </c>
      <c r="D3325" s="89">
        <f>IF(C3325="ID",1,(IF(C3325="PR",2,(IF(C3325="DE",3,(IF(C3325="RS",4,(IF(C3325="RC",5,0)))))))))</f>
        <v>2</v>
      </c>
      <c r="E3325" s="89" t="s">
        <v>271</v>
      </c>
      <c r="F3325" s="89">
        <f>IF(E3325="AM",1,(IF(E3325="BE",2,(IF(E3325="GV",3,(IF(E3325="RA",4,(IF(E3325="RM",5,(IF(E3325="AC",1,(IF(E3325="AT",2,(IF(E3325="DS",3,(IF(E3325="IP",4,(IF(E3325="MA",5,(IF(E3325="PT",6,(IF(E3325="AE",1,(IF(E3325="CM",2,(IF(E3325="DP",3,(IF(E3325="AN",1,(IF(E3325="CO",2,(IF(E3325="IM",3,(IF(E3325="MI",4,(IF(E3325="RP",5,(IF(E3325="SC",6,0)))))))))))))))))))))))))))))))))))))))</f>
        <v>6</v>
      </c>
      <c r="G3325" s="52">
        <v>3</v>
      </c>
      <c r="H3325" s="90" t="s">
        <v>115</v>
      </c>
      <c r="I3325" s="93" t="s">
        <v>85</v>
      </c>
      <c r="J3325" s="86" t="s">
        <v>739</v>
      </c>
      <c r="K3325" s="119" t="s">
        <v>4875</v>
      </c>
      <c r="L3325" s="117">
        <f>IF(O3325="","",N3325*O3325*M3325)</f>
        <v>0</v>
      </c>
      <c r="M3325" s="108">
        <v>1</v>
      </c>
      <c r="N3325" s="95">
        <v>1</v>
      </c>
      <c r="O3325" s="109">
        <f>IF(Key!D$1="ON",P3325,IF(SUM(Q3325:DL3325)&lt;1,"",SUM(Q3325:DL3325)/COUNTIF(Q3325:DL3325,"&gt;0")))</f>
        <v>0</v>
      </c>
      <c r="P3325" s="109">
        <f>SUMIFS(Q3325:DK3325,Q$1:DK$1,Dashboard!$K$31)</f>
        <v>0</v>
      </c>
      <c r="U3325" s="95">
        <v>33</v>
      </c>
      <c r="AA3325" s="95">
        <v>25</v>
      </c>
      <c r="AH3325" s="95">
        <v>75</v>
      </c>
    </row>
    <row r="3326" spans="1:34" ht="15.6" x14ac:dyDescent="0.3">
      <c r="A3326" s="89" t="str">
        <f>CONCATENATE(D3326,".",F3326,"-",G3326,".",H3326,"")</f>
        <v>2.6-3.1</v>
      </c>
      <c r="B3326" s="89" t="str">
        <f>IF(CONCATENATE(I3326,Key!F$2)=CONCATENATE(INDEX(Dashboard!J:J,MATCH(I3326,Dashboard!J:J,0),1),INDEX(Dashboard!J:K,MATCH(I3326,Dashboard!J:J,0),2)),"ON",IF(Dashboard!K$32="ALL","ON","-"))</f>
        <v>-</v>
      </c>
      <c r="C3326" s="88" t="s">
        <v>152</v>
      </c>
      <c r="D3326" s="89">
        <f>IF(C3326="ID",1,(IF(C3326="PR",2,(IF(C3326="DE",3,(IF(C3326="RS",4,(IF(C3326="RC",5,0)))))))))</f>
        <v>2</v>
      </c>
      <c r="E3326" s="89" t="s">
        <v>271</v>
      </c>
      <c r="F3326" s="89">
        <f>IF(E3326="AM",1,(IF(E3326="BE",2,(IF(E3326="GV",3,(IF(E3326="RA",4,(IF(E3326="RM",5,(IF(E3326="AC",1,(IF(E3326="AT",2,(IF(E3326="DS",3,(IF(E3326="IP",4,(IF(E3326="MA",5,(IF(E3326="PT",6,(IF(E3326="AE",1,(IF(E3326="CM",2,(IF(E3326="DP",3,(IF(E3326="AN",1,(IF(E3326="CO",2,(IF(E3326="IM",3,(IF(E3326="MI",4,(IF(E3326="RP",5,(IF(E3326="SC",6,0)))))))))))))))))))))))))))))))))))))))</f>
        <v>6</v>
      </c>
      <c r="G3326" s="52">
        <v>3</v>
      </c>
      <c r="H3326" s="90" t="s">
        <v>115</v>
      </c>
      <c r="I3326" s="93" t="s">
        <v>85</v>
      </c>
      <c r="J3326" s="87" t="s">
        <v>1773</v>
      </c>
      <c r="K3326" s="119" t="s">
        <v>5074</v>
      </c>
      <c r="L3326" s="117">
        <f>IF(O3326="","",N3326*O3326*M3326)</f>
        <v>0</v>
      </c>
      <c r="M3326" s="108">
        <v>1</v>
      </c>
      <c r="N3326" s="95">
        <v>1</v>
      </c>
      <c r="O3326" s="109">
        <f>IF(Key!D$1="ON",P3326,IF(SUM(Q3326:DL3326)&lt;1,"",SUM(Q3326:DL3326)/COUNTIF(Q3326:DL3326,"&gt;0")))</f>
        <v>0</v>
      </c>
      <c r="P3326" s="109">
        <f>SUMIFS(Q3326:DK3326,Q$1:DK$1,Dashboard!$K$31)</f>
        <v>0</v>
      </c>
      <c r="U3326" s="95">
        <v>33</v>
      </c>
      <c r="AA3326" s="95">
        <v>25</v>
      </c>
      <c r="AH3326" s="95">
        <v>75</v>
      </c>
    </row>
    <row r="3327" spans="1:34" ht="15.6" x14ac:dyDescent="0.3">
      <c r="A3327" s="89" t="str">
        <f>CONCATENATE(D3327,".",F3327,"-",G3327,".",H3327,"")</f>
        <v>2.6-3.1</v>
      </c>
      <c r="B3327" s="89" t="str">
        <f>IF(CONCATENATE(I3327,Key!F$2)=CONCATENATE(INDEX(Dashboard!J:J,MATCH(I3327,Dashboard!J:J,0),1),INDEX(Dashboard!J:K,MATCH(I3327,Dashboard!J:J,0),2)),"ON",IF(Dashboard!K$32="ALL","ON","-"))</f>
        <v>-</v>
      </c>
      <c r="C3327" s="88" t="s">
        <v>152</v>
      </c>
      <c r="D3327" s="89">
        <f>IF(C3327="ID",1,(IF(C3327="PR",2,(IF(C3327="DE",3,(IF(C3327="RS",4,(IF(C3327="RC",5,0)))))))))</f>
        <v>2</v>
      </c>
      <c r="E3327" s="89" t="s">
        <v>271</v>
      </c>
      <c r="F3327" s="89">
        <f>IF(E3327="AM",1,(IF(E3327="BE",2,(IF(E3327="GV",3,(IF(E3327="RA",4,(IF(E3327="RM",5,(IF(E3327="AC",1,(IF(E3327="AT",2,(IF(E3327="DS",3,(IF(E3327="IP",4,(IF(E3327="MA",5,(IF(E3327="PT",6,(IF(E3327="AE",1,(IF(E3327="CM",2,(IF(E3327="DP",3,(IF(E3327="AN",1,(IF(E3327="CO",2,(IF(E3327="IM",3,(IF(E3327="MI",4,(IF(E3327="RP",5,(IF(E3327="SC",6,0)))))))))))))))))))))))))))))))))))))))</f>
        <v>6</v>
      </c>
      <c r="G3327" s="52">
        <v>3</v>
      </c>
      <c r="H3327" s="90" t="s">
        <v>115</v>
      </c>
      <c r="I3327" s="93" t="s">
        <v>85</v>
      </c>
      <c r="J3327" s="86" t="s">
        <v>1752</v>
      </c>
      <c r="K3327" s="119" t="s">
        <v>4559</v>
      </c>
      <c r="L3327" s="117">
        <f>IF(O3327="","",N3327*O3327*M3327)</f>
        <v>0</v>
      </c>
      <c r="M3327" s="108">
        <v>1</v>
      </c>
      <c r="N3327" s="95">
        <v>1</v>
      </c>
      <c r="O3327" s="109">
        <f>IF(Key!D$1="ON",P3327,IF(SUM(Q3327:DL3327)&lt;1,"",SUM(Q3327:DL3327)/COUNTIF(Q3327:DL3327,"&gt;0")))</f>
        <v>0</v>
      </c>
      <c r="P3327" s="109">
        <f>SUMIFS(Q3327:DK3327,Q$1:DK$1,Dashboard!$K$31)</f>
        <v>0</v>
      </c>
      <c r="U3327" s="95">
        <v>33</v>
      </c>
      <c r="AA3327" s="95">
        <v>25</v>
      </c>
      <c r="AH3327" s="95">
        <v>75</v>
      </c>
    </row>
    <row r="3328" spans="1:34" ht="15.6" x14ac:dyDescent="0.3">
      <c r="A3328" s="89" t="str">
        <f>CONCATENATE(D3328,".",F3328,"-",G3328,".",H3328,"")</f>
        <v>2.6-3.1</v>
      </c>
      <c r="B3328" s="89" t="str">
        <f>IF(CONCATENATE(I3328,Key!F$2)=CONCATENATE(INDEX(Dashboard!J:J,MATCH(I3328,Dashboard!J:J,0),1),INDEX(Dashboard!J:K,MATCH(I3328,Dashboard!J:J,0),2)),"ON",IF(Dashboard!K$32="ALL","ON","-"))</f>
        <v>-</v>
      </c>
      <c r="C3328" s="88" t="s">
        <v>152</v>
      </c>
      <c r="D3328" s="89">
        <f>IF(C3328="ID",1,(IF(C3328="PR",2,(IF(C3328="DE",3,(IF(C3328="RS",4,(IF(C3328="RC",5,0)))))))))</f>
        <v>2</v>
      </c>
      <c r="E3328" s="89" t="s">
        <v>271</v>
      </c>
      <c r="F3328" s="89">
        <f>IF(E3328="AM",1,(IF(E3328="BE",2,(IF(E3328="GV",3,(IF(E3328="RA",4,(IF(E3328="RM",5,(IF(E3328="AC",1,(IF(E3328="AT",2,(IF(E3328="DS",3,(IF(E3328="IP",4,(IF(E3328="MA",5,(IF(E3328="PT",6,(IF(E3328="AE",1,(IF(E3328="CM",2,(IF(E3328="DP",3,(IF(E3328="AN",1,(IF(E3328="CO",2,(IF(E3328="IM",3,(IF(E3328="MI",4,(IF(E3328="RP",5,(IF(E3328="SC",6,0)))))))))))))))))))))))))))))))))))))))</f>
        <v>6</v>
      </c>
      <c r="G3328" s="52">
        <v>3</v>
      </c>
      <c r="H3328" s="90" t="s">
        <v>115</v>
      </c>
      <c r="I3328" s="93" t="s">
        <v>85</v>
      </c>
      <c r="J3328" s="87" t="s">
        <v>1764</v>
      </c>
      <c r="K3328" s="119" t="s">
        <v>5042</v>
      </c>
      <c r="L3328" s="117">
        <f>IF(O3328="","",N3328*O3328*M3328)</f>
        <v>0</v>
      </c>
      <c r="M3328" s="108">
        <v>1</v>
      </c>
      <c r="N3328" s="95">
        <v>1</v>
      </c>
      <c r="O3328" s="109">
        <f>IF(Key!D$1="ON",P3328,IF(SUM(Q3328:DL3328)&lt;1,"",SUM(Q3328:DL3328)/COUNTIF(Q3328:DL3328,"&gt;0")))</f>
        <v>0</v>
      </c>
      <c r="P3328" s="109">
        <f>SUMIFS(Q3328:DK3328,Q$1:DK$1,Dashboard!$K$31)</f>
        <v>0</v>
      </c>
      <c r="U3328" s="95">
        <v>33</v>
      </c>
      <c r="AA3328" s="95">
        <v>25</v>
      </c>
      <c r="AH3328" s="95">
        <v>75</v>
      </c>
    </row>
    <row r="3329" spans="1:34" x14ac:dyDescent="0.3">
      <c r="A3329" s="89" t="str">
        <f>CONCATENATE(D3329,".",F3329,"-",G3329,".",H3329,"")</f>
        <v>2.6-3.1</v>
      </c>
      <c r="B3329" s="89" t="str">
        <f>IF(CONCATENATE(I3329,Key!F$2)=CONCATENATE(INDEX(Dashboard!J:J,MATCH(I3329,Dashboard!J:J,0),1),INDEX(Dashboard!J:K,MATCH(I3329,Dashboard!J:J,0),2)),"ON",IF(Dashboard!K$32="ALL","ON","-"))</f>
        <v>-</v>
      </c>
      <c r="C3329" s="88" t="s">
        <v>152</v>
      </c>
      <c r="D3329" s="89">
        <f>IF(C3329="ID",1,(IF(C3329="PR",2,(IF(C3329="DE",3,(IF(C3329="RS",4,(IF(C3329="RC",5,0)))))))))</f>
        <v>2</v>
      </c>
      <c r="E3329" s="89" t="s">
        <v>271</v>
      </c>
      <c r="F3329" s="89">
        <f>IF(E3329="AM",1,(IF(E3329="BE",2,(IF(E3329="GV",3,(IF(E3329="RA",4,(IF(E3329="RM",5,(IF(E3329="AC",1,(IF(E3329="AT",2,(IF(E3329="DS",3,(IF(E3329="IP",4,(IF(E3329="MA",5,(IF(E3329="PT",6,(IF(E3329="AE",1,(IF(E3329="CM",2,(IF(E3329="DP",3,(IF(E3329="AN",1,(IF(E3329="CO",2,(IF(E3329="IM",3,(IF(E3329="MI",4,(IF(E3329="RP",5,(IF(E3329="SC",6,0)))))))))))))))))))))))))))))))))))))))</f>
        <v>6</v>
      </c>
      <c r="G3329" s="52">
        <v>3</v>
      </c>
      <c r="H3329" s="90" t="s">
        <v>115</v>
      </c>
      <c r="I3329" s="93" t="s">
        <v>85</v>
      </c>
      <c r="J3329" s="87" t="s">
        <v>1770</v>
      </c>
      <c r="K3329" s="119" t="s">
        <v>5057</v>
      </c>
      <c r="L3329" s="117">
        <f>IF(O3329="","",N3329*O3329*M3329)</f>
        <v>0</v>
      </c>
      <c r="M3329" s="108">
        <v>1</v>
      </c>
      <c r="N3329" s="95">
        <v>1</v>
      </c>
      <c r="O3329" s="109">
        <f>IF(Key!D$1="ON",P3329,IF(SUM(Q3329:DL3329)&lt;1,"",SUM(Q3329:DL3329)/COUNTIF(Q3329:DL3329,"&gt;0")))</f>
        <v>0</v>
      </c>
      <c r="P3329" s="109">
        <f>SUMIFS(Q3329:DK3329,Q$1:DK$1,Dashboard!$K$31)</f>
        <v>0</v>
      </c>
      <c r="U3329" s="95">
        <v>33</v>
      </c>
      <c r="AA3329" s="95">
        <v>25</v>
      </c>
      <c r="AH3329" s="95">
        <v>75</v>
      </c>
    </row>
    <row r="3330" spans="1:34" x14ac:dyDescent="0.3">
      <c r="A3330" s="89" t="str">
        <f>CONCATENATE(D3330,".",F3330,"-",G3330,".",H3330,"")</f>
        <v>2.6-3.1</v>
      </c>
      <c r="B3330" s="89" t="str">
        <f>IF(CONCATENATE(I3330,Key!F$2)=CONCATENATE(INDEX(Dashboard!J:J,MATCH(I3330,Dashboard!J:J,0),1),INDEX(Dashboard!J:K,MATCH(I3330,Dashboard!J:J,0),2)),"ON",IF(Dashboard!K$32="ALL","ON","-"))</f>
        <v>-</v>
      </c>
      <c r="C3330" s="88" t="s">
        <v>152</v>
      </c>
      <c r="D3330" s="89">
        <f>IF(C3330="ID",1,(IF(C3330="PR",2,(IF(C3330="DE",3,(IF(C3330="RS",4,(IF(C3330="RC",5,0)))))))))</f>
        <v>2</v>
      </c>
      <c r="E3330" s="89" t="s">
        <v>271</v>
      </c>
      <c r="F3330" s="89">
        <f>IF(E3330="AM",1,(IF(E3330="BE",2,(IF(E3330="GV",3,(IF(E3330="RA",4,(IF(E3330="RM",5,(IF(E3330="AC",1,(IF(E3330="AT",2,(IF(E3330="DS",3,(IF(E3330="IP",4,(IF(E3330="MA",5,(IF(E3330="PT",6,(IF(E3330="AE",1,(IF(E3330="CM",2,(IF(E3330="DP",3,(IF(E3330="AN",1,(IF(E3330="CO",2,(IF(E3330="IM",3,(IF(E3330="MI",4,(IF(E3330="RP",5,(IF(E3330="SC",6,0)))))))))))))))))))))))))))))))))))))))</f>
        <v>6</v>
      </c>
      <c r="G3330" s="52">
        <v>3</v>
      </c>
      <c r="H3330" s="90" t="s">
        <v>115</v>
      </c>
      <c r="I3330" s="93" t="s">
        <v>85</v>
      </c>
      <c r="J3330" s="87" t="s">
        <v>1775</v>
      </c>
      <c r="K3330" s="119" t="s">
        <v>1776</v>
      </c>
      <c r="L3330" s="117">
        <f>IF(O3330="","",N3330*O3330*M3330)</f>
        <v>0</v>
      </c>
      <c r="M3330" s="108">
        <v>1</v>
      </c>
      <c r="N3330" s="95">
        <v>1</v>
      </c>
      <c r="O3330" s="109">
        <f>IF(Key!D$1="ON",P3330,IF(SUM(Q3330:DL3330)&lt;1,"",SUM(Q3330:DL3330)/COUNTIF(Q3330:DL3330,"&gt;0")))</f>
        <v>0</v>
      </c>
      <c r="P3330" s="109">
        <f>SUMIFS(Q3330:DK3330,Q$1:DK$1,Dashboard!$K$31)</f>
        <v>0</v>
      </c>
      <c r="U3330" s="95">
        <v>33</v>
      </c>
      <c r="AA3330" s="95">
        <v>25</v>
      </c>
      <c r="AH3330" s="95">
        <v>75</v>
      </c>
    </row>
    <row r="3331" spans="1:34" x14ac:dyDescent="0.3">
      <c r="A3331" s="89" t="str">
        <f>CONCATENATE(D3331,".",F3331,"-",G3331,".",H3331,"")</f>
        <v>2.6-3.1</v>
      </c>
      <c r="B3331" s="89" t="str">
        <f>IF(CONCATENATE(I3331,Key!F$2)=CONCATENATE(INDEX(Dashboard!J:J,MATCH(I3331,Dashboard!J:J,0),1),INDEX(Dashboard!J:K,MATCH(I3331,Dashboard!J:J,0),2)),"ON",IF(Dashboard!K$32="ALL","ON","-"))</f>
        <v>-</v>
      </c>
      <c r="C3331" s="88" t="s">
        <v>152</v>
      </c>
      <c r="D3331" s="89">
        <f>IF(C3331="ID",1,(IF(C3331="PR",2,(IF(C3331="DE",3,(IF(C3331="RS",4,(IF(C3331="RC",5,0)))))))))</f>
        <v>2</v>
      </c>
      <c r="E3331" s="89" t="s">
        <v>271</v>
      </c>
      <c r="F3331" s="89">
        <f>IF(E3331="AM",1,(IF(E3331="BE",2,(IF(E3331="GV",3,(IF(E3331="RA",4,(IF(E3331="RM",5,(IF(E3331="AC",1,(IF(E3331="AT",2,(IF(E3331="DS",3,(IF(E3331="IP",4,(IF(E3331="MA",5,(IF(E3331="PT",6,(IF(E3331="AE",1,(IF(E3331="CM",2,(IF(E3331="DP",3,(IF(E3331="AN",1,(IF(E3331="CO",2,(IF(E3331="IM",3,(IF(E3331="MI",4,(IF(E3331="RP",5,(IF(E3331="SC",6,0)))))))))))))))))))))))))))))))))))))))</f>
        <v>6</v>
      </c>
      <c r="G3331" s="52">
        <v>3</v>
      </c>
      <c r="H3331" s="90" t="s">
        <v>115</v>
      </c>
      <c r="I3331" s="93" t="s">
        <v>85</v>
      </c>
      <c r="J3331" s="87" t="s">
        <v>1767</v>
      </c>
      <c r="K3331" s="119" t="s">
        <v>1768</v>
      </c>
      <c r="L3331" s="117">
        <f>IF(O3331="","",N3331*O3331*M3331)</f>
        <v>0</v>
      </c>
      <c r="M3331" s="108">
        <v>1</v>
      </c>
      <c r="N3331" s="95">
        <v>1</v>
      </c>
      <c r="O3331" s="109">
        <f>IF(Key!D$1="ON",P3331,IF(SUM(Q3331:DL3331)&lt;1,"",SUM(Q3331:DL3331)/COUNTIF(Q3331:DL3331,"&gt;0")))</f>
        <v>0</v>
      </c>
      <c r="P3331" s="109">
        <f>SUMIFS(Q3331:DK3331,Q$1:DK$1,Dashboard!$K$31)</f>
        <v>0</v>
      </c>
      <c r="U3331" s="95">
        <v>33</v>
      </c>
      <c r="AA3331" s="95">
        <v>25</v>
      </c>
      <c r="AH3331" s="95">
        <v>75</v>
      </c>
    </row>
    <row r="3332" spans="1:34" x14ac:dyDescent="0.3">
      <c r="A3332" s="89" t="str">
        <f>CONCATENATE(D3332,".",F3332,"-",G3332,".",H3332,"")</f>
        <v>2.6-3.1</v>
      </c>
      <c r="B3332" s="89" t="str">
        <f>IF(CONCATENATE(I3332,Key!F$2)=CONCATENATE(INDEX(Dashboard!J:J,MATCH(I3332,Dashboard!J:J,0),1),INDEX(Dashboard!J:K,MATCH(I3332,Dashboard!J:J,0),2)),"ON",IF(Dashboard!K$32="ALL","ON","-"))</f>
        <v>-</v>
      </c>
      <c r="C3332" s="88" t="s">
        <v>152</v>
      </c>
      <c r="D3332" s="89">
        <f>IF(C3332="ID",1,(IF(C3332="PR",2,(IF(C3332="DE",3,(IF(C3332="RS",4,(IF(C3332="RC",5,0)))))))))</f>
        <v>2</v>
      </c>
      <c r="E3332" s="89" t="s">
        <v>271</v>
      </c>
      <c r="F3332" s="89">
        <f>IF(E3332="AM",1,(IF(E3332="BE",2,(IF(E3332="GV",3,(IF(E3332="RA",4,(IF(E3332="RM",5,(IF(E3332="AC",1,(IF(E3332="AT",2,(IF(E3332="DS",3,(IF(E3332="IP",4,(IF(E3332="MA",5,(IF(E3332="PT",6,(IF(E3332="AE",1,(IF(E3332="CM",2,(IF(E3332="DP",3,(IF(E3332="AN",1,(IF(E3332="CO",2,(IF(E3332="IM",3,(IF(E3332="MI",4,(IF(E3332="RP",5,(IF(E3332="SC",6,0)))))))))))))))))))))))))))))))))))))))</f>
        <v>6</v>
      </c>
      <c r="G3332" s="52">
        <v>3</v>
      </c>
      <c r="H3332" s="89">
        <v>1</v>
      </c>
      <c r="I3332" s="93" t="s">
        <v>85</v>
      </c>
      <c r="J3332" s="86" t="s">
        <v>736</v>
      </c>
      <c r="K3332" s="119" t="s">
        <v>737</v>
      </c>
      <c r="L3332" s="117">
        <f>IF(O3332="","",N3332*O3332*M3332)</f>
        <v>0</v>
      </c>
      <c r="M3332" s="108">
        <v>1</v>
      </c>
      <c r="N3332" s="95">
        <v>1</v>
      </c>
      <c r="O3332" s="109">
        <f>IF(Key!D$1="ON",P3332,IF(SUM(Q3332:DL3332)&lt;1,"",SUM(Q3332:DL3332)/COUNTIF(Q3332:DL3332,"&gt;0")))</f>
        <v>0</v>
      </c>
      <c r="P3332" s="109">
        <f>SUMIFS(Q3332:DK3332,Q$1:DK$1,Dashboard!$K$31)</f>
        <v>0</v>
      </c>
      <c r="U3332" s="95">
        <v>33</v>
      </c>
      <c r="AA3332" s="95">
        <v>25</v>
      </c>
      <c r="AH3332" s="95">
        <v>75</v>
      </c>
    </row>
    <row r="3333" spans="1:34" x14ac:dyDescent="0.3">
      <c r="A3333" s="89" t="str">
        <f>CONCATENATE(D3333,".",F3333,"-",G3333,".",H3333,"")</f>
        <v>2.6-3.1</v>
      </c>
      <c r="B3333" s="89" t="str">
        <f>IF(CONCATENATE(I3333,Key!F$2)=CONCATENATE(INDEX(Dashboard!J:J,MATCH(I3333,Dashboard!J:J,0),1),INDEX(Dashboard!J:K,MATCH(I3333,Dashboard!J:J,0),2)),"ON",IF(Dashboard!K$32="ALL","ON","-"))</f>
        <v>-</v>
      </c>
      <c r="C3333" s="88" t="s">
        <v>152</v>
      </c>
      <c r="D3333" s="89">
        <f>IF(C3333="ID",1,(IF(C3333="PR",2,(IF(C3333="DE",3,(IF(C3333="RS",4,(IF(C3333="RC",5,0)))))))))</f>
        <v>2</v>
      </c>
      <c r="E3333" s="89" t="s">
        <v>271</v>
      </c>
      <c r="F3333" s="89">
        <f>IF(E3333="AM",1,(IF(E3333="BE",2,(IF(E3333="GV",3,(IF(E3333="RA",4,(IF(E3333="RM",5,(IF(E3333="AC",1,(IF(E3333="AT",2,(IF(E3333="DS",3,(IF(E3333="IP",4,(IF(E3333="MA",5,(IF(E3333="PT",6,(IF(E3333="AE",1,(IF(E3333="CM",2,(IF(E3333="DP",3,(IF(E3333="AN",1,(IF(E3333="CO",2,(IF(E3333="IM",3,(IF(E3333="MI",4,(IF(E3333="RP",5,(IF(E3333="SC",6,0)))))))))))))))))))))))))))))))))))))))</f>
        <v>6</v>
      </c>
      <c r="G3333" s="52">
        <v>3</v>
      </c>
      <c r="H3333" s="90" t="s">
        <v>115</v>
      </c>
      <c r="I3333" s="93" t="s">
        <v>85</v>
      </c>
      <c r="J3333" s="87" t="s">
        <v>1755</v>
      </c>
      <c r="K3333" s="119" t="s">
        <v>4519</v>
      </c>
      <c r="L3333" s="117">
        <f>IF(O3333="","",N3333*O3333*M3333)</f>
        <v>0</v>
      </c>
      <c r="M3333" s="108">
        <v>1</v>
      </c>
      <c r="N3333" s="95">
        <v>1</v>
      </c>
      <c r="O3333" s="109">
        <f>IF(Key!D$1="ON",P3333,IF(SUM(Q3333:DL3333)&lt;1,"",SUM(Q3333:DL3333)/COUNTIF(Q3333:DL3333,"&gt;0")))</f>
        <v>0</v>
      </c>
      <c r="P3333" s="109">
        <f>SUMIFS(Q3333:DK3333,Q$1:DK$1,Dashboard!$K$31)</f>
        <v>0</v>
      </c>
      <c r="U3333" s="95">
        <v>33</v>
      </c>
      <c r="AA3333" s="95">
        <v>25</v>
      </c>
      <c r="AH3333" s="95">
        <v>75</v>
      </c>
    </row>
    <row r="3334" spans="1:34" ht="15.6" x14ac:dyDescent="0.3">
      <c r="A3334" s="89" t="str">
        <f>CONCATENATE(D3334,".",F3334,"-",G3334,".",H3334,"")</f>
        <v>2.6-3.1</v>
      </c>
      <c r="B3334" s="89" t="str">
        <f>IF(CONCATENATE(I3334,Key!F$2)=CONCATENATE(INDEX(Dashboard!J:J,MATCH(I3334,Dashboard!J:J,0),1),INDEX(Dashboard!J:K,MATCH(I3334,Dashboard!J:J,0),2)),"ON",IF(Dashboard!K$32="ALL","ON","-"))</f>
        <v>-</v>
      </c>
      <c r="C3334" s="88" t="s">
        <v>152</v>
      </c>
      <c r="D3334" s="89">
        <f>IF(C3334="ID",1,(IF(C3334="PR",2,(IF(C3334="DE",3,(IF(C3334="RS",4,(IF(C3334="RC",5,0)))))))))</f>
        <v>2</v>
      </c>
      <c r="E3334" s="89" t="s">
        <v>271</v>
      </c>
      <c r="F3334" s="89">
        <f>IF(E3334="AM",1,(IF(E3334="BE",2,(IF(E3334="GV",3,(IF(E3334="RA",4,(IF(E3334="RM",5,(IF(E3334="AC",1,(IF(E3334="AT",2,(IF(E3334="DS",3,(IF(E3334="IP",4,(IF(E3334="MA",5,(IF(E3334="PT",6,(IF(E3334="AE",1,(IF(E3334="CM",2,(IF(E3334="DP",3,(IF(E3334="AN",1,(IF(E3334="CO",2,(IF(E3334="IM",3,(IF(E3334="MI",4,(IF(E3334="RP",5,(IF(E3334="SC",6,0)))))))))))))))))))))))))))))))))))))))</f>
        <v>6</v>
      </c>
      <c r="G3334" s="52">
        <v>3</v>
      </c>
      <c r="H3334" s="90" t="s">
        <v>115</v>
      </c>
      <c r="I3334" s="93" t="s">
        <v>85</v>
      </c>
      <c r="J3334" s="87" t="s">
        <v>1756</v>
      </c>
      <c r="K3334" s="119" t="s">
        <v>1757</v>
      </c>
      <c r="L3334" s="117">
        <f>IF(O3334="","",N3334*O3334*M3334)</f>
        <v>0</v>
      </c>
      <c r="M3334" s="108">
        <v>1</v>
      </c>
      <c r="N3334" s="95">
        <v>1</v>
      </c>
      <c r="O3334" s="109">
        <f>IF(Key!D$1="ON",P3334,IF(SUM(Q3334:DL3334)&lt;1,"",SUM(Q3334:DL3334)/COUNTIF(Q3334:DL3334,"&gt;0")))</f>
        <v>0</v>
      </c>
      <c r="P3334" s="109">
        <f>SUMIFS(Q3334:DK3334,Q$1:DK$1,Dashboard!$K$31)</f>
        <v>0</v>
      </c>
      <c r="U3334" s="95">
        <v>33</v>
      </c>
      <c r="AA3334" s="95">
        <v>25</v>
      </c>
      <c r="AH3334" s="95">
        <v>75</v>
      </c>
    </row>
    <row r="3335" spans="1:34" ht="15.6" x14ac:dyDescent="0.3">
      <c r="A3335" s="89" t="str">
        <f>CONCATENATE(D3335,".",F3335,"-",G3335,".",H3335,"")</f>
        <v>2.6-3.1</v>
      </c>
      <c r="B3335" s="89" t="str">
        <f>IF(CONCATENATE(I3335,Key!F$2)=CONCATENATE(INDEX(Dashboard!J:J,MATCH(I3335,Dashboard!J:J,0),1),INDEX(Dashboard!J:K,MATCH(I3335,Dashboard!J:J,0),2)),"ON",IF(Dashboard!K$32="ALL","ON","-"))</f>
        <v>-</v>
      </c>
      <c r="C3335" s="88" t="s">
        <v>152</v>
      </c>
      <c r="D3335" s="89">
        <f>IF(C3335="ID",1,(IF(C3335="PR",2,(IF(C3335="DE",3,(IF(C3335="RS",4,(IF(C3335="RC",5,0)))))))))</f>
        <v>2</v>
      </c>
      <c r="E3335" s="89" t="s">
        <v>271</v>
      </c>
      <c r="F3335" s="89">
        <f>IF(E3335="AM",1,(IF(E3335="BE",2,(IF(E3335="GV",3,(IF(E3335="RA",4,(IF(E3335="RM",5,(IF(E3335="AC",1,(IF(E3335="AT",2,(IF(E3335="DS",3,(IF(E3335="IP",4,(IF(E3335="MA",5,(IF(E3335="PT",6,(IF(E3335="AE",1,(IF(E3335="CM",2,(IF(E3335="DP",3,(IF(E3335="AN",1,(IF(E3335="CO",2,(IF(E3335="IM",3,(IF(E3335="MI",4,(IF(E3335="RP",5,(IF(E3335="SC",6,0)))))))))))))))))))))))))))))))))))))))</f>
        <v>6</v>
      </c>
      <c r="G3335" s="52">
        <v>3</v>
      </c>
      <c r="H3335" s="90" t="s">
        <v>115</v>
      </c>
      <c r="I3335" s="93" t="s">
        <v>85</v>
      </c>
      <c r="J3335" s="87" t="s">
        <v>1754</v>
      </c>
      <c r="K3335" s="119" t="s">
        <v>4525</v>
      </c>
      <c r="L3335" s="117">
        <f>IF(O3335="","",N3335*O3335*M3335)</f>
        <v>0</v>
      </c>
      <c r="M3335" s="108">
        <v>1</v>
      </c>
      <c r="N3335" s="95">
        <v>1</v>
      </c>
      <c r="O3335" s="109">
        <f>IF(Key!D$1="ON",P3335,IF(SUM(Q3335:DL3335)&lt;1,"",SUM(Q3335:DL3335)/COUNTIF(Q3335:DL3335,"&gt;0")))</f>
        <v>0</v>
      </c>
      <c r="P3335" s="109">
        <f>SUMIFS(Q3335:DK3335,Q$1:DK$1,Dashboard!$K$31)</f>
        <v>0</v>
      </c>
      <c r="U3335" s="95">
        <v>33</v>
      </c>
      <c r="AA3335" s="95">
        <v>25</v>
      </c>
      <c r="AH3335" s="95">
        <v>75</v>
      </c>
    </row>
    <row r="3336" spans="1:34" ht="15.6" x14ac:dyDescent="0.3">
      <c r="A3336" s="89" t="str">
        <f>CONCATENATE(D3336,".",F3336,"-",G3336,".",H3336,"")</f>
        <v>2.6-3.1</v>
      </c>
      <c r="B3336" s="89" t="str">
        <f>IF(CONCATENATE(I3336,Key!F$2)=CONCATENATE(INDEX(Dashboard!J:J,MATCH(I3336,Dashboard!J:J,0),1),INDEX(Dashboard!J:K,MATCH(I3336,Dashboard!J:J,0),2)),"ON",IF(Dashboard!K$32="ALL","ON","-"))</f>
        <v>-</v>
      </c>
      <c r="C3336" s="88" t="s">
        <v>152</v>
      </c>
      <c r="D3336" s="89">
        <f>IF(C3336="ID",1,(IF(C3336="PR",2,(IF(C3336="DE",3,(IF(C3336="RS",4,(IF(C3336="RC",5,0)))))))))</f>
        <v>2</v>
      </c>
      <c r="E3336" s="89" t="s">
        <v>271</v>
      </c>
      <c r="F3336" s="89">
        <f>IF(E3336="AM",1,(IF(E3336="BE",2,(IF(E3336="GV",3,(IF(E3336="RA",4,(IF(E3336="RM",5,(IF(E3336="AC",1,(IF(E3336="AT",2,(IF(E3336="DS",3,(IF(E3336="IP",4,(IF(E3336="MA",5,(IF(E3336="PT",6,(IF(E3336="AE",1,(IF(E3336="CM",2,(IF(E3336="DP",3,(IF(E3336="AN",1,(IF(E3336="CO",2,(IF(E3336="IM",3,(IF(E3336="MI",4,(IF(E3336="RP",5,(IF(E3336="SC",6,0)))))))))))))))))))))))))))))))))))))))</f>
        <v>6</v>
      </c>
      <c r="G3336" s="52">
        <v>3</v>
      </c>
      <c r="H3336" s="90" t="s">
        <v>115</v>
      </c>
      <c r="I3336" s="93" t="s">
        <v>85</v>
      </c>
      <c r="J3336" s="87" t="s">
        <v>1778</v>
      </c>
      <c r="K3336" s="119" t="s">
        <v>5076</v>
      </c>
      <c r="L3336" s="117">
        <f>IF(O3336="","",N3336*O3336*M3336)</f>
        <v>0</v>
      </c>
      <c r="M3336" s="108">
        <v>1</v>
      </c>
      <c r="N3336" s="95">
        <v>1</v>
      </c>
      <c r="O3336" s="109">
        <f>IF(Key!D$1="ON",P3336,IF(SUM(Q3336:DL3336)&lt;1,"",SUM(Q3336:DL3336)/COUNTIF(Q3336:DL3336,"&gt;0")))</f>
        <v>0</v>
      </c>
      <c r="P3336" s="109">
        <f>SUMIFS(Q3336:DK3336,Q$1:DK$1,Dashboard!$K$31)</f>
        <v>0</v>
      </c>
      <c r="U3336" s="95">
        <v>33</v>
      </c>
      <c r="AA3336" s="95">
        <v>25</v>
      </c>
      <c r="AH3336" s="95">
        <v>75</v>
      </c>
    </row>
    <row r="3337" spans="1:34" x14ac:dyDescent="0.3">
      <c r="A3337" s="89" t="str">
        <f>CONCATENATE(D3337,".",F3337,"-",G3337,".",H3337,"")</f>
        <v>2.6-3.1</v>
      </c>
      <c r="B3337" s="89" t="str">
        <f>IF(CONCATENATE(I3337,Key!F$2)=CONCATENATE(INDEX(Dashboard!J:J,MATCH(I3337,Dashboard!J:J,0),1),INDEX(Dashboard!J:K,MATCH(I3337,Dashboard!J:J,0),2)),"ON",IF(Dashboard!K$32="ALL","ON","-"))</f>
        <v>-</v>
      </c>
      <c r="C3337" s="88" t="s">
        <v>152</v>
      </c>
      <c r="D3337" s="89">
        <f>IF(C3337="ID",1,(IF(C3337="PR",2,(IF(C3337="DE",3,(IF(C3337="RS",4,(IF(C3337="RC",5,0)))))))))</f>
        <v>2</v>
      </c>
      <c r="E3337" s="89" t="s">
        <v>271</v>
      </c>
      <c r="F3337" s="89">
        <f>IF(E3337="AM",1,(IF(E3337="BE",2,(IF(E3337="GV",3,(IF(E3337="RA",4,(IF(E3337="RM",5,(IF(E3337="AC",1,(IF(E3337="AT",2,(IF(E3337="DS",3,(IF(E3337="IP",4,(IF(E3337="MA",5,(IF(E3337="PT",6,(IF(E3337="AE",1,(IF(E3337="CM",2,(IF(E3337="DP",3,(IF(E3337="AN",1,(IF(E3337="CO",2,(IF(E3337="IM",3,(IF(E3337="MI",4,(IF(E3337="RP",5,(IF(E3337="SC",6,0)))))))))))))))))))))))))))))))))))))))</f>
        <v>6</v>
      </c>
      <c r="G3337" s="52">
        <v>3</v>
      </c>
      <c r="H3337" s="90" t="s">
        <v>115</v>
      </c>
      <c r="I3337" s="93" t="s">
        <v>85</v>
      </c>
      <c r="J3337" s="86" t="s">
        <v>828</v>
      </c>
      <c r="K3337" s="119" t="s">
        <v>5068</v>
      </c>
      <c r="L3337" s="117">
        <f>IF(O3337="","",N3337*O3337*M3337)</f>
        <v>0</v>
      </c>
      <c r="M3337" s="108">
        <v>1</v>
      </c>
      <c r="N3337" s="95">
        <v>1</v>
      </c>
      <c r="O3337" s="109">
        <f>IF(Key!D$1="ON",P3337,IF(SUM(Q3337:DL3337)&lt;1,"",SUM(Q3337:DL3337)/COUNTIF(Q3337:DL3337,"&gt;0")))</f>
        <v>0</v>
      </c>
      <c r="P3337" s="109">
        <f>SUMIFS(Q3337:DK3337,Q$1:DK$1,Dashboard!$K$31)</f>
        <v>0</v>
      </c>
      <c r="U3337" s="95">
        <v>33</v>
      </c>
      <c r="AA3337" s="95">
        <v>25</v>
      </c>
      <c r="AH3337" s="95">
        <v>75</v>
      </c>
    </row>
    <row r="3338" spans="1:34" x14ac:dyDescent="0.3">
      <c r="A3338" s="89" t="str">
        <f>CONCATENATE(D3338,".",F3338,"-",G3338,".",H3338,"")</f>
        <v>2.6-3.1</v>
      </c>
      <c r="B3338" s="89" t="str">
        <f>IF(CONCATENATE(I3338,Key!F$2)=CONCATENATE(INDEX(Dashboard!J:J,MATCH(I3338,Dashboard!J:J,0),1),INDEX(Dashboard!J:K,MATCH(I3338,Dashboard!J:J,0),2)),"ON",IF(Dashboard!K$32="ALL","ON","-"))</f>
        <v>-</v>
      </c>
      <c r="C3338" s="88" t="s">
        <v>152</v>
      </c>
      <c r="D3338" s="89">
        <f>IF(C3338="ID",1,(IF(C3338="PR",2,(IF(C3338="DE",3,(IF(C3338="RS",4,(IF(C3338="RC",5,0)))))))))</f>
        <v>2</v>
      </c>
      <c r="E3338" s="89" t="s">
        <v>271</v>
      </c>
      <c r="F3338" s="89">
        <f>IF(E3338="AM",1,(IF(E3338="BE",2,(IF(E3338="GV",3,(IF(E3338="RA",4,(IF(E3338="RM",5,(IF(E3338="AC",1,(IF(E3338="AT",2,(IF(E3338="DS",3,(IF(E3338="IP",4,(IF(E3338="MA",5,(IF(E3338="PT",6,(IF(E3338="AE",1,(IF(E3338="CM",2,(IF(E3338="DP",3,(IF(E3338="AN",1,(IF(E3338="CO",2,(IF(E3338="IM",3,(IF(E3338="MI",4,(IF(E3338="RP",5,(IF(E3338="SC",6,0)))))))))))))))))))))))))))))))))))))))</f>
        <v>6</v>
      </c>
      <c r="G3338" s="52">
        <v>3</v>
      </c>
      <c r="H3338" s="90" t="s">
        <v>115</v>
      </c>
      <c r="I3338" s="93" t="s">
        <v>85</v>
      </c>
      <c r="J3338" s="86" t="s">
        <v>822</v>
      </c>
      <c r="K3338" s="119" t="s">
        <v>823</v>
      </c>
      <c r="L3338" s="117">
        <f>IF(O3338="","",N3338*O3338*M3338)</f>
        <v>0</v>
      </c>
      <c r="M3338" s="108">
        <v>1</v>
      </c>
      <c r="N3338" s="95">
        <v>1</v>
      </c>
      <c r="O3338" s="109">
        <f>IF(Key!D$1="ON",P3338,IF(SUM(Q3338:DL3338)&lt;1,"",SUM(Q3338:DL3338)/COUNTIF(Q3338:DL3338,"&gt;0")))</f>
        <v>0</v>
      </c>
      <c r="P3338" s="109">
        <f>SUMIFS(Q3338:DK3338,Q$1:DK$1,Dashboard!$K$31)</f>
        <v>0</v>
      </c>
      <c r="U3338" s="95">
        <v>33</v>
      </c>
      <c r="AA3338" s="95">
        <v>25</v>
      </c>
      <c r="AH3338" s="95">
        <v>75</v>
      </c>
    </row>
    <row r="3339" spans="1:34" x14ac:dyDescent="0.3">
      <c r="A3339" s="89" t="str">
        <f>CONCATENATE(D3339,".",F3339,"-",G3339,".",H3339,"")</f>
        <v>2.6-3.1</v>
      </c>
      <c r="B3339" s="89" t="str">
        <f>IF(CONCATENATE(I3339,Key!F$2)=CONCATENATE(INDEX(Dashboard!J:J,MATCH(I3339,Dashboard!J:J,0),1),INDEX(Dashboard!J:K,MATCH(I3339,Dashboard!J:J,0),2)),"ON",IF(Dashboard!K$32="ALL","ON","-"))</f>
        <v>-</v>
      </c>
      <c r="C3339" s="88" t="s">
        <v>152</v>
      </c>
      <c r="D3339" s="89">
        <f>IF(C3339="ID",1,(IF(C3339="PR",2,(IF(C3339="DE",3,(IF(C3339="RS",4,(IF(C3339="RC",5,0)))))))))</f>
        <v>2</v>
      </c>
      <c r="E3339" s="89" t="s">
        <v>271</v>
      </c>
      <c r="F3339" s="89">
        <f>IF(E3339="AM",1,(IF(E3339="BE",2,(IF(E3339="GV",3,(IF(E3339="RA",4,(IF(E3339="RM",5,(IF(E3339="AC",1,(IF(E3339="AT",2,(IF(E3339="DS",3,(IF(E3339="IP",4,(IF(E3339="MA",5,(IF(E3339="PT",6,(IF(E3339="AE",1,(IF(E3339="CM",2,(IF(E3339="DP",3,(IF(E3339="AN",1,(IF(E3339="CO",2,(IF(E3339="IM",3,(IF(E3339="MI",4,(IF(E3339="RP",5,(IF(E3339="SC",6,0)))))))))))))))))))))))))))))))))))))))</f>
        <v>6</v>
      </c>
      <c r="G3339" s="52">
        <v>3</v>
      </c>
      <c r="H3339" s="90" t="s">
        <v>115</v>
      </c>
      <c r="I3339" s="93" t="s">
        <v>85</v>
      </c>
      <c r="J3339" s="86" t="s">
        <v>843</v>
      </c>
      <c r="K3339" s="119" t="s">
        <v>5087</v>
      </c>
      <c r="L3339" s="117">
        <f>IF(O3339="","",N3339*O3339*M3339)</f>
        <v>0</v>
      </c>
      <c r="M3339" s="108">
        <v>1</v>
      </c>
      <c r="N3339" s="95">
        <v>1</v>
      </c>
      <c r="O3339" s="109">
        <f>IF(Key!D$1="ON",P3339,IF(SUM(Q3339:DL3339)&lt;1,"",SUM(Q3339:DL3339)/COUNTIF(Q3339:DL3339,"&gt;0")))</f>
        <v>0</v>
      </c>
      <c r="P3339" s="109">
        <f>SUMIFS(Q3339:DK3339,Q$1:DK$1,Dashboard!$K$31)</f>
        <v>0</v>
      </c>
      <c r="U3339" s="95">
        <v>33</v>
      </c>
      <c r="AA3339" s="95">
        <v>25</v>
      </c>
      <c r="AH3339" s="95">
        <v>75</v>
      </c>
    </row>
    <row r="3340" spans="1:34" x14ac:dyDescent="0.3">
      <c r="A3340" s="89" t="str">
        <f>CONCATENATE(D3340,".",F3340,"-",G3340,".",H3340,"")</f>
        <v>2.6-3.1</v>
      </c>
      <c r="B3340" s="89" t="str">
        <f>IF(CONCATENATE(I3340,Key!F$2)=CONCATENATE(INDEX(Dashboard!J:J,MATCH(I3340,Dashboard!J:J,0),1),INDEX(Dashboard!J:K,MATCH(I3340,Dashboard!J:J,0),2)),"ON",IF(Dashboard!K$32="ALL","ON","-"))</f>
        <v>-</v>
      </c>
      <c r="C3340" s="88" t="s">
        <v>152</v>
      </c>
      <c r="D3340" s="89">
        <f>IF(C3340="ID",1,(IF(C3340="PR",2,(IF(C3340="DE",3,(IF(C3340="RS",4,(IF(C3340="RC",5,0)))))))))</f>
        <v>2</v>
      </c>
      <c r="E3340" s="89" t="s">
        <v>271</v>
      </c>
      <c r="F3340" s="89">
        <f>IF(E3340="AM",1,(IF(E3340="BE",2,(IF(E3340="GV",3,(IF(E3340="RA",4,(IF(E3340="RM",5,(IF(E3340="AC",1,(IF(E3340="AT",2,(IF(E3340="DS",3,(IF(E3340="IP",4,(IF(E3340="MA",5,(IF(E3340="PT",6,(IF(E3340="AE",1,(IF(E3340="CM",2,(IF(E3340="DP",3,(IF(E3340="AN",1,(IF(E3340="CO",2,(IF(E3340="IM",3,(IF(E3340="MI",4,(IF(E3340="RP",5,(IF(E3340="SC",6,0)))))))))))))))))))))))))))))))))))))))</f>
        <v>6</v>
      </c>
      <c r="G3340" s="52">
        <v>3</v>
      </c>
      <c r="H3340" s="90" t="s">
        <v>115</v>
      </c>
      <c r="I3340" s="93" t="s">
        <v>85</v>
      </c>
      <c r="J3340" s="87" t="s">
        <v>1762</v>
      </c>
      <c r="K3340" s="119" t="s">
        <v>5039</v>
      </c>
      <c r="L3340" s="117">
        <f>IF(O3340="","",N3340*O3340*M3340)</f>
        <v>0</v>
      </c>
      <c r="M3340" s="108">
        <v>1</v>
      </c>
      <c r="N3340" s="95">
        <v>1</v>
      </c>
      <c r="O3340" s="109">
        <f>IF(Key!D$1="ON",P3340,IF(SUM(Q3340:DL3340)&lt;1,"",SUM(Q3340:DL3340)/COUNTIF(Q3340:DL3340,"&gt;0")))</f>
        <v>0</v>
      </c>
      <c r="P3340" s="109">
        <f>SUMIFS(Q3340:DK3340,Q$1:DK$1,Dashboard!$K$31)</f>
        <v>0</v>
      </c>
      <c r="U3340" s="95">
        <v>33</v>
      </c>
      <c r="AA3340" s="95">
        <v>25</v>
      </c>
      <c r="AH3340" s="95">
        <v>75</v>
      </c>
    </row>
    <row r="3341" spans="1:34" x14ac:dyDescent="0.3">
      <c r="A3341" s="89" t="str">
        <f>CONCATENATE(D3341,".",F3341,"-",G3341,".",H3341,"")</f>
        <v>2.6-3.1</v>
      </c>
      <c r="B3341" s="89" t="str">
        <f>IF(CONCATENATE(I3341,Key!F$2)=CONCATENATE(INDEX(Dashboard!J:J,MATCH(I3341,Dashboard!J:J,0),1),INDEX(Dashboard!J:K,MATCH(I3341,Dashboard!J:J,0),2)),"ON",IF(Dashboard!K$32="ALL","ON","-"))</f>
        <v>-</v>
      </c>
      <c r="C3341" s="88" t="s">
        <v>152</v>
      </c>
      <c r="D3341" s="89">
        <f>IF(C3341="ID",1,(IF(C3341="PR",2,(IF(C3341="DE",3,(IF(C3341="RS",4,(IF(C3341="RC",5,0)))))))))</f>
        <v>2</v>
      </c>
      <c r="E3341" s="89" t="s">
        <v>271</v>
      </c>
      <c r="F3341" s="89">
        <f>IF(E3341="AM",1,(IF(E3341="BE",2,(IF(E3341="GV",3,(IF(E3341="RA",4,(IF(E3341="RM",5,(IF(E3341="AC",1,(IF(E3341="AT",2,(IF(E3341="DS",3,(IF(E3341="IP",4,(IF(E3341="MA",5,(IF(E3341="PT",6,(IF(E3341="AE",1,(IF(E3341="CM",2,(IF(E3341="DP",3,(IF(E3341="AN",1,(IF(E3341="CO",2,(IF(E3341="IM",3,(IF(E3341="MI",4,(IF(E3341="RP",5,(IF(E3341="SC",6,0)))))))))))))))))))))))))))))))))))))))</f>
        <v>6</v>
      </c>
      <c r="G3341" s="52">
        <v>3</v>
      </c>
      <c r="H3341" s="90" t="s">
        <v>115</v>
      </c>
      <c r="I3341" s="93" t="s">
        <v>85</v>
      </c>
      <c r="J3341" s="87" t="s">
        <v>1771</v>
      </c>
      <c r="K3341" s="119" t="s">
        <v>1772</v>
      </c>
      <c r="L3341" s="117">
        <f>IF(O3341="","",N3341*O3341*M3341)</f>
        <v>0</v>
      </c>
      <c r="M3341" s="108">
        <v>1</v>
      </c>
      <c r="N3341" s="95">
        <v>1</v>
      </c>
      <c r="O3341" s="109">
        <f>IF(Key!D$1="ON",P3341,IF(SUM(Q3341:DL3341)&lt;1,"",SUM(Q3341:DL3341)/COUNTIF(Q3341:DL3341,"&gt;0")))</f>
        <v>0</v>
      </c>
      <c r="P3341" s="109">
        <f>SUMIFS(Q3341:DK3341,Q$1:DK$1,Dashboard!$K$31)</f>
        <v>0</v>
      </c>
      <c r="U3341" s="95">
        <v>33</v>
      </c>
      <c r="AA3341" s="95">
        <v>25</v>
      </c>
      <c r="AH3341" s="95">
        <v>75</v>
      </c>
    </row>
    <row r="3342" spans="1:34" x14ac:dyDescent="0.3">
      <c r="A3342" s="89" t="str">
        <f>CONCATENATE(D3342,".",F3342,"-",G3342,".",H3342,"")</f>
        <v>2.6-3.1</v>
      </c>
      <c r="B3342" s="89" t="str">
        <f>IF(CONCATENATE(I3342,Key!F$2)=CONCATENATE(INDEX(Dashboard!J:J,MATCH(I3342,Dashboard!J:J,0),1),INDEX(Dashboard!J:K,MATCH(I3342,Dashboard!J:J,0),2)),"ON",IF(Dashboard!K$32="ALL","ON","-"))</f>
        <v>-</v>
      </c>
      <c r="C3342" s="88" t="s">
        <v>152</v>
      </c>
      <c r="D3342" s="89">
        <f>IF(C3342="ID",1,(IF(C3342="PR",2,(IF(C3342="DE",3,(IF(C3342="RS",4,(IF(C3342="RC",5,0)))))))))</f>
        <v>2</v>
      </c>
      <c r="E3342" s="89" t="s">
        <v>271</v>
      </c>
      <c r="F3342" s="89">
        <f>IF(E3342="AM",1,(IF(E3342="BE",2,(IF(E3342="GV",3,(IF(E3342="RA",4,(IF(E3342="RM",5,(IF(E3342="AC",1,(IF(E3342="AT",2,(IF(E3342="DS",3,(IF(E3342="IP",4,(IF(E3342="MA",5,(IF(E3342="PT",6,(IF(E3342="AE",1,(IF(E3342="CM",2,(IF(E3342="DP",3,(IF(E3342="AN",1,(IF(E3342="CO",2,(IF(E3342="IM",3,(IF(E3342="MI",4,(IF(E3342="RP",5,(IF(E3342="SC",6,0)))))))))))))))))))))))))))))))))))))))</f>
        <v>6</v>
      </c>
      <c r="G3342" s="52">
        <v>3</v>
      </c>
      <c r="H3342" s="90" t="s">
        <v>115</v>
      </c>
      <c r="I3342" s="93" t="s">
        <v>85</v>
      </c>
      <c r="J3342" s="86" t="s">
        <v>915</v>
      </c>
      <c r="K3342" s="119" t="s">
        <v>916</v>
      </c>
      <c r="L3342" s="117">
        <f>IF(O3342="","",N3342*O3342*M3342)</f>
        <v>0</v>
      </c>
      <c r="M3342" s="108">
        <v>1</v>
      </c>
      <c r="N3342" s="95">
        <v>1</v>
      </c>
      <c r="O3342" s="109">
        <f>IF(Key!D$1="ON",P3342,IF(SUM(Q3342:DL3342)&lt;1,"",SUM(Q3342:DL3342)/COUNTIF(Q3342:DL3342,"&gt;0")))</f>
        <v>0</v>
      </c>
      <c r="P3342" s="109">
        <f>SUMIFS(Q3342:DK3342,Q$1:DK$1,Dashboard!$K$31)</f>
        <v>0</v>
      </c>
      <c r="U3342" s="95">
        <v>33</v>
      </c>
      <c r="AA3342" s="95">
        <v>25</v>
      </c>
      <c r="AH3342" s="95">
        <v>75</v>
      </c>
    </row>
    <row r="3343" spans="1:34" x14ac:dyDescent="0.3">
      <c r="A3343" s="89" t="str">
        <f>CONCATENATE(D3343,".",F3343,"-",G3343,".",H3343,"")</f>
        <v>2.6-3.1</v>
      </c>
      <c r="B3343" s="89" t="str">
        <f>IF(CONCATENATE(I3343,Key!F$2)=CONCATENATE(INDEX(Dashboard!J:J,MATCH(I3343,Dashboard!J:J,0),1),INDEX(Dashboard!J:K,MATCH(I3343,Dashboard!J:J,0),2)),"ON",IF(Dashboard!K$32="ALL","ON","-"))</f>
        <v>-</v>
      </c>
      <c r="C3343" s="88" t="s">
        <v>152</v>
      </c>
      <c r="D3343" s="89">
        <f>IF(C3343="ID",1,(IF(C3343="PR",2,(IF(C3343="DE",3,(IF(C3343="RS",4,(IF(C3343="RC",5,0)))))))))</f>
        <v>2</v>
      </c>
      <c r="E3343" s="89" t="s">
        <v>271</v>
      </c>
      <c r="F3343" s="89">
        <f>IF(E3343="AM",1,(IF(E3343="BE",2,(IF(E3343="GV",3,(IF(E3343="RA",4,(IF(E3343="RM",5,(IF(E3343="AC",1,(IF(E3343="AT",2,(IF(E3343="DS",3,(IF(E3343="IP",4,(IF(E3343="MA",5,(IF(E3343="PT",6,(IF(E3343="AE",1,(IF(E3343="CM",2,(IF(E3343="DP",3,(IF(E3343="AN",1,(IF(E3343="CO",2,(IF(E3343="IM",3,(IF(E3343="MI",4,(IF(E3343="RP",5,(IF(E3343="SC",6,0)))))))))))))))))))))))))))))))))))))))</f>
        <v>6</v>
      </c>
      <c r="G3343" s="52">
        <v>3</v>
      </c>
      <c r="H3343" s="90" t="s">
        <v>115</v>
      </c>
      <c r="I3343" s="93" t="s">
        <v>85</v>
      </c>
      <c r="J3343" s="86" t="s">
        <v>824</v>
      </c>
      <c r="K3343" s="119" t="s">
        <v>4647</v>
      </c>
      <c r="L3343" s="117">
        <f>IF(O3343="","",N3343*O3343*M3343)</f>
        <v>0</v>
      </c>
      <c r="M3343" s="108">
        <v>1</v>
      </c>
      <c r="N3343" s="95">
        <v>1</v>
      </c>
      <c r="O3343" s="109">
        <f>IF(Key!D$1="ON",P3343,IF(SUM(Q3343:DL3343)&lt;1,"",SUM(Q3343:DL3343)/COUNTIF(Q3343:DL3343,"&gt;0")))</f>
        <v>0</v>
      </c>
      <c r="P3343" s="109">
        <f>SUMIFS(Q3343:DK3343,Q$1:DK$1,Dashboard!$K$31)</f>
        <v>0</v>
      </c>
      <c r="U3343" s="95">
        <v>33</v>
      </c>
      <c r="AA3343" s="95">
        <v>25</v>
      </c>
      <c r="AH3343" s="95">
        <v>75</v>
      </c>
    </row>
    <row r="3344" spans="1:34" ht="15.6" x14ac:dyDescent="0.3">
      <c r="A3344" s="89" t="str">
        <f>CONCATENATE(D3344,".",F3344,"-",G3344,".",H3344,"")</f>
        <v>2.6-3.1</v>
      </c>
      <c r="B3344" s="89" t="str">
        <f>IF(CONCATENATE(I3344,Key!F$2)=CONCATENATE(INDEX(Dashboard!J:J,MATCH(I3344,Dashboard!J:J,0),1),INDEX(Dashboard!J:K,MATCH(I3344,Dashboard!J:J,0),2)),"ON",IF(Dashboard!K$32="ALL","ON","-"))</f>
        <v>-</v>
      </c>
      <c r="C3344" s="88" t="s">
        <v>152</v>
      </c>
      <c r="D3344" s="89">
        <f>IF(C3344="ID",1,(IF(C3344="PR",2,(IF(C3344="DE",3,(IF(C3344="RS",4,(IF(C3344="RC",5,0)))))))))</f>
        <v>2</v>
      </c>
      <c r="E3344" s="89" t="s">
        <v>271</v>
      </c>
      <c r="F3344" s="89">
        <f>IF(E3344="AM",1,(IF(E3344="BE",2,(IF(E3344="GV",3,(IF(E3344="RA",4,(IF(E3344="RM",5,(IF(E3344="AC",1,(IF(E3344="AT",2,(IF(E3344="DS",3,(IF(E3344="IP",4,(IF(E3344="MA",5,(IF(E3344="PT",6,(IF(E3344="AE",1,(IF(E3344="CM",2,(IF(E3344="DP",3,(IF(E3344="AN",1,(IF(E3344="CO",2,(IF(E3344="IM",3,(IF(E3344="MI",4,(IF(E3344="RP",5,(IF(E3344="SC",6,0)))))))))))))))))))))))))))))))))))))))</f>
        <v>6</v>
      </c>
      <c r="G3344" s="52">
        <v>3</v>
      </c>
      <c r="H3344" s="90" t="s">
        <v>115</v>
      </c>
      <c r="I3344" s="93" t="s">
        <v>85</v>
      </c>
      <c r="J3344" s="87" t="s">
        <v>1781</v>
      </c>
      <c r="K3344" s="119" t="s">
        <v>5006</v>
      </c>
      <c r="L3344" s="117">
        <f>IF(O3344="","",N3344*O3344*M3344)</f>
        <v>0</v>
      </c>
      <c r="M3344" s="108">
        <v>1</v>
      </c>
      <c r="N3344" s="95">
        <v>1</v>
      </c>
      <c r="O3344" s="109">
        <f>IF(Key!D$1="ON",P3344,IF(SUM(Q3344:DL3344)&lt;1,"",SUM(Q3344:DL3344)/COUNTIF(Q3344:DL3344,"&gt;0")))</f>
        <v>0</v>
      </c>
      <c r="P3344" s="109">
        <f>SUMIFS(Q3344:DK3344,Q$1:DK$1,Dashboard!$K$31)</f>
        <v>0</v>
      </c>
      <c r="U3344" s="95">
        <v>33</v>
      </c>
      <c r="AA3344" s="95">
        <v>25</v>
      </c>
      <c r="AH3344" s="95">
        <v>75</v>
      </c>
    </row>
    <row r="3345" spans="1:34" x14ac:dyDescent="0.3">
      <c r="A3345" s="89" t="str">
        <f>CONCATENATE(D3345,".",F3345,"-",G3345,".",H3345,"")</f>
        <v>2.6-3.1</v>
      </c>
      <c r="B3345" s="89" t="str">
        <f>IF(CONCATENATE(I3345,Key!F$2)=CONCATENATE(INDEX(Dashboard!J:J,MATCH(I3345,Dashboard!J:J,0),1),INDEX(Dashboard!J:K,MATCH(I3345,Dashboard!J:J,0),2)),"ON",IF(Dashboard!K$32="ALL","ON","-"))</f>
        <v>-</v>
      </c>
      <c r="C3345" s="88" t="s">
        <v>152</v>
      </c>
      <c r="D3345" s="89">
        <f>IF(C3345="ID",1,(IF(C3345="PR",2,(IF(C3345="DE",3,(IF(C3345="RS",4,(IF(C3345="RC",5,0)))))))))</f>
        <v>2</v>
      </c>
      <c r="E3345" s="89" t="s">
        <v>271</v>
      </c>
      <c r="F3345" s="89">
        <f>IF(E3345="AM",1,(IF(E3345="BE",2,(IF(E3345="GV",3,(IF(E3345="RA",4,(IF(E3345="RM",5,(IF(E3345="AC",1,(IF(E3345="AT",2,(IF(E3345="DS",3,(IF(E3345="IP",4,(IF(E3345="MA",5,(IF(E3345="PT",6,(IF(E3345="AE",1,(IF(E3345="CM",2,(IF(E3345="DP",3,(IF(E3345="AN",1,(IF(E3345="CO",2,(IF(E3345="IM",3,(IF(E3345="MI",4,(IF(E3345="RP",5,(IF(E3345="SC",6,0)))))))))))))))))))))))))))))))))))))))</f>
        <v>6</v>
      </c>
      <c r="G3345" s="52">
        <v>3</v>
      </c>
      <c r="H3345" s="90" t="s">
        <v>115</v>
      </c>
      <c r="I3345" s="93" t="s">
        <v>85</v>
      </c>
      <c r="J3345" s="87" t="s">
        <v>1783</v>
      </c>
      <c r="K3345" s="119" t="s">
        <v>1784</v>
      </c>
      <c r="L3345" s="117">
        <f>IF(O3345="","",N3345*O3345*M3345)</f>
        <v>0</v>
      </c>
      <c r="M3345" s="108">
        <v>1</v>
      </c>
      <c r="N3345" s="95">
        <v>1</v>
      </c>
      <c r="O3345" s="109">
        <f>IF(Key!D$1="ON",P3345,IF(SUM(Q3345:DL3345)&lt;1,"",SUM(Q3345:DL3345)/COUNTIF(Q3345:DL3345,"&gt;0")))</f>
        <v>0</v>
      </c>
      <c r="P3345" s="109">
        <f>SUMIFS(Q3345:DK3345,Q$1:DK$1,Dashboard!$K$31)</f>
        <v>0</v>
      </c>
      <c r="U3345" s="95">
        <v>33</v>
      </c>
      <c r="AA3345" s="95">
        <v>25</v>
      </c>
      <c r="AH3345" s="95">
        <v>75</v>
      </c>
    </row>
    <row r="3346" spans="1:34" x14ac:dyDescent="0.3">
      <c r="A3346" s="89" t="str">
        <f>CONCATENATE(D3346,".",F3346,"-",G3346,".",H3346,"")</f>
        <v>2.6-3.1</v>
      </c>
      <c r="B3346" s="89" t="str">
        <f>IF(CONCATENATE(I3346,Key!F$2)=CONCATENATE(INDEX(Dashboard!J:J,MATCH(I3346,Dashboard!J:J,0),1),INDEX(Dashboard!J:K,MATCH(I3346,Dashboard!J:J,0),2)),"ON",IF(Dashboard!K$32="ALL","ON","-"))</f>
        <v>-</v>
      </c>
      <c r="C3346" s="88" t="s">
        <v>152</v>
      </c>
      <c r="D3346" s="89">
        <f>IF(C3346="ID",1,(IF(C3346="PR",2,(IF(C3346="DE",3,(IF(C3346="RS",4,(IF(C3346="RC",5,0)))))))))</f>
        <v>2</v>
      </c>
      <c r="E3346" s="89" t="s">
        <v>271</v>
      </c>
      <c r="F3346" s="89">
        <f>IF(E3346="AM",1,(IF(E3346="BE",2,(IF(E3346="GV",3,(IF(E3346="RA",4,(IF(E3346="RM",5,(IF(E3346="AC",1,(IF(E3346="AT",2,(IF(E3346="DS",3,(IF(E3346="IP",4,(IF(E3346="MA",5,(IF(E3346="PT",6,(IF(E3346="AE",1,(IF(E3346="CM",2,(IF(E3346="DP",3,(IF(E3346="AN",1,(IF(E3346="CO",2,(IF(E3346="IM",3,(IF(E3346="MI",4,(IF(E3346="RP",5,(IF(E3346="SC",6,0)))))))))))))))))))))))))))))))))))))))</f>
        <v>6</v>
      </c>
      <c r="G3346" s="52">
        <v>3</v>
      </c>
      <c r="H3346" s="90" t="s">
        <v>115</v>
      </c>
      <c r="I3346" s="93" t="s">
        <v>92</v>
      </c>
      <c r="J3346" s="88">
        <v>1.3</v>
      </c>
      <c r="K3346" s="102" t="s">
        <v>5226</v>
      </c>
      <c r="L3346" s="117">
        <f>IF(O3346="","",N3346*O3346*M3346)</f>
        <v>0</v>
      </c>
      <c r="M3346" s="108">
        <v>1</v>
      </c>
      <c r="N3346" s="95">
        <v>1</v>
      </c>
      <c r="O3346" s="109">
        <f>IF(Key!D$1="ON",P3346,IF(SUM(Q3346:DL3346)&lt;1,"",SUM(Q3346:DL3346)/COUNTIF(Q3346:DL3346,"&gt;0")))</f>
        <v>0</v>
      </c>
      <c r="P3346" s="109">
        <f>SUMIFS(Q3346:DK3346,Q$1:DK$1,Dashboard!$K$31)</f>
        <v>0</v>
      </c>
      <c r="U3346" s="95">
        <v>33</v>
      </c>
      <c r="AA3346" s="95">
        <v>25</v>
      </c>
      <c r="AH3346" s="95">
        <v>75</v>
      </c>
    </row>
    <row r="3347" spans="1:34" x14ac:dyDescent="0.3">
      <c r="A3347" s="89" t="str">
        <f>CONCATENATE(D3347,".",F3347,"-",G3347,".",H3347,"")</f>
        <v>2.6-3.1</v>
      </c>
      <c r="B3347" s="89" t="str">
        <f>IF(CONCATENATE(I3347,Key!F$2)=CONCATENATE(INDEX(Dashboard!J:J,MATCH(I3347,Dashboard!J:J,0),1),INDEX(Dashboard!J:K,MATCH(I3347,Dashboard!J:J,0),2)),"ON",IF(Dashboard!K$32="ALL","ON","-"))</f>
        <v>-</v>
      </c>
      <c r="C3347" s="88" t="s">
        <v>152</v>
      </c>
      <c r="D3347" s="89">
        <f>IF(C3347="ID",1,(IF(C3347="PR",2,(IF(C3347="DE",3,(IF(C3347="RS",4,(IF(C3347="RC",5,0)))))))))</f>
        <v>2</v>
      </c>
      <c r="E3347" s="89" t="s">
        <v>271</v>
      </c>
      <c r="F3347" s="89">
        <f>IF(E3347="AM",1,(IF(E3347="BE",2,(IF(E3347="GV",3,(IF(E3347="RA",4,(IF(E3347="RM",5,(IF(E3347="AC",1,(IF(E3347="AT",2,(IF(E3347="DS",3,(IF(E3347="IP",4,(IF(E3347="MA",5,(IF(E3347="PT",6,(IF(E3347="AE",1,(IF(E3347="CM",2,(IF(E3347="DP",3,(IF(E3347="AN",1,(IF(E3347="CO",2,(IF(E3347="IM",3,(IF(E3347="MI",4,(IF(E3347="RP",5,(IF(E3347="SC",6,0)))))))))))))))))))))))))))))))))))))))</f>
        <v>6</v>
      </c>
      <c r="G3347" s="52">
        <v>3</v>
      </c>
      <c r="H3347" s="90" t="s">
        <v>115</v>
      </c>
      <c r="I3347" s="93" t="s">
        <v>92</v>
      </c>
      <c r="J3347" s="88">
        <v>3.5</v>
      </c>
      <c r="K3347" s="102" t="s">
        <v>5226</v>
      </c>
      <c r="L3347" s="117">
        <f>IF(O3347="","",N3347*O3347*M3347)</f>
        <v>0</v>
      </c>
      <c r="M3347" s="108">
        <v>1</v>
      </c>
      <c r="N3347" s="95">
        <v>1</v>
      </c>
      <c r="O3347" s="109">
        <f>IF(Key!D$1="ON",P3347,IF(SUM(Q3347:DL3347)&lt;1,"",SUM(Q3347:DL3347)/COUNTIF(Q3347:DL3347,"&gt;0")))</f>
        <v>0</v>
      </c>
      <c r="P3347" s="109">
        <f>SUMIFS(Q3347:DK3347,Q$1:DK$1,Dashboard!$K$31)</f>
        <v>0</v>
      </c>
      <c r="U3347" s="95">
        <v>33</v>
      </c>
      <c r="AA3347" s="95">
        <v>25</v>
      </c>
      <c r="AH3347" s="95">
        <v>75</v>
      </c>
    </row>
    <row r="3348" spans="1:34" ht="15.6" x14ac:dyDescent="0.3">
      <c r="A3348" s="89" t="str">
        <f>CONCATENATE(D3348,".",F3348,"-",G3348,".",H3348,"")</f>
        <v>2.6-3.1</v>
      </c>
      <c r="B3348" s="89" t="str">
        <f>IF(CONCATENATE(I3348,Key!F$2)=CONCATENATE(INDEX(Dashboard!J:J,MATCH(I3348,Dashboard!J:J,0),1),INDEX(Dashboard!J:K,MATCH(I3348,Dashboard!J:J,0),2)),"ON",IF(Dashboard!K$32="ALL","ON","-"))</f>
        <v>-</v>
      </c>
      <c r="C3348" s="88" t="s">
        <v>152</v>
      </c>
      <c r="D3348" s="89">
        <f>IF(C3348="ID",1,(IF(C3348="PR",2,(IF(C3348="DE",3,(IF(C3348="RS",4,(IF(C3348="RC",5,0)))))))))</f>
        <v>2</v>
      </c>
      <c r="E3348" s="89" t="s">
        <v>271</v>
      </c>
      <c r="F3348" s="89">
        <f>IF(E3348="AM",1,(IF(E3348="BE",2,(IF(E3348="GV",3,(IF(E3348="RA",4,(IF(E3348="RM",5,(IF(E3348="AC",1,(IF(E3348="AT",2,(IF(E3348="DS",3,(IF(E3348="IP",4,(IF(E3348="MA",5,(IF(E3348="PT",6,(IF(E3348="AE",1,(IF(E3348="CM",2,(IF(E3348="DP",3,(IF(E3348="AN",1,(IF(E3348="CO",2,(IF(E3348="IM",3,(IF(E3348="MI",4,(IF(E3348="RP",5,(IF(E3348="SC",6,0)))))))))))))))))))))))))))))))))))))))</f>
        <v>6</v>
      </c>
      <c r="G3348" s="52">
        <v>3</v>
      </c>
      <c r="H3348" s="90" t="s">
        <v>115</v>
      </c>
      <c r="I3348" s="93" t="s">
        <v>92</v>
      </c>
      <c r="J3348" s="88">
        <v>7</v>
      </c>
      <c r="K3348" s="102" t="s">
        <v>5226</v>
      </c>
      <c r="L3348" s="117">
        <f>IF(O3348="","",N3348*O3348*M3348)</f>
        <v>0</v>
      </c>
      <c r="M3348" s="108">
        <v>1</v>
      </c>
      <c r="N3348" s="95">
        <v>1</v>
      </c>
      <c r="O3348" s="109">
        <f>IF(Key!D$1="ON",P3348,IF(SUM(Q3348:DL3348)&lt;1,"",SUM(Q3348:DL3348)/COUNTIF(Q3348:DL3348,"&gt;0")))</f>
        <v>0</v>
      </c>
      <c r="P3348" s="109">
        <f>SUMIFS(Q3348:DK3348,Q$1:DK$1,Dashboard!$K$31)</f>
        <v>0</v>
      </c>
      <c r="U3348" s="95">
        <v>33</v>
      </c>
      <c r="AA3348" s="95">
        <v>25</v>
      </c>
      <c r="AH3348" s="95">
        <v>75</v>
      </c>
    </row>
    <row r="3349" spans="1:34" x14ac:dyDescent="0.3">
      <c r="A3349" s="89" t="str">
        <f>CONCATENATE(D3349,".",F3349,"-",G3349,".",H3349,"")</f>
        <v>2.6-3.1</v>
      </c>
      <c r="B3349" s="89" t="str">
        <f>IF(CONCATENATE(I3349,Key!F$2)=CONCATENATE(INDEX(Dashboard!J:J,MATCH(I3349,Dashboard!J:J,0),1),INDEX(Dashboard!J:K,MATCH(I3349,Dashboard!J:J,0),2)),"ON",IF(Dashboard!K$32="ALL","ON","-"))</f>
        <v>-</v>
      </c>
      <c r="C3349" s="88" t="s">
        <v>152</v>
      </c>
      <c r="D3349" s="89">
        <f>IF(C3349="ID",1,(IF(C3349="PR",2,(IF(C3349="DE",3,(IF(C3349="RS",4,(IF(C3349="RC",5,0)))))))))</f>
        <v>2</v>
      </c>
      <c r="E3349" s="89" t="s">
        <v>271</v>
      </c>
      <c r="F3349" s="89">
        <f>IF(E3349="AM",1,(IF(E3349="BE",2,(IF(E3349="GV",3,(IF(E3349="RA",4,(IF(E3349="RM",5,(IF(E3349="AC",1,(IF(E3349="AT",2,(IF(E3349="DS",3,(IF(E3349="IP",4,(IF(E3349="MA",5,(IF(E3349="PT",6,(IF(E3349="AE",1,(IF(E3349="CM",2,(IF(E3349="DP",3,(IF(E3349="AN",1,(IF(E3349="CO",2,(IF(E3349="IM",3,(IF(E3349="MI",4,(IF(E3349="RP",5,(IF(E3349="SC",6,0)))))))))))))))))))))))))))))))))))))))</f>
        <v>6</v>
      </c>
      <c r="G3349" s="52">
        <v>3</v>
      </c>
      <c r="H3349" s="90" t="s">
        <v>115</v>
      </c>
      <c r="I3349" s="93" t="s">
        <v>92</v>
      </c>
      <c r="J3349" s="88">
        <v>7.1</v>
      </c>
      <c r="K3349" s="102" t="s">
        <v>5226</v>
      </c>
      <c r="L3349" s="117">
        <f>IF(O3349="","",N3349*O3349*M3349)</f>
        <v>0</v>
      </c>
      <c r="M3349" s="108">
        <v>1</v>
      </c>
      <c r="N3349" s="95">
        <v>1</v>
      </c>
      <c r="O3349" s="109">
        <f>IF(Key!D$1="ON",P3349,IF(SUM(Q3349:DL3349)&lt;1,"",SUM(Q3349:DL3349)/COUNTIF(Q3349:DL3349,"&gt;0")))</f>
        <v>0</v>
      </c>
      <c r="P3349" s="109">
        <f>SUMIFS(Q3349:DK3349,Q$1:DK$1,Dashboard!$K$31)</f>
        <v>0</v>
      </c>
      <c r="U3349" s="95">
        <v>33</v>
      </c>
      <c r="AA3349" s="95">
        <v>25</v>
      </c>
      <c r="AH3349" s="95">
        <v>75</v>
      </c>
    </row>
    <row r="3350" spans="1:34" x14ac:dyDescent="0.3">
      <c r="A3350" s="89" t="str">
        <f>CONCATENATE(D3350,".",F3350,"-",G3350,".",H3350,"")</f>
        <v>2.6-3.1</v>
      </c>
      <c r="B3350" s="89" t="str">
        <f>IF(CONCATENATE(I3350,Key!F$2)=CONCATENATE(INDEX(Dashboard!J:J,MATCH(I3350,Dashboard!J:J,0),1),INDEX(Dashboard!J:K,MATCH(I3350,Dashboard!J:J,0),2)),"ON",IF(Dashboard!K$32="ALL","ON","-"))</f>
        <v>-</v>
      </c>
      <c r="C3350" s="88" t="s">
        <v>152</v>
      </c>
      <c r="D3350" s="89">
        <f>IF(C3350="ID",1,(IF(C3350="PR",2,(IF(C3350="DE",3,(IF(C3350="RS",4,(IF(C3350="RC",5,0)))))))))</f>
        <v>2</v>
      </c>
      <c r="E3350" s="89" t="s">
        <v>271</v>
      </c>
      <c r="F3350" s="89">
        <f>IF(E3350="AM",1,(IF(E3350="BE",2,(IF(E3350="GV",3,(IF(E3350="RA",4,(IF(E3350="RM",5,(IF(E3350="AC",1,(IF(E3350="AT",2,(IF(E3350="DS",3,(IF(E3350="IP",4,(IF(E3350="MA",5,(IF(E3350="PT",6,(IF(E3350="AE",1,(IF(E3350="CM",2,(IF(E3350="DP",3,(IF(E3350="AN",1,(IF(E3350="CO",2,(IF(E3350="IM",3,(IF(E3350="MI",4,(IF(E3350="RP",5,(IF(E3350="SC",6,0)))))))))))))))))))))))))))))))))))))))</f>
        <v>6</v>
      </c>
      <c r="G3350" s="52">
        <v>3</v>
      </c>
      <c r="H3350" s="90" t="s">
        <v>115</v>
      </c>
      <c r="I3350" s="93" t="s">
        <v>92</v>
      </c>
      <c r="J3350" s="88">
        <v>7.2</v>
      </c>
      <c r="K3350" s="102" t="s">
        <v>5226</v>
      </c>
      <c r="L3350" s="117">
        <f>IF(O3350="","",N3350*O3350*M3350)</f>
        <v>0</v>
      </c>
      <c r="M3350" s="108">
        <v>1</v>
      </c>
      <c r="N3350" s="95">
        <v>1</v>
      </c>
      <c r="O3350" s="109">
        <f>IF(Key!D$1="ON",P3350,IF(SUM(Q3350:DL3350)&lt;1,"",SUM(Q3350:DL3350)/COUNTIF(Q3350:DL3350,"&gt;0")))</f>
        <v>0</v>
      </c>
      <c r="P3350" s="109">
        <f>SUMIFS(Q3350:DK3350,Q$1:DK$1,Dashboard!$K$31)</f>
        <v>0</v>
      </c>
      <c r="U3350" s="95">
        <v>33</v>
      </c>
      <c r="AA3350" s="95">
        <v>25</v>
      </c>
      <c r="AH3350" s="95">
        <v>75</v>
      </c>
    </row>
    <row r="3351" spans="1:34" x14ac:dyDescent="0.3">
      <c r="A3351" s="89" t="str">
        <f>CONCATENATE(D3351,".",F3351,"-",G3351,".",H3351,"")</f>
        <v>2.6-3.1</v>
      </c>
      <c r="B3351" s="89" t="str">
        <f>IF(CONCATENATE(I3351,Key!F$2)=CONCATENATE(INDEX(Dashboard!J:J,MATCH(I3351,Dashboard!J:J,0),1),INDEX(Dashboard!J:K,MATCH(I3351,Dashboard!J:J,0),2)),"ON",IF(Dashboard!K$32="ALL","ON","-"))</f>
        <v>-</v>
      </c>
      <c r="C3351" s="88" t="s">
        <v>152</v>
      </c>
      <c r="D3351" s="89">
        <f>IF(C3351="ID",1,(IF(C3351="PR",2,(IF(C3351="DE",3,(IF(C3351="RS",4,(IF(C3351="RC",5,0)))))))))</f>
        <v>2</v>
      </c>
      <c r="E3351" s="89" t="s">
        <v>271</v>
      </c>
      <c r="F3351" s="89">
        <f>IF(E3351="AM",1,(IF(E3351="BE",2,(IF(E3351="GV",3,(IF(E3351="RA",4,(IF(E3351="RM",5,(IF(E3351="AC",1,(IF(E3351="AT",2,(IF(E3351="DS",3,(IF(E3351="IP",4,(IF(E3351="MA",5,(IF(E3351="PT",6,(IF(E3351="AE",1,(IF(E3351="CM",2,(IF(E3351="DP",3,(IF(E3351="AN",1,(IF(E3351="CO",2,(IF(E3351="IM",3,(IF(E3351="MI",4,(IF(E3351="RP",5,(IF(E3351="SC",6,0)))))))))))))))))))))))))))))))))))))))</f>
        <v>6</v>
      </c>
      <c r="G3351" s="52">
        <v>3</v>
      </c>
      <c r="H3351" s="90" t="s">
        <v>115</v>
      </c>
      <c r="I3351" s="93" t="s">
        <v>92</v>
      </c>
      <c r="J3351" s="88">
        <v>9.3000000000000007</v>
      </c>
      <c r="K3351" s="102" t="s">
        <v>5226</v>
      </c>
      <c r="L3351" s="117">
        <f>IF(O3351="","",N3351*O3351*M3351)</f>
        <v>0</v>
      </c>
      <c r="M3351" s="108">
        <v>1</v>
      </c>
      <c r="N3351" s="95">
        <v>1</v>
      </c>
      <c r="O3351" s="109">
        <f>IF(Key!D$1="ON",P3351,IF(SUM(Q3351:DL3351)&lt;1,"",SUM(Q3351:DL3351)/COUNTIF(Q3351:DL3351,"&gt;0")))</f>
        <v>0</v>
      </c>
      <c r="P3351" s="109">
        <f>SUMIFS(Q3351:DK3351,Q$1:DK$1,Dashboard!$K$31)</f>
        <v>0</v>
      </c>
      <c r="U3351" s="95">
        <v>33</v>
      </c>
      <c r="AA3351" s="95">
        <v>25</v>
      </c>
      <c r="AH3351" s="95">
        <v>75</v>
      </c>
    </row>
    <row r="3352" spans="1:34" x14ac:dyDescent="0.3">
      <c r="A3352" s="89" t="str">
        <f>CONCATENATE(D3352,".",F3352,"-",G3352,".",H3352,"")</f>
        <v>2.6-3.1</v>
      </c>
      <c r="B3352" s="89" t="str">
        <f>IF(CONCATENATE(I3352,Key!F$2)=CONCATENATE(INDEX(Dashboard!J:J,MATCH(I3352,Dashboard!J:J,0),1),INDEX(Dashboard!J:K,MATCH(I3352,Dashboard!J:J,0),2)),"ON",IF(Dashboard!K$32="ALL","ON","-"))</f>
        <v>-</v>
      </c>
      <c r="C3352" s="88" t="s">
        <v>152</v>
      </c>
      <c r="D3352" s="89">
        <f>IF(C3352="ID",1,(IF(C3352="PR",2,(IF(C3352="DE",3,(IF(C3352="RS",4,(IF(C3352="RC",5,0)))))))))</f>
        <v>2</v>
      </c>
      <c r="E3352" s="89" t="s">
        <v>271</v>
      </c>
      <c r="F3352" s="89">
        <f>IF(E3352="AM",1,(IF(E3352="BE",2,(IF(E3352="GV",3,(IF(E3352="RA",4,(IF(E3352="RM",5,(IF(E3352="AC",1,(IF(E3352="AT",2,(IF(E3352="DS",3,(IF(E3352="IP",4,(IF(E3352="MA",5,(IF(E3352="PT",6,(IF(E3352="AE",1,(IF(E3352="CM",2,(IF(E3352="DP",3,(IF(E3352="AN",1,(IF(E3352="CO",2,(IF(E3352="IM",3,(IF(E3352="MI",4,(IF(E3352="RP",5,(IF(E3352="SC",6,0)))))))))))))))))))))))))))))))))))))))</f>
        <v>6</v>
      </c>
      <c r="G3352" s="52">
        <v>3</v>
      </c>
      <c r="H3352" s="90" t="s">
        <v>115</v>
      </c>
      <c r="I3352" s="93" t="s">
        <v>92</v>
      </c>
      <c r="J3352" s="88" t="s">
        <v>290</v>
      </c>
      <c r="K3352" s="102" t="s">
        <v>5226</v>
      </c>
      <c r="L3352" s="117">
        <f>IF(O3352="","",N3352*O3352*M3352)</f>
        <v>0</v>
      </c>
      <c r="M3352" s="108">
        <v>1</v>
      </c>
      <c r="N3352" s="95">
        <v>1</v>
      </c>
      <c r="O3352" s="109">
        <f>IF(Key!D$1="ON",P3352,IF(SUM(Q3352:DL3352)&lt;1,"",SUM(Q3352:DL3352)/COUNTIF(Q3352:DL3352,"&gt;0")))</f>
        <v>0</v>
      </c>
      <c r="P3352" s="109">
        <f>SUMIFS(Q3352:DK3352,Q$1:DK$1,Dashboard!$K$31)</f>
        <v>0</v>
      </c>
      <c r="U3352" s="95">
        <v>33</v>
      </c>
      <c r="AA3352" s="95">
        <v>25</v>
      </c>
      <c r="AH3352" s="95">
        <v>75</v>
      </c>
    </row>
    <row r="3353" spans="1:34" x14ac:dyDescent="0.3">
      <c r="A3353" s="89" t="str">
        <f>CONCATENATE(D3353,".",F3353,"-",G3353,".",H3353,"")</f>
        <v>2.6-3.1</v>
      </c>
      <c r="B3353" s="89" t="str">
        <f>IF(CONCATENATE(I3353,Key!F$2)=CONCATENATE(INDEX(Dashboard!J:J,MATCH(I3353,Dashboard!J:J,0),1),INDEX(Dashboard!J:K,MATCH(I3353,Dashboard!J:J,0),2)),"ON",IF(Dashboard!K$32="ALL","ON","-"))</f>
        <v>-</v>
      </c>
      <c r="C3353" s="96" t="s">
        <v>152</v>
      </c>
      <c r="D3353" s="89">
        <f>IF(C3353="ID",1,(IF(C3353="PR",2,(IF(C3353="DE",3,(IF(C3353="RS",4,(IF(C3353="RC",5,0)))))))))</f>
        <v>2</v>
      </c>
      <c r="E3353" s="89" t="s">
        <v>271</v>
      </c>
      <c r="F3353" s="89">
        <f>IF(E3353="AM",1,(IF(E3353="BE",2,(IF(E3353="GV",3,(IF(E3353="RA",4,(IF(E3353="RM",5,(IF(E3353="AC",1,(IF(E3353="AT",2,(IF(E3353="DS",3,(IF(E3353="IP",4,(IF(E3353="MA",5,(IF(E3353="PT",6,(IF(E3353="AE",1,(IF(E3353="CM",2,(IF(E3353="DP",3,(IF(E3353="AN",1,(IF(E3353="CO",2,(IF(E3353="IM",3,(IF(E3353="MI",4,(IF(E3353="RP",5,(IF(E3353="SC",6,0)))))))))))))))))))))))))))))))))))))))</f>
        <v>6</v>
      </c>
      <c r="G3353" s="52">
        <v>3</v>
      </c>
      <c r="H3353" s="90" t="s">
        <v>115</v>
      </c>
      <c r="I3353" s="93" t="s">
        <v>92</v>
      </c>
      <c r="J3353" s="88" t="s">
        <v>291</v>
      </c>
      <c r="K3353" s="102" t="s">
        <v>5226</v>
      </c>
      <c r="L3353" s="117">
        <f>IF(O3353="","",N3353*O3353*M3353)</f>
        <v>0</v>
      </c>
      <c r="M3353" s="108">
        <v>1</v>
      </c>
      <c r="N3353" s="95">
        <v>1</v>
      </c>
      <c r="O3353" s="109">
        <f>IF(Key!D$1="ON",P3353,IF(SUM(Q3353:DL3353)&lt;1,"",SUM(Q3353:DL3353)/COUNTIF(Q3353:DL3353,"&gt;0")))</f>
        <v>0</v>
      </c>
      <c r="P3353" s="109">
        <f>SUMIFS(Q3353:DK3353,Q$1:DK$1,Dashboard!$K$31)</f>
        <v>0</v>
      </c>
      <c r="U3353" s="95">
        <v>33</v>
      </c>
      <c r="AA3353" s="95">
        <v>25</v>
      </c>
      <c r="AH3353" s="95">
        <v>75</v>
      </c>
    </row>
    <row r="3354" spans="1:34" x14ac:dyDescent="0.3">
      <c r="A3354" s="89" t="str">
        <f>CONCATENATE(D3354,".",F3354,"-",G3354,".",H3354,"")</f>
        <v>2.6-3.1</v>
      </c>
      <c r="B3354" s="89" t="str">
        <f>IF(CONCATENATE(I3354,Key!F$2)=CONCATENATE(INDEX(Dashboard!J:J,MATCH(I3354,Dashboard!J:J,0),1),INDEX(Dashboard!J:K,MATCH(I3354,Dashboard!J:J,0),2)),"ON",IF(Dashboard!K$32="ALL","ON","-"))</f>
        <v>-</v>
      </c>
      <c r="C3354" s="88" t="s">
        <v>152</v>
      </c>
      <c r="D3354" s="89">
        <f>IF(C3354="ID",1,(IF(C3354="PR",2,(IF(C3354="DE",3,(IF(C3354="RS",4,(IF(C3354="RC",5,0)))))))))</f>
        <v>2</v>
      </c>
      <c r="E3354" s="89" t="s">
        <v>271</v>
      </c>
      <c r="F3354" s="89">
        <f>IF(E3354="AM",1,(IF(E3354="BE",2,(IF(E3354="GV",3,(IF(E3354="RA",4,(IF(E3354="RM",5,(IF(E3354="AC",1,(IF(E3354="AT",2,(IF(E3354="DS",3,(IF(E3354="IP",4,(IF(E3354="MA",5,(IF(E3354="PT",6,(IF(E3354="AE",1,(IF(E3354="CM",2,(IF(E3354="DP",3,(IF(E3354="AN",1,(IF(E3354="CO",2,(IF(E3354="IM",3,(IF(E3354="MI",4,(IF(E3354="RP",5,(IF(E3354="SC",6,0)))))))))))))))))))))))))))))))))))))))</f>
        <v>6</v>
      </c>
      <c r="G3354" s="52">
        <v>3</v>
      </c>
      <c r="H3354" s="90" t="s">
        <v>115</v>
      </c>
      <c r="I3354" s="93" t="s">
        <v>92</v>
      </c>
      <c r="J3354" s="88" t="s">
        <v>229</v>
      </c>
      <c r="K3354" s="102" t="s">
        <v>5226</v>
      </c>
      <c r="L3354" s="117">
        <f>IF(O3354="","",N3354*O3354*M3354)</f>
        <v>0</v>
      </c>
      <c r="M3354" s="108">
        <v>1</v>
      </c>
      <c r="N3354" s="95">
        <v>1</v>
      </c>
      <c r="O3354" s="109">
        <f>IF(Key!D$1="ON",P3354,IF(SUM(Q3354:DL3354)&lt;1,"",SUM(Q3354:DL3354)/COUNTIF(Q3354:DL3354,"&gt;0")))</f>
        <v>0</v>
      </c>
      <c r="P3354" s="109">
        <f>SUMIFS(Q3354:DK3354,Q$1:DK$1,Dashboard!$K$31)</f>
        <v>0</v>
      </c>
      <c r="U3354" s="95">
        <v>33</v>
      </c>
      <c r="AA3354" s="95">
        <v>25</v>
      </c>
      <c r="AH3354" s="95">
        <v>75</v>
      </c>
    </row>
    <row r="3355" spans="1:34" x14ac:dyDescent="0.3">
      <c r="A3355" s="89" t="str">
        <f>CONCATENATE(D3355,".",F3355,"-",G3355,".",H3355,"")</f>
        <v>2.6-3.1</v>
      </c>
      <c r="B3355" s="89" t="str">
        <f>IF(CONCATENATE(I3355,Key!F$2)=CONCATENATE(INDEX(Dashboard!J:J,MATCH(I3355,Dashboard!J:J,0),1),INDEX(Dashboard!J:K,MATCH(I3355,Dashboard!J:J,0),2)),"ON",IF(Dashboard!K$32="ALL","ON","-"))</f>
        <v>-</v>
      </c>
      <c r="C3355" s="88" t="s">
        <v>152</v>
      </c>
      <c r="D3355" s="89">
        <f>IF(C3355="ID",1,(IF(C3355="PR",2,(IF(C3355="DE",3,(IF(C3355="RS",4,(IF(C3355="RC",5,0)))))))))</f>
        <v>2</v>
      </c>
      <c r="E3355" s="89" t="s">
        <v>271</v>
      </c>
      <c r="F3355" s="89">
        <f>IF(E3355="AM",1,(IF(E3355="BE",2,(IF(E3355="GV",3,(IF(E3355="RA",4,(IF(E3355="RM",5,(IF(E3355="AC",1,(IF(E3355="AT",2,(IF(E3355="DS",3,(IF(E3355="IP",4,(IF(E3355="MA",5,(IF(E3355="PT",6,(IF(E3355="AE",1,(IF(E3355="CM",2,(IF(E3355="DP",3,(IF(E3355="AN",1,(IF(E3355="CO",2,(IF(E3355="IM",3,(IF(E3355="MI",4,(IF(E3355="RP",5,(IF(E3355="SC",6,0)))))))))))))))))))))))))))))))))))))))</f>
        <v>6</v>
      </c>
      <c r="G3355" s="52">
        <v>3</v>
      </c>
      <c r="H3355" s="90" t="s">
        <v>115</v>
      </c>
      <c r="I3355" s="93" t="s">
        <v>92</v>
      </c>
      <c r="J3355" s="88" t="s">
        <v>231</v>
      </c>
      <c r="K3355" s="102" t="s">
        <v>5226</v>
      </c>
      <c r="L3355" s="117">
        <f>IF(O3355="","",N3355*O3355*M3355)</f>
        <v>0</v>
      </c>
      <c r="M3355" s="108">
        <v>1</v>
      </c>
      <c r="N3355" s="95">
        <v>1</v>
      </c>
      <c r="O3355" s="109">
        <f>IF(Key!D$1="ON",P3355,IF(SUM(Q3355:DL3355)&lt;1,"",SUM(Q3355:DL3355)/COUNTIF(Q3355:DL3355,"&gt;0")))</f>
        <v>0</v>
      </c>
      <c r="P3355" s="109">
        <f>SUMIFS(Q3355:DK3355,Q$1:DK$1,Dashboard!$K$31)</f>
        <v>0</v>
      </c>
      <c r="U3355" s="95">
        <v>33</v>
      </c>
      <c r="AA3355" s="95">
        <v>25</v>
      </c>
      <c r="AH3355" s="95">
        <v>75</v>
      </c>
    </row>
    <row r="3356" spans="1:34" x14ac:dyDescent="0.3">
      <c r="A3356" s="89" t="str">
        <f>CONCATENATE(D3356,".",F3356,"-",G3356,".",H3356,"")</f>
        <v>2.6-3.1</v>
      </c>
      <c r="B3356" s="89" t="str">
        <f>IF(CONCATENATE(I3356,Key!F$2)=CONCATENATE(INDEX(Dashboard!J:J,MATCH(I3356,Dashboard!J:J,0),1),INDEX(Dashboard!J:K,MATCH(I3356,Dashboard!J:J,0),2)),"ON",IF(Dashboard!K$32="ALL","ON","-"))</f>
        <v>-</v>
      </c>
      <c r="C3356" s="88" t="s">
        <v>152</v>
      </c>
      <c r="D3356" s="89">
        <f>IF(C3356="ID",1,(IF(C3356="PR",2,(IF(C3356="DE",3,(IF(C3356="RS",4,(IF(C3356="RC",5,0)))))))))</f>
        <v>2</v>
      </c>
      <c r="E3356" s="89" t="s">
        <v>271</v>
      </c>
      <c r="F3356" s="89">
        <f>IF(E3356="AM",1,(IF(E3356="BE",2,(IF(E3356="GV",3,(IF(E3356="RA",4,(IF(E3356="RM",5,(IF(E3356="AC",1,(IF(E3356="AT",2,(IF(E3356="DS",3,(IF(E3356="IP",4,(IF(E3356="MA",5,(IF(E3356="PT",6,(IF(E3356="AE",1,(IF(E3356="CM",2,(IF(E3356="DP",3,(IF(E3356="AN",1,(IF(E3356="CO",2,(IF(E3356="IM",3,(IF(E3356="MI",4,(IF(E3356="RP",5,(IF(E3356="SC",6,0)))))))))))))))))))))))))))))))))))))))</f>
        <v>6</v>
      </c>
      <c r="G3356" s="52">
        <v>3</v>
      </c>
      <c r="H3356" s="90" t="s">
        <v>115</v>
      </c>
      <c r="I3356" s="93" t="s">
        <v>92</v>
      </c>
      <c r="J3356" s="88" t="s">
        <v>292</v>
      </c>
      <c r="K3356" s="102" t="s">
        <v>5226</v>
      </c>
      <c r="L3356" s="117">
        <f>IF(O3356="","",N3356*O3356*M3356)</f>
        <v>0</v>
      </c>
      <c r="M3356" s="108">
        <v>1</v>
      </c>
      <c r="N3356" s="95">
        <v>1</v>
      </c>
      <c r="O3356" s="109">
        <f>IF(Key!D$1="ON",P3356,IF(SUM(Q3356:DL3356)&lt;1,"",SUM(Q3356:DL3356)/COUNTIF(Q3356:DL3356,"&gt;0")))</f>
        <v>0</v>
      </c>
      <c r="P3356" s="109">
        <f>SUMIFS(Q3356:DK3356,Q$1:DK$1,Dashboard!$K$31)</f>
        <v>0</v>
      </c>
      <c r="U3356" s="95">
        <v>33</v>
      </c>
      <c r="AA3356" s="95">
        <v>25</v>
      </c>
      <c r="AH3356" s="95">
        <v>75</v>
      </c>
    </row>
    <row r="3357" spans="1:34" x14ac:dyDescent="0.3">
      <c r="A3357" s="89" t="str">
        <f>CONCATENATE(D3357,".",F3357,"-",G3357,".",H3357,"")</f>
        <v>2.6-3.1</v>
      </c>
      <c r="B3357" s="89" t="str">
        <f>IF(CONCATENATE(I3357,Key!F$2)=CONCATENATE(INDEX(Dashboard!J:J,MATCH(I3357,Dashboard!J:J,0),1),INDEX(Dashboard!J:K,MATCH(I3357,Dashboard!J:J,0),2)),"ON",IF(Dashboard!K$32="ALL","ON","-"))</f>
        <v>-</v>
      </c>
      <c r="C3357" s="88" t="s">
        <v>152</v>
      </c>
      <c r="D3357" s="89">
        <f>IF(C3357="ID",1,(IF(C3357="PR",2,(IF(C3357="DE",3,(IF(C3357="RS",4,(IF(C3357="RC",5,0)))))))))</f>
        <v>2</v>
      </c>
      <c r="E3357" s="89" t="s">
        <v>271</v>
      </c>
      <c r="F3357" s="89">
        <f>IF(E3357="AM",1,(IF(E3357="BE",2,(IF(E3357="GV",3,(IF(E3357="RA",4,(IF(E3357="RM",5,(IF(E3357="AC",1,(IF(E3357="AT",2,(IF(E3357="DS",3,(IF(E3357="IP",4,(IF(E3357="MA",5,(IF(E3357="PT",6,(IF(E3357="AE",1,(IF(E3357="CM",2,(IF(E3357="DP",3,(IF(E3357="AN",1,(IF(E3357="CO",2,(IF(E3357="IM",3,(IF(E3357="MI",4,(IF(E3357="RP",5,(IF(E3357="SC",6,0)))))))))))))))))))))))))))))))))))))))</f>
        <v>6</v>
      </c>
      <c r="G3357" s="52">
        <v>3</v>
      </c>
      <c r="H3357" s="90" t="s">
        <v>115</v>
      </c>
      <c r="I3357" s="93" t="s">
        <v>92</v>
      </c>
      <c r="J3357" s="88" t="s">
        <v>293</v>
      </c>
      <c r="K3357" s="102" t="s">
        <v>5226</v>
      </c>
      <c r="L3357" s="117">
        <f>IF(O3357="","",N3357*O3357*M3357)</f>
        <v>0</v>
      </c>
      <c r="M3357" s="108">
        <v>1</v>
      </c>
      <c r="N3357" s="95">
        <v>1</v>
      </c>
      <c r="O3357" s="109">
        <f>IF(Key!D$1="ON",P3357,IF(SUM(Q3357:DL3357)&lt;1,"",SUM(Q3357:DL3357)/COUNTIF(Q3357:DL3357,"&gt;0")))</f>
        <v>0</v>
      </c>
      <c r="P3357" s="109">
        <f>SUMIFS(Q3357:DK3357,Q$1:DK$1,Dashboard!$K$31)</f>
        <v>0</v>
      </c>
      <c r="U3357" s="95">
        <v>33</v>
      </c>
      <c r="AA3357" s="95">
        <v>25</v>
      </c>
      <c r="AH3357" s="95">
        <v>75</v>
      </c>
    </row>
    <row r="3358" spans="1:34" ht="15.6" x14ac:dyDescent="0.3">
      <c r="A3358" s="89" t="str">
        <f>CONCATENATE(D3358,".",F3358,"-",G3358,".",H3358,"")</f>
        <v>2.6-3.1</v>
      </c>
      <c r="B3358" s="89" t="str">
        <f>IF(CONCATENATE(I3358,Key!F$2)=CONCATENATE(INDEX(Dashboard!J:J,MATCH(I3358,Dashboard!J:J,0),1),INDEX(Dashboard!J:K,MATCH(I3358,Dashboard!J:J,0),2)),"ON",IF(Dashboard!K$32="ALL","ON","-"))</f>
        <v>-</v>
      </c>
      <c r="C3358" s="88" t="s">
        <v>152</v>
      </c>
      <c r="D3358" s="89">
        <f>IF(C3358="ID",1,(IF(C3358="PR",2,(IF(C3358="DE",3,(IF(C3358="RS",4,(IF(C3358="RC",5,0)))))))))</f>
        <v>2</v>
      </c>
      <c r="E3358" s="89" t="s">
        <v>271</v>
      </c>
      <c r="F3358" s="89">
        <f>IF(E3358="AM",1,(IF(E3358="BE",2,(IF(E3358="GV",3,(IF(E3358="RA",4,(IF(E3358="RM",5,(IF(E3358="AC",1,(IF(E3358="AT",2,(IF(E3358="DS",3,(IF(E3358="IP",4,(IF(E3358="MA",5,(IF(E3358="PT",6,(IF(E3358="AE",1,(IF(E3358="CM",2,(IF(E3358="DP",3,(IF(E3358="AN",1,(IF(E3358="CO",2,(IF(E3358="IM",3,(IF(E3358="MI",4,(IF(E3358="RP",5,(IF(E3358="SC",6,0)))))))))))))))))))))))))))))))))))))))</f>
        <v>6</v>
      </c>
      <c r="G3358" s="52">
        <v>3</v>
      </c>
      <c r="H3358" s="90" t="s">
        <v>115</v>
      </c>
      <c r="I3358" s="93" t="s">
        <v>92</v>
      </c>
      <c r="J3358" s="88" t="s">
        <v>294</v>
      </c>
      <c r="K3358" s="102" t="s">
        <v>5226</v>
      </c>
      <c r="L3358" s="117">
        <f>IF(O3358="","",N3358*O3358*M3358)</f>
        <v>0</v>
      </c>
      <c r="M3358" s="108">
        <v>1</v>
      </c>
      <c r="N3358" s="95">
        <v>1</v>
      </c>
      <c r="O3358" s="109">
        <f>IF(Key!D$1="ON",P3358,IF(SUM(Q3358:DL3358)&lt;1,"",SUM(Q3358:DL3358)/COUNTIF(Q3358:DL3358,"&gt;0")))</f>
        <v>0</v>
      </c>
      <c r="P3358" s="109">
        <f>SUMIFS(Q3358:DK3358,Q$1:DK$1,Dashboard!$K$31)</f>
        <v>0</v>
      </c>
      <c r="U3358" s="95">
        <v>33</v>
      </c>
      <c r="AA3358" s="95">
        <v>25</v>
      </c>
      <c r="AH3358" s="95">
        <v>75</v>
      </c>
    </row>
    <row r="3359" spans="1:34" x14ac:dyDescent="0.3">
      <c r="A3359" s="89" t="str">
        <f>CONCATENATE(D3359,".",F3359,"-",G3359,".",H3359,"")</f>
        <v>2.6-3.1</v>
      </c>
      <c r="B3359" s="89" t="str">
        <f>IF(CONCATENATE(I3359,Key!F$2)=CONCATENATE(INDEX(Dashboard!J:J,MATCH(I3359,Dashboard!J:J,0),1),INDEX(Dashboard!J:K,MATCH(I3359,Dashboard!J:J,0),2)),"ON",IF(Dashboard!K$32="ALL","ON","-"))</f>
        <v>-</v>
      </c>
      <c r="C3359" s="88" t="s">
        <v>152</v>
      </c>
      <c r="D3359" s="89">
        <f>IF(C3359="ID",1,(IF(C3359="PR",2,(IF(C3359="DE",3,(IF(C3359="RS",4,(IF(C3359="RC",5,0)))))))))</f>
        <v>2</v>
      </c>
      <c r="E3359" s="89" t="s">
        <v>271</v>
      </c>
      <c r="F3359" s="89">
        <f>IF(E3359="AM",1,(IF(E3359="BE",2,(IF(E3359="GV",3,(IF(E3359="RA",4,(IF(E3359="RM",5,(IF(E3359="AC",1,(IF(E3359="AT",2,(IF(E3359="DS",3,(IF(E3359="IP",4,(IF(E3359="MA",5,(IF(E3359="PT",6,(IF(E3359="AE",1,(IF(E3359="CM",2,(IF(E3359="DP",3,(IF(E3359="AN",1,(IF(E3359="CO",2,(IF(E3359="IM",3,(IF(E3359="MI",4,(IF(E3359="RP",5,(IF(E3359="SC",6,0)))))))))))))))))))))))))))))))))))))))</f>
        <v>6</v>
      </c>
      <c r="G3359" s="52">
        <v>3</v>
      </c>
      <c r="H3359" s="90" t="s">
        <v>115</v>
      </c>
      <c r="I3359" s="93" t="s">
        <v>92</v>
      </c>
      <c r="J3359" s="88" t="s">
        <v>295</v>
      </c>
      <c r="K3359" s="102" t="s">
        <v>5226</v>
      </c>
      <c r="L3359" s="117">
        <f>IF(O3359="","",N3359*O3359*M3359)</f>
        <v>0</v>
      </c>
      <c r="M3359" s="108">
        <v>1</v>
      </c>
      <c r="N3359" s="95">
        <v>1</v>
      </c>
      <c r="O3359" s="109">
        <f>IF(Key!D$1="ON",P3359,IF(SUM(Q3359:DL3359)&lt;1,"",SUM(Q3359:DL3359)/COUNTIF(Q3359:DL3359,"&gt;0")))</f>
        <v>0</v>
      </c>
      <c r="P3359" s="109">
        <f>SUMIFS(Q3359:DK3359,Q$1:DK$1,Dashboard!$K$31)</f>
        <v>0</v>
      </c>
      <c r="U3359" s="95">
        <v>33</v>
      </c>
      <c r="AA3359" s="95">
        <v>25</v>
      </c>
      <c r="AH3359" s="95">
        <v>75</v>
      </c>
    </row>
    <row r="3360" spans="1:34" x14ac:dyDescent="0.3">
      <c r="A3360" s="89" t="str">
        <f>CONCATENATE(D3360,".",F3360,"-",G3360,".",H3360,"")</f>
        <v>2.6-3.1</v>
      </c>
      <c r="B3360" s="89" t="str">
        <f>IF(CONCATENATE(I3360,Key!F$2)=CONCATENATE(INDEX(Dashboard!J:J,MATCH(I3360,Dashboard!J:J,0),1),INDEX(Dashboard!J:K,MATCH(I3360,Dashboard!J:J,0),2)),"ON",IF(Dashboard!K$32="ALL","ON","-"))</f>
        <v>-</v>
      </c>
      <c r="C3360" s="88" t="s">
        <v>152</v>
      </c>
      <c r="D3360" s="89">
        <f>IF(C3360="ID",1,(IF(C3360="PR",2,(IF(C3360="DE",3,(IF(C3360="RS",4,(IF(C3360="RC",5,0)))))))))</f>
        <v>2</v>
      </c>
      <c r="E3360" s="89" t="s">
        <v>271</v>
      </c>
      <c r="F3360" s="89">
        <f>IF(E3360="AM",1,(IF(E3360="BE",2,(IF(E3360="GV",3,(IF(E3360="RA",4,(IF(E3360="RM",5,(IF(E3360="AC",1,(IF(E3360="AT",2,(IF(E3360="DS",3,(IF(E3360="IP",4,(IF(E3360="MA",5,(IF(E3360="PT",6,(IF(E3360="AE",1,(IF(E3360="CM",2,(IF(E3360="DP",3,(IF(E3360="AN",1,(IF(E3360="CO",2,(IF(E3360="IM",3,(IF(E3360="MI",4,(IF(E3360="RP",5,(IF(E3360="SC",6,0)))))))))))))))))))))))))))))))))))))))</f>
        <v>6</v>
      </c>
      <c r="G3360" s="52">
        <v>3</v>
      </c>
      <c r="H3360" s="90" t="s">
        <v>115</v>
      </c>
      <c r="I3360" s="93" t="s">
        <v>92</v>
      </c>
      <c r="J3360" s="88" t="s">
        <v>296</v>
      </c>
      <c r="K3360" s="102" t="s">
        <v>5226</v>
      </c>
      <c r="L3360" s="117">
        <f>IF(O3360="","",N3360*O3360*M3360)</f>
        <v>0</v>
      </c>
      <c r="M3360" s="108">
        <v>1</v>
      </c>
      <c r="N3360" s="95">
        <v>1</v>
      </c>
      <c r="O3360" s="109">
        <f>IF(Key!D$1="ON",P3360,IF(SUM(Q3360:DL3360)&lt;1,"",SUM(Q3360:DL3360)/COUNTIF(Q3360:DL3360,"&gt;0")))</f>
        <v>0</v>
      </c>
      <c r="P3360" s="109">
        <f>SUMIFS(Q3360:DK3360,Q$1:DK$1,Dashboard!$K$31)</f>
        <v>0</v>
      </c>
      <c r="U3360" s="95">
        <v>33</v>
      </c>
      <c r="AA3360" s="95">
        <v>25</v>
      </c>
      <c r="AH3360" s="95">
        <v>75</v>
      </c>
    </row>
    <row r="3361" spans="1:34" ht="15.6" x14ac:dyDescent="0.3">
      <c r="A3361" s="89" t="str">
        <f>CONCATENATE(D3361,".",F3361,"-",G3361,".",H3361,"")</f>
        <v>2.6-3.1</v>
      </c>
      <c r="B3361" s="89" t="str">
        <f>IF(CONCATENATE(I3361,Key!F$2)=CONCATENATE(INDEX(Dashboard!J:J,MATCH(I3361,Dashboard!J:J,0),1),INDEX(Dashboard!J:K,MATCH(I3361,Dashboard!J:J,0),2)),"ON",IF(Dashboard!K$32="ALL","ON","-"))</f>
        <v>-</v>
      </c>
      <c r="C3361" s="88" t="s">
        <v>152</v>
      </c>
      <c r="D3361" s="89">
        <f>IF(C3361="ID",1,(IF(C3361="PR",2,(IF(C3361="DE",3,(IF(C3361="RS",4,(IF(C3361="RC",5,0)))))))))</f>
        <v>2</v>
      </c>
      <c r="E3361" s="89" t="s">
        <v>271</v>
      </c>
      <c r="F3361" s="89">
        <f>IF(E3361="AM",1,(IF(E3361="BE",2,(IF(E3361="GV",3,(IF(E3361="RA",4,(IF(E3361="RM",5,(IF(E3361="AC",1,(IF(E3361="AT",2,(IF(E3361="DS",3,(IF(E3361="IP",4,(IF(E3361="MA",5,(IF(E3361="PT",6,(IF(E3361="AE",1,(IF(E3361="CM",2,(IF(E3361="DP",3,(IF(E3361="AN",1,(IF(E3361="CO",2,(IF(E3361="IM",3,(IF(E3361="MI",4,(IF(E3361="RP",5,(IF(E3361="SC",6,0)))))))))))))))))))))))))))))))))))))))</f>
        <v>6</v>
      </c>
      <c r="G3361" s="52">
        <v>3</v>
      </c>
      <c r="H3361" s="90" t="s">
        <v>115</v>
      </c>
      <c r="I3361" s="93" t="s">
        <v>92</v>
      </c>
      <c r="J3361" s="88" t="s">
        <v>297</v>
      </c>
      <c r="K3361" s="102" t="s">
        <v>5226</v>
      </c>
      <c r="L3361" s="117">
        <f>IF(O3361="","",N3361*O3361*M3361)</f>
        <v>0</v>
      </c>
      <c r="M3361" s="108">
        <v>1</v>
      </c>
      <c r="N3361" s="95">
        <v>1</v>
      </c>
      <c r="O3361" s="109">
        <f>IF(Key!D$1="ON",P3361,IF(SUM(Q3361:DL3361)&lt;1,"",SUM(Q3361:DL3361)/COUNTIF(Q3361:DL3361,"&gt;0")))</f>
        <v>0</v>
      </c>
      <c r="P3361" s="109">
        <f>SUMIFS(Q3361:DK3361,Q$1:DK$1,Dashboard!$K$31)</f>
        <v>0</v>
      </c>
      <c r="U3361" s="95">
        <v>33</v>
      </c>
      <c r="AA3361" s="95">
        <v>25</v>
      </c>
      <c r="AH3361" s="95">
        <v>75</v>
      </c>
    </row>
    <row r="3362" spans="1:34" x14ac:dyDescent="0.3">
      <c r="A3362" s="89" t="str">
        <f>CONCATENATE(D3362,".",F3362,"-",G3362,".",H3362,"")</f>
        <v>2.6-3.1</v>
      </c>
      <c r="B3362" s="89" t="str">
        <f>IF(CONCATENATE(I3362,Key!F$2)=CONCATENATE(INDEX(Dashboard!J:J,MATCH(I3362,Dashboard!J:J,0),1),INDEX(Dashboard!J:K,MATCH(I3362,Dashboard!J:J,0),2)),"ON",IF(Dashboard!K$32="ALL","ON","-"))</f>
        <v>-</v>
      </c>
      <c r="C3362" s="88" t="s">
        <v>152</v>
      </c>
      <c r="D3362" s="89">
        <f>IF(C3362="ID",1,(IF(C3362="PR",2,(IF(C3362="DE",3,(IF(C3362="RS",4,(IF(C3362="RC",5,0)))))))))</f>
        <v>2</v>
      </c>
      <c r="E3362" s="89" t="s">
        <v>271</v>
      </c>
      <c r="F3362" s="89">
        <f>IF(E3362="AM",1,(IF(E3362="BE",2,(IF(E3362="GV",3,(IF(E3362="RA",4,(IF(E3362="RM",5,(IF(E3362="AC",1,(IF(E3362="AT",2,(IF(E3362="DS",3,(IF(E3362="IP",4,(IF(E3362="MA",5,(IF(E3362="PT",6,(IF(E3362="AE",1,(IF(E3362="CM",2,(IF(E3362="DP",3,(IF(E3362="AN",1,(IF(E3362="CO",2,(IF(E3362="IM",3,(IF(E3362="MI",4,(IF(E3362="RP",5,(IF(E3362="SC",6,0)))))))))))))))))))))))))))))))))))))))</f>
        <v>6</v>
      </c>
      <c r="G3362" s="52">
        <v>3</v>
      </c>
      <c r="H3362" s="90" t="s">
        <v>115</v>
      </c>
      <c r="I3362" s="93" t="s">
        <v>92</v>
      </c>
      <c r="J3362" s="88" t="s">
        <v>298</v>
      </c>
      <c r="K3362" s="102" t="s">
        <v>5226</v>
      </c>
      <c r="L3362" s="117">
        <f>IF(O3362="","",N3362*O3362*M3362)</f>
        <v>0</v>
      </c>
      <c r="M3362" s="108">
        <v>1</v>
      </c>
      <c r="N3362" s="95">
        <v>1</v>
      </c>
      <c r="O3362" s="109">
        <f>IF(Key!D$1="ON",P3362,IF(SUM(Q3362:DL3362)&lt;1,"",SUM(Q3362:DL3362)/COUNTIF(Q3362:DL3362,"&gt;0")))</f>
        <v>0</v>
      </c>
      <c r="P3362" s="109">
        <f>SUMIFS(Q3362:DK3362,Q$1:DK$1,Dashboard!$K$31)</f>
        <v>0</v>
      </c>
      <c r="U3362" s="95">
        <v>33</v>
      </c>
      <c r="AA3362" s="95">
        <v>25</v>
      </c>
      <c r="AH3362" s="95">
        <v>75</v>
      </c>
    </row>
    <row r="3363" spans="1:34" x14ac:dyDescent="0.3">
      <c r="A3363" s="89" t="str">
        <f>CONCATENATE(D3363,".",F3363,"-",G3363,".",H3363,"")</f>
        <v>2.6-3.1</v>
      </c>
      <c r="B3363" s="89" t="str">
        <f>IF(CONCATENATE(I3363,Key!F$2)=CONCATENATE(INDEX(Dashboard!J:J,MATCH(I3363,Dashboard!J:J,0),1),INDEX(Dashboard!J:K,MATCH(I3363,Dashboard!J:J,0),2)),"ON",IF(Dashboard!K$32="ALL","ON","-"))</f>
        <v>-</v>
      </c>
      <c r="C3363" s="88" t="s">
        <v>152</v>
      </c>
      <c r="D3363" s="89">
        <f>IF(C3363="ID",1,(IF(C3363="PR",2,(IF(C3363="DE",3,(IF(C3363="RS",4,(IF(C3363="RC",5,0)))))))))</f>
        <v>2</v>
      </c>
      <c r="E3363" s="89" t="s">
        <v>271</v>
      </c>
      <c r="F3363" s="89">
        <f>IF(E3363="AM",1,(IF(E3363="BE",2,(IF(E3363="GV",3,(IF(E3363="RA",4,(IF(E3363="RM",5,(IF(E3363="AC",1,(IF(E3363="AT",2,(IF(E3363="DS",3,(IF(E3363="IP",4,(IF(E3363="MA",5,(IF(E3363="PT",6,(IF(E3363="AE",1,(IF(E3363="CM",2,(IF(E3363="DP",3,(IF(E3363="AN",1,(IF(E3363="CO",2,(IF(E3363="IM",3,(IF(E3363="MI",4,(IF(E3363="RP",5,(IF(E3363="SC",6,0)))))))))))))))))))))))))))))))))))))))</f>
        <v>6</v>
      </c>
      <c r="G3363" s="52">
        <v>3</v>
      </c>
      <c r="H3363" s="90" t="s">
        <v>115</v>
      </c>
      <c r="I3363" s="93" t="s">
        <v>92</v>
      </c>
      <c r="J3363" s="88" t="s">
        <v>299</v>
      </c>
      <c r="K3363" s="102" t="s">
        <v>5226</v>
      </c>
      <c r="L3363" s="117">
        <f>IF(O3363="","",N3363*O3363*M3363)</f>
        <v>0</v>
      </c>
      <c r="M3363" s="108">
        <v>1</v>
      </c>
      <c r="N3363" s="95">
        <v>1</v>
      </c>
      <c r="O3363" s="109">
        <f>IF(Key!D$1="ON",P3363,IF(SUM(Q3363:DL3363)&lt;1,"",SUM(Q3363:DL3363)/COUNTIF(Q3363:DL3363,"&gt;0")))</f>
        <v>0</v>
      </c>
      <c r="P3363" s="109">
        <f>SUMIFS(Q3363:DK3363,Q$1:DK$1,Dashboard!$K$31)</f>
        <v>0</v>
      </c>
      <c r="U3363" s="95">
        <v>33</v>
      </c>
      <c r="AA3363" s="95">
        <v>25</v>
      </c>
      <c r="AH3363" s="95">
        <v>75</v>
      </c>
    </row>
    <row r="3364" spans="1:34" x14ac:dyDescent="0.3">
      <c r="A3364" s="89" t="str">
        <f>CONCATENATE(D3364,".",F3364,"-",G3364,".",H3364,"")</f>
        <v>2.6-3.1</v>
      </c>
      <c r="B3364" s="89" t="str">
        <f>IF(CONCATENATE(I3364,Key!F$2)=CONCATENATE(INDEX(Dashboard!J:J,MATCH(I3364,Dashboard!J:J,0),1),INDEX(Dashboard!J:K,MATCH(I3364,Dashboard!J:J,0),2)),"ON",IF(Dashboard!K$32="ALL","ON","-"))</f>
        <v>-</v>
      </c>
      <c r="C3364" s="88" t="s">
        <v>152</v>
      </c>
      <c r="D3364" s="89">
        <f>IF(C3364="ID",1,(IF(C3364="PR",2,(IF(C3364="DE",3,(IF(C3364="RS",4,(IF(C3364="RC",5,0)))))))))</f>
        <v>2</v>
      </c>
      <c r="E3364" s="89" t="s">
        <v>271</v>
      </c>
      <c r="F3364" s="89">
        <f>IF(E3364="AM",1,(IF(E3364="BE",2,(IF(E3364="GV",3,(IF(E3364="RA",4,(IF(E3364="RM",5,(IF(E3364="AC",1,(IF(E3364="AT",2,(IF(E3364="DS",3,(IF(E3364="IP",4,(IF(E3364="MA",5,(IF(E3364="PT",6,(IF(E3364="AE",1,(IF(E3364="CM",2,(IF(E3364="DP",3,(IF(E3364="AN",1,(IF(E3364="CO",2,(IF(E3364="IM",3,(IF(E3364="MI",4,(IF(E3364="RP",5,(IF(E3364="SC",6,0)))))))))))))))))))))))))))))))))))))))</f>
        <v>6</v>
      </c>
      <c r="G3364" s="52">
        <v>3</v>
      </c>
      <c r="H3364" s="90" t="s">
        <v>115</v>
      </c>
      <c r="I3364" s="93" t="s">
        <v>92</v>
      </c>
      <c r="J3364" s="88" t="s">
        <v>300</v>
      </c>
      <c r="K3364" s="102" t="s">
        <v>5226</v>
      </c>
      <c r="L3364" s="117">
        <f>IF(O3364="","",N3364*O3364*M3364)</f>
        <v>0</v>
      </c>
      <c r="M3364" s="108">
        <v>1</v>
      </c>
      <c r="N3364" s="95">
        <v>1</v>
      </c>
      <c r="O3364" s="109">
        <f>IF(Key!D$1="ON",P3364,IF(SUM(Q3364:DL3364)&lt;1,"",SUM(Q3364:DL3364)/COUNTIF(Q3364:DL3364,"&gt;0")))</f>
        <v>0</v>
      </c>
      <c r="P3364" s="109">
        <f>SUMIFS(Q3364:DK3364,Q$1:DK$1,Dashboard!$K$31)</f>
        <v>0</v>
      </c>
      <c r="U3364" s="95">
        <v>33</v>
      </c>
      <c r="AA3364" s="95">
        <v>25</v>
      </c>
      <c r="AH3364" s="95">
        <v>75</v>
      </c>
    </row>
    <row r="3365" spans="1:34" x14ac:dyDescent="0.3">
      <c r="A3365" s="89" t="str">
        <f>CONCATENATE(D3365,".",F3365,"-",G3365,".",H3365,"")</f>
        <v>2.6-3.1</v>
      </c>
      <c r="B3365" s="89" t="str">
        <f>IF(CONCATENATE(I3365,Key!F$2)=CONCATENATE(INDEX(Dashboard!J:J,MATCH(I3365,Dashboard!J:J,0),1),INDEX(Dashboard!J:K,MATCH(I3365,Dashboard!J:J,0),2)),"ON",IF(Dashboard!K$32="ALL","ON","-"))</f>
        <v>-</v>
      </c>
      <c r="C3365" s="88" t="s">
        <v>152</v>
      </c>
      <c r="D3365" s="89">
        <f>IF(C3365="ID",1,(IF(C3365="PR",2,(IF(C3365="DE",3,(IF(C3365="RS",4,(IF(C3365="RC",5,0)))))))))</f>
        <v>2</v>
      </c>
      <c r="E3365" s="89" t="s">
        <v>271</v>
      </c>
      <c r="F3365" s="89">
        <f>IF(E3365="AM",1,(IF(E3365="BE",2,(IF(E3365="GV",3,(IF(E3365="RA",4,(IF(E3365="RM",5,(IF(E3365="AC",1,(IF(E3365="AT",2,(IF(E3365="DS",3,(IF(E3365="IP",4,(IF(E3365="MA",5,(IF(E3365="PT",6,(IF(E3365="AE",1,(IF(E3365="CM",2,(IF(E3365="DP",3,(IF(E3365="AN",1,(IF(E3365="CO",2,(IF(E3365="IM",3,(IF(E3365="MI",4,(IF(E3365="RP",5,(IF(E3365="SC",6,0)))))))))))))))))))))))))))))))))))))))</f>
        <v>6</v>
      </c>
      <c r="G3365" s="52">
        <v>3</v>
      </c>
      <c r="H3365" s="90" t="s">
        <v>115</v>
      </c>
      <c r="I3365" s="93" t="s">
        <v>92</v>
      </c>
      <c r="J3365" s="88" t="s">
        <v>301</v>
      </c>
      <c r="K3365" s="102" t="s">
        <v>5226</v>
      </c>
      <c r="L3365" s="117">
        <f>IF(O3365="","",N3365*O3365*M3365)</f>
        <v>0</v>
      </c>
      <c r="M3365" s="108">
        <v>1</v>
      </c>
      <c r="N3365" s="95">
        <v>1</v>
      </c>
      <c r="O3365" s="109">
        <f>IF(Key!D$1="ON",P3365,IF(SUM(Q3365:DL3365)&lt;1,"",SUM(Q3365:DL3365)/COUNTIF(Q3365:DL3365,"&gt;0")))</f>
        <v>0</v>
      </c>
      <c r="P3365" s="109">
        <f>SUMIFS(Q3365:DK3365,Q$1:DK$1,Dashboard!$K$31)</f>
        <v>0</v>
      </c>
      <c r="U3365" s="95">
        <v>33</v>
      </c>
      <c r="AA3365" s="95">
        <v>25</v>
      </c>
      <c r="AH3365" s="95">
        <v>75</v>
      </c>
    </row>
    <row r="3366" spans="1:34" x14ac:dyDescent="0.3">
      <c r="A3366" s="89" t="str">
        <f>CONCATENATE(D3366,".",F3366,"-",G3366,".",H3366,"")</f>
        <v>2.6-3.1</v>
      </c>
      <c r="B3366" s="89" t="str">
        <f>IF(CONCATENATE(I3366,Key!F$2)=CONCATENATE(INDEX(Dashboard!J:J,MATCH(I3366,Dashboard!J:J,0),1),INDEX(Dashboard!J:K,MATCH(I3366,Dashboard!J:J,0),2)),"ON",IF(Dashboard!K$32="ALL","ON","-"))</f>
        <v>-</v>
      </c>
      <c r="C3366" s="88" t="s">
        <v>152</v>
      </c>
      <c r="D3366" s="89">
        <f>IF(C3366="ID",1,(IF(C3366="PR",2,(IF(C3366="DE",3,(IF(C3366="RS",4,(IF(C3366="RC",5,0)))))))))</f>
        <v>2</v>
      </c>
      <c r="E3366" s="89" t="s">
        <v>271</v>
      </c>
      <c r="F3366" s="89">
        <f>IF(E3366="AM",1,(IF(E3366="BE",2,(IF(E3366="GV",3,(IF(E3366="RA",4,(IF(E3366="RM",5,(IF(E3366="AC",1,(IF(E3366="AT",2,(IF(E3366="DS",3,(IF(E3366="IP",4,(IF(E3366="MA",5,(IF(E3366="PT",6,(IF(E3366="AE",1,(IF(E3366="CM",2,(IF(E3366="DP",3,(IF(E3366="AN",1,(IF(E3366="CO",2,(IF(E3366="IM",3,(IF(E3366="MI",4,(IF(E3366="RP",5,(IF(E3366="SC",6,0)))))))))))))))))))))))))))))))))))))))</f>
        <v>6</v>
      </c>
      <c r="G3366" s="52">
        <v>3</v>
      </c>
      <c r="H3366" s="90" t="s">
        <v>115</v>
      </c>
      <c r="I3366" s="93" t="s">
        <v>92</v>
      </c>
      <c r="J3366" s="88" t="s">
        <v>205</v>
      </c>
      <c r="K3366" s="102" t="s">
        <v>5226</v>
      </c>
      <c r="L3366" s="117">
        <f>IF(O3366="","",N3366*O3366*M3366)</f>
        <v>0</v>
      </c>
      <c r="M3366" s="108">
        <v>1</v>
      </c>
      <c r="N3366" s="95">
        <v>1</v>
      </c>
      <c r="O3366" s="109">
        <f>IF(Key!D$1="ON",P3366,IF(SUM(Q3366:DL3366)&lt;1,"",SUM(Q3366:DL3366)/COUNTIF(Q3366:DL3366,"&gt;0")))</f>
        <v>0</v>
      </c>
      <c r="P3366" s="109">
        <f>SUMIFS(Q3366:DK3366,Q$1:DK$1,Dashboard!$K$31)</f>
        <v>0</v>
      </c>
      <c r="U3366" s="95">
        <v>33</v>
      </c>
      <c r="AA3366" s="95">
        <v>25</v>
      </c>
      <c r="AH3366" s="95">
        <v>75</v>
      </c>
    </row>
    <row r="3367" spans="1:34" ht="15.6" x14ac:dyDescent="0.3">
      <c r="A3367" s="89" t="str">
        <f>CONCATENATE(D3367,".",F3367,"-",G3367,".",H3367,"")</f>
        <v>2.6-3.1</v>
      </c>
      <c r="B3367" s="89" t="str">
        <f>IF(CONCATENATE(I3367,Key!F$2)=CONCATENATE(INDEX(Dashboard!J:J,MATCH(I3367,Dashboard!J:J,0),1),INDEX(Dashboard!J:K,MATCH(I3367,Dashboard!J:J,0),2)),"ON",IF(Dashboard!K$32="ALL","ON","-"))</f>
        <v>-</v>
      </c>
      <c r="C3367" s="88" t="s">
        <v>152</v>
      </c>
      <c r="D3367" s="89">
        <f>IF(C3367="ID",1,(IF(C3367="PR",2,(IF(C3367="DE",3,(IF(C3367="RS",4,(IF(C3367="RC",5,0)))))))))</f>
        <v>2</v>
      </c>
      <c r="E3367" s="89" t="s">
        <v>271</v>
      </c>
      <c r="F3367" s="89">
        <f>IF(E3367="AM",1,(IF(E3367="BE",2,(IF(E3367="GV",3,(IF(E3367="RA",4,(IF(E3367="RM",5,(IF(E3367="AC",1,(IF(E3367="AT",2,(IF(E3367="DS",3,(IF(E3367="IP",4,(IF(E3367="MA",5,(IF(E3367="PT",6,(IF(E3367="AE",1,(IF(E3367="CM",2,(IF(E3367="DP",3,(IF(E3367="AN",1,(IF(E3367="CO",2,(IF(E3367="IM",3,(IF(E3367="MI",4,(IF(E3367="RP",5,(IF(E3367="SC",6,0)))))))))))))))))))))))))))))))))))))))</f>
        <v>6</v>
      </c>
      <c r="G3367" s="52">
        <v>3</v>
      </c>
      <c r="H3367" s="90" t="s">
        <v>115</v>
      </c>
      <c r="I3367" s="93" t="s">
        <v>92</v>
      </c>
      <c r="J3367" s="88" t="s">
        <v>302</v>
      </c>
      <c r="K3367" s="102" t="s">
        <v>5226</v>
      </c>
      <c r="L3367" s="117">
        <f>IF(O3367="","",N3367*O3367*M3367)</f>
        <v>0</v>
      </c>
      <c r="M3367" s="108">
        <v>1</v>
      </c>
      <c r="N3367" s="95">
        <v>1</v>
      </c>
      <c r="O3367" s="109">
        <f>IF(Key!D$1="ON",P3367,IF(SUM(Q3367:DL3367)&lt;1,"",SUM(Q3367:DL3367)/COUNTIF(Q3367:DL3367,"&gt;0")))</f>
        <v>0</v>
      </c>
      <c r="P3367" s="109">
        <f>SUMIFS(Q3367:DK3367,Q$1:DK$1,Dashboard!$K$31)</f>
        <v>0</v>
      </c>
      <c r="U3367" s="95">
        <v>33</v>
      </c>
      <c r="AA3367" s="95">
        <v>25</v>
      </c>
      <c r="AH3367" s="95">
        <v>75</v>
      </c>
    </row>
    <row r="3368" spans="1:34" ht="15.6" x14ac:dyDescent="0.3">
      <c r="A3368" s="89" t="str">
        <f>CONCATENATE(D3368,".",F3368,"-",G3368,".",H3368,"")</f>
        <v>2.6-3.1</v>
      </c>
      <c r="B3368" s="89" t="str">
        <f>IF(CONCATENATE(I3368,Key!F$2)=CONCATENATE(INDEX(Dashboard!J:J,MATCH(I3368,Dashboard!J:J,0),1),INDEX(Dashboard!J:K,MATCH(I3368,Dashboard!J:J,0),2)),"ON",IF(Dashboard!K$32="ALL","ON","-"))</f>
        <v>-</v>
      </c>
      <c r="C3368" s="88" t="s">
        <v>152</v>
      </c>
      <c r="D3368" s="89">
        <f>IF(C3368="ID",1,(IF(C3368="PR",2,(IF(C3368="DE",3,(IF(C3368="RS",4,(IF(C3368="RC",5,0)))))))))</f>
        <v>2</v>
      </c>
      <c r="E3368" s="89" t="s">
        <v>271</v>
      </c>
      <c r="F3368" s="89">
        <f>IF(E3368="AM",1,(IF(E3368="BE",2,(IF(E3368="GV",3,(IF(E3368="RA",4,(IF(E3368="RM",5,(IF(E3368="AC",1,(IF(E3368="AT",2,(IF(E3368="DS",3,(IF(E3368="IP",4,(IF(E3368="MA",5,(IF(E3368="PT",6,(IF(E3368="AE",1,(IF(E3368="CM",2,(IF(E3368="DP",3,(IF(E3368="AN",1,(IF(E3368="CO",2,(IF(E3368="IM",3,(IF(E3368="MI",4,(IF(E3368="RP",5,(IF(E3368="SC",6,0)))))))))))))))))))))))))))))))))))))))</f>
        <v>6</v>
      </c>
      <c r="G3368" s="52">
        <v>3</v>
      </c>
      <c r="H3368" s="90" t="s">
        <v>115</v>
      </c>
      <c r="I3368" s="93" t="s">
        <v>92</v>
      </c>
      <c r="J3368" s="88" t="s">
        <v>303</v>
      </c>
      <c r="K3368" s="102" t="s">
        <v>5226</v>
      </c>
      <c r="L3368" s="117">
        <f>IF(O3368="","",N3368*O3368*M3368)</f>
        <v>0</v>
      </c>
      <c r="M3368" s="108">
        <v>1</v>
      </c>
      <c r="N3368" s="95">
        <v>1</v>
      </c>
      <c r="O3368" s="109">
        <f>IF(Key!D$1="ON",P3368,IF(SUM(Q3368:DL3368)&lt;1,"",SUM(Q3368:DL3368)/COUNTIF(Q3368:DL3368,"&gt;0")))</f>
        <v>0</v>
      </c>
      <c r="P3368" s="109">
        <f>SUMIFS(Q3368:DK3368,Q$1:DK$1,Dashboard!$K$31)</f>
        <v>0</v>
      </c>
      <c r="U3368" s="95">
        <v>33</v>
      </c>
      <c r="AA3368" s="95">
        <v>25</v>
      </c>
      <c r="AH3368" s="95">
        <v>75</v>
      </c>
    </row>
    <row r="3369" spans="1:34" x14ac:dyDescent="0.3">
      <c r="A3369" s="89" t="str">
        <f>CONCATENATE(D3369,".",F3369,"-",G3369,".",H3369,"")</f>
        <v>2.6-3.1</v>
      </c>
      <c r="B3369" s="89" t="str">
        <f>IF(CONCATENATE(I3369,Key!F$2)=CONCATENATE(INDEX(Dashboard!J:J,MATCH(I3369,Dashboard!J:J,0),1),INDEX(Dashboard!J:K,MATCH(I3369,Dashboard!J:J,0),2)),"ON",IF(Dashboard!K$32="ALL","ON","-"))</f>
        <v>-</v>
      </c>
      <c r="C3369" s="96" t="s">
        <v>152</v>
      </c>
      <c r="D3369" s="89">
        <f>IF(C3369="ID",1,(IF(C3369="PR",2,(IF(C3369="DE",3,(IF(C3369="RS",4,(IF(C3369="RC",5,0)))))))))</f>
        <v>2</v>
      </c>
      <c r="E3369" s="89" t="s">
        <v>271</v>
      </c>
      <c r="F3369" s="89">
        <f>IF(E3369="AM",1,(IF(E3369="BE",2,(IF(E3369="GV",3,(IF(E3369="RA",4,(IF(E3369="RM",5,(IF(E3369="AC",1,(IF(E3369="AT",2,(IF(E3369="DS",3,(IF(E3369="IP",4,(IF(E3369="MA",5,(IF(E3369="PT",6,(IF(E3369="AE",1,(IF(E3369="CM",2,(IF(E3369="DP",3,(IF(E3369="AN",1,(IF(E3369="CO",2,(IF(E3369="IM",3,(IF(E3369="MI",4,(IF(E3369="RP",5,(IF(E3369="SC",6,0)))))))))))))))))))))))))))))))))))))))</f>
        <v>6</v>
      </c>
      <c r="G3369" s="52">
        <v>3</v>
      </c>
      <c r="H3369" s="90" t="s">
        <v>115</v>
      </c>
      <c r="I3369" s="93" t="s">
        <v>92</v>
      </c>
      <c r="J3369" s="88" t="s">
        <v>304</v>
      </c>
      <c r="K3369" s="102" t="s">
        <v>5226</v>
      </c>
      <c r="L3369" s="117">
        <f>IF(O3369="","",N3369*O3369*M3369)</f>
        <v>0</v>
      </c>
      <c r="M3369" s="108">
        <v>1</v>
      </c>
      <c r="N3369" s="95">
        <v>1</v>
      </c>
      <c r="O3369" s="109">
        <f>IF(Key!D$1="ON",P3369,IF(SUM(Q3369:DL3369)&lt;1,"",SUM(Q3369:DL3369)/COUNTIF(Q3369:DL3369,"&gt;0")))</f>
        <v>0</v>
      </c>
      <c r="P3369" s="109">
        <f>SUMIFS(Q3369:DK3369,Q$1:DK$1,Dashboard!$K$31)</f>
        <v>0</v>
      </c>
      <c r="U3369" s="95">
        <v>33</v>
      </c>
      <c r="AA3369" s="95">
        <v>25</v>
      </c>
      <c r="AH3369" s="95">
        <v>75</v>
      </c>
    </row>
    <row r="3370" spans="1:34" ht="15.6" x14ac:dyDescent="0.3">
      <c r="A3370" s="89" t="str">
        <f>CONCATENATE(D3370,".",F3370,"-",G3370,".",H3370,"")</f>
        <v>2.6-3.2</v>
      </c>
      <c r="B3370" s="89" t="str">
        <f>IF(CONCATENATE(I3370,Key!F$2)=CONCATENATE(INDEX(Dashboard!J:J,MATCH(I3370,Dashboard!J:J,0),1),INDEX(Dashboard!J:K,MATCH(I3370,Dashboard!J:J,0),2)),"ON",IF(Dashboard!K$32="ALL","ON","-"))</f>
        <v>-</v>
      </c>
      <c r="C3370" s="88" t="s">
        <v>152</v>
      </c>
      <c r="D3370" s="89">
        <f>IF(C3370="ID",1,(IF(C3370="PR",2,(IF(C3370="DE",3,(IF(C3370="RS",4,(IF(C3370="RC",5,0)))))))))</f>
        <v>2</v>
      </c>
      <c r="E3370" s="89" t="s">
        <v>271</v>
      </c>
      <c r="F3370" s="89">
        <f>IF(E3370="AM",1,(IF(E3370="BE",2,(IF(E3370="GV",3,(IF(E3370="RA",4,(IF(E3370="RM",5,(IF(E3370="AC",1,(IF(E3370="AT",2,(IF(E3370="DS",3,(IF(E3370="IP",4,(IF(E3370="MA",5,(IF(E3370="PT",6,(IF(E3370="AE",1,(IF(E3370="CM",2,(IF(E3370="DP",3,(IF(E3370="AN",1,(IF(E3370="CO",2,(IF(E3370="IM",3,(IF(E3370="MI",4,(IF(E3370="RP",5,(IF(E3370="SC",6,0)))))))))))))))))))))))))))))))))))))))</f>
        <v>6</v>
      </c>
      <c r="G3370" s="52">
        <v>3</v>
      </c>
      <c r="H3370" s="90" t="s">
        <v>112</v>
      </c>
      <c r="I3370" s="93" t="s">
        <v>60</v>
      </c>
      <c r="J3370" s="87" t="s">
        <v>3265</v>
      </c>
      <c r="K3370" s="51" t="s">
        <v>5378</v>
      </c>
      <c r="L3370" s="117">
        <f>IF(O3370="","",N3370*O3370*M3370)</f>
        <v>0</v>
      </c>
      <c r="M3370" s="108">
        <v>1</v>
      </c>
      <c r="N3370" s="95">
        <v>1</v>
      </c>
      <c r="O3370" s="109">
        <f>IF(Key!D$1="ON",P3370,IF(SUM(Q3370:DL3370)&lt;1,"",SUM(Q3370:DL3370)/COUNTIF(Q3370:DL3370,"&gt;0")))</f>
        <v>0</v>
      </c>
      <c r="P3370" s="109">
        <f>SUMIFS(Q3370:DK3370,Q$1:DK$1,Dashboard!$K$31)</f>
        <v>0</v>
      </c>
      <c r="U3370" s="95">
        <v>33</v>
      </c>
      <c r="AA3370" s="95">
        <v>25</v>
      </c>
      <c r="AH3370" s="95">
        <v>75</v>
      </c>
    </row>
    <row r="3371" spans="1:34" ht="15.6" x14ac:dyDescent="0.3">
      <c r="A3371" s="89" t="str">
        <f>CONCATENATE(D3371,".",F3371,"-",G3371,".",H3371,"")</f>
        <v>2.6-3.2</v>
      </c>
      <c r="B3371" s="89" t="str">
        <f>IF(CONCATENATE(I3371,Key!F$2)=CONCATENATE(INDEX(Dashboard!J:J,MATCH(I3371,Dashboard!J:J,0),1),INDEX(Dashboard!J:K,MATCH(I3371,Dashboard!J:J,0),2)),"ON",IF(Dashboard!K$32="ALL","ON","-"))</f>
        <v>-</v>
      </c>
      <c r="C3371" s="96" t="s">
        <v>152</v>
      </c>
      <c r="D3371" s="89">
        <f>IF(C3371="ID",1,(IF(C3371="PR",2,(IF(C3371="DE",3,(IF(C3371="RS",4,(IF(C3371="RC",5,0)))))))))</f>
        <v>2</v>
      </c>
      <c r="E3371" s="89" t="s">
        <v>271</v>
      </c>
      <c r="F3371" s="89">
        <f>IF(E3371="AM",1,(IF(E3371="BE",2,(IF(E3371="GV",3,(IF(E3371="RA",4,(IF(E3371="RM",5,(IF(E3371="AC",1,(IF(E3371="AT",2,(IF(E3371="DS",3,(IF(E3371="IP",4,(IF(E3371="MA",5,(IF(E3371="PT",6,(IF(E3371="AE",1,(IF(E3371="CM",2,(IF(E3371="DP",3,(IF(E3371="AN",1,(IF(E3371="CO",2,(IF(E3371="IM",3,(IF(E3371="MI",4,(IF(E3371="RP",5,(IF(E3371="SC",6,0)))))))))))))))))))))))))))))))))))))))</f>
        <v>6</v>
      </c>
      <c r="G3371" s="52">
        <v>3</v>
      </c>
      <c r="H3371" s="90" t="s">
        <v>112</v>
      </c>
      <c r="I3371" s="93" t="s">
        <v>64</v>
      </c>
      <c r="J3371" s="86" t="s">
        <v>1742</v>
      </c>
      <c r="K3371" s="103" t="s">
        <v>2666</v>
      </c>
      <c r="L3371" s="117">
        <f>IF(O3371="","",N3371*O3371*M3371)</f>
        <v>0</v>
      </c>
      <c r="M3371" s="108">
        <v>1</v>
      </c>
      <c r="N3371" s="95">
        <v>1</v>
      </c>
      <c r="O3371" s="109">
        <f>IF(Key!D$1="ON",P3371,IF(SUM(Q3371:DL3371)&lt;1,"",SUM(Q3371:DL3371)/COUNTIF(Q3371:DL3371,"&gt;0")))</f>
        <v>0</v>
      </c>
      <c r="P3371" s="109">
        <f>SUMIFS(Q3371:DK3371,Q$1:DK$1,Dashboard!$K$31)</f>
        <v>0</v>
      </c>
      <c r="U3371" s="95">
        <v>33</v>
      </c>
      <c r="AA3371" s="95">
        <v>25</v>
      </c>
      <c r="AH3371" s="95">
        <v>75</v>
      </c>
    </row>
    <row r="3372" spans="1:34" x14ac:dyDescent="0.3">
      <c r="A3372" s="89" t="str">
        <f>CONCATENATE(D3372,".",F3372,"-",G3372,".",H3372,"")</f>
        <v>2.6-3.5</v>
      </c>
      <c r="B3372" s="89" t="str">
        <f>IF(CONCATENATE(I3372,Key!F$2)=CONCATENATE(INDEX(Dashboard!J:J,MATCH(I3372,Dashboard!J:J,0),1),INDEX(Dashboard!J:K,MATCH(I3372,Dashboard!J:J,0),2)),"ON",IF(Dashboard!K$32="ALL","ON","-"))</f>
        <v>-</v>
      </c>
      <c r="C3372" s="88" t="s">
        <v>152</v>
      </c>
      <c r="D3372" s="89">
        <f>IF(C3372="ID",1,(IF(C3372="PR",2,(IF(C3372="DE",3,(IF(C3372="RS",4,(IF(C3372="RC",5,0)))))))))</f>
        <v>2</v>
      </c>
      <c r="E3372" s="89" t="s">
        <v>271</v>
      </c>
      <c r="F3372" s="89">
        <f>IF(E3372="AM",1,(IF(E3372="BE",2,(IF(E3372="GV",3,(IF(E3372="RA",4,(IF(E3372="RM",5,(IF(E3372="AC",1,(IF(E3372="AT",2,(IF(E3372="DS",3,(IF(E3372="IP",4,(IF(E3372="MA",5,(IF(E3372="PT",6,(IF(E3372="AE",1,(IF(E3372="CM",2,(IF(E3372="DP",3,(IF(E3372="AN",1,(IF(E3372="CO",2,(IF(E3372="IM",3,(IF(E3372="MI",4,(IF(E3372="RP",5,(IF(E3372="SC",6,0)))))))))))))))))))))))))))))))))))))))</f>
        <v>6</v>
      </c>
      <c r="G3372" s="52">
        <v>3</v>
      </c>
      <c r="H3372" s="90" t="s">
        <v>123</v>
      </c>
      <c r="I3372" s="93" t="s">
        <v>77</v>
      </c>
      <c r="J3372" s="87" t="s">
        <v>1762</v>
      </c>
      <c r="K3372" s="102" t="s">
        <v>2683</v>
      </c>
      <c r="L3372" s="117">
        <f>IF(O3372="","",N3372*O3372*M3372)</f>
        <v>0</v>
      </c>
      <c r="M3372" s="108">
        <v>1</v>
      </c>
      <c r="N3372" s="95">
        <v>1</v>
      </c>
      <c r="O3372" s="109">
        <f>IF(Key!D$1="ON",P3372,IF(SUM(Q3372:DL3372)&lt;1,"",SUM(Q3372:DL3372)/COUNTIF(Q3372:DL3372,"&gt;0")))</f>
        <v>0</v>
      </c>
      <c r="P3372" s="109">
        <f>SUMIFS(Q3372:DK3372,Q$1:DK$1,Dashboard!$K$31)</f>
        <v>0</v>
      </c>
      <c r="U3372" s="95">
        <v>33</v>
      </c>
      <c r="AA3372" s="95">
        <v>25</v>
      </c>
      <c r="AH3372" s="95">
        <v>75</v>
      </c>
    </row>
    <row r="3373" spans="1:34" x14ac:dyDescent="0.3">
      <c r="A3373" s="89" t="str">
        <f>CONCATENATE(D3373,".",F3373,"-",G3373,".",H3373,"")</f>
        <v>2.6-3.5</v>
      </c>
      <c r="B3373" s="89" t="str">
        <f>IF(CONCATENATE(I3373,Key!F$2)=CONCATENATE(INDEX(Dashboard!J:J,MATCH(I3373,Dashboard!J:J,0),1),INDEX(Dashboard!J:K,MATCH(I3373,Dashboard!J:J,0),2)),"ON",IF(Dashboard!K$32="ALL","ON","-"))</f>
        <v>-</v>
      </c>
      <c r="C3373" s="88" t="s">
        <v>152</v>
      </c>
      <c r="D3373" s="89">
        <f>IF(C3373="ID",1,(IF(C3373="PR",2,(IF(C3373="DE",3,(IF(C3373="RS",4,(IF(C3373="RC",5,0)))))))))</f>
        <v>2</v>
      </c>
      <c r="E3373" s="89" t="s">
        <v>271</v>
      </c>
      <c r="F3373" s="89">
        <f>IF(E3373="AM",1,(IF(E3373="BE",2,(IF(E3373="GV",3,(IF(E3373="RA",4,(IF(E3373="RM",5,(IF(E3373="AC",1,(IF(E3373="AT",2,(IF(E3373="DS",3,(IF(E3373="IP",4,(IF(E3373="MA",5,(IF(E3373="PT",6,(IF(E3373="AE",1,(IF(E3373="CM",2,(IF(E3373="DP",3,(IF(E3373="AN",1,(IF(E3373="CO",2,(IF(E3373="IM",3,(IF(E3373="MI",4,(IF(E3373="RP",5,(IF(E3373="SC",6,0)))))))))))))))))))))))))))))))))))))))</f>
        <v>6</v>
      </c>
      <c r="G3373" s="52">
        <v>3</v>
      </c>
      <c r="H3373" s="90" t="s">
        <v>123</v>
      </c>
      <c r="I3373" s="93" t="s">
        <v>77</v>
      </c>
      <c r="J3373" s="87" t="s">
        <v>1763</v>
      </c>
      <c r="K3373" s="102" t="s">
        <v>2684</v>
      </c>
      <c r="L3373" s="117">
        <f>IF(O3373="","",N3373*O3373*M3373)</f>
        <v>0</v>
      </c>
      <c r="M3373" s="108">
        <v>1</v>
      </c>
      <c r="N3373" s="95">
        <v>1</v>
      </c>
      <c r="O3373" s="109">
        <f>IF(Key!D$1="ON",P3373,IF(SUM(Q3373:DL3373)&lt;1,"",SUM(Q3373:DL3373)/COUNTIF(Q3373:DL3373,"&gt;0")))</f>
        <v>0</v>
      </c>
      <c r="P3373" s="109">
        <f>SUMIFS(Q3373:DK3373,Q$1:DK$1,Dashboard!$K$31)</f>
        <v>0</v>
      </c>
      <c r="U3373" s="95">
        <v>33</v>
      </c>
      <c r="AA3373" s="95">
        <v>25</v>
      </c>
      <c r="AH3373" s="95">
        <v>75</v>
      </c>
    </row>
    <row r="3374" spans="1:34" ht="15.6" x14ac:dyDescent="0.3">
      <c r="A3374" s="89" t="str">
        <f>CONCATENATE(D3374,".",F3374,"-",G3374,".",H3374,"")</f>
        <v>2.6-3.5</v>
      </c>
      <c r="B3374" s="89" t="str">
        <f>IF(CONCATENATE(I3374,Key!F$2)=CONCATENATE(INDEX(Dashboard!J:J,MATCH(I3374,Dashboard!J:J,0),1),INDEX(Dashboard!J:K,MATCH(I3374,Dashboard!J:J,0),2)),"ON",IF(Dashboard!K$32="ALL","ON","-"))</f>
        <v>-</v>
      </c>
      <c r="C3374" s="88" t="s">
        <v>152</v>
      </c>
      <c r="D3374" s="89">
        <f>IF(C3374="ID",1,(IF(C3374="PR",2,(IF(C3374="DE",3,(IF(C3374="RS",4,(IF(C3374="RC",5,0)))))))))</f>
        <v>2</v>
      </c>
      <c r="E3374" s="89" t="s">
        <v>271</v>
      </c>
      <c r="F3374" s="89">
        <f>IF(E3374="AM",1,(IF(E3374="BE",2,(IF(E3374="GV",3,(IF(E3374="RA",4,(IF(E3374="RM",5,(IF(E3374="AC",1,(IF(E3374="AT",2,(IF(E3374="DS",3,(IF(E3374="IP",4,(IF(E3374="MA",5,(IF(E3374="PT",6,(IF(E3374="AE",1,(IF(E3374="CM",2,(IF(E3374="DP",3,(IF(E3374="AN",1,(IF(E3374="CO",2,(IF(E3374="IM",3,(IF(E3374="MI",4,(IF(E3374="RP",5,(IF(E3374="SC",6,0)))))))))))))))))))))))))))))))))))))))</f>
        <v>6</v>
      </c>
      <c r="G3374" s="52">
        <v>3</v>
      </c>
      <c r="H3374" s="90" t="s">
        <v>123</v>
      </c>
      <c r="I3374" s="93" t="s">
        <v>77</v>
      </c>
      <c r="J3374" s="87" t="s">
        <v>1764</v>
      </c>
      <c r="K3374" s="102" t="s">
        <v>2685</v>
      </c>
      <c r="L3374" s="117">
        <f>IF(O3374="","",N3374*O3374*M3374)</f>
        <v>0</v>
      </c>
      <c r="M3374" s="108">
        <v>1</v>
      </c>
      <c r="N3374" s="95">
        <v>1</v>
      </c>
      <c r="O3374" s="109">
        <f>IF(Key!D$1="ON",P3374,IF(SUM(Q3374:DL3374)&lt;1,"",SUM(Q3374:DL3374)/COUNTIF(Q3374:DL3374,"&gt;0")))</f>
        <v>0</v>
      </c>
      <c r="P3374" s="109">
        <f>SUMIFS(Q3374:DK3374,Q$1:DK$1,Dashboard!$K$31)</f>
        <v>0</v>
      </c>
      <c r="U3374" s="95">
        <v>33</v>
      </c>
      <c r="AA3374" s="95">
        <v>25</v>
      </c>
      <c r="AH3374" s="95">
        <v>75</v>
      </c>
    </row>
    <row r="3375" spans="1:34" x14ac:dyDescent="0.3">
      <c r="A3375" s="89" t="str">
        <f>CONCATENATE(D3375,".",F3375,"-",G3375,".",H3375,"")</f>
        <v>2.6-3.5</v>
      </c>
      <c r="B3375" s="89" t="str">
        <f>IF(CONCATENATE(I3375,Key!F$2)=CONCATENATE(INDEX(Dashboard!J:J,MATCH(I3375,Dashboard!J:J,0),1),INDEX(Dashboard!J:K,MATCH(I3375,Dashboard!J:J,0),2)),"ON",IF(Dashboard!K$32="ALL","ON","-"))</f>
        <v>-</v>
      </c>
      <c r="C3375" s="88" t="s">
        <v>152</v>
      </c>
      <c r="D3375" s="89">
        <f>IF(C3375="ID",1,(IF(C3375="PR",2,(IF(C3375="DE",3,(IF(C3375="RS",4,(IF(C3375="RC",5,0)))))))))</f>
        <v>2</v>
      </c>
      <c r="E3375" s="89" t="s">
        <v>271</v>
      </c>
      <c r="F3375" s="89">
        <f>IF(E3375="AM",1,(IF(E3375="BE",2,(IF(E3375="GV",3,(IF(E3375="RA",4,(IF(E3375="RM",5,(IF(E3375="AC",1,(IF(E3375="AT",2,(IF(E3375="DS",3,(IF(E3375="IP",4,(IF(E3375="MA",5,(IF(E3375="PT",6,(IF(E3375="AE",1,(IF(E3375="CM",2,(IF(E3375="DP",3,(IF(E3375="AN",1,(IF(E3375="CO",2,(IF(E3375="IM",3,(IF(E3375="MI",4,(IF(E3375="RP",5,(IF(E3375="SC",6,0)))))))))))))))))))))))))))))))))))))))</f>
        <v>6</v>
      </c>
      <c r="G3375" s="52">
        <v>3</v>
      </c>
      <c r="H3375" s="90" t="s">
        <v>123</v>
      </c>
      <c r="I3375" s="93" t="s">
        <v>77</v>
      </c>
      <c r="J3375" s="87" t="s">
        <v>1765</v>
      </c>
      <c r="K3375" s="102" t="s">
        <v>2686</v>
      </c>
      <c r="L3375" s="117">
        <f>IF(O3375="","",N3375*O3375*M3375)</f>
        <v>0</v>
      </c>
      <c r="M3375" s="108">
        <v>1</v>
      </c>
      <c r="N3375" s="95">
        <v>1</v>
      </c>
      <c r="O3375" s="109">
        <f>IF(Key!D$1="ON",P3375,IF(SUM(Q3375:DL3375)&lt;1,"",SUM(Q3375:DL3375)/COUNTIF(Q3375:DL3375,"&gt;0")))</f>
        <v>0</v>
      </c>
      <c r="P3375" s="109">
        <f>SUMIFS(Q3375:DK3375,Q$1:DK$1,Dashboard!$K$31)</f>
        <v>0</v>
      </c>
      <c r="U3375" s="95">
        <v>33</v>
      </c>
      <c r="AA3375" s="95">
        <v>25</v>
      </c>
      <c r="AH3375" s="95">
        <v>75</v>
      </c>
    </row>
    <row r="3376" spans="1:34" x14ac:dyDescent="0.3">
      <c r="A3376" s="89" t="str">
        <f>CONCATENATE(D3376,".",F3376,"-",G3376,".",H3376,"")</f>
        <v>2.6-3.5</v>
      </c>
      <c r="B3376" s="89" t="str">
        <f>IF(CONCATENATE(I3376,Key!F$2)=CONCATENATE(INDEX(Dashboard!J:J,MATCH(I3376,Dashboard!J:J,0),1),INDEX(Dashboard!J:K,MATCH(I3376,Dashboard!J:J,0),2)),"ON",IF(Dashboard!K$32="ALL","ON","-"))</f>
        <v>-</v>
      </c>
      <c r="C3376" s="88" t="s">
        <v>152</v>
      </c>
      <c r="D3376" s="89">
        <f>IF(C3376="ID",1,(IF(C3376="PR",2,(IF(C3376="DE",3,(IF(C3376="RS",4,(IF(C3376="RC",5,0)))))))))</f>
        <v>2</v>
      </c>
      <c r="E3376" s="89" t="s">
        <v>271</v>
      </c>
      <c r="F3376" s="89">
        <f>IF(E3376="AM",1,(IF(E3376="BE",2,(IF(E3376="GV",3,(IF(E3376="RA",4,(IF(E3376="RM",5,(IF(E3376="AC",1,(IF(E3376="AT",2,(IF(E3376="DS",3,(IF(E3376="IP",4,(IF(E3376="MA",5,(IF(E3376="PT",6,(IF(E3376="AE",1,(IF(E3376="CM",2,(IF(E3376="DP",3,(IF(E3376="AN",1,(IF(E3376="CO",2,(IF(E3376="IM",3,(IF(E3376="MI",4,(IF(E3376="RP",5,(IF(E3376="SC",6,0)))))))))))))))))))))))))))))))))))))))</f>
        <v>6</v>
      </c>
      <c r="G3376" s="52">
        <v>3</v>
      </c>
      <c r="H3376" s="90" t="s">
        <v>123</v>
      </c>
      <c r="I3376" s="93" t="s">
        <v>77</v>
      </c>
      <c r="J3376" s="87" t="s">
        <v>1766</v>
      </c>
      <c r="K3376" s="102" t="s">
        <v>2687</v>
      </c>
      <c r="L3376" s="117">
        <f>IF(O3376="","",N3376*O3376*M3376)</f>
        <v>0</v>
      </c>
      <c r="M3376" s="108">
        <v>1</v>
      </c>
      <c r="N3376" s="95">
        <v>1</v>
      </c>
      <c r="O3376" s="109">
        <f>IF(Key!D$1="ON",P3376,IF(SUM(Q3376:DL3376)&lt;1,"",SUM(Q3376:DL3376)/COUNTIF(Q3376:DL3376,"&gt;0")))</f>
        <v>0</v>
      </c>
      <c r="P3376" s="109">
        <f>SUMIFS(Q3376:DK3376,Q$1:DK$1,Dashboard!$K$31)</f>
        <v>0</v>
      </c>
      <c r="U3376" s="95">
        <v>33</v>
      </c>
      <c r="AA3376" s="95">
        <v>25</v>
      </c>
      <c r="AH3376" s="95">
        <v>75</v>
      </c>
    </row>
    <row r="3377" spans="1:34" ht="15.6" x14ac:dyDescent="0.3">
      <c r="A3377" s="89" t="str">
        <f>CONCATENATE(D3377,".",F3377,"-",G3377,".",H3377,"")</f>
        <v>2.6-3.5</v>
      </c>
      <c r="B3377" s="89" t="str">
        <f>IF(CONCATENATE(I3377,Key!F$2)=CONCATENATE(INDEX(Dashboard!J:J,MATCH(I3377,Dashboard!J:J,0),1),INDEX(Dashboard!J:K,MATCH(I3377,Dashboard!J:J,0),2)),"ON",IF(Dashboard!K$32="ALL","ON","-"))</f>
        <v>-</v>
      </c>
      <c r="C3377" s="88" t="s">
        <v>152</v>
      </c>
      <c r="D3377" s="89">
        <f>IF(C3377="ID",1,(IF(C3377="PR",2,(IF(C3377="DE",3,(IF(C3377="RS",4,(IF(C3377="RC",5,0)))))))))</f>
        <v>2</v>
      </c>
      <c r="E3377" s="89" t="s">
        <v>271</v>
      </c>
      <c r="F3377" s="89">
        <f>IF(E3377="AM",1,(IF(E3377="BE",2,(IF(E3377="GV",3,(IF(E3377="RA",4,(IF(E3377="RM",5,(IF(E3377="AC",1,(IF(E3377="AT",2,(IF(E3377="DS",3,(IF(E3377="IP",4,(IF(E3377="MA",5,(IF(E3377="PT",6,(IF(E3377="AE",1,(IF(E3377="CM",2,(IF(E3377="DP",3,(IF(E3377="AN",1,(IF(E3377="CO",2,(IF(E3377="IM",3,(IF(E3377="MI",4,(IF(E3377="RP",5,(IF(E3377="SC",6,0)))))))))))))))))))))))))))))))))))))))</f>
        <v>6</v>
      </c>
      <c r="G3377" s="52">
        <v>3</v>
      </c>
      <c r="H3377" s="90" t="s">
        <v>123</v>
      </c>
      <c r="I3377" s="93" t="s">
        <v>77</v>
      </c>
      <c r="J3377" s="87" t="s">
        <v>1767</v>
      </c>
      <c r="K3377" s="102" t="s">
        <v>2688</v>
      </c>
      <c r="L3377" s="117">
        <f>IF(O3377="","",N3377*O3377*M3377)</f>
        <v>0</v>
      </c>
      <c r="M3377" s="108">
        <v>1</v>
      </c>
      <c r="N3377" s="95">
        <v>1</v>
      </c>
      <c r="O3377" s="109">
        <f>IF(Key!D$1="ON",P3377,IF(SUM(Q3377:DL3377)&lt;1,"",SUM(Q3377:DL3377)/COUNTIF(Q3377:DL3377,"&gt;0")))</f>
        <v>0</v>
      </c>
      <c r="P3377" s="109">
        <f>SUMIFS(Q3377:DK3377,Q$1:DK$1,Dashboard!$K$31)</f>
        <v>0</v>
      </c>
      <c r="U3377" s="95">
        <v>33</v>
      </c>
      <c r="AA3377" s="95">
        <v>25</v>
      </c>
      <c r="AH3377" s="95">
        <v>75</v>
      </c>
    </row>
    <row r="3378" spans="1:34" ht="15.6" x14ac:dyDescent="0.3">
      <c r="A3378" s="89" t="str">
        <f>CONCATENATE(D3378,".",F3378,"-",G3378,".",H3378,"")</f>
        <v>2.6-3.5</v>
      </c>
      <c r="B3378" s="89" t="str">
        <f>IF(CONCATENATE(I3378,Key!F$2)=CONCATENATE(INDEX(Dashboard!J:J,MATCH(I3378,Dashboard!J:J,0),1),INDEX(Dashboard!J:K,MATCH(I3378,Dashboard!J:J,0),2)),"ON",IF(Dashboard!K$32="ALL","ON","-"))</f>
        <v>-</v>
      </c>
      <c r="C3378" s="88" t="s">
        <v>152</v>
      </c>
      <c r="D3378" s="89">
        <f>IF(C3378="ID",1,(IF(C3378="PR",2,(IF(C3378="DE",3,(IF(C3378="RS",4,(IF(C3378="RC",5,0)))))))))</f>
        <v>2</v>
      </c>
      <c r="E3378" s="89" t="s">
        <v>271</v>
      </c>
      <c r="F3378" s="89">
        <f>IF(E3378="AM",1,(IF(E3378="BE",2,(IF(E3378="GV",3,(IF(E3378="RA",4,(IF(E3378="RM",5,(IF(E3378="AC",1,(IF(E3378="AT",2,(IF(E3378="DS",3,(IF(E3378="IP",4,(IF(E3378="MA",5,(IF(E3378="PT",6,(IF(E3378="AE",1,(IF(E3378="CM",2,(IF(E3378="DP",3,(IF(E3378="AN",1,(IF(E3378="CO",2,(IF(E3378="IM",3,(IF(E3378="MI",4,(IF(E3378="RP",5,(IF(E3378="SC",6,0)))))))))))))))))))))))))))))))))))))))</f>
        <v>6</v>
      </c>
      <c r="G3378" s="52">
        <v>3</v>
      </c>
      <c r="H3378" s="90" t="s">
        <v>123</v>
      </c>
      <c r="I3378" s="93" t="s">
        <v>77</v>
      </c>
      <c r="J3378" s="87" t="s">
        <v>822</v>
      </c>
      <c r="K3378" s="102" t="s">
        <v>2689</v>
      </c>
      <c r="L3378" s="117">
        <f>IF(O3378="","",N3378*O3378*M3378)</f>
        <v>0</v>
      </c>
      <c r="M3378" s="108">
        <v>1</v>
      </c>
      <c r="N3378" s="95">
        <v>1</v>
      </c>
      <c r="O3378" s="109">
        <f>IF(Key!D$1="ON",P3378,IF(SUM(Q3378:DL3378)&lt;1,"",SUM(Q3378:DL3378)/COUNTIF(Q3378:DL3378,"&gt;0")))</f>
        <v>0</v>
      </c>
      <c r="P3378" s="109">
        <f>SUMIFS(Q3378:DK3378,Q$1:DK$1,Dashboard!$K$31)</f>
        <v>0</v>
      </c>
      <c r="U3378" s="95">
        <v>33</v>
      </c>
      <c r="AA3378" s="95">
        <v>25</v>
      </c>
      <c r="AH3378" s="95">
        <v>75</v>
      </c>
    </row>
    <row r="3379" spans="1:34" x14ac:dyDescent="0.3">
      <c r="A3379" s="89" t="str">
        <f>CONCATENATE(D3379,".",F3379,"-",G3379,".",H3379,"")</f>
        <v>2.6-3.5</v>
      </c>
      <c r="B3379" s="89" t="str">
        <f>IF(CONCATENATE(I3379,Key!F$2)=CONCATENATE(INDEX(Dashboard!J:J,MATCH(I3379,Dashboard!J:J,0),1),INDEX(Dashboard!J:K,MATCH(I3379,Dashboard!J:J,0),2)),"ON",IF(Dashboard!K$32="ALL","ON","-"))</f>
        <v>-</v>
      </c>
      <c r="C3379" s="88" t="s">
        <v>152</v>
      </c>
      <c r="D3379" s="89">
        <f>IF(C3379="ID",1,(IF(C3379="PR",2,(IF(C3379="DE",3,(IF(C3379="RS",4,(IF(C3379="RC",5,0)))))))))</f>
        <v>2</v>
      </c>
      <c r="E3379" s="89" t="s">
        <v>271</v>
      </c>
      <c r="F3379" s="89">
        <f>IF(E3379="AM",1,(IF(E3379="BE",2,(IF(E3379="GV",3,(IF(E3379="RA",4,(IF(E3379="RM",5,(IF(E3379="AC",1,(IF(E3379="AT",2,(IF(E3379="DS",3,(IF(E3379="IP",4,(IF(E3379="MA",5,(IF(E3379="PT",6,(IF(E3379="AE",1,(IF(E3379="CM",2,(IF(E3379="DP",3,(IF(E3379="AN",1,(IF(E3379="CO",2,(IF(E3379="IM",3,(IF(E3379="MI",4,(IF(E3379="RP",5,(IF(E3379="SC",6,0)))))))))))))))))))))))))))))))))))))))</f>
        <v>6</v>
      </c>
      <c r="G3379" s="52">
        <v>3</v>
      </c>
      <c r="H3379" s="90" t="s">
        <v>123</v>
      </c>
      <c r="I3379" s="93" t="s">
        <v>77</v>
      </c>
      <c r="J3379" s="87" t="s">
        <v>1769</v>
      </c>
      <c r="K3379" s="102" t="s">
        <v>2690</v>
      </c>
      <c r="L3379" s="117">
        <f>IF(O3379="","",N3379*O3379*M3379)</f>
        <v>0</v>
      </c>
      <c r="M3379" s="108">
        <v>1</v>
      </c>
      <c r="N3379" s="95">
        <v>1</v>
      </c>
      <c r="O3379" s="109">
        <f>IF(Key!D$1="ON",P3379,IF(SUM(Q3379:DL3379)&lt;1,"",SUM(Q3379:DL3379)/COUNTIF(Q3379:DL3379,"&gt;0")))</f>
        <v>0</v>
      </c>
      <c r="P3379" s="109">
        <f>SUMIFS(Q3379:DK3379,Q$1:DK$1,Dashboard!$K$31)</f>
        <v>0</v>
      </c>
      <c r="U3379" s="95">
        <v>33</v>
      </c>
      <c r="AA3379" s="95">
        <v>25</v>
      </c>
      <c r="AH3379" s="95">
        <v>75</v>
      </c>
    </row>
    <row r="3380" spans="1:34" ht="15.6" x14ac:dyDescent="0.3">
      <c r="A3380" s="89" t="str">
        <f>CONCATENATE(D3380,".",F3380,"-",G3380,".",H3380,"")</f>
        <v>2.6-3.5</v>
      </c>
      <c r="B3380" s="89" t="str">
        <f>IF(CONCATENATE(I3380,Key!F$2)=CONCATENATE(INDEX(Dashboard!J:J,MATCH(I3380,Dashboard!J:J,0),1),INDEX(Dashboard!J:K,MATCH(I3380,Dashboard!J:J,0),2)),"ON",IF(Dashboard!K$32="ALL","ON","-"))</f>
        <v>-</v>
      </c>
      <c r="C3380" s="88" t="s">
        <v>152</v>
      </c>
      <c r="D3380" s="89">
        <f>IF(C3380="ID",1,(IF(C3380="PR",2,(IF(C3380="DE",3,(IF(C3380="RS",4,(IF(C3380="RC",5,0)))))))))</f>
        <v>2</v>
      </c>
      <c r="E3380" s="89" t="s">
        <v>271</v>
      </c>
      <c r="F3380" s="89">
        <f>IF(E3380="AM",1,(IF(E3380="BE",2,(IF(E3380="GV",3,(IF(E3380="RA",4,(IF(E3380="RM",5,(IF(E3380="AC",1,(IF(E3380="AT",2,(IF(E3380="DS",3,(IF(E3380="IP",4,(IF(E3380="MA",5,(IF(E3380="PT",6,(IF(E3380="AE",1,(IF(E3380="CM",2,(IF(E3380="DP",3,(IF(E3380="AN",1,(IF(E3380="CO",2,(IF(E3380="IM",3,(IF(E3380="MI",4,(IF(E3380="RP",5,(IF(E3380="SC",6,0)))))))))))))))))))))))))))))))))))))))</f>
        <v>6</v>
      </c>
      <c r="G3380" s="52">
        <v>3</v>
      </c>
      <c r="H3380" s="90" t="s">
        <v>123</v>
      </c>
      <c r="I3380" s="93" t="s">
        <v>77</v>
      </c>
      <c r="J3380" s="87" t="s">
        <v>1770</v>
      </c>
      <c r="K3380" s="102" t="s">
        <v>2691</v>
      </c>
      <c r="L3380" s="117">
        <f>IF(O3380="","",N3380*O3380*M3380)</f>
        <v>0</v>
      </c>
      <c r="M3380" s="108">
        <v>1</v>
      </c>
      <c r="N3380" s="95">
        <v>1</v>
      </c>
      <c r="O3380" s="109">
        <f>IF(Key!D$1="ON",P3380,IF(SUM(Q3380:DL3380)&lt;1,"",SUM(Q3380:DL3380)/COUNTIF(Q3380:DL3380,"&gt;0")))</f>
        <v>0</v>
      </c>
      <c r="P3380" s="109">
        <f>SUMIFS(Q3380:DK3380,Q$1:DK$1,Dashboard!$K$31)</f>
        <v>0</v>
      </c>
      <c r="U3380" s="95">
        <v>33</v>
      </c>
      <c r="AA3380" s="95">
        <v>25</v>
      </c>
      <c r="AH3380" s="95">
        <v>75</v>
      </c>
    </row>
    <row r="3381" spans="1:34" ht="15.6" x14ac:dyDescent="0.3">
      <c r="A3381" s="89" t="str">
        <f>CONCATENATE(D3381,".",F3381,"-",G3381,".",H3381,"")</f>
        <v>2.6-3.5</v>
      </c>
      <c r="B3381" s="89" t="str">
        <f>IF(CONCATENATE(I3381,Key!F$2)=CONCATENATE(INDEX(Dashboard!J:J,MATCH(I3381,Dashboard!J:J,0),1),INDEX(Dashboard!J:K,MATCH(I3381,Dashboard!J:J,0),2)),"ON",IF(Dashboard!K$32="ALL","ON","-"))</f>
        <v>-</v>
      </c>
      <c r="C3381" s="88" t="s">
        <v>152</v>
      </c>
      <c r="D3381" s="89">
        <f>IF(C3381="ID",1,(IF(C3381="PR",2,(IF(C3381="DE",3,(IF(C3381="RS",4,(IF(C3381="RC",5,0)))))))))</f>
        <v>2</v>
      </c>
      <c r="E3381" s="89" t="s">
        <v>271</v>
      </c>
      <c r="F3381" s="89">
        <f>IF(E3381="AM",1,(IF(E3381="BE",2,(IF(E3381="GV",3,(IF(E3381="RA",4,(IF(E3381="RM",5,(IF(E3381="AC",1,(IF(E3381="AT",2,(IF(E3381="DS",3,(IF(E3381="IP",4,(IF(E3381="MA",5,(IF(E3381="PT",6,(IF(E3381="AE",1,(IF(E3381="CM",2,(IF(E3381="DP",3,(IF(E3381="AN",1,(IF(E3381="CO",2,(IF(E3381="IM",3,(IF(E3381="MI",4,(IF(E3381="RP",5,(IF(E3381="SC",6,0)))))))))))))))))))))))))))))))))))))))</f>
        <v>6</v>
      </c>
      <c r="G3381" s="52">
        <v>3</v>
      </c>
      <c r="H3381" s="90" t="s">
        <v>123</v>
      </c>
      <c r="I3381" s="93" t="s">
        <v>77</v>
      </c>
      <c r="J3381" s="87" t="s">
        <v>1771</v>
      </c>
      <c r="K3381" s="102" t="s">
        <v>2692</v>
      </c>
      <c r="L3381" s="117">
        <f>IF(O3381="","",N3381*O3381*M3381)</f>
        <v>0</v>
      </c>
      <c r="M3381" s="108">
        <v>1</v>
      </c>
      <c r="N3381" s="95">
        <v>1</v>
      </c>
      <c r="O3381" s="109">
        <f>IF(Key!D$1="ON",P3381,IF(SUM(Q3381:DL3381)&lt;1,"",SUM(Q3381:DL3381)/COUNTIF(Q3381:DL3381,"&gt;0")))</f>
        <v>0</v>
      </c>
      <c r="P3381" s="109">
        <f>SUMIFS(Q3381:DK3381,Q$1:DK$1,Dashboard!$K$31)</f>
        <v>0</v>
      </c>
      <c r="U3381" s="95">
        <v>33</v>
      </c>
      <c r="AA3381" s="95">
        <v>25</v>
      </c>
      <c r="AH3381" s="95">
        <v>75</v>
      </c>
    </row>
    <row r="3382" spans="1:34" ht="15.6" x14ac:dyDescent="0.3">
      <c r="A3382" s="89" t="str">
        <f>CONCATENATE(D3382,".",F3382,"-",G3382,".",H3382,"")</f>
        <v>2.6-3.5</v>
      </c>
      <c r="B3382" s="89" t="str">
        <f>IF(CONCATENATE(I3382,Key!F$2)=CONCATENATE(INDEX(Dashboard!J:J,MATCH(I3382,Dashboard!J:J,0),1),INDEX(Dashboard!J:K,MATCH(I3382,Dashboard!J:J,0),2)),"ON",IF(Dashboard!K$32="ALL","ON","-"))</f>
        <v>-</v>
      </c>
      <c r="C3382" s="88" t="s">
        <v>152</v>
      </c>
      <c r="D3382" s="89">
        <f>IF(C3382="ID",1,(IF(C3382="PR",2,(IF(C3382="DE",3,(IF(C3382="RS",4,(IF(C3382="RC",5,0)))))))))</f>
        <v>2</v>
      </c>
      <c r="E3382" s="89" t="s">
        <v>271</v>
      </c>
      <c r="F3382" s="89">
        <f>IF(E3382="AM",1,(IF(E3382="BE",2,(IF(E3382="GV",3,(IF(E3382="RA",4,(IF(E3382="RM",5,(IF(E3382="AC",1,(IF(E3382="AT",2,(IF(E3382="DS",3,(IF(E3382="IP",4,(IF(E3382="MA",5,(IF(E3382="PT",6,(IF(E3382="AE",1,(IF(E3382="CM",2,(IF(E3382="DP",3,(IF(E3382="AN",1,(IF(E3382="CO",2,(IF(E3382="IM",3,(IF(E3382="MI",4,(IF(E3382="RP",5,(IF(E3382="SC",6,0)))))))))))))))))))))))))))))))))))))))</f>
        <v>6</v>
      </c>
      <c r="G3382" s="52">
        <v>3</v>
      </c>
      <c r="H3382" s="90" t="s">
        <v>123</v>
      </c>
      <c r="I3382" s="93" t="s">
        <v>77</v>
      </c>
      <c r="J3382" s="87" t="s">
        <v>1773</v>
      </c>
      <c r="K3382" s="102" t="s">
        <v>2693</v>
      </c>
      <c r="L3382" s="117">
        <f>IF(O3382="","",N3382*O3382*M3382)</f>
        <v>0</v>
      </c>
      <c r="M3382" s="108">
        <v>1</v>
      </c>
      <c r="N3382" s="95">
        <v>1</v>
      </c>
      <c r="O3382" s="109">
        <f>IF(Key!D$1="ON",P3382,IF(SUM(Q3382:DL3382)&lt;1,"",SUM(Q3382:DL3382)/COUNTIF(Q3382:DL3382,"&gt;0")))</f>
        <v>0</v>
      </c>
      <c r="P3382" s="109">
        <f>SUMIFS(Q3382:DK3382,Q$1:DK$1,Dashboard!$K$31)</f>
        <v>0</v>
      </c>
      <c r="U3382" s="95">
        <v>33</v>
      </c>
      <c r="AA3382" s="95">
        <v>25</v>
      </c>
      <c r="AH3382" s="95">
        <v>75</v>
      </c>
    </row>
    <row r="3383" spans="1:34" x14ac:dyDescent="0.3">
      <c r="A3383" s="89" t="str">
        <f>CONCATENATE(D3383,".",F3383,"-",G3383,".",H3383,"")</f>
        <v>2.6-3.5</v>
      </c>
      <c r="B3383" s="89" t="str">
        <f>IF(CONCATENATE(I3383,Key!F$2)=CONCATENATE(INDEX(Dashboard!J:J,MATCH(I3383,Dashboard!J:J,0),1),INDEX(Dashboard!J:K,MATCH(I3383,Dashboard!J:J,0),2)),"ON",IF(Dashboard!K$32="ALL","ON","-"))</f>
        <v>-</v>
      </c>
      <c r="C3383" s="88" t="s">
        <v>152</v>
      </c>
      <c r="D3383" s="89">
        <f>IF(C3383="ID",1,(IF(C3383="PR",2,(IF(C3383="DE",3,(IF(C3383="RS",4,(IF(C3383="RC",5,0)))))))))</f>
        <v>2</v>
      </c>
      <c r="E3383" s="89" t="s">
        <v>271</v>
      </c>
      <c r="F3383" s="89">
        <f>IF(E3383="AM",1,(IF(E3383="BE",2,(IF(E3383="GV",3,(IF(E3383="RA",4,(IF(E3383="RM",5,(IF(E3383="AC",1,(IF(E3383="AT",2,(IF(E3383="DS",3,(IF(E3383="IP",4,(IF(E3383="MA",5,(IF(E3383="PT",6,(IF(E3383="AE",1,(IF(E3383="CM",2,(IF(E3383="DP",3,(IF(E3383="AN",1,(IF(E3383="CO",2,(IF(E3383="IM",3,(IF(E3383="MI",4,(IF(E3383="RP",5,(IF(E3383="SC",6,0)))))))))))))))))))))))))))))))))))))))</f>
        <v>6</v>
      </c>
      <c r="G3383" s="52">
        <v>3</v>
      </c>
      <c r="H3383" s="90" t="s">
        <v>123</v>
      </c>
      <c r="I3383" s="93" t="s">
        <v>77</v>
      </c>
      <c r="J3383" s="87" t="s">
        <v>1774</v>
      </c>
      <c r="K3383" s="102" t="s">
        <v>2694</v>
      </c>
      <c r="L3383" s="117">
        <f>IF(O3383="","",N3383*O3383*M3383)</f>
        <v>0</v>
      </c>
      <c r="M3383" s="108">
        <v>1</v>
      </c>
      <c r="N3383" s="95">
        <v>1</v>
      </c>
      <c r="O3383" s="109">
        <f>IF(Key!D$1="ON",P3383,IF(SUM(Q3383:DL3383)&lt;1,"",SUM(Q3383:DL3383)/COUNTIF(Q3383:DL3383,"&gt;0")))</f>
        <v>0</v>
      </c>
      <c r="P3383" s="109">
        <f>SUMIFS(Q3383:DK3383,Q$1:DK$1,Dashboard!$K$31)</f>
        <v>0</v>
      </c>
      <c r="U3383" s="95">
        <v>33</v>
      </c>
      <c r="AA3383" s="95">
        <v>25</v>
      </c>
      <c r="AH3383" s="95">
        <v>75</v>
      </c>
    </row>
    <row r="3384" spans="1:34" ht="15.6" x14ac:dyDescent="0.3">
      <c r="A3384" s="89" t="str">
        <f>CONCATENATE(D3384,".",F3384,"-",G3384,".",H3384,"")</f>
        <v>2.6-3.5</v>
      </c>
      <c r="B3384" s="89" t="str">
        <f>IF(CONCATENATE(I3384,Key!F$2)=CONCATENATE(INDEX(Dashboard!J:J,MATCH(I3384,Dashboard!J:J,0),1),INDEX(Dashboard!J:K,MATCH(I3384,Dashboard!J:J,0),2)),"ON",IF(Dashboard!K$32="ALL","ON","-"))</f>
        <v>-</v>
      </c>
      <c r="C3384" s="88" t="s">
        <v>152</v>
      </c>
      <c r="D3384" s="89">
        <f>IF(C3384="ID",1,(IF(C3384="PR",2,(IF(C3384="DE",3,(IF(C3384="RS",4,(IF(C3384="RC",5,0)))))))))</f>
        <v>2</v>
      </c>
      <c r="E3384" s="89" t="s">
        <v>271</v>
      </c>
      <c r="F3384" s="89">
        <f>IF(E3384="AM",1,(IF(E3384="BE",2,(IF(E3384="GV",3,(IF(E3384="RA",4,(IF(E3384="RM",5,(IF(E3384="AC",1,(IF(E3384="AT",2,(IF(E3384="DS",3,(IF(E3384="IP",4,(IF(E3384="MA",5,(IF(E3384="PT",6,(IF(E3384="AE",1,(IF(E3384="CM",2,(IF(E3384="DP",3,(IF(E3384="AN",1,(IF(E3384="CO",2,(IF(E3384="IM",3,(IF(E3384="MI",4,(IF(E3384="RP",5,(IF(E3384="SC",6,0)))))))))))))))))))))))))))))))))))))))</f>
        <v>6</v>
      </c>
      <c r="G3384" s="52">
        <v>3</v>
      </c>
      <c r="H3384" s="90" t="s">
        <v>123</v>
      </c>
      <c r="I3384" s="93" t="s">
        <v>77</v>
      </c>
      <c r="J3384" s="87" t="s">
        <v>1775</v>
      </c>
      <c r="K3384" s="102" t="s">
        <v>2695</v>
      </c>
      <c r="L3384" s="117">
        <f>IF(O3384="","",N3384*O3384*M3384)</f>
        <v>0</v>
      </c>
      <c r="M3384" s="108">
        <v>1</v>
      </c>
      <c r="N3384" s="95">
        <v>1</v>
      </c>
      <c r="O3384" s="109">
        <f>IF(Key!D$1="ON",P3384,IF(SUM(Q3384:DL3384)&lt;1,"",SUM(Q3384:DL3384)/COUNTIF(Q3384:DL3384,"&gt;0")))</f>
        <v>0</v>
      </c>
      <c r="P3384" s="109">
        <f>SUMIFS(Q3384:DK3384,Q$1:DK$1,Dashboard!$K$31)</f>
        <v>0</v>
      </c>
      <c r="U3384" s="95">
        <v>33</v>
      </c>
      <c r="AA3384" s="95">
        <v>25</v>
      </c>
      <c r="AH3384" s="95">
        <v>75</v>
      </c>
    </row>
    <row r="3385" spans="1:34" x14ac:dyDescent="0.3">
      <c r="A3385" s="89" t="str">
        <f>CONCATENATE(D3385,".",F3385,"-",G3385,".",H3385,"")</f>
        <v>2.6-3.5</v>
      </c>
      <c r="B3385" s="89" t="str">
        <f>IF(CONCATENATE(I3385,Key!F$2)=CONCATENATE(INDEX(Dashboard!J:J,MATCH(I3385,Dashboard!J:J,0),1),INDEX(Dashboard!J:K,MATCH(I3385,Dashboard!J:J,0),2)),"ON",IF(Dashboard!K$32="ALL","ON","-"))</f>
        <v>-</v>
      </c>
      <c r="C3385" s="88" t="s">
        <v>152</v>
      </c>
      <c r="D3385" s="89">
        <f>IF(C3385="ID",1,(IF(C3385="PR",2,(IF(C3385="DE",3,(IF(C3385="RS",4,(IF(C3385="RC",5,0)))))))))</f>
        <v>2</v>
      </c>
      <c r="E3385" s="89" t="s">
        <v>271</v>
      </c>
      <c r="F3385" s="89">
        <f>IF(E3385="AM",1,(IF(E3385="BE",2,(IF(E3385="GV",3,(IF(E3385="RA",4,(IF(E3385="RM",5,(IF(E3385="AC",1,(IF(E3385="AT",2,(IF(E3385="DS",3,(IF(E3385="IP",4,(IF(E3385="MA",5,(IF(E3385="PT",6,(IF(E3385="AE",1,(IF(E3385="CM",2,(IF(E3385="DP",3,(IF(E3385="AN",1,(IF(E3385="CO",2,(IF(E3385="IM",3,(IF(E3385="MI",4,(IF(E3385="RP",5,(IF(E3385="SC",6,0)))))))))))))))))))))))))))))))))))))))</f>
        <v>6</v>
      </c>
      <c r="G3385" s="52">
        <v>3</v>
      </c>
      <c r="H3385" s="90" t="s">
        <v>123</v>
      </c>
      <c r="I3385" s="93" t="s">
        <v>77</v>
      </c>
      <c r="J3385" s="87" t="s">
        <v>1777</v>
      </c>
      <c r="K3385" s="102" t="s">
        <v>2696</v>
      </c>
      <c r="L3385" s="117">
        <f>IF(O3385="","",N3385*O3385*M3385)</f>
        <v>0</v>
      </c>
      <c r="M3385" s="108">
        <v>1</v>
      </c>
      <c r="N3385" s="95">
        <v>1</v>
      </c>
      <c r="O3385" s="109">
        <f>IF(Key!D$1="ON",P3385,IF(SUM(Q3385:DL3385)&lt;1,"",SUM(Q3385:DL3385)/COUNTIF(Q3385:DL3385,"&gt;0")))</f>
        <v>0</v>
      </c>
      <c r="P3385" s="109">
        <f>SUMIFS(Q3385:DK3385,Q$1:DK$1,Dashboard!$K$31)</f>
        <v>0</v>
      </c>
      <c r="U3385" s="95">
        <v>33</v>
      </c>
      <c r="AA3385" s="95">
        <v>25</v>
      </c>
      <c r="AH3385" s="95">
        <v>75</v>
      </c>
    </row>
    <row r="3386" spans="1:34" x14ac:dyDescent="0.3">
      <c r="A3386" s="89" t="str">
        <f>CONCATENATE(D3386,".",F3386,"-",G3386,".",H3386,"")</f>
        <v>2.6-3.5</v>
      </c>
      <c r="B3386" s="89" t="str">
        <f>IF(CONCATENATE(I3386,Key!F$2)=CONCATENATE(INDEX(Dashboard!J:J,MATCH(I3386,Dashboard!J:J,0),1),INDEX(Dashboard!J:K,MATCH(I3386,Dashboard!J:J,0),2)),"ON",IF(Dashboard!K$32="ALL","ON","-"))</f>
        <v>-</v>
      </c>
      <c r="C3386" s="88" t="s">
        <v>152</v>
      </c>
      <c r="D3386" s="89">
        <f>IF(C3386="ID",1,(IF(C3386="PR",2,(IF(C3386="DE",3,(IF(C3386="RS",4,(IF(C3386="RC",5,0)))))))))</f>
        <v>2</v>
      </c>
      <c r="E3386" s="89" t="s">
        <v>271</v>
      </c>
      <c r="F3386" s="89">
        <f>IF(E3386="AM",1,(IF(E3386="BE",2,(IF(E3386="GV",3,(IF(E3386="RA",4,(IF(E3386="RM",5,(IF(E3386="AC",1,(IF(E3386="AT",2,(IF(E3386="DS",3,(IF(E3386="IP",4,(IF(E3386="MA",5,(IF(E3386="PT",6,(IF(E3386="AE",1,(IF(E3386="CM",2,(IF(E3386="DP",3,(IF(E3386="AN",1,(IF(E3386="CO",2,(IF(E3386="IM",3,(IF(E3386="MI",4,(IF(E3386="RP",5,(IF(E3386="SC",6,0)))))))))))))))))))))))))))))))))))))))</f>
        <v>6</v>
      </c>
      <c r="G3386" s="52">
        <v>3</v>
      </c>
      <c r="H3386" s="90" t="s">
        <v>123</v>
      </c>
      <c r="I3386" s="93" t="s">
        <v>77</v>
      </c>
      <c r="J3386" s="87" t="s">
        <v>1778</v>
      </c>
      <c r="K3386" s="102" t="s">
        <v>2697</v>
      </c>
      <c r="L3386" s="117">
        <f>IF(O3386="","",N3386*O3386*M3386)</f>
        <v>0</v>
      </c>
      <c r="M3386" s="108">
        <v>1</v>
      </c>
      <c r="N3386" s="95">
        <v>1</v>
      </c>
      <c r="O3386" s="109">
        <f>IF(Key!D$1="ON",P3386,IF(SUM(Q3386:DL3386)&lt;1,"",SUM(Q3386:DL3386)/COUNTIF(Q3386:DL3386,"&gt;0")))</f>
        <v>0</v>
      </c>
      <c r="P3386" s="109">
        <f>SUMIFS(Q3386:DK3386,Q$1:DK$1,Dashboard!$K$31)</f>
        <v>0</v>
      </c>
      <c r="U3386" s="95">
        <v>33</v>
      </c>
      <c r="AA3386" s="95">
        <v>25</v>
      </c>
      <c r="AH3386" s="95">
        <v>75</v>
      </c>
    </row>
    <row r="3387" spans="1:34" x14ac:dyDescent="0.3">
      <c r="A3387" s="89" t="str">
        <f>CONCATENATE(D3387,".",F3387,"-",G3387,".",H3387,"")</f>
        <v>2.6-3.5</v>
      </c>
      <c r="B3387" s="89" t="str">
        <f>IF(CONCATENATE(I3387,Key!F$2)=CONCATENATE(INDEX(Dashboard!J:J,MATCH(I3387,Dashboard!J:J,0),1),INDEX(Dashboard!J:K,MATCH(I3387,Dashboard!J:J,0),2)),"ON",IF(Dashboard!K$32="ALL","ON","-"))</f>
        <v>-</v>
      </c>
      <c r="C3387" s="88" t="s">
        <v>152</v>
      </c>
      <c r="D3387" s="89">
        <f>IF(C3387="ID",1,(IF(C3387="PR",2,(IF(C3387="DE",3,(IF(C3387="RS",4,(IF(C3387="RC",5,0)))))))))</f>
        <v>2</v>
      </c>
      <c r="E3387" s="89" t="s">
        <v>271</v>
      </c>
      <c r="F3387" s="89">
        <f>IF(E3387="AM",1,(IF(E3387="BE",2,(IF(E3387="GV",3,(IF(E3387="RA",4,(IF(E3387="RM",5,(IF(E3387="AC",1,(IF(E3387="AT",2,(IF(E3387="DS",3,(IF(E3387="IP",4,(IF(E3387="MA",5,(IF(E3387="PT",6,(IF(E3387="AE",1,(IF(E3387="CM",2,(IF(E3387="DP",3,(IF(E3387="AN",1,(IF(E3387="CO",2,(IF(E3387="IM",3,(IF(E3387="MI",4,(IF(E3387="RP",5,(IF(E3387="SC",6,0)))))))))))))))))))))))))))))))))))))))</f>
        <v>6</v>
      </c>
      <c r="G3387" s="52">
        <v>3</v>
      </c>
      <c r="H3387" s="90" t="s">
        <v>123</v>
      </c>
      <c r="I3387" s="93" t="s">
        <v>77</v>
      </c>
      <c r="J3387" s="87" t="s">
        <v>1779</v>
      </c>
      <c r="K3387" s="102" t="s">
        <v>2698</v>
      </c>
      <c r="L3387" s="117">
        <f>IF(O3387="","",N3387*O3387*M3387)</f>
        <v>0</v>
      </c>
      <c r="M3387" s="108">
        <v>1</v>
      </c>
      <c r="N3387" s="95">
        <v>1</v>
      </c>
      <c r="O3387" s="109">
        <f>IF(Key!D$1="ON",P3387,IF(SUM(Q3387:DL3387)&lt;1,"",SUM(Q3387:DL3387)/COUNTIF(Q3387:DL3387,"&gt;0")))</f>
        <v>0</v>
      </c>
      <c r="P3387" s="109">
        <f>SUMIFS(Q3387:DK3387,Q$1:DK$1,Dashboard!$K$31)</f>
        <v>0</v>
      </c>
      <c r="U3387" s="95">
        <v>33</v>
      </c>
      <c r="AA3387" s="95">
        <v>25</v>
      </c>
      <c r="AH3387" s="95">
        <v>75</v>
      </c>
    </row>
    <row r="3388" spans="1:34" x14ac:dyDescent="0.3">
      <c r="A3388" s="89" t="str">
        <f>CONCATENATE(D3388,".",F3388,"-",G3388,".",H3388,"")</f>
        <v>2.6-3.5</v>
      </c>
      <c r="B3388" s="89" t="str">
        <f>IF(CONCATENATE(I3388,Key!F$2)=CONCATENATE(INDEX(Dashboard!J:J,MATCH(I3388,Dashboard!J:J,0),1),INDEX(Dashboard!J:K,MATCH(I3388,Dashboard!J:J,0),2)),"ON",IF(Dashboard!K$32="ALL","ON","-"))</f>
        <v>-</v>
      </c>
      <c r="C3388" s="88" t="s">
        <v>152</v>
      </c>
      <c r="D3388" s="89">
        <f>IF(C3388="ID",1,(IF(C3388="PR",2,(IF(C3388="DE",3,(IF(C3388="RS",4,(IF(C3388="RC",5,0)))))))))</f>
        <v>2</v>
      </c>
      <c r="E3388" s="89" t="s">
        <v>271</v>
      </c>
      <c r="F3388" s="89">
        <f>IF(E3388="AM",1,(IF(E3388="BE",2,(IF(E3388="GV",3,(IF(E3388="RA",4,(IF(E3388="RM",5,(IF(E3388="AC",1,(IF(E3388="AT",2,(IF(E3388="DS",3,(IF(E3388="IP",4,(IF(E3388="MA",5,(IF(E3388="PT",6,(IF(E3388="AE",1,(IF(E3388="CM",2,(IF(E3388="DP",3,(IF(E3388="AN",1,(IF(E3388="CO",2,(IF(E3388="IM",3,(IF(E3388="MI",4,(IF(E3388="RP",5,(IF(E3388="SC",6,0)))))))))))))))))))))))))))))))))))))))</f>
        <v>6</v>
      </c>
      <c r="G3388" s="52">
        <v>3</v>
      </c>
      <c r="H3388" s="90" t="s">
        <v>123</v>
      </c>
      <c r="I3388" s="93" t="s">
        <v>77</v>
      </c>
      <c r="J3388" s="87" t="s">
        <v>1781</v>
      </c>
      <c r="K3388" s="102" t="s">
        <v>2699</v>
      </c>
      <c r="L3388" s="117">
        <f>IF(O3388="","",N3388*O3388*M3388)</f>
        <v>0</v>
      </c>
      <c r="M3388" s="108">
        <v>1</v>
      </c>
      <c r="N3388" s="95">
        <v>1</v>
      </c>
      <c r="O3388" s="109">
        <f>IF(Key!D$1="ON",P3388,IF(SUM(Q3388:DL3388)&lt;1,"",SUM(Q3388:DL3388)/COUNTIF(Q3388:DL3388,"&gt;0")))</f>
        <v>0</v>
      </c>
      <c r="P3388" s="109">
        <f>SUMIFS(Q3388:DK3388,Q$1:DK$1,Dashboard!$K$31)</f>
        <v>0</v>
      </c>
      <c r="U3388" s="95">
        <v>33</v>
      </c>
      <c r="AA3388" s="95">
        <v>25</v>
      </c>
      <c r="AH3388" s="95">
        <v>75</v>
      </c>
    </row>
    <row r="3389" spans="1:34" ht="15.6" x14ac:dyDescent="0.3">
      <c r="A3389" s="89" t="str">
        <f>CONCATENATE(D3389,".",F3389,"-",G3389,".",H3389,"")</f>
        <v>2.6-3.5</v>
      </c>
      <c r="B3389" s="89" t="str">
        <f>IF(CONCATENATE(I3389,Key!F$2)=CONCATENATE(INDEX(Dashboard!J:J,MATCH(I3389,Dashboard!J:J,0),1),INDEX(Dashboard!J:K,MATCH(I3389,Dashboard!J:J,0),2)),"ON",IF(Dashboard!K$32="ALL","ON","-"))</f>
        <v>-</v>
      </c>
      <c r="C3389" s="88" t="s">
        <v>152</v>
      </c>
      <c r="D3389" s="89">
        <f>IF(C3389="ID",1,(IF(C3389="PR",2,(IF(C3389="DE",3,(IF(C3389="RS",4,(IF(C3389="RC",5,0)))))))))</f>
        <v>2</v>
      </c>
      <c r="E3389" s="89" t="s">
        <v>271</v>
      </c>
      <c r="F3389" s="89">
        <f>IF(E3389="AM",1,(IF(E3389="BE",2,(IF(E3389="GV",3,(IF(E3389="RA",4,(IF(E3389="RM",5,(IF(E3389="AC",1,(IF(E3389="AT",2,(IF(E3389="DS",3,(IF(E3389="IP",4,(IF(E3389="MA",5,(IF(E3389="PT",6,(IF(E3389="AE",1,(IF(E3389="CM",2,(IF(E3389="DP",3,(IF(E3389="AN",1,(IF(E3389="CO",2,(IF(E3389="IM",3,(IF(E3389="MI",4,(IF(E3389="RP",5,(IF(E3389="SC",6,0)))))))))))))))))))))))))))))))))))))))</f>
        <v>6</v>
      </c>
      <c r="G3389" s="52">
        <v>3</v>
      </c>
      <c r="H3389" s="90" t="s">
        <v>123</v>
      </c>
      <c r="I3389" s="93" t="s">
        <v>77</v>
      </c>
      <c r="J3389" s="87" t="s">
        <v>1782</v>
      </c>
      <c r="K3389" s="102" t="s">
        <v>2700</v>
      </c>
      <c r="L3389" s="117">
        <f>IF(O3389="","",N3389*O3389*M3389)</f>
        <v>0</v>
      </c>
      <c r="M3389" s="108">
        <v>1</v>
      </c>
      <c r="N3389" s="95">
        <v>1</v>
      </c>
      <c r="O3389" s="109">
        <f>IF(Key!D$1="ON",P3389,IF(SUM(Q3389:DL3389)&lt;1,"",SUM(Q3389:DL3389)/COUNTIF(Q3389:DL3389,"&gt;0")))</f>
        <v>0</v>
      </c>
      <c r="P3389" s="109">
        <f>SUMIFS(Q3389:DK3389,Q$1:DK$1,Dashboard!$K$31)</f>
        <v>0</v>
      </c>
      <c r="U3389" s="95">
        <v>33</v>
      </c>
      <c r="AA3389" s="95">
        <v>25</v>
      </c>
      <c r="AH3389" s="95">
        <v>75</v>
      </c>
    </row>
    <row r="3390" spans="1:34" ht="15.6" x14ac:dyDescent="0.3">
      <c r="A3390" s="89" t="str">
        <f>CONCATENATE(D3390,".",F3390,"-",G3390,".",H3390,"")</f>
        <v>2.6-3.5</v>
      </c>
      <c r="B3390" s="89" t="str">
        <f>IF(CONCATENATE(I3390,Key!F$2)=CONCATENATE(INDEX(Dashboard!J:J,MATCH(I3390,Dashboard!J:J,0),1),INDEX(Dashboard!J:K,MATCH(I3390,Dashboard!J:J,0),2)),"ON",IF(Dashboard!K$32="ALL","ON","-"))</f>
        <v>-</v>
      </c>
      <c r="C3390" s="88" t="s">
        <v>152</v>
      </c>
      <c r="D3390" s="89">
        <f>IF(C3390="ID",1,(IF(C3390="PR",2,(IF(C3390="DE",3,(IF(C3390="RS",4,(IF(C3390="RC",5,0)))))))))</f>
        <v>2</v>
      </c>
      <c r="E3390" s="89" t="s">
        <v>271</v>
      </c>
      <c r="F3390" s="89">
        <f>IF(E3390="AM",1,(IF(E3390="BE",2,(IF(E3390="GV",3,(IF(E3390="RA",4,(IF(E3390="RM",5,(IF(E3390="AC",1,(IF(E3390="AT",2,(IF(E3390="DS",3,(IF(E3390="IP",4,(IF(E3390="MA",5,(IF(E3390="PT",6,(IF(E3390="AE",1,(IF(E3390="CM",2,(IF(E3390="DP",3,(IF(E3390="AN",1,(IF(E3390="CO",2,(IF(E3390="IM",3,(IF(E3390="MI",4,(IF(E3390="RP",5,(IF(E3390="SC",6,0)))))))))))))))))))))))))))))))))))))))</f>
        <v>6</v>
      </c>
      <c r="G3390" s="52">
        <v>3</v>
      </c>
      <c r="H3390" s="90" t="s">
        <v>123</v>
      </c>
      <c r="I3390" s="93" t="s">
        <v>77</v>
      </c>
      <c r="J3390" s="87" t="s">
        <v>1783</v>
      </c>
      <c r="K3390" s="102" t="s">
        <v>2701</v>
      </c>
      <c r="L3390" s="117">
        <f>IF(O3390="","",N3390*O3390*M3390)</f>
        <v>0</v>
      </c>
      <c r="M3390" s="108">
        <v>1</v>
      </c>
      <c r="N3390" s="95">
        <v>1</v>
      </c>
      <c r="O3390" s="109">
        <f>IF(Key!D$1="ON",P3390,IF(SUM(Q3390:DL3390)&lt;1,"",SUM(Q3390:DL3390)/COUNTIF(Q3390:DL3390,"&gt;0")))</f>
        <v>0</v>
      </c>
      <c r="P3390" s="109">
        <f>SUMIFS(Q3390:DK3390,Q$1:DK$1,Dashboard!$K$31)</f>
        <v>0</v>
      </c>
      <c r="U3390" s="95">
        <v>33</v>
      </c>
      <c r="AA3390" s="95">
        <v>25</v>
      </c>
      <c r="AH3390" s="95">
        <v>75</v>
      </c>
    </row>
    <row r="3391" spans="1:34" x14ac:dyDescent="0.3">
      <c r="A3391" s="89" t="str">
        <f>CONCATENATE(D3391,".",F3391,"-",G3391,".",H3391,"")</f>
        <v>2.6-4.0</v>
      </c>
      <c r="B3391" s="89" t="str">
        <f>IF(CONCATENATE(I3391,Key!F$2)=CONCATENATE(INDEX(Dashboard!J:J,MATCH(I3391,Dashboard!J:J,0),1),INDEX(Dashboard!J:K,MATCH(I3391,Dashboard!J:J,0),2)),"ON",IF(Dashboard!K$32="ALL","ON","-"))</f>
        <v>-</v>
      </c>
      <c r="C3391" s="88" t="s">
        <v>152</v>
      </c>
      <c r="D3391" s="89">
        <f>IF(C3391="ID",1,(IF(C3391="PR",2,(IF(C3391="DE",3,(IF(C3391="RS",4,(IF(C3391="RC",5,0)))))))))</f>
        <v>2</v>
      </c>
      <c r="E3391" s="89" t="s">
        <v>271</v>
      </c>
      <c r="F3391" s="89">
        <f>IF(E3391="AM",1,(IF(E3391="BE",2,(IF(E3391="GV",3,(IF(E3391="RA",4,(IF(E3391="RM",5,(IF(E3391="AC",1,(IF(E3391="AT",2,(IF(E3391="DS",3,(IF(E3391="IP",4,(IF(E3391="MA",5,(IF(E3391="PT",6,(IF(E3391="AE",1,(IF(E3391="CM",2,(IF(E3391="DP",3,(IF(E3391="AN",1,(IF(E3391="CO",2,(IF(E3391="IM",3,(IF(E3391="MI",4,(IF(E3391="RP",5,(IF(E3391="SC",6,0)))))))))))))))))))))))))))))))))))))))</f>
        <v>6</v>
      </c>
      <c r="G3391" s="52">
        <v>4</v>
      </c>
      <c r="H3391" s="90" t="s">
        <v>347</v>
      </c>
      <c r="I3391" s="93" t="s">
        <v>2835</v>
      </c>
      <c r="J3391" s="53" t="s">
        <v>3002</v>
      </c>
      <c r="K3391" s="150" t="s">
        <v>3003</v>
      </c>
      <c r="L3391" s="117">
        <f>IF(O3391="","",N3391*O3391*M3391)</f>
        <v>0</v>
      </c>
      <c r="M3391" s="108">
        <v>1</v>
      </c>
      <c r="N3391" s="95">
        <v>1</v>
      </c>
      <c r="O3391" s="109">
        <f>IF(Key!D$1="ON",P3391,IF(SUM(Q3391:DL3391)&lt;1,"",SUM(Q3391:DL3391)/COUNTIF(Q3391:DL3391,"&gt;0")))</f>
        <v>0</v>
      </c>
      <c r="P3391" s="109">
        <f>SUMIFS(Q3391:DK3391,Q$1:DK$1,Dashboard!$K$31)</f>
        <v>0</v>
      </c>
      <c r="U3391" s="95">
        <v>33</v>
      </c>
    </row>
    <row r="3392" spans="1:34" x14ac:dyDescent="0.3">
      <c r="A3392" s="89" t="str">
        <f>CONCATENATE(D3392,".",F3392,"-",G3392,".",H3392,"")</f>
        <v>2.6-4.1</v>
      </c>
      <c r="B3392" s="89" t="str">
        <f>IF(CONCATENATE(I3392,Key!F$2)=CONCATENATE(INDEX(Dashboard!J:J,MATCH(I3392,Dashboard!J:J,0),1),INDEX(Dashboard!J:K,MATCH(I3392,Dashboard!J:J,0),2)),"ON",IF(Dashboard!K$32="ALL","ON","-"))</f>
        <v>ON</v>
      </c>
      <c r="C3392" s="130" t="s">
        <v>152</v>
      </c>
      <c r="D3392" s="89">
        <f>IF(C3392="ID",1,(IF(C3392="PR",2,(IF(C3392="DE",3,(IF(C3392="RS",4,(IF(C3392="RC",5,0)))))))))</f>
        <v>2</v>
      </c>
      <c r="E3392" s="95" t="s">
        <v>271</v>
      </c>
      <c r="F3392" s="89">
        <f>IF(E3392="AM",1,(IF(E3392="BE",2,(IF(E3392="GV",3,(IF(E3392="RA",4,(IF(E3392="RM",5,(IF(E3392="AC",1,(IF(E3392="AT",2,(IF(E3392="DS",3,(IF(E3392="IP",4,(IF(E3392="MA",5,(IF(E3392="PT",6,(IF(E3392="AE",1,(IF(E3392="CM",2,(IF(E3392="DP",3,(IF(E3392="AN",1,(IF(E3392="CO",2,(IF(E3392="IM",3,(IF(E3392="MI",4,(IF(E3392="RP",5,(IF(E3392="SC",6,0)))))))))))))))))))))))))))))))))))))))</f>
        <v>6</v>
      </c>
      <c r="G3392" s="52">
        <v>4</v>
      </c>
      <c r="H3392" s="90" t="s">
        <v>115</v>
      </c>
      <c r="I3392" s="93" t="s">
        <v>4107</v>
      </c>
      <c r="J3392" s="86" t="s">
        <v>3936</v>
      </c>
      <c r="K3392" s="101" t="s">
        <v>4423</v>
      </c>
      <c r="L3392" s="117">
        <f>IF(O3392="","",N3392*O3392*M3392)</f>
        <v>0</v>
      </c>
      <c r="M3392" s="108">
        <v>1</v>
      </c>
      <c r="N3392" s="95">
        <v>1</v>
      </c>
      <c r="O3392" s="109">
        <f>IF(Key!D$1="ON",P3392,IF(SUM(Q3392:DL3392)&lt;1,"",SUM(Q3392:DL3392)/COUNTIF(Q3392:DL3392,"&gt;0")))</f>
        <v>0</v>
      </c>
      <c r="P3392" s="109">
        <f>SUMIFS(Q3392:DK3392,Q$1:DK$1,Dashboard!$K$31)</f>
        <v>0</v>
      </c>
      <c r="U3392" s="95">
        <v>33</v>
      </c>
      <c r="AA3392" s="95">
        <v>25</v>
      </c>
      <c r="AH3392" s="95">
        <v>75</v>
      </c>
    </row>
    <row r="3393" spans="1:34" x14ac:dyDescent="0.3">
      <c r="A3393" s="89" t="str">
        <f>CONCATENATE(D3393,".",F3393,"-",G3393,".",H3393,"")</f>
        <v>2.6-4.1</v>
      </c>
      <c r="B3393" s="89" t="str">
        <f>IF(CONCATENATE(I3393,Key!F$2)=CONCATENATE(INDEX(Dashboard!J:J,MATCH(I3393,Dashboard!J:J,0),1),INDEX(Dashboard!J:K,MATCH(I3393,Dashboard!J:J,0),2)),"ON",IF(Dashboard!K$32="ALL","ON","-"))</f>
        <v>ON</v>
      </c>
      <c r="C3393" s="130" t="s">
        <v>152</v>
      </c>
      <c r="D3393" s="89">
        <f>IF(C3393="ID",1,(IF(C3393="PR",2,(IF(C3393="DE",3,(IF(C3393="RS",4,(IF(C3393="RC",5,0)))))))))</f>
        <v>2</v>
      </c>
      <c r="E3393" s="95" t="s">
        <v>271</v>
      </c>
      <c r="F3393" s="89">
        <f>IF(E3393="AM",1,(IF(E3393="BE",2,(IF(E3393="GV",3,(IF(E3393="RA",4,(IF(E3393="RM",5,(IF(E3393="AC",1,(IF(E3393="AT",2,(IF(E3393="DS",3,(IF(E3393="IP",4,(IF(E3393="MA",5,(IF(E3393="PT",6,(IF(E3393="AE",1,(IF(E3393="CM",2,(IF(E3393="DP",3,(IF(E3393="AN",1,(IF(E3393="CO",2,(IF(E3393="IM",3,(IF(E3393="MI",4,(IF(E3393="RP",5,(IF(E3393="SC",6,0)))))))))))))))))))))))))))))))))))))))</f>
        <v>6</v>
      </c>
      <c r="G3393" s="52">
        <v>4</v>
      </c>
      <c r="H3393" s="90" t="s">
        <v>115</v>
      </c>
      <c r="I3393" s="93" t="s">
        <v>4107</v>
      </c>
      <c r="J3393" s="86" t="s">
        <v>3937</v>
      </c>
      <c r="K3393" s="101" t="s">
        <v>4113</v>
      </c>
      <c r="L3393" s="117">
        <f>IF(O3393="","",N3393*O3393*M3393)</f>
        <v>0</v>
      </c>
      <c r="M3393" s="108">
        <v>1</v>
      </c>
      <c r="N3393" s="95">
        <v>1</v>
      </c>
      <c r="O3393" s="109">
        <f>IF(Key!D$1="ON",P3393,IF(SUM(Q3393:DL3393)&lt;1,"",SUM(Q3393:DL3393)/COUNTIF(Q3393:DL3393,"&gt;0")))</f>
        <v>0</v>
      </c>
      <c r="P3393" s="109">
        <f>SUMIFS(Q3393:DK3393,Q$1:DK$1,Dashboard!$K$31)</f>
        <v>0</v>
      </c>
      <c r="U3393" s="95">
        <v>33</v>
      </c>
      <c r="AA3393" s="95">
        <v>25</v>
      </c>
      <c r="AH3393" s="95">
        <v>75</v>
      </c>
    </row>
    <row r="3394" spans="1:34" x14ac:dyDescent="0.3">
      <c r="A3394" s="89" t="str">
        <f>CONCATENATE(D3394,".",F3394,"-",G3394,".",H3394,"")</f>
        <v>2.6-4.1</v>
      </c>
      <c r="B3394" s="89" t="str">
        <f>IF(CONCATENATE(I3394,Key!F$2)=CONCATENATE(INDEX(Dashboard!J:J,MATCH(I3394,Dashboard!J:J,0),1),INDEX(Dashboard!J:K,MATCH(I3394,Dashboard!J:J,0),2)),"ON",IF(Dashboard!K$32="ALL","ON","-"))</f>
        <v>ON</v>
      </c>
      <c r="C3394" s="130" t="s">
        <v>152</v>
      </c>
      <c r="D3394" s="89">
        <f>IF(C3394="ID",1,(IF(C3394="PR",2,(IF(C3394="DE",3,(IF(C3394="RS",4,(IF(C3394="RC",5,0)))))))))</f>
        <v>2</v>
      </c>
      <c r="E3394" s="95" t="s">
        <v>271</v>
      </c>
      <c r="F3394" s="89">
        <f>IF(E3394="AM",1,(IF(E3394="BE",2,(IF(E3394="GV",3,(IF(E3394="RA",4,(IF(E3394="RM",5,(IF(E3394="AC",1,(IF(E3394="AT",2,(IF(E3394="DS",3,(IF(E3394="IP",4,(IF(E3394="MA",5,(IF(E3394="PT",6,(IF(E3394="AE",1,(IF(E3394="CM",2,(IF(E3394="DP",3,(IF(E3394="AN",1,(IF(E3394="CO",2,(IF(E3394="IM",3,(IF(E3394="MI",4,(IF(E3394="RP",5,(IF(E3394="SC",6,0)))))))))))))))))))))))))))))))))))))))</f>
        <v>6</v>
      </c>
      <c r="G3394" s="52">
        <v>4</v>
      </c>
      <c r="H3394" s="90" t="s">
        <v>115</v>
      </c>
      <c r="I3394" s="93" t="s">
        <v>4107</v>
      </c>
      <c r="J3394" s="86" t="s">
        <v>3946</v>
      </c>
      <c r="K3394" s="101" t="s">
        <v>4135</v>
      </c>
      <c r="L3394" s="117">
        <f>IF(O3394="","",N3394*O3394*M3394)</f>
        <v>0</v>
      </c>
      <c r="M3394" s="108">
        <v>1</v>
      </c>
      <c r="N3394" s="95">
        <v>1</v>
      </c>
      <c r="O3394" s="109">
        <f>IF(Key!D$1="ON",P3394,IF(SUM(Q3394:DL3394)&lt;1,"",SUM(Q3394:DL3394)/COUNTIF(Q3394:DL3394,"&gt;0")))</f>
        <v>0</v>
      </c>
      <c r="P3394" s="109">
        <f>SUMIFS(Q3394:DK3394,Q$1:DK$1,Dashboard!$K$31)</f>
        <v>0</v>
      </c>
      <c r="U3394" s="95">
        <v>33</v>
      </c>
      <c r="AA3394" s="95">
        <v>25</v>
      </c>
      <c r="AH3394" s="95">
        <v>75</v>
      </c>
    </row>
    <row r="3395" spans="1:34" x14ac:dyDescent="0.3">
      <c r="A3395" s="89" t="str">
        <f>CONCATENATE(D3395,".",F3395,"-",G3395,".",H3395,"")</f>
        <v>2.6-4.1</v>
      </c>
      <c r="B3395" s="89" t="str">
        <f>IF(CONCATENATE(I3395,Key!F$2)=CONCATENATE(INDEX(Dashboard!J:J,MATCH(I3395,Dashboard!J:J,0),1),INDEX(Dashboard!J:K,MATCH(I3395,Dashboard!J:J,0),2)),"ON",IF(Dashboard!K$32="ALL","ON","-"))</f>
        <v>ON</v>
      </c>
      <c r="C3395" s="130" t="s">
        <v>152</v>
      </c>
      <c r="D3395" s="89">
        <f>IF(C3395="ID",1,(IF(C3395="PR",2,(IF(C3395="DE",3,(IF(C3395="RS",4,(IF(C3395="RC",5,0)))))))))</f>
        <v>2</v>
      </c>
      <c r="E3395" s="95" t="s">
        <v>271</v>
      </c>
      <c r="F3395" s="89">
        <f>IF(E3395="AM",1,(IF(E3395="BE",2,(IF(E3395="GV",3,(IF(E3395="RA",4,(IF(E3395="RM",5,(IF(E3395="AC",1,(IF(E3395="AT",2,(IF(E3395="DS",3,(IF(E3395="IP",4,(IF(E3395="MA",5,(IF(E3395="PT",6,(IF(E3395="AE",1,(IF(E3395="CM",2,(IF(E3395="DP",3,(IF(E3395="AN",1,(IF(E3395="CO",2,(IF(E3395="IM",3,(IF(E3395="MI",4,(IF(E3395="RP",5,(IF(E3395="SC",6,0)))))))))))))))))))))))))))))))))))))))</f>
        <v>6</v>
      </c>
      <c r="G3395" s="52">
        <v>4</v>
      </c>
      <c r="H3395" s="90" t="s">
        <v>115</v>
      </c>
      <c r="I3395" s="93" t="s">
        <v>4107</v>
      </c>
      <c r="J3395" s="86" t="s">
        <v>3947</v>
      </c>
      <c r="K3395" s="101" t="s">
        <v>4128</v>
      </c>
      <c r="L3395" s="117">
        <f>IF(O3395="","",N3395*O3395*M3395)</f>
        <v>0</v>
      </c>
      <c r="M3395" s="108">
        <v>1</v>
      </c>
      <c r="N3395" s="95">
        <v>1</v>
      </c>
      <c r="O3395" s="109">
        <f>IF(Key!D$1="ON",P3395,IF(SUM(Q3395:DL3395)&lt;1,"",SUM(Q3395:DL3395)/COUNTIF(Q3395:DL3395,"&gt;0")))</f>
        <v>0</v>
      </c>
      <c r="P3395" s="109">
        <f>SUMIFS(Q3395:DK3395,Q$1:DK$1,Dashboard!$K$31)</f>
        <v>0</v>
      </c>
      <c r="U3395" s="95">
        <v>33</v>
      </c>
      <c r="AA3395" s="95">
        <v>25</v>
      </c>
      <c r="AH3395" s="95">
        <v>75</v>
      </c>
    </row>
    <row r="3396" spans="1:34" ht="15.6" x14ac:dyDescent="0.3">
      <c r="A3396" s="89" t="str">
        <f>CONCATENATE(D3396,".",F3396,"-",G3396,".",H3396,"")</f>
        <v>2.6-4.1</v>
      </c>
      <c r="B3396" s="89" t="str">
        <f>IF(CONCATENATE(I3396,Key!F$2)=CONCATENATE(INDEX(Dashboard!J:J,MATCH(I3396,Dashboard!J:J,0),1),INDEX(Dashboard!J:K,MATCH(I3396,Dashboard!J:J,0),2)),"ON",IF(Dashboard!K$32="ALL","ON","-"))</f>
        <v>ON</v>
      </c>
      <c r="C3396" s="130" t="s">
        <v>152</v>
      </c>
      <c r="D3396" s="89">
        <f>IF(C3396="ID",1,(IF(C3396="PR",2,(IF(C3396="DE",3,(IF(C3396="RS",4,(IF(C3396="RC",5,0)))))))))</f>
        <v>2</v>
      </c>
      <c r="E3396" s="95" t="s">
        <v>271</v>
      </c>
      <c r="F3396" s="89">
        <f>IF(E3396="AM",1,(IF(E3396="BE",2,(IF(E3396="GV",3,(IF(E3396="RA",4,(IF(E3396="RM",5,(IF(E3396="AC",1,(IF(E3396="AT",2,(IF(E3396="DS",3,(IF(E3396="IP",4,(IF(E3396="MA",5,(IF(E3396="PT",6,(IF(E3396="AE",1,(IF(E3396="CM",2,(IF(E3396="DP",3,(IF(E3396="AN",1,(IF(E3396="CO",2,(IF(E3396="IM",3,(IF(E3396="MI",4,(IF(E3396="RP",5,(IF(E3396="SC",6,0)))))))))))))))))))))))))))))))))))))))</f>
        <v>6</v>
      </c>
      <c r="G3396" s="52">
        <v>4</v>
      </c>
      <c r="H3396" s="90" t="s">
        <v>115</v>
      </c>
      <c r="I3396" s="93" t="s">
        <v>4107</v>
      </c>
      <c r="J3396" s="86" t="s">
        <v>3948</v>
      </c>
      <c r="K3396" s="101" t="s">
        <v>4132</v>
      </c>
      <c r="L3396" s="117">
        <f>IF(O3396="","",N3396*O3396*M3396)</f>
        <v>0</v>
      </c>
      <c r="M3396" s="108">
        <v>1</v>
      </c>
      <c r="N3396" s="95">
        <v>1</v>
      </c>
      <c r="O3396" s="109">
        <f>IF(Key!D$1="ON",P3396,IF(SUM(Q3396:DL3396)&lt;1,"",SUM(Q3396:DL3396)/COUNTIF(Q3396:DL3396,"&gt;0")))</f>
        <v>0</v>
      </c>
      <c r="P3396" s="109">
        <f>SUMIFS(Q3396:DK3396,Q$1:DK$1,Dashboard!$K$31)</f>
        <v>0</v>
      </c>
      <c r="U3396" s="95">
        <v>33</v>
      </c>
      <c r="AA3396" s="95">
        <v>25</v>
      </c>
      <c r="AH3396" s="95">
        <v>75</v>
      </c>
    </row>
    <row r="3397" spans="1:34" x14ac:dyDescent="0.3">
      <c r="A3397" s="89" t="str">
        <f>CONCATENATE(D3397,".",F3397,"-",G3397,".",H3397,"")</f>
        <v>2.6-4.1</v>
      </c>
      <c r="B3397" s="89" t="str">
        <f>IF(CONCATENATE(I3397,Key!F$2)=CONCATENATE(INDEX(Dashboard!J:J,MATCH(I3397,Dashboard!J:J,0),1),INDEX(Dashboard!J:K,MATCH(I3397,Dashboard!J:J,0),2)),"ON",IF(Dashboard!K$32="ALL","ON","-"))</f>
        <v>ON</v>
      </c>
      <c r="C3397" s="130" t="s">
        <v>152</v>
      </c>
      <c r="D3397" s="89">
        <f>IF(C3397="ID",1,(IF(C3397="PR",2,(IF(C3397="DE",3,(IF(C3397="RS",4,(IF(C3397="RC",5,0)))))))))</f>
        <v>2</v>
      </c>
      <c r="E3397" s="95" t="s">
        <v>271</v>
      </c>
      <c r="F3397" s="89">
        <f>IF(E3397="AM",1,(IF(E3397="BE",2,(IF(E3397="GV",3,(IF(E3397="RA",4,(IF(E3397="RM",5,(IF(E3397="AC",1,(IF(E3397="AT",2,(IF(E3397="DS",3,(IF(E3397="IP",4,(IF(E3397="MA",5,(IF(E3397="PT",6,(IF(E3397="AE",1,(IF(E3397="CM",2,(IF(E3397="DP",3,(IF(E3397="AN",1,(IF(E3397="CO",2,(IF(E3397="IM",3,(IF(E3397="MI",4,(IF(E3397="RP",5,(IF(E3397="SC",6,0)))))))))))))))))))))))))))))))))))))))</f>
        <v>6</v>
      </c>
      <c r="G3397" s="52">
        <v>4</v>
      </c>
      <c r="H3397" s="90" t="s">
        <v>115</v>
      </c>
      <c r="I3397" s="93" t="s">
        <v>4107</v>
      </c>
      <c r="J3397" s="86" t="s">
        <v>3949</v>
      </c>
      <c r="K3397" s="101" t="s">
        <v>4115</v>
      </c>
      <c r="L3397" s="117">
        <f>IF(O3397="","",N3397*O3397*M3397)</f>
        <v>0</v>
      </c>
      <c r="M3397" s="108">
        <v>1</v>
      </c>
      <c r="N3397" s="95">
        <v>1</v>
      </c>
      <c r="O3397" s="109">
        <f>IF(Key!D$1="ON",P3397,IF(SUM(Q3397:DL3397)&lt;1,"",SUM(Q3397:DL3397)/COUNTIF(Q3397:DL3397,"&gt;0")))</f>
        <v>0</v>
      </c>
      <c r="P3397" s="109">
        <f>SUMIFS(Q3397:DK3397,Q$1:DK$1,Dashboard!$K$31)</f>
        <v>0</v>
      </c>
      <c r="U3397" s="95">
        <v>33</v>
      </c>
      <c r="AA3397" s="95">
        <v>25</v>
      </c>
      <c r="AH3397" s="95">
        <v>75</v>
      </c>
    </row>
    <row r="3398" spans="1:34" ht="15.6" x14ac:dyDescent="0.3">
      <c r="A3398" s="89" t="str">
        <f>CONCATENATE(D3398,".",F3398,"-",G3398,".",H3398,"")</f>
        <v>2.6-4.1</v>
      </c>
      <c r="B3398" s="89" t="str">
        <f>IF(CONCATENATE(I3398,Key!F$2)=CONCATENATE(INDEX(Dashboard!J:J,MATCH(I3398,Dashboard!J:J,0),1),INDEX(Dashboard!J:K,MATCH(I3398,Dashboard!J:J,0),2)),"ON",IF(Dashboard!K$32="ALL","ON","-"))</f>
        <v>ON</v>
      </c>
      <c r="C3398" s="130" t="s">
        <v>152</v>
      </c>
      <c r="D3398" s="89">
        <f>IF(C3398="ID",1,(IF(C3398="PR",2,(IF(C3398="DE",3,(IF(C3398="RS",4,(IF(C3398="RC",5,0)))))))))</f>
        <v>2</v>
      </c>
      <c r="E3398" s="95" t="s">
        <v>271</v>
      </c>
      <c r="F3398" s="89">
        <f>IF(E3398="AM",1,(IF(E3398="BE",2,(IF(E3398="GV",3,(IF(E3398="RA",4,(IF(E3398="RM",5,(IF(E3398="AC",1,(IF(E3398="AT",2,(IF(E3398="DS",3,(IF(E3398="IP",4,(IF(E3398="MA",5,(IF(E3398="PT",6,(IF(E3398="AE",1,(IF(E3398="CM",2,(IF(E3398="DP",3,(IF(E3398="AN",1,(IF(E3398="CO",2,(IF(E3398="IM",3,(IF(E3398="MI",4,(IF(E3398="RP",5,(IF(E3398="SC",6,0)))))))))))))))))))))))))))))))))))))))</f>
        <v>6</v>
      </c>
      <c r="G3398" s="52">
        <v>4</v>
      </c>
      <c r="H3398" s="90" t="s">
        <v>115</v>
      </c>
      <c r="I3398" s="93" t="s">
        <v>4107</v>
      </c>
      <c r="J3398" s="86" t="s">
        <v>3953</v>
      </c>
      <c r="K3398" s="101" t="s">
        <v>4137</v>
      </c>
      <c r="L3398" s="117">
        <f>IF(O3398="","",N3398*O3398*M3398)</f>
        <v>0</v>
      </c>
      <c r="M3398" s="108">
        <v>1</v>
      </c>
      <c r="N3398" s="95">
        <v>1</v>
      </c>
      <c r="O3398" s="109">
        <f>IF(Key!D$1="ON",P3398,IF(SUM(Q3398:DL3398)&lt;1,"",SUM(Q3398:DL3398)/COUNTIF(Q3398:DL3398,"&gt;0")))</f>
        <v>0</v>
      </c>
      <c r="P3398" s="109">
        <f>SUMIFS(Q3398:DK3398,Q$1:DK$1,Dashboard!$K$31)</f>
        <v>0</v>
      </c>
      <c r="U3398" s="95">
        <v>33</v>
      </c>
      <c r="AA3398" s="95">
        <v>25</v>
      </c>
      <c r="AH3398" s="95">
        <v>75</v>
      </c>
    </row>
    <row r="3399" spans="1:34" ht="15.6" x14ac:dyDescent="0.3">
      <c r="A3399" s="89" t="str">
        <f>CONCATENATE(D3399,".",F3399,"-",G3399,".",H3399,"")</f>
        <v>2.6-4.1</v>
      </c>
      <c r="B3399" s="89" t="str">
        <f>IF(CONCATENATE(I3399,Key!F$2)=CONCATENATE(INDEX(Dashboard!J:J,MATCH(I3399,Dashboard!J:J,0),1),INDEX(Dashboard!J:K,MATCH(I3399,Dashboard!J:J,0),2)),"ON",IF(Dashboard!K$32="ALL","ON","-"))</f>
        <v>ON</v>
      </c>
      <c r="C3399" s="130" t="s">
        <v>152</v>
      </c>
      <c r="D3399" s="89">
        <f>IF(C3399="ID",1,(IF(C3399="PR",2,(IF(C3399="DE",3,(IF(C3399="RS",4,(IF(C3399="RC",5,0)))))))))</f>
        <v>2</v>
      </c>
      <c r="E3399" s="95" t="s">
        <v>271</v>
      </c>
      <c r="F3399" s="89">
        <f>IF(E3399="AM",1,(IF(E3399="BE",2,(IF(E3399="GV",3,(IF(E3399="RA",4,(IF(E3399="RM",5,(IF(E3399="AC",1,(IF(E3399="AT",2,(IF(E3399="DS",3,(IF(E3399="IP",4,(IF(E3399="MA",5,(IF(E3399="PT",6,(IF(E3399="AE",1,(IF(E3399="CM",2,(IF(E3399="DP",3,(IF(E3399="AN",1,(IF(E3399="CO",2,(IF(E3399="IM",3,(IF(E3399="MI",4,(IF(E3399="RP",5,(IF(E3399="SC",6,0)))))))))))))))))))))))))))))))))))))))</f>
        <v>6</v>
      </c>
      <c r="G3399" s="52">
        <v>4</v>
      </c>
      <c r="H3399" s="90" t="s">
        <v>115</v>
      </c>
      <c r="I3399" s="93" t="s">
        <v>4107</v>
      </c>
      <c r="J3399" s="86" t="s">
        <v>3955</v>
      </c>
      <c r="K3399" s="101" t="s">
        <v>4130</v>
      </c>
      <c r="L3399" s="117">
        <f>IF(O3399="","",N3399*O3399*M3399)</f>
        <v>0</v>
      </c>
      <c r="M3399" s="108">
        <v>1</v>
      </c>
      <c r="N3399" s="95">
        <v>1</v>
      </c>
      <c r="O3399" s="109">
        <f>IF(Key!D$1="ON",P3399,IF(SUM(Q3399:DL3399)&lt;1,"",SUM(Q3399:DL3399)/COUNTIF(Q3399:DL3399,"&gt;0")))</f>
        <v>0</v>
      </c>
      <c r="P3399" s="109">
        <f>SUMIFS(Q3399:DK3399,Q$1:DK$1,Dashboard!$K$31)</f>
        <v>0</v>
      </c>
      <c r="U3399" s="95">
        <v>33</v>
      </c>
      <c r="AA3399" s="95">
        <v>25</v>
      </c>
      <c r="AH3399" s="95">
        <v>75</v>
      </c>
    </row>
    <row r="3400" spans="1:34" x14ac:dyDescent="0.3">
      <c r="A3400" s="89" t="str">
        <f>CONCATENATE(D3400,".",F3400,"-",G3400,".",H3400,"")</f>
        <v>2.6-4.1</v>
      </c>
      <c r="B3400" s="89" t="str">
        <f>IF(CONCATENATE(I3400,Key!F$2)=CONCATENATE(INDEX(Dashboard!J:J,MATCH(I3400,Dashboard!J:J,0),1),INDEX(Dashboard!J:K,MATCH(I3400,Dashboard!J:J,0),2)),"ON",IF(Dashboard!K$32="ALL","ON","-"))</f>
        <v>ON</v>
      </c>
      <c r="C3400" s="130" t="s">
        <v>152</v>
      </c>
      <c r="D3400" s="89">
        <f>IF(C3400="ID",1,(IF(C3400="PR",2,(IF(C3400="DE",3,(IF(C3400="RS",4,(IF(C3400="RC",5,0)))))))))</f>
        <v>2</v>
      </c>
      <c r="E3400" s="95" t="s">
        <v>271</v>
      </c>
      <c r="F3400" s="89">
        <f>IF(E3400="AM",1,(IF(E3400="BE",2,(IF(E3400="GV",3,(IF(E3400="RA",4,(IF(E3400="RM",5,(IF(E3400="AC",1,(IF(E3400="AT",2,(IF(E3400="DS",3,(IF(E3400="IP",4,(IF(E3400="MA",5,(IF(E3400="PT",6,(IF(E3400="AE",1,(IF(E3400="CM",2,(IF(E3400="DP",3,(IF(E3400="AN",1,(IF(E3400="CO",2,(IF(E3400="IM",3,(IF(E3400="MI",4,(IF(E3400="RP",5,(IF(E3400="SC",6,0)))))))))))))))))))))))))))))))))))))))</f>
        <v>6</v>
      </c>
      <c r="G3400" s="52">
        <v>4</v>
      </c>
      <c r="H3400" s="90" t="s">
        <v>115</v>
      </c>
      <c r="I3400" s="93" t="s">
        <v>4107</v>
      </c>
      <c r="J3400" s="86" t="s">
        <v>3956</v>
      </c>
      <c r="K3400" s="101" t="s">
        <v>4358</v>
      </c>
      <c r="L3400" s="117">
        <f>IF(O3400="","",N3400*O3400*M3400)</f>
        <v>0</v>
      </c>
      <c r="M3400" s="108">
        <v>1</v>
      </c>
      <c r="N3400" s="95">
        <v>1</v>
      </c>
      <c r="O3400" s="109">
        <f>IF(Key!D$1="ON",P3400,IF(SUM(Q3400:DL3400)&lt;1,"",SUM(Q3400:DL3400)/COUNTIF(Q3400:DL3400,"&gt;0")))</f>
        <v>0</v>
      </c>
      <c r="P3400" s="109">
        <f>SUMIFS(Q3400:DK3400,Q$1:DK$1,Dashboard!$K$31)</f>
        <v>0</v>
      </c>
      <c r="U3400" s="95">
        <v>33</v>
      </c>
      <c r="AA3400" s="95">
        <v>25</v>
      </c>
      <c r="AH3400" s="95">
        <v>75</v>
      </c>
    </row>
    <row r="3401" spans="1:34" ht="15.6" x14ac:dyDescent="0.3">
      <c r="A3401" s="89" t="str">
        <f>CONCATENATE(D3401,".",F3401,"-",G3401,".",H3401,"")</f>
        <v>2.6-4.1</v>
      </c>
      <c r="B3401" s="89" t="str">
        <f>IF(CONCATENATE(I3401,Key!F$2)=CONCATENATE(INDEX(Dashboard!J:J,MATCH(I3401,Dashboard!J:J,0),1),INDEX(Dashboard!J:K,MATCH(I3401,Dashboard!J:J,0),2)),"ON",IF(Dashboard!K$32="ALL","ON","-"))</f>
        <v>ON</v>
      </c>
      <c r="C3401" s="130" t="s">
        <v>152</v>
      </c>
      <c r="D3401" s="89">
        <f>IF(C3401="ID",1,(IF(C3401="PR",2,(IF(C3401="DE",3,(IF(C3401="RS",4,(IF(C3401="RC",5,0)))))))))</f>
        <v>2</v>
      </c>
      <c r="E3401" s="95" t="s">
        <v>271</v>
      </c>
      <c r="F3401" s="89">
        <f>IF(E3401="AM",1,(IF(E3401="BE",2,(IF(E3401="GV",3,(IF(E3401="RA",4,(IF(E3401="RM",5,(IF(E3401="AC",1,(IF(E3401="AT",2,(IF(E3401="DS",3,(IF(E3401="IP",4,(IF(E3401="MA",5,(IF(E3401="PT",6,(IF(E3401="AE",1,(IF(E3401="CM",2,(IF(E3401="DP",3,(IF(E3401="AN",1,(IF(E3401="CO",2,(IF(E3401="IM",3,(IF(E3401="MI",4,(IF(E3401="RP",5,(IF(E3401="SC",6,0)))))))))))))))))))))))))))))))))))))))</f>
        <v>6</v>
      </c>
      <c r="G3401" s="52">
        <v>4</v>
      </c>
      <c r="H3401" s="90" t="s">
        <v>115</v>
      </c>
      <c r="I3401" s="93" t="s">
        <v>4107</v>
      </c>
      <c r="J3401" s="86" t="s">
        <v>3958</v>
      </c>
      <c r="K3401" s="101" t="s">
        <v>4360</v>
      </c>
      <c r="L3401" s="117">
        <f>IF(O3401="","",N3401*O3401*M3401)</f>
        <v>0</v>
      </c>
      <c r="M3401" s="108">
        <v>1</v>
      </c>
      <c r="N3401" s="95">
        <v>1</v>
      </c>
      <c r="O3401" s="109">
        <f>IF(Key!D$1="ON",P3401,IF(SUM(Q3401:DL3401)&lt;1,"",SUM(Q3401:DL3401)/COUNTIF(Q3401:DL3401,"&gt;0")))</f>
        <v>0</v>
      </c>
      <c r="P3401" s="109">
        <f>SUMIFS(Q3401:DK3401,Q$1:DK$1,Dashboard!$K$31)</f>
        <v>0</v>
      </c>
      <c r="U3401" s="95">
        <v>33</v>
      </c>
      <c r="AA3401" s="95">
        <v>25</v>
      </c>
      <c r="AH3401" s="95">
        <v>75</v>
      </c>
    </row>
    <row r="3402" spans="1:34" x14ac:dyDescent="0.3">
      <c r="A3402" s="89" t="str">
        <f>CONCATENATE(D3402,".",F3402,"-",G3402,".",H3402,"")</f>
        <v>2.6-4.1</v>
      </c>
      <c r="B3402" s="89" t="str">
        <f>IF(CONCATENATE(I3402,Key!F$2)=CONCATENATE(INDEX(Dashboard!J:J,MATCH(I3402,Dashboard!J:J,0),1),INDEX(Dashboard!J:K,MATCH(I3402,Dashboard!J:J,0),2)),"ON",IF(Dashboard!K$32="ALL","ON","-"))</f>
        <v>ON</v>
      </c>
      <c r="C3402" s="130" t="s">
        <v>152</v>
      </c>
      <c r="D3402" s="89">
        <f>IF(C3402="ID",1,(IF(C3402="PR",2,(IF(C3402="DE",3,(IF(C3402="RS",4,(IF(C3402="RC",5,0)))))))))</f>
        <v>2</v>
      </c>
      <c r="E3402" s="95" t="s">
        <v>271</v>
      </c>
      <c r="F3402" s="89">
        <f>IF(E3402="AM",1,(IF(E3402="BE",2,(IF(E3402="GV",3,(IF(E3402="RA",4,(IF(E3402="RM",5,(IF(E3402="AC",1,(IF(E3402="AT",2,(IF(E3402="DS",3,(IF(E3402="IP",4,(IF(E3402="MA",5,(IF(E3402="PT",6,(IF(E3402="AE",1,(IF(E3402="CM",2,(IF(E3402="DP",3,(IF(E3402="AN",1,(IF(E3402="CO",2,(IF(E3402="IM",3,(IF(E3402="MI",4,(IF(E3402="RP",5,(IF(E3402="SC",6,0)))))))))))))))))))))))))))))))))))))))</f>
        <v>6</v>
      </c>
      <c r="G3402" s="52">
        <v>4</v>
      </c>
      <c r="H3402" s="90" t="s">
        <v>115</v>
      </c>
      <c r="I3402" s="93" t="s">
        <v>4107</v>
      </c>
      <c r="J3402" s="86" t="s">
        <v>4067</v>
      </c>
      <c r="K3402" s="101" t="s">
        <v>4471</v>
      </c>
      <c r="L3402" s="117">
        <f>IF(O3402="","",N3402*O3402*M3402)</f>
        <v>0</v>
      </c>
      <c r="M3402" s="108">
        <v>1</v>
      </c>
      <c r="N3402" s="95">
        <v>1</v>
      </c>
      <c r="O3402" s="109">
        <f>IF(Key!D$1="ON",P3402,IF(SUM(Q3402:DL3402)&lt;1,"",SUM(Q3402:DL3402)/COUNTIF(Q3402:DL3402,"&gt;0")))</f>
        <v>0</v>
      </c>
      <c r="P3402" s="109">
        <f>SUMIFS(Q3402:DK3402,Q$1:DK$1,Dashboard!$K$31)</f>
        <v>0</v>
      </c>
      <c r="U3402" s="95">
        <v>33</v>
      </c>
      <c r="AA3402" s="95">
        <v>25</v>
      </c>
      <c r="AH3402" s="95">
        <v>75</v>
      </c>
    </row>
    <row r="3403" spans="1:34" ht="15.6" x14ac:dyDescent="0.3">
      <c r="A3403" s="89" t="str">
        <f>CONCATENATE(D3403,".",F3403,"-",G3403,".",H3403,"")</f>
        <v>2.6-4.1</v>
      </c>
      <c r="B3403" s="89" t="str">
        <f>IF(CONCATENATE(I3403,Key!F$2)=CONCATENATE(INDEX(Dashboard!J:J,MATCH(I3403,Dashboard!J:J,0),1),INDEX(Dashboard!J:K,MATCH(I3403,Dashboard!J:J,0),2)),"ON",IF(Dashboard!K$32="ALL","ON","-"))</f>
        <v>ON</v>
      </c>
      <c r="C3403" s="88" t="s">
        <v>152</v>
      </c>
      <c r="D3403" s="89">
        <f>IF(C3403="ID",1,(IF(C3403="PR",2,(IF(C3403="DE",3,(IF(C3403="RS",4,(IF(C3403="RC",5,0)))))))))</f>
        <v>2</v>
      </c>
      <c r="E3403" s="89" t="s">
        <v>271</v>
      </c>
      <c r="F3403" s="89">
        <f>IF(E3403="AM",1,(IF(E3403="BE",2,(IF(E3403="GV",3,(IF(E3403="RA",4,(IF(E3403="RM",5,(IF(E3403="AC",1,(IF(E3403="AT",2,(IF(E3403="DS",3,(IF(E3403="IP",4,(IF(E3403="MA",5,(IF(E3403="PT",6,(IF(E3403="AE",1,(IF(E3403="CM",2,(IF(E3403="DP",3,(IF(E3403="AN",1,(IF(E3403="CO",2,(IF(E3403="IM",3,(IF(E3403="MI",4,(IF(E3403="RP",5,(IF(E3403="SC",6,0)))))))))))))))))))))))))))))))))))))))</f>
        <v>6</v>
      </c>
      <c r="G3403" s="52">
        <v>4</v>
      </c>
      <c r="H3403" s="90" t="s">
        <v>115</v>
      </c>
      <c r="I3403" s="93" t="s">
        <v>4107</v>
      </c>
      <c r="J3403" s="86" t="s">
        <v>4070</v>
      </c>
      <c r="K3403" s="101" t="s">
        <v>4405</v>
      </c>
      <c r="L3403" s="117">
        <f>IF(O3403="","",N3403*O3403*M3403)</f>
        <v>0</v>
      </c>
      <c r="M3403" s="108">
        <v>1</v>
      </c>
      <c r="N3403" s="95">
        <v>1</v>
      </c>
      <c r="O3403" s="109">
        <f>IF(Key!D$1="ON",P3403,IF(SUM(Q3403:DL3403)&lt;1,"",SUM(Q3403:DL3403)/COUNTIF(Q3403:DL3403,"&gt;0")))</f>
        <v>0</v>
      </c>
      <c r="P3403" s="109">
        <f>SUMIFS(Q3403:DK3403,Q$1:DK$1,Dashboard!$K$31)</f>
        <v>0</v>
      </c>
      <c r="U3403" s="95">
        <v>33</v>
      </c>
      <c r="AA3403" s="95">
        <v>25</v>
      </c>
      <c r="AH3403" s="95">
        <v>75</v>
      </c>
    </row>
    <row r="3404" spans="1:34" ht="15.6" x14ac:dyDescent="0.3">
      <c r="A3404" s="89" t="str">
        <f>CONCATENATE(D3404,".",F3404,"-",G3404,".",H3404,"")</f>
        <v>2.6-4.1</v>
      </c>
      <c r="B3404" s="89" t="str">
        <f>IF(CONCATENATE(I3404,Key!F$2)=CONCATENATE(INDEX(Dashboard!J:J,MATCH(I3404,Dashboard!J:J,0),1),INDEX(Dashboard!J:K,MATCH(I3404,Dashboard!J:J,0),2)),"ON",IF(Dashboard!K$32="ALL","ON","-"))</f>
        <v>ON</v>
      </c>
      <c r="C3404" s="88" t="s">
        <v>152</v>
      </c>
      <c r="D3404" s="89">
        <f>IF(C3404="ID",1,(IF(C3404="PR",2,(IF(C3404="DE",3,(IF(C3404="RS",4,(IF(C3404="RC",5,0)))))))))</f>
        <v>2</v>
      </c>
      <c r="E3404" s="89" t="s">
        <v>271</v>
      </c>
      <c r="F3404" s="89">
        <f>IF(E3404="AM",1,(IF(E3404="BE",2,(IF(E3404="GV",3,(IF(E3404="RA",4,(IF(E3404="RM",5,(IF(E3404="AC",1,(IF(E3404="AT",2,(IF(E3404="DS",3,(IF(E3404="IP",4,(IF(E3404="MA",5,(IF(E3404="PT",6,(IF(E3404="AE",1,(IF(E3404="CM",2,(IF(E3404="DP",3,(IF(E3404="AN",1,(IF(E3404="CO",2,(IF(E3404="IM",3,(IF(E3404="MI",4,(IF(E3404="RP",5,(IF(E3404="SC",6,0)))))))))))))))))))))))))))))))))))))))</f>
        <v>6</v>
      </c>
      <c r="G3404" s="52">
        <v>4</v>
      </c>
      <c r="H3404" s="90" t="s">
        <v>115</v>
      </c>
      <c r="I3404" s="93" t="s">
        <v>4107</v>
      </c>
      <c r="J3404" s="86" t="s">
        <v>4081</v>
      </c>
      <c r="K3404" s="101" t="s">
        <v>4236</v>
      </c>
      <c r="L3404" s="117">
        <f>IF(O3404="","",N3404*O3404*M3404)</f>
        <v>0</v>
      </c>
      <c r="M3404" s="108">
        <v>1</v>
      </c>
      <c r="N3404" s="95">
        <v>1</v>
      </c>
      <c r="O3404" s="109">
        <f>IF(Key!D$1="ON",P3404,IF(SUM(Q3404:DL3404)&lt;1,"",SUM(Q3404:DL3404)/COUNTIF(Q3404:DL3404,"&gt;0")))</f>
        <v>0</v>
      </c>
      <c r="P3404" s="109">
        <f>SUMIFS(Q3404:DK3404,Q$1:DK$1,Dashboard!$K$31)</f>
        <v>0</v>
      </c>
      <c r="U3404" s="95">
        <v>33</v>
      </c>
      <c r="AA3404" s="95">
        <v>25</v>
      </c>
      <c r="AH3404" s="95">
        <v>75</v>
      </c>
    </row>
    <row r="3405" spans="1:34" ht="15.6" x14ac:dyDescent="0.3">
      <c r="A3405" s="89" t="str">
        <f>CONCATENATE(D3405,".",F3405,"-",G3405,".",H3405,"")</f>
        <v>2.6-4.1</v>
      </c>
      <c r="B3405" s="89" t="str">
        <f>IF(CONCATENATE(I3405,Key!F$2)=CONCATENATE(INDEX(Dashboard!J:J,MATCH(I3405,Dashboard!J:J,0),1),INDEX(Dashboard!J:K,MATCH(I3405,Dashboard!J:J,0),2)),"ON",IF(Dashboard!K$32="ALL","ON","-"))</f>
        <v>ON</v>
      </c>
      <c r="C3405" s="88" t="s">
        <v>152</v>
      </c>
      <c r="D3405" s="89">
        <f>IF(C3405="ID",1,(IF(C3405="PR",2,(IF(C3405="DE",3,(IF(C3405="RS",4,(IF(C3405="RC",5,0)))))))))</f>
        <v>2</v>
      </c>
      <c r="E3405" s="89" t="s">
        <v>271</v>
      </c>
      <c r="F3405" s="89">
        <f>IF(E3405="AM",1,(IF(E3405="BE",2,(IF(E3405="GV",3,(IF(E3405="RA",4,(IF(E3405="RM",5,(IF(E3405="AC",1,(IF(E3405="AT",2,(IF(E3405="DS",3,(IF(E3405="IP",4,(IF(E3405="MA",5,(IF(E3405="PT",6,(IF(E3405="AE",1,(IF(E3405="CM",2,(IF(E3405="DP",3,(IF(E3405="AN",1,(IF(E3405="CO",2,(IF(E3405="IM",3,(IF(E3405="MI",4,(IF(E3405="RP",5,(IF(E3405="SC",6,0)))))))))))))))))))))))))))))))))))))))</f>
        <v>6</v>
      </c>
      <c r="G3405" s="52">
        <v>4</v>
      </c>
      <c r="H3405" s="90" t="s">
        <v>115</v>
      </c>
      <c r="I3405" s="93" t="s">
        <v>4107</v>
      </c>
      <c r="J3405" s="86" t="s">
        <v>4084</v>
      </c>
      <c r="K3405" s="101" t="s">
        <v>4408</v>
      </c>
      <c r="L3405" s="117">
        <f>IF(O3405="","",N3405*O3405*M3405)</f>
        <v>0</v>
      </c>
      <c r="M3405" s="108">
        <v>1</v>
      </c>
      <c r="N3405" s="95">
        <v>1</v>
      </c>
      <c r="O3405" s="109">
        <f>IF(Key!D$1="ON",P3405,IF(SUM(Q3405:DL3405)&lt;1,"",SUM(Q3405:DL3405)/COUNTIF(Q3405:DL3405,"&gt;0")))</f>
        <v>0</v>
      </c>
      <c r="P3405" s="109">
        <f>SUMIFS(Q3405:DK3405,Q$1:DK$1,Dashboard!$K$31)</f>
        <v>0</v>
      </c>
      <c r="U3405" s="95">
        <v>33</v>
      </c>
      <c r="AA3405" s="95">
        <v>25</v>
      </c>
      <c r="AH3405" s="95">
        <v>75</v>
      </c>
    </row>
    <row r="3406" spans="1:34" ht="15.6" x14ac:dyDescent="0.3">
      <c r="A3406" s="89" t="str">
        <f>CONCATENATE(D3406,".",F3406,"-",G3406,".",H3406,"")</f>
        <v>2.6-4.1</v>
      </c>
      <c r="B3406" s="89" t="str">
        <f>IF(CONCATENATE(I3406,Key!F$2)=CONCATENATE(INDEX(Dashboard!J:J,MATCH(I3406,Dashboard!J:J,0),1),INDEX(Dashboard!J:K,MATCH(I3406,Dashboard!J:J,0),2)),"ON",IF(Dashboard!K$32="ALL","ON","-"))</f>
        <v>-</v>
      </c>
      <c r="C3406" s="88" t="s">
        <v>152</v>
      </c>
      <c r="D3406" s="89">
        <f>IF(C3406="ID",1,(IF(C3406="PR",2,(IF(C3406="DE",3,(IF(C3406="RS",4,(IF(C3406="RC",5,0)))))))))</f>
        <v>2</v>
      </c>
      <c r="E3406" s="89" t="s">
        <v>271</v>
      </c>
      <c r="F3406" s="89">
        <f>IF(E3406="AM",1,(IF(E3406="BE",2,(IF(E3406="GV",3,(IF(E3406="RA",4,(IF(E3406="RM",5,(IF(E3406="AC",1,(IF(E3406="AT",2,(IF(E3406="DS",3,(IF(E3406="IP",4,(IF(E3406="MA",5,(IF(E3406="PT",6,(IF(E3406="AE",1,(IF(E3406="CM",2,(IF(E3406="DP",3,(IF(E3406="AN",1,(IF(E3406="CO",2,(IF(E3406="IM",3,(IF(E3406="MI",4,(IF(E3406="RP",5,(IF(E3406="SC",6,0)))))))))))))))))))))))))))))))))))))))</f>
        <v>6</v>
      </c>
      <c r="G3406" s="52">
        <v>4</v>
      </c>
      <c r="H3406" s="99">
        <v>1</v>
      </c>
      <c r="I3406" s="93" t="s">
        <v>37</v>
      </c>
      <c r="J3406" s="86">
        <v>12.5</v>
      </c>
      <c r="K3406" s="102" t="s">
        <v>3809</v>
      </c>
      <c r="L3406" s="117">
        <f>IF(O3406="","",N3406*O3406*M3406)</f>
        <v>0</v>
      </c>
      <c r="M3406" s="108">
        <v>1</v>
      </c>
      <c r="N3406" s="95">
        <v>1</v>
      </c>
      <c r="O3406" s="109">
        <f>IF(Key!D$1="ON",P3406,IF(SUM(Q3406:DL3406)&lt;1,"",SUM(Q3406:DL3406)/COUNTIF(Q3406:DL3406,"&gt;0")))</f>
        <v>0</v>
      </c>
      <c r="P3406" s="109">
        <f>SUMIFS(Q3406:DK3406,Q$1:DK$1,Dashboard!$K$31)</f>
        <v>0</v>
      </c>
      <c r="U3406" s="95">
        <v>33</v>
      </c>
      <c r="AA3406" s="95">
        <v>25</v>
      </c>
      <c r="AH3406" s="95">
        <v>75</v>
      </c>
    </row>
    <row r="3407" spans="1:34" ht="15.6" x14ac:dyDescent="0.3">
      <c r="A3407" s="89" t="str">
        <f>CONCATENATE(D3407,".",F3407,"-",G3407,".",H3407,"")</f>
        <v>2.6-4.1</v>
      </c>
      <c r="B3407" s="89" t="str">
        <f>IF(CONCATENATE(I3407,Key!F$2)=CONCATENATE(INDEX(Dashboard!J:J,MATCH(I3407,Dashboard!J:J,0),1),INDEX(Dashboard!J:K,MATCH(I3407,Dashboard!J:J,0),2)),"ON",IF(Dashboard!K$32="ALL","ON","-"))</f>
        <v>-</v>
      </c>
      <c r="C3407" s="88" t="s">
        <v>152</v>
      </c>
      <c r="D3407" s="89">
        <f>IF(C3407="ID",1,(IF(C3407="PR",2,(IF(C3407="DE",3,(IF(C3407="RS",4,(IF(C3407="RC",5,0)))))))))</f>
        <v>2</v>
      </c>
      <c r="E3407" s="89" t="s">
        <v>271</v>
      </c>
      <c r="F3407" s="89">
        <f>IF(E3407="AM",1,(IF(E3407="BE",2,(IF(E3407="GV",3,(IF(E3407="RA",4,(IF(E3407="RM",5,(IF(E3407="AC",1,(IF(E3407="AT",2,(IF(E3407="DS",3,(IF(E3407="IP",4,(IF(E3407="MA",5,(IF(E3407="PT",6,(IF(E3407="AE",1,(IF(E3407="CM",2,(IF(E3407="DP",3,(IF(E3407="AN",1,(IF(E3407="CO",2,(IF(E3407="IM",3,(IF(E3407="MI",4,(IF(E3407="RP",5,(IF(E3407="SC",6,0)))))))))))))))))))))))))))))))))))))))</f>
        <v>6</v>
      </c>
      <c r="G3407" s="52">
        <v>4</v>
      </c>
      <c r="H3407" s="99">
        <v>1</v>
      </c>
      <c r="I3407" s="93" t="s">
        <v>37</v>
      </c>
      <c r="J3407" s="86">
        <v>11</v>
      </c>
      <c r="K3407" s="102" t="s">
        <v>3806</v>
      </c>
      <c r="L3407" s="117">
        <f>IF(O3407="","",N3407*O3407*M3407)</f>
        <v>0</v>
      </c>
      <c r="M3407" s="108">
        <v>1</v>
      </c>
      <c r="N3407" s="95">
        <v>1</v>
      </c>
      <c r="O3407" s="109">
        <f>IF(Key!D$1="ON",P3407,IF(SUM(Q3407:DL3407)&lt;1,"",SUM(Q3407:DL3407)/COUNTIF(Q3407:DL3407,"&gt;0")))</f>
        <v>0</v>
      </c>
      <c r="P3407" s="109">
        <f>SUMIFS(Q3407:DK3407,Q$1:DK$1,Dashboard!$K$31)</f>
        <v>0</v>
      </c>
      <c r="U3407" s="95">
        <v>33</v>
      </c>
      <c r="AA3407" s="95">
        <v>25</v>
      </c>
      <c r="AH3407" s="95">
        <v>75</v>
      </c>
    </row>
    <row r="3408" spans="1:34" x14ac:dyDescent="0.3">
      <c r="A3408" s="89" t="str">
        <f>CONCATENATE(D3408,".",F3408,"-",G3408,".",H3408,"")</f>
        <v>2.6-4.1</v>
      </c>
      <c r="B3408" s="89" t="str">
        <f>IF(CONCATENATE(I3408,Key!F$2)=CONCATENATE(INDEX(Dashboard!J:J,MATCH(I3408,Dashboard!J:J,0),1),INDEX(Dashboard!J:K,MATCH(I3408,Dashboard!J:J,0),2)),"ON",IF(Dashboard!K$32="ALL","ON","-"))</f>
        <v>-</v>
      </c>
      <c r="C3408" s="88" t="s">
        <v>152</v>
      </c>
      <c r="D3408" s="89">
        <f>IF(C3408="ID",1,(IF(C3408="PR",2,(IF(C3408="DE",3,(IF(C3408="RS",4,(IF(C3408="RC",5,0)))))))))</f>
        <v>2</v>
      </c>
      <c r="E3408" s="89" t="s">
        <v>271</v>
      </c>
      <c r="F3408" s="89">
        <f>IF(E3408="AM",1,(IF(E3408="BE",2,(IF(E3408="GV",3,(IF(E3408="RA",4,(IF(E3408="RM",5,(IF(E3408="AC",1,(IF(E3408="AT",2,(IF(E3408="DS",3,(IF(E3408="IP",4,(IF(E3408="MA",5,(IF(E3408="PT",6,(IF(E3408="AE",1,(IF(E3408="CM",2,(IF(E3408="DP",3,(IF(E3408="AN",1,(IF(E3408="CO",2,(IF(E3408="IM",3,(IF(E3408="MI",4,(IF(E3408="RP",5,(IF(E3408="SC",6,0)))))))))))))))))))))))))))))))))))))))</f>
        <v>6</v>
      </c>
      <c r="G3408" s="52">
        <v>4</v>
      </c>
      <c r="H3408" s="99">
        <v>1</v>
      </c>
      <c r="I3408" s="93" t="s">
        <v>37</v>
      </c>
      <c r="J3408" s="86">
        <v>12.1</v>
      </c>
      <c r="K3408" s="102" t="s">
        <v>3807</v>
      </c>
      <c r="L3408" s="117">
        <f>IF(O3408="","",N3408*O3408*M3408)</f>
        <v>0</v>
      </c>
      <c r="M3408" s="108">
        <v>1</v>
      </c>
      <c r="N3408" s="95">
        <v>1</v>
      </c>
      <c r="O3408" s="109">
        <f>IF(Key!D$1="ON",P3408,IF(SUM(Q3408:DL3408)&lt;1,"",SUM(Q3408:DL3408)/COUNTIF(Q3408:DL3408,"&gt;0")))</f>
        <v>0</v>
      </c>
      <c r="P3408" s="109">
        <f>SUMIFS(Q3408:DK3408,Q$1:DK$1,Dashboard!$K$31)</f>
        <v>0</v>
      </c>
      <c r="U3408" s="95">
        <v>33</v>
      </c>
      <c r="AA3408" s="95">
        <v>25</v>
      </c>
      <c r="AH3408" s="95">
        <v>75</v>
      </c>
    </row>
    <row r="3409" spans="1:34" x14ac:dyDescent="0.3">
      <c r="A3409" s="89" t="str">
        <f>CONCATENATE(D3409,".",F3409,"-",G3409,".",H3409,"")</f>
        <v>2.6-4.1</v>
      </c>
      <c r="B3409" s="89" t="str">
        <f>IF(CONCATENATE(I3409,Key!F$2)=CONCATENATE(INDEX(Dashboard!J:J,MATCH(I3409,Dashboard!J:J,0),1),INDEX(Dashboard!J:K,MATCH(I3409,Dashboard!J:J,0),2)),"ON",IF(Dashboard!K$32="ALL","ON","-"))</f>
        <v>-</v>
      </c>
      <c r="C3409" s="88" t="s">
        <v>152</v>
      </c>
      <c r="D3409" s="89">
        <f>IF(C3409="ID",1,(IF(C3409="PR",2,(IF(C3409="DE",3,(IF(C3409="RS",4,(IF(C3409="RC",5,0)))))))))</f>
        <v>2</v>
      </c>
      <c r="E3409" s="89" t="s">
        <v>271</v>
      </c>
      <c r="F3409" s="89">
        <f>IF(E3409="AM",1,(IF(E3409="BE",2,(IF(E3409="GV",3,(IF(E3409="RA",4,(IF(E3409="RM",5,(IF(E3409="AC",1,(IF(E3409="AT",2,(IF(E3409="DS",3,(IF(E3409="IP",4,(IF(E3409="MA",5,(IF(E3409="PT",6,(IF(E3409="AE",1,(IF(E3409="CM",2,(IF(E3409="DP",3,(IF(E3409="AN",1,(IF(E3409="CO",2,(IF(E3409="IM",3,(IF(E3409="MI",4,(IF(E3409="RP",5,(IF(E3409="SC",6,0)))))))))))))))))))))))))))))))))))))))</f>
        <v>6</v>
      </c>
      <c r="G3409" s="52">
        <v>4</v>
      </c>
      <c r="H3409" s="99">
        <v>1</v>
      </c>
      <c r="I3409" s="93" t="s">
        <v>37</v>
      </c>
      <c r="J3409" s="86">
        <v>12.2</v>
      </c>
      <c r="K3409" s="102" t="s">
        <v>3808</v>
      </c>
      <c r="L3409" s="117">
        <f>IF(O3409="","",N3409*O3409*M3409)</f>
        <v>0</v>
      </c>
      <c r="M3409" s="108">
        <v>1</v>
      </c>
      <c r="N3409" s="95">
        <v>1</v>
      </c>
      <c r="O3409" s="109">
        <f>IF(Key!D$1="ON",P3409,IF(SUM(Q3409:DL3409)&lt;1,"",SUM(Q3409:DL3409)/COUNTIF(Q3409:DL3409,"&gt;0")))</f>
        <v>0</v>
      </c>
      <c r="P3409" s="109">
        <f>SUMIFS(Q3409:DK3409,Q$1:DK$1,Dashboard!$K$31)</f>
        <v>0</v>
      </c>
      <c r="U3409" s="95">
        <v>33</v>
      </c>
      <c r="AA3409" s="95">
        <v>25</v>
      </c>
      <c r="AH3409" s="95">
        <v>75</v>
      </c>
    </row>
    <row r="3410" spans="1:34" x14ac:dyDescent="0.3">
      <c r="A3410" s="89" t="str">
        <f>CONCATENATE(D3410,".",F3410,"-",G3410,".",H3410,"")</f>
        <v>2.6-4.1</v>
      </c>
      <c r="B3410" s="89" t="str">
        <f>IF(CONCATENATE(I3410,Key!F$2)=CONCATENATE(INDEX(Dashboard!J:J,MATCH(I3410,Dashboard!J:J,0),1),INDEX(Dashboard!J:K,MATCH(I3410,Dashboard!J:J,0),2)),"ON",IF(Dashboard!K$32="ALL","ON","-"))</f>
        <v>-</v>
      </c>
      <c r="C3410" s="88" t="s">
        <v>152</v>
      </c>
      <c r="D3410" s="89">
        <f>IF(C3410="ID",1,(IF(C3410="PR",2,(IF(C3410="DE",3,(IF(C3410="RS",4,(IF(C3410="RC",5,0)))))))))</f>
        <v>2</v>
      </c>
      <c r="E3410" s="89" t="s">
        <v>271</v>
      </c>
      <c r="F3410" s="89">
        <f>IF(E3410="AM",1,(IF(E3410="BE",2,(IF(E3410="GV",3,(IF(E3410="RA",4,(IF(E3410="RM",5,(IF(E3410="AC",1,(IF(E3410="AT",2,(IF(E3410="DS",3,(IF(E3410="IP",4,(IF(E3410="MA",5,(IF(E3410="PT",6,(IF(E3410="AE",1,(IF(E3410="CM",2,(IF(E3410="DP",3,(IF(E3410="AN",1,(IF(E3410="CO",2,(IF(E3410="IM",3,(IF(E3410="MI",4,(IF(E3410="RP",5,(IF(E3410="SC",6,0)))))))))))))))))))))))))))))))))))))))</f>
        <v>6</v>
      </c>
      <c r="G3410" s="52">
        <v>4</v>
      </c>
      <c r="H3410" s="99">
        <v>1</v>
      </c>
      <c r="I3410" s="93" t="s">
        <v>37</v>
      </c>
      <c r="J3410" s="86">
        <v>15</v>
      </c>
      <c r="K3410" s="102" t="s">
        <v>3811</v>
      </c>
      <c r="L3410" s="117">
        <f>IF(O3410="","",N3410*O3410*M3410)</f>
        <v>0</v>
      </c>
      <c r="M3410" s="108">
        <v>1</v>
      </c>
      <c r="N3410" s="95">
        <v>1</v>
      </c>
      <c r="O3410" s="109">
        <f>IF(Key!D$1="ON",P3410,IF(SUM(Q3410:DL3410)&lt;1,"",SUM(Q3410:DL3410)/COUNTIF(Q3410:DL3410,"&gt;0")))</f>
        <v>0</v>
      </c>
      <c r="P3410" s="109">
        <f>SUMIFS(Q3410:DK3410,Q$1:DK$1,Dashboard!$K$31)</f>
        <v>0</v>
      </c>
      <c r="U3410" s="95">
        <v>33</v>
      </c>
      <c r="AA3410" s="95">
        <v>25</v>
      </c>
      <c r="AH3410" s="95">
        <v>75</v>
      </c>
    </row>
    <row r="3411" spans="1:34" ht="15.6" x14ac:dyDescent="0.3">
      <c r="A3411" s="89" t="str">
        <f>CONCATENATE(D3411,".",F3411,"-",G3411,".",H3411,"")</f>
        <v>2.6-4.1</v>
      </c>
      <c r="B3411" s="89" t="str">
        <f>IF(CONCATENATE(I3411,Key!F$2)=CONCATENATE(INDEX(Dashboard!J:J,MATCH(I3411,Dashboard!J:J,0),1),INDEX(Dashboard!J:K,MATCH(I3411,Dashboard!J:J,0),2)),"ON",IF(Dashboard!K$32="ALL","ON","-"))</f>
        <v>-</v>
      </c>
      <c r="C3411" s="88" t="s">
        <v>152</v>
      </c>
      <c r="D3411" s="89">
        <f>IF(C3411="ID",1,(IF(C3411="PR",2,(IF(C3411="DE",3,(IF(C3411="RS",4,(IF(C3411="RC",5,0)))))))))</f>
        <v>2</v>
      </c>
      <c r="E3411" s="89" t="s">
        <v>271</v>
      </c>
      <c r="F3411" s="89">
        <f>IF(E3411="AM",1,(IF(E3411="BE",2,(IF(E3411="GV",3,(IF(E3411="RA",4,(IF(E3411="RM",5,(IF(E3411="AC",1,(IF(E3411="AT",2,(IF(E3411="DS",3,(IF(E3411="IP",4,(IF(E3411="MA",5,(IF(E3411="PT",6,(IF(E3411="AE",1,(IF(E3411="CM",2,(IF(E3411="DP",3,(IF(E3411="AN",1,(IF(E3411="CO",2,(IF(E3411="IM",3,(IF(E3411="MI",4,(IF(E3411="RP",5,(IF(E3411="SC",6,0)))))))))))))))))))))))))))))))))))))))</f>
        <v>6</v>
      </c>
      <c r="G3411" s="52">
        <v>4</v>
      </c>
      <c r="H3411" s="99">
        <v>1</v>
      </c>
      <c r="I3411" s="93" t="s">
        <v>37</v>
      </c>
      <c r="J3411" s="86">
        <v>12.9</v>
      </c>
      <c r="K3411" s="102" t="s">
        <v>3810</v>
      </c>
      <c r="L3411" s="117">
        <f>IF(O3411="","",N3411*O3411*M3411)</f>
        <v>0</v>
      </c>
      <c r="M3411" s="108">
        <v>1</v>
      </c>
      <c r="N3411" s="95">
        <v>1</v>
      </c>
      <c r="O3411" s="109">
        <f>IF(Key!D$1="ON",P3411,IF(SUM(Q3411:DL3411)&lt;1,"",SUM(Q3411:DL3411)/COUNTIF(Q3411:DL3411,"&gt;0")))</f>
        <v>0</v>
      </c>
      <c r="P3411" s="109">
        <f>SUMIFS(Q3411:DK3411,Q$1:DK$1,Dashboard!$K$31)</f>
        <v>0</v>
      </c>
      <c r="U3411" s="95">
        <v>33</v>
      </c>
      <c r="AA3411" s="95">
        <v>25</v>
      </c>
      <c r="AH3411" s="95">
        <v>75</v>
      </c>
    </row>
    <row r="3412" spans="1:34" ht="15.6" x14ac:dyDescent="0.3">
      <c r="A3412" s="89" t="str">
        <f>CONCATENATE(D3412,".",F3412,"-",G3412,".",H3412,"")</f>
        <v>2.6-4.1</v>
      </c>
      <c r="B3412" s="89" t="str">
        <f>IF(CONCATENATE(I3412,Key!F$2)=CONCATENATE(INDEX(Dashboard!J:J,MATCH(I3412,Dashboard!J:J,0),1),INDEX(Dashboard!J:K,MATCH(I3412,Dashboard!J:J,0),2)),"ON",IF(Dashboard!K$32="ALL","ON","-"))</f>
        <v>-</v>
      </c>
      <c r="C3412" s="88" t="s">
        <v>152</v>
      </c>
      <c r="D3412" s="89">
        <f>IF(C3412="ID",1,(IF(C3412="PR",2,(IF(C3412="DE",3,(IF(C3412="RS",4,(IF(C3412="RC",5,0)))))))))</f>
        <v>2</v>
      </c>
      <c r="E3412" s="89" t="s">
        <v>271</v>
      </c>
      <c r="F3412" s="89">
        <f>IF(E3412="AM",1,(IF(E3412="BE",2,(IF(E3412="GV",3,(IF(E3412="RA",4,(IF(E3412="RM",5,(IF(E3412="AC",1,(IF(E3412="AT",2,(IF(E3412="DS",3,(IF(E3412="IP",4,(IF(E3412="MA",5,(IF(E3412="PT",6,(IF(E3412="AE",1,(IF(E3412="CM",2,(IF(E3412="DP",3,(IF(E3412="AN",1,(IF(E3412="CO",2,(IF(E3412="IM",3,(IF(E3412="MI",4,(IF(E3412="RP",5,(IF(E3412="SC",6,0)))))))))))))))))))))))))))))))))))))))</f>
        <v>6</v>
      </c>
      <c r="G3412" s="52">
        <v>4</v>
      </c>
      <c r="H3412" s="99">
        <v>1</v>
      </c>
      <c r="I3412" s="93" t="s">
        <v>41</v>
      </c>
      <c r="J3412" s="86">
        <v>11</v>
      </c>
      <c r="K3412" s="103" t="s">
        <v>3532</v>
      </c>
      <c r="L3412" s="117">
        <f>IF(O3412="","",N3412*O3412*M3412)</f>
        <v>0</v>
      </c>
      <c r="M3412" s="108">
        <v>1</v>
      </c>
      <c r="N3412" s="95">
        <v>1</v>
      </c>
      <c r="O3412" s="109">
        <f>IF(Key!D$1="ON",P3412,IF(SUM(Q3412:DL3412)&lt;1,"",SUM(Q3412:DL3412)/COUNTIF(Q3412:DL3412,"&gt;0")))</f>
        <v>0</v>
      </c>
      <c r="P3412" s="109">
        <f>SUMIFS(Q3412:DK3412,Q$1:DK$1,Dashboard!$K$31)</f>
        <v>0</v>
      </c>
      <c r="U3412" s="95">
        <v>33</v>
      </c>
    </row>
    <row r="3413" spans="1:34" ht="15.6" x14ac:dyDescent="0.3">
      <c r="A3413" s="89" t="str">
        <f>CONCATENATE(D3413,".",F3413,"-",G3413,".",H3413,"")</f>
        <v>2.6-4.1</v>
      </c>
      <c r="B3413" s="89" t="str">
        <f>IF(CONCATENATE(I3413,Key!F$2)=CONCATENATE(INDEX(Dashboard!J:J,MATCH(I3413,Dashboard!J:J,0),1),INDEX(Dashboard!J:K,MATCH(I3413,Dashboard!J:J,0),2)),"ON",IF(Dashboard!K$32="ALL","ON","-"))</f>
        <v>-</v>
      </c>
      <c r="C3413" s="88" t="s">
        <v>152</v>
      </c>
      <c r="D3413" s="89">
        <f>IF(C3413="ID",1,(IF(C3413="PR",2,(IF(C3413="DE",3,(IF(C3413="RS",4,(IF(C3413="RC",5,0)))))))))</f>
        <v>2</v>
      </c>
      <c r="E3413" s="89" t="s">
        <v>271</v>
      </c>
      <c r="F3413" s="89">
        <f>IF(E3413="AM",1,(IF(E3413="BE",2,(IF(E3413="GV",3,(IF(E3413="RA",4,(IF(E3413="RM",5,(IF(E3413="AC",1,(IF(E3413="AT",2,(IF(E3413="DS",3,(IF(E3413="IP",4,(IF(E3413="MA",5,(IF(E3413="PT",6,(IF(E3413="AE",1,(IF(E3413="CM",2,(IF(E3413="DP",3,(IF(E3413="AN",1,(IF(E3413="CO",2,(IF(E3413="IM",3,(IF(E3413="MI",4,(IF(E3413="RP",5,(IF(E3413="SC",6,0)))))))))))))))))))))))))))))))))))))))</f>
        <v>6</v>
      </c>
      <c r="G3413" s="52">
        <v>4</v>
      </c>
      <c r="H3413" s="99">
        <v>1</v>
      </c>
      <c r="I3413" s="93" t="s">
        <v>41</v>
      </c>
      <c r="J3413" s="86">
        <v>12.1</v>
      </c>
      <c r="K3413" s="103" t="s">
        <v>3541</v>
      </c>
      <c r="L3413" s="117">
        <f>IF(O3413="","",N3413*O3413*M3413)</f>
        <v>0</v>
      </c>
      <c r="M3413" s="108">
        <v>1</v>
      </c>
      <c r="N3413" s="95">
        <v>1</v>
      </c>
      <c r="O3413" s="109">
        <f>IF(Key!D$1="ON",P3413,IF(SUM(Q3413:DL3413)&lt;1,"",SUM(Q3413:DL3413)/COUNTIF(Q3413:DL3413,"&gt;0")))</f>
        <v>0</v>
      </c>
      <c r="P3413" s="109">
        <f>SUMIFS(Q3413:DK3413,Q$1:DK$1,Dashboard!$K$31)</f>
        <v>0</v>
      </c>
      <c r="U3413" s="95">
        <v>33</v>
      </c>
    </row>
    <row r="3414" spans="1:34" x14ac:dyDescent="0.3">
      <c r="A3414" s="89" t="str">
        <f>CONCATENATE(D3414,".",F3414,"-",G3414,".",H3414,"")</f>
        <v>2.6-4.1</v>
      </c>
      <c r="B3414" s="89" t="str">
        <f>IF(CONCATENATE(I3414,Key!F$2)=CONCATENATE(INDEX(Dashboard!J:J,MATCH(I3414,Dashboard!J:J,0),1),INDEX(Dashboard!J:K,MATCH(I3414,Dashboard!J:J,0),2)),"ON",IF(Dashboard!K$32="ALL","ON","-"))</f>
        <v>-</v>
      </c>
      <c r="C3414" s="88" t="s">
        <v>152</v>
      </c>
      <c r="D3414" s="89">
        <f>IF(C3414="ID",1,(IF(C3414="PR",2,(IF(C3414="DE",3,(IF(C3414="RS",4,(IF(C3414="RC",5,0)))))))))</f>
        <v>2</v>
      </c>
      <c r="E3414" s="89" t="s">
        <v>271</v>
      </c>
      <c r="F3414" s="89">
        <f>IF(E3414="AM",1,(IF(E3414="BE",2,(IF(E3414="GV",3,(IF(E3414="RA",4,(IF(E3414="RM",5,(IF(E3414="AC",1,(IF(E3414="AT",2,(IF(E3414="DS",3,(IF(E3414="IP",4,(IF(E3414="MA",5,(IF(E3414="PT",6,(IF(E3414="AE",1,(IF(E3414="CM",2,(IF(E3414="DP",3,(IF(E3414="AN",1,(IF(E3414="CO",2,(IF(E3414="IM",3,(IF(E3414="MI",4,(IF(E3414="RP",5,(IF(E3414="SC",6,0)))))))))))))))))))))))))))))))))))))))</f>
        <v>6</v>
      </c>
      <c r="G3414" s="52">
        <v>4</v>
      </c>
      <c r="H3414" s="99">
        <v>1</v>
      </c>
      <c r="I3414" s="93" t="s">
        <v>41</v>
      </c>
      <c r="J3414" s="86">
        <v>12.2</v>
      </c>
      <c r="K3414" s="103" t="s">
        <v>3544</v>
      </c>
      <c r="L3414" s="117">
        <f>IF(O3414="","",N3414*O3414*M3414)</f>
        <v>0</v>
      </c>
      <c r="M3414" s="108">
        <v>1</v>
      </c>
      <c r="N3414" s="95">
        <v>1</v>
      </c>
      <c r="O3414" s="109">
        <f>IF(Key!D$1="ON",P3414,IF(SUM(Q3414:DL3414)&lt;1,"",SUM(Q3414:DL3414)/COUNTIF(Q3414:DL3414,"&gt;0")))</f>
        <v>0</v>
      </c>
      <c r="P3414" s="109">
        <f>SUMIFS(Q3414:DK3414,Q$1:DK$1,Dashboard!$K$31)</f>
        <v>0</v>
      </c>
      <c r="U3414" s="95">
        <v>33</v>
      </c>
    </row>
    <row r="3415" spans="1:34" x14ac:dyDescent="0.3">
      <c r="A3415" s="89" t="str">
        <f>CONCATENATE(D3415,".",F3415,"-",G3415,".",H3415,"")</f>
        <v>2.6-4.1</v>
      </c>
      <c r="B3415" s="89" t="str">
        <f>IF(CONCATENATE(I3415,Key!F$2)=CONCATENATE(INDEX(Dashboard!J:J,MATCH(I3415,Dashboard!J:J,0),1),INDEX(Dashboard!J:K,MATCH(I3415,Dashboard!J:J,0),2)),"ON",IF(Dashboard!K$32="ALL","ON","-"))</f>
        <v>-</v>
      </c>
      <c r="C3415" s="88" t="s">
        <v>152</v>
      </c>
      <c r="D3415" s="89">
        <f>IF(C3415="ID",1,(IF(C3415="PR",2,(IF(C3415="DE",3,(IF(C3415="RS",4,(IF(C3415="RC",5,0)))))))))</f>
        <v>2</v>
      </c>
      <c r="E3415" s="89" t="s">
        <v>271</v>
      </c>
      <c r="F3415" s="89">
        <f>IF(E3415="AM",1,(IF(E3415="BE",2,(IF(E3415="GV",3,(IF(E3415="RA",4,(IF(E3415="RM",5,(IF(E3415="AC",1,(IF(E3415="AT",2,(IF(E3415="DS",3,(IF(E3415="IP",4,(IF(E3415="MA",5,(IF(E3415="PT",6,(IF(E3415="AE",1,(IF(E3415="CM",2,(IF(E3415="DP",3,(IF(E3415="AN",1,(IF(E3415="CO",2,(IF(E3415="IM",3,(IF(E3415="MI",4,(IF(E3415="RP",5,(IF(E3415="SC",6,0)))))))))))))))))))))))))))))))))))))))</f>
        <v>6</v>
      </c>
      <c r="G3415" s="52">
        <v>4</v>
      </c>
      <c r="H3415" s="99">
        <v>1</v>
      </c>
      <c r="I3415" s="93" t="s">
        <v>41</v>
      </c>
      <c r="J3415" s="86">
        <v>12.4</v>
      </c>
      <c r="K3415" s="103" t="s">
        <v>3546</v>
      </c>
      <c r="L3415" s="117">
        <f>IF(O3415="","",N3415*O3415*M3415)</f>
        <v>0</v>
      </c>
      <c r="M3415" s="108">
        <v>1</v>
      </c>
      <c r="N3415" s="95">
        <v>1</v>
      </c>
      <c r="O3415" s="109">
        <f>IF(Key!D$1="ON",P3415,IF(SUM(Q3415:DL3415)&lt;1,"",SUM(Q3415:DL3415)/COUNTIF(Q3415:DL3415,"&gt;0")))</f>
        <v>0</v>
      </c>
      <c r="P3415" s="109">
        <f>SUMIFS(Q3415:DK3415,Q$1:DK$1,Dashboard!$K$31)</f>
        <v>0</v>
      </c>
      <c r="U3415" s="95">
        <v>33</v>
      </c>
    </row>
    <row r="3416" spans="1:34" x14ac:dyDescent="0.3">
      <c r="A3416" s="89" t="str">
        <f>CONCATENATE(D3416,".",F3416,"-",G3416,".",H3416,"")</f>
        <v>2.6-4.1</v>
      </c>
      <c r="B3416" s="89" t="str">
        <f>IF(CONCATENATE(I3416,Key!F$2)=CONCATENATE(INDEX(Dashboard!J:J,MATCH(I3416,Dashboard!J:J,0),1),INDEX(Dashboard!J:K,MATCH(I3416,Dashboard!J:J,0),2)),"ON",IF(Dashboard!K$32="ALL","ON","-"))</f>
        <v>-</v>
      </c>
      <c r="C3416" s="88" t="s">
        <v>152</v>
      </c>
      <c r="D3416" s="89">
        <f>IF(C3416="ID",1,(IF(C3416="PR",2,(IF(C3416="DE",3,(IF(C3416="RS",4,(IF(C3416="RC",5,0)))))))))</f>
        <v>2</v>
      </c>
      <c r="E3416" s="89" t="s">
        <v>271</v>
      </c>
      <c r="F3416" s="89">
        <f>IF(E3416="AM",1,(IF(E3416="BE",2,(IF(E3416="GV",3,(IF(E3416="RA",4,(IF(E3416="RM",5,(IF(E3416="AC",1,(IF(E3416="AT",2,(IF(E3416="DS",3,(IF(E3416="IP",4,(IF(E3416="MA",5,(IF(E3416="PT",6,(IF(E3416="AE",1,(IF(E3416="CM",2,(IF(E3416="DP",3,(IF(E3416="AN",1,(IF(E3416="CO",2,(IF(E3416="IM",3,(IF(E3416="MI",4,(IF(E3416="RP",5,(IF(E3416="SC",6,0)))))))))))))))))))))))))))))))))))))))</f>
        <v>6</v>
      </c>
      <c r="G3416" s="52">
        <v>4</v>
      </c>
      <c r="H3416" s="99">
        <v>1</v>
      </c>
      <c r="I3416" s="93" t="s">
        <v>41</v>
      </c>
      <c r="J3416" s="86">
        <v>15</v>
      </c>
      <c r="K3416" s="103" t="s">
        <v>3572</v>
      </c>
      <c r="L3416" s="117">
        <f>IF(O3416="","",N3416*O3416*M3416)</f>
        <v>0</v>
      </c>
      <c r="M3416" s="108">
        <v>1</v>
      </c>
      <c r="N3416" s="95">
        <v>1</v>
      </c>
      <c r="O3416" s="109">
        <f>IF(Key!D$1="ON",P3416,IF(SUM(Q3416:DL3416)&lt;1,"",SUM(Q3416:DL3416)/COUNTIF(Q3416:DL3416,"&gt;0")))</f>
        <v>0</v>
      </c>
      <c r="P3416" s="109">
        <f>SUMIFS(Q3416:DK3416,Q$1:DK$1,Dashboard!$K$31)</f>
        <v>0</v>
      </c>
      <c r="U3416" s="95">
        <v>33</v>
      </c>
    </row>
    <row r="3417" spans="1:34" ht="15.6" x14ac:dyDescent="0.3">
      <c r="A3417" s="89" t="str">
        <f>CONCATENATE(D3417,".",F3417,"-",G3417,".",H3417,"")</f>
        <v>2.6-4.1</v>
      </c>
      <c r="B3417" s="89" t="str">
        <f>IF(CONCATENATE(I3417,Key!F$2)=CONCATENATE(INDEX(Dashboard!J:J,MATCH(I3417,Dashboard!J:J,0),1),INDEX(Dashboard!J:K,MATCH(I3417,Dashboard!J:J,0),2)),"ON",IF(Dashboard!K$32="ALL","ON","-"))</f>
        <v>-</v>
      </c>
      <c r="C3417" s="88" t="s">
        <v>152</v>
      </c>
      <c r="D3417" s="89">
        <f>IF(C3417="ID",1,(IF(C3417="PR",2,(IF(C3417="DE",3,(IF(C3417="RS",4,(IF(C3417="RC",5,0)))))))))</f>
        <v>2</v>
      </c>
      <c r="E3417" s="89" t="s">
        <v>271</v>
      </c>
      <c r="F3417" s="89">
        <f>IF(E3417="AM",1,(IF(E3417="BE",2,(IF(E3417="GV",3,(IF(E3417="RA",4,(IF(E3417="RM",5,(IF(E3417="AC",1,(IF(E3417="AT",2,(IF(E3417="DS",3,(IF(E3417="IP",4,(IF(E3417="MA",5,(IF(E3417="PT",6,(IF(E3417="AE",1,(IF(E3417="CM",2,(IF(E3417="DP",3,(IF(E3417="AN",1,(IF(E3417="CO",2,(IF(E3417="IM",3,(IF(E3417="MI",4,(IF(E3417="RP",5,(IF(E3417="SC",6,0)))))))))))))))))))))))))))))))))))))))</f>
        <v>6</v>
      </c>
      <c r="G3417" s="52">
        <v>4</v>
      </c>
      <c r="H3417" s="90" t="s">
        <v>115</v>
      </c>
      <c r="I3417" s="93" t="s">
        <v>60</v>
      </c>
      <c r="J3417" s="87" t="s">
        <v>3266</v>
      </c>
      <c r="K3417" s="51" t="s">
        <v>5379</v>
      </c>
      <c r="L3417" s="117">
        <f>IF(O3417="","",N3417*O3417*M3417)</f>
        <v>0</v>
      </c>
      <c r="M3417" s="108">
        <v>1</v>
      </c>
      <c r="N3417" s="95">
        <v>1</v>
      </c>
      <c r="O3417" s="109">
        <f>IF(Key!D$1="ON",P3417,IF(SUM(Q3417:DL3417)&lt;1,"",SUM(Q3417:DL3417)/COUNTIF(Q3417:DL3417,"&gt;0")))</f>
        <v>0</v>
      </c>
      <c r="P3417" s="109">
        <f>SUMIFS(Q3417:DK3417,Q$1:DK$1,Dashboard!$K$31)</f>
        <v>0</v>
      </c>
      <c r="U3417" s="95">
        <v>33</v>
      </c>
      <c r="AA3417" s="95">
        <v>25</v>
      </c>
      <c r="AH3417" s="95">
        <v>75</v>
      </c>
    </row>
    <row r="3418" spans="1:34" x14ac:dyDescent="0.3">
      <c r="A3418" s="89" t="str">
        <f>CONCATENATE(D3418,".",F3418,"-",G3418,".",H3418,"")</f>
        <v>2.6-4.1</v>
      </c>
      <c r="B3418" s="89" t="str">
        <f>IF(CONCATENATE(I3418,Key!F$2)=CONCATENATE(INDEX(Dashboard!J:J,MATCH(I3418,Dashboard!J:J,0),1),INDEX(Dashboard!J:K,MATCH(I3418,Dashboard!J:J,0),2)),"ON",IF(Dashboard!K$32="ALL","ON","-"))</f>
        <v>-</v>
      </c>
      <c r="C3418" s="88" t="s">
        <v>152</v>
      </c>
      <c r="D3418" s="89">
        <f>IF(C3418="ID",1,(IF(C3418="PR",2,(IF(C3418="DE",3,(IF(C3418="RS",4,(IF(C3418="RC",5,0)))))))))</f>
        <v>2</v>
      </c>
      <c r="E3418" s="89" t="s">
        <v>271</v>
      </c>
      <c r="F3418" s="89">
        <f>IF(E3418="AM",1,(IF(E3418="BE",2,(IF(E3418="GV",3,(IF(E3418="RA",4,(IF(E3418="RM",5,(IF(E3418="AC",1,(IF(E3418="AT",2,(IF(E3418="DS",3,(IF(E3418="IP",4,(IF(E3418="MA",5,(IF(E3418="PT",6,(IF(E3418="AE",1,(IF(E3418="CM",2,(IF(E3418="DP",3,(IF(E3418="AN",1,(IF(E3418="CO",2,(IF(E3418="IM",3,(IF(E3418="MI",4,(IF(E3418="RP",5,(IF(E3418="SC",6,0)))))))))))))))))))))))))))))))))))))))</f>
        <v>6</v>
      </c>
      <c r="G3418" s="52">
        <v>4</v>
      </c>
      <c r="H3418" s="89">
        <v>1</v>
      </c>
      <c r="I3418" s="93" t="s">
        <v>60</v>
      </c>
      <c r="J3418" s="87" t="s">
        <v>3267</v>
      </c>
      <c r="K3418" s="51" t="s">
        <v>5380</v>
      </c>
      <c r="L3418" s="117">
        <f>IF(O3418="","",N3418*O3418*M3418)</f>
        <v>0</v>
      </c>
      <c r="M3418" s="108">
        <v>1</v>
      </c>
      <c r="N3418" s="95">
        <v>1</v>
      </c>
      <c r="O3418" s="109">
        <f>IF(Key!D$1="ON",P3418,IF(SUM(Q3418:DL3418)&lt;1,"",SUM(Q3418:DL3418)/COUNTIF(Q3418:DL3418,"&gt;0")))</f>
        <v>0</v>
      </c>
      <c r="P3418" s="109">
        <f>SUMIFS(Q3418:DK3418,Q$1:DK$1,Dashboard!$K$31)</f>
        <v>0</v>
      </c>
      <c r="U3418" s="95">
        <v>33</v>
      </c>
      <c r="AA3418" s="95">
        <v>25</v>
      </c>
      <c r="AH3418" s="95">
        <v>75</v>
      </c>
    </row>
    <row r="3419" spans="1:34" x14ac:dyDescent="0.3">
      <c r="A3419" s="89" t="str">
        <f>CONCATENATE(D3419,".",F3419,"-",G3419,".",H3419,"")</f>
        <v>2.6-4.1</v>
      </c>
      <c r="B3419" s="89" t="str">
        <f>IF(CONCATENATE(I3419,Key!F$2)=CONCATENATE(INDEX(Dashboard!J:J,MATCH(I3419,Dashboard!J:J,0),1),INDEX(Dashboard!J:K,MATCH(I3419,Dashboard!J:J,0),2)),"ON",IF(Dashboard!K$32="ALL","ON","-"))</f>
        <v>-</v>
      </c>
      <c r="C3419" s="88" t="s">
        <v>152</v>
      </c>
      <c r="D3419" s="89">
        <f>IF(C3419="ID",1,(IF(C3419="PR",2,(IF(C3419="DE",3,(IF(C3419="RS",4,(IF(C3419="RC",5,0)))))))))</f>
        <v>2</v>
      </c>
      <c r="E3419" s="89" t="s">
        <v>271</v>
      </c>
      <c r="F3419" s="89">
        <f>IF(E3419="AM",1,(IF(E3419="BE",2,(IF(E3419="GV",3,(IF(E3419="RA",4,(IF(E3419="RM",5,(IF(E3419="AC",1,(IF(E3419="AT",2,(IF(E3419="DS",3,(IF(E3419="IP",4,(IF(E3419="MA",5,(IF(E3419="PT",6,(IF(E3419="AE",1,(IF(E3419="CM",2,(IF(E3419="DP",3,(IF(E3419="AN",1,(IF(E3419="CO",2,(IF(E3419="IM",3,(IF(E3419="MI",4,(IF(E3419="RP",5,(IF(E3419="SC",6,0)))))))))))))))))))))))))))))))))))))))</f>
        <v>6</v>
      </c>
      <c r="G3419" s="52">
        <v>4</v>
      </c>
      <c r="H3419" s="90" t="s">
        <v>115</v>
      </c>
      <c r="I3419" s="93" t="s">
        <v>60</v>
      </c>
      <c r="J3419" s="87" t="s">
        <v>3191</v>
      </c>
      <c r="K3419" s="51" t="s">
        <v>5304</v>
      </c>
      <c r="L3419" s="117">
        <f>IF(O3419="","",N3419*O3419*M3419)</f>
        <v>0</v>
      </c>
      <c r="M3419" s="108">
        <v>1</v>
      </c>
      <c r="N3419" s="95">
        <v>1</v>
      </c>
      <c r="O3419" s="109">
        <f>IF(Key!D$1="ON",P3419,IF(SUM(Q3419:DL3419)&lt;1,"",SUM(Q3419:DL3419)/COUNTIF(Q3419:DL3419,"&gt;0")))</f>
        <v>0</v>
      </c>
      <c r="P3419" s="109">
        <f>SUMIFS(Q3419:DK3419,Q$1:DK$1,Dashboard!$K$31)</f>
        <v>0</v>
      </c>
      <c r="U3419" s="95">
        <v>33</v>
      </c>
      <c r="AA3419" s="95">
        <v>25</v>
      </c>
      <c r="AH3419" s="95">
        <v>75</v>
      </c>
    </row>
    <row r="3420" spans="1:34" x14ac:dyDescent="0.3">
      <c r="A3420" s="89" t="str">
        <f>CONCATENATE(D3420,".",F3420,"-",G3420,".",H3420,"")</f>
        <v>2.6-4.1</v>
      </c>
      <c r="B3420" s="89" t="str">
        <f>IF(CONCATENATE(I3420,Key!F$2)=CONCATENATE(INDEX(Dashboard!J:J,MATCH(I3420,Dashboard!J:J,0),1),INDEX(Dashboard!J:K,MATCH(I3420,Dashboard!J:J,0),2)),"ON",IF(Dashboard!K$32="ALL","ON","-"))</f>
        <v>-</v>
      </c>
      <c r="C3420" s="88" t="s">
        <v>152</v>
      </c>
      <c r="D3420" s="89">
        <f>IF(C3420="ID",1,(IF(C3420="PR",2,(IF(C3420="DE",3,(IF(C3420="RS",4,(IF(C3420="RC",5,0)))))))))</f>
        <v>2</v>
      </c>
      <c r="E3420" s="89" t="s">
        <v>271</v>
      </c>
      <c r="F3420" s="89">
        <f>IF(E3420="AM",1,(IF(E3420="BE",2,(IF(E3420="GV",3,(IF(E3420="RA",4,(IF(E3420="RM",5,(IF(E3420="AC",1,(IF(E3420="AT",2,(IF(E3420="DS",3,(IF(E3420="IP",4,(IF(E3420="MA",5,(IF(E3420="PT",6,(IF(E3420="AE",1,(IF(E3420="CM",2,(IF(E3420="DP",3,(IF(E3420="AN",1,(IF(E3420="CO",2,(IF(E3420="IM",3,(IF(E3420="MI",4,(IF(E3420="RP",5,(IF(E3420="SC",6,0)))))))))))))))))))))))))))))))))))))))</f>
        <v>6</v>
      </c>
      <c r="G3420" s="52">
        <v>4</v>
      </c>
      <c r="H3420" s="89">
        <v>1</v>
      </c>
      <c r="I3420" s="93" t="s">
        <v>60</v>
      </c>
      <c r="J3420" s="88" t="s">
        <v>3123</v>
      </c>
      <c r="K3420" s="51" t="s">
        <v>5236</v>
      </c>
      <c r="L3420" s="117">
        <f>IF(O3420="","",N3420*O3420*M3420)</f>
        <v>0</v>
      </c>
      <c r="M3420" s="108">
        <v>1</v>
      </c>
      <c r="N3420" s="95">
        <v>1</v>
      </c>
      <c r="O3420" s="109">
        <f>IF(Key!D$1="ON",P3420,IF(SUM(Q3420:DL3420)&lt;1,"",SUM(Q3420:DL3420)/COUNTIF(Q3420:DL3420,"&gt;0")))</f>
        <v>0</v>
      </c>
      <c r="P3420" s="109">
        <f>SUMIFS(Q3420:DK3420,Q$1:DK$1,Dashboard!$K$31)</f>
        <v>0</v>
      </c>
      <c r="U3420" s="95">
        <v>33</v>
      </c>
      <c r="AA3420" s="95">
        <v>25</v>
      </c>
      <c r="AH3420" s="95">
        <v>75</v>
      </c>
    </row>
    <row r="3421" spans="1:34" ht="15.6" x14ac:dyDescent="0.3">
      <c r="A3421" s="89" t="str">
        <f>CONCATENATE(D3421,".",F3421,"-",G3421,".",H3421,"")</f>
        <v>2.6-4.1</v>
      </c>
      <c r="B3421" s="89" t="str">
        <f>IF(CONCATENATE(I3421,Key!F$2)=CONCATENATE(INDEX(Dashboard!J:J,MATCH(I3421,Dashboard!J:J,0),1),INDEX(Dashboard!J:K,MATCH(I3421,Dashboard!J:J,0),2)),"ON",IF(Dashboard!K$32="ALL","ON","-"))</f>
        <v>-</v>
      </c>
      <c r="C3421" s="88" t="s">
        <v>152</v>
      </c>
      <c r="D3421" s="89">
        <f>IF(C3421="ID",1,(IF(C3421="PR",2,(IF(C3421="DE",3,(IF(C3421="RS",4,(IF(C3421="RC",5,0)))))))))</f>
        <v>2</v>
      </c>
      <c r="E3421" s="89" t="s">
        <v>271</v>
      </c>
      <c r="F3421" s="89">
        <f>IF(E3421="AM",1,(IF(E3421="BE",2,(IF(E3421="GV",3,(IF(E3421="RA",4,(IF(E3421="RM",5,(IF(E3421="AC",1,(IF(E3421="AT",2,(IF(E3421="DS",3,(IF(E3421="IP",4,(IF(E3421="MA",5,(IF(E3421="PT",6,(IF(E3421="AE",1,(IF(E3421="CM",2,(IF(E3421="DP",3,(IF(E3421="AN",1,(IF(E3421="CO",2,(IF(E3421="IM",3,(IF(E3421="MI",4,(IF(E3421="RP",5,(IF(E3421="SC",6,0)))))))))))))))))))))))))))))))))))))))</f>
        <v>6</v>
      </c>
      <c r="G3421" s="52">
        <v>4</v>
      </c>
      <c r="H3421" s="90" t="s">
        <v>115</v>
      </c>
      <c r="I3421" s="93" t="s">
        <v>60</v>
      </c>
      <c r="J3421" s="87" t="s">
        <v>3193</v>
      </c>
      <c r="K3421" s="51" t="s">
        <v>5306</v>
      </c>
      <c r="L3421" s="117">
        <f>IF(O3421="","",N3421*O3421*M3421)</f>
        <v>0</v>
      </c>
      <c r="M3421" s="108">
        <v>1</v>
      </c>
      <c r="N3421" s="95">
        <v>1</v>
      </c>
      <c r="O3421" s="109">
        <f>IF(Key!D$1="ON",P3421,IF(SUM(Q3421:DL3421)&lt;1,"",SUM(Q3421:DL3421)/COUNTIF(Q3421:DL3421,"&gt;0")))</f>
        <v>0</v>
      </c>
      <c r="P3421" s="109">
        <f>SUMIFS(Q3421:DK3421,Q$1:DK$1,Dashboard!$K$31)</f>
        <v>0</v>
      </c>
      <c r="U3421" s="95">
        <v>33</v>
      </c>
      <c r="AA3421" s="95">
        <v>25</v>
      </c>
      <c r="AH3421" s="95">
        <v>75</v>
      </c>
    </row>
    <row r="3422" spans="1:34" ht="15.6" x14ac:dyDescent="0.3">
      <c r="A3422" s="89" t="str">
        <f>CONCATENATE(D3422,".",F3422,"-",G3422,".",H3422,"")</f>
        <v>2.6-4.1</v>
      </c>
      <c r="B3422" s="89" t="str">
        <f>IF(CONCATENATE(I3422,Key!F$2)=CONCATENATE(INDEX(Dashboard!J:J,MATCH(I3422,Dashboard!J:J,0),1),INDEX(Dashboard!J:K,MATCH(I3422,Dashboard!J:J,0),2)),"ON",IF(Dashboard!K$32="ALL","ON","-"))</f>
        <v>-</v>
      </c>
      <c r="C3422" s="88" t="s">
        <v>152</v>
      </c>
      <c r="D3422" s="89">
        <f>IF(C3422="ID",1,(IF(C3422="PR",2,(IF(C3422="DE",3,(IF(C3422="RS",4,(IF(C3422="RC",5,0)))))))))</f>
        <v>2</v>
      </c>
      <c r="E3422" s="89" t="s">
        <v>271</v>
      </c>
      <c r="F3422" s="89">
        <f>IF(E3422="AM",1,(IF(E3422="BE",2,(IF(E3422="GV",3,(IF(E3422="RA",4,(IF(E3422="RM",5,(IF(E3422="AC",1,(IF(E3422="AT",2,(IF(E3422="DS",3,(IF(E3422="IP",4,(IF(E3422="MA",5,(IF(E3422="PT",6,(IF(E3422="AE",1,(IF(E3422="CM",2,(IF(E3422="DP",3,(IF(E3422="AN",1,(IF(E3422="CO",2,(IF(E3422="IM",3,(IF(E3422="MI",4,(IF(E3422="RP",5,(IF(E3422="SC",6,0)))))))))))))))))))))))))))))))))))))))</f>
        <v>6</v>
      </c>
      <c r="G3422" s="52">
        <v>4</v>
      </c>
      <c r="H3422" s="90" t="s">
        <v>115</v>
      </c>
      <c r="I3422" s="93" t="s">
        <v>64</v>
      </c>
      <c r="J3422" s="87" t="s">
        <v>1785</v>
      </c>
      <c r="K3422" s="102" t="s">
        <v>2702</v>
      </c>
      <c r="L3422" s="117">
        <f>IF(O3422="","",N3422*O3422*M3422)</f>
        <v>0</v>
      </c>
      <c r="M3422" s="108">
        <v>1</v>
      </c>
      <c r="N3422" s="95">
        <v>1</v>
      </c>
      <c r="O3422" s="109">
        <f>IF(Key!D$1="ON",P3422,IF(SUM(Q3422:DL3422)&lt;1,"",SUM(Q3422:DL3422)/COUNTIF(Q3422:DL3422,"&gt;0")))</f>
        <v>0</v>
      </c>
      <c r="P3422" s="109">
        <f>SUMIFS(Q3422:DK3422,Q$1:DK$1,Dashboard!$K$31)</f>
        <v>0</v>
      </c>
      <c r="U3422" s="95">
        <v>33</v>
      </c>
      <c r="AA3422" s="95">
        <v>25</v>
      </c>
      <c r="AH3422" s="95">
        <v>75</v>
      </c>
    </row>
    <row r="3423" spans="1:34" ht="15.6" x14ac:dyDescent="0.3">
      <c r="A3423" s="89" t="str">
        <f>CONCATENATE(D3423,".",F3423,"-",G3423,".",H3423,"")</f>
        <v>2.6-4.1</v>
      </c>
      <c r="B3423" s="89" t="str">
        <f>IF(CONCATENATE(I3423,Key!F$2)=CONCATENATE(INDEX(Dashboard!J:J,MATCH(I3423,Dashboard!J:J,0),1),INDEX(Dashboard!J:K,MATCH(I3423,Dashboard!J:J,0),2)),"ON",IF(Dashboard!K$32="ALL","ON","-"))</f>
        <v>-</v>
      </c>
      <c r="C3423" s="88" t="s">
        <v>152</v>
      </c>
      <c r="D3423" s="89">
        <f>IF(C3423="ID",1,(IF(C3423="PR",2,(IF(C3423="DE",3,(IF(C3423="RS",4,(IF(C3423="RC",5,0)))))))))</f>
        <v>2</v>
      </c>
      <c r="E3423" s="89" t="s">
        <v>271</v>
      </c>
      <c r="F3423" s="89">
        <f>IF(E3423="AM",1,(IF(E3423="BE",2,(IF(E3423="GV",3,(IF(E3423="RA",4,(IF(E3423="RM",5,(IF(E3423="AC",1,(IF(E3423="AT",2,(IF(E3423="DS",3,(IF(E3423="IP",4,(IF(E3423="MA",5,(IF(E3423="PT",6,(IF(E3423="AE",1,(IF(E3423="CM",2,(IF(E3423="DP",3,(IF(E3423="AN",1,(IF(E3423="CO",2,(IF(E3423="IM",3,(IF(E3423="MI",4,(IF(E3423="RP",5,(IF(E3423="SC",6,0)))))))))))))))))))))))))))))))))))))))</f>
        <v>6</v>
      </c>
      <c r="G3423" s="52">
        <v>4</v>
      </c>
      <c r="H3423" s="90" t="s">
        <v>115</v>
      </c>
      <c r="I3423" s="93" t="s">
        <v>64</v>
      </c>
      <c r="J3423" s="87" t="s">
        <v>1787</v>
      </c>
      <c r="K3423" s="102" t="s">
        <v>2704</v>
      </c>
      <c r="L3423" s="117">
        <f>IF(O3423="","",N3423*O3423*M3423)</f>
        <v>0</v>
      </c>
      <c r="M3423" s="108">
        <v>1</v>
      </c>
      <c r="N3423" s="95">
        <v>1</v>
      </c>
      <c r="O3423" s="109">
        <f>IF(Key!D$1="ON",P3423,IF(SUM(Q3423:DL3423)&lt;1,"",SUM(Q3423:DL3423)/COUNTIF(Q3423:DL3423,"&gt;0")))</f>
        <v>0</v>
      </c>
      <c r="P3423" s="109">
        <f>SUMIFS(Q3423:DK3423,Q$1:DK$1,Dashboard!$K$31)</f>
        <v>0</v>
      </c>
      <c r="U3423" s="95">
        <v>33</v>
      </c>
      <c r="AA3423" s="95">
        <v>25</v>
      </c>
      <c r="AH3423" s="95">
        <v>75</v>
      </c>
    </row>
    <row r="3424" spans="1:34" x14ac:dyDescent="0.3">
      <c r="A3424" s="89" t="str">
        <f>CONCATENATE(D3424,".",F3424,"-",G3424,".",H3424,"")</f>
        <v>2.6-4.1</v>
      </c>
      <c r="B3424" s="89" t="str">
        <f>IF(CONCATENATE(I3424,Key!F$2)=CONCATENATE(INDEX(Dashboard!J:J,MATCH(I3424,Dashboard!J:J,0),1),INDEX(Dashboard!J:K,MATCH(I3424,Dashboard!J:J,0),2)),"ON",IF(Dashboard!K$32="ALL","ON","-"))</f>
        <v>-</v>
      </c>
      <c r="C3424" s="88" t="s">
        <v>152</v>
      </c>
      <c r="D3424" s="89">
        <f>IF(C3424="ID",1,(IF(C3424="PR",2,(IF(C3424="DE",3,(IF(C3424="RS",4,(IF(C3424="RC",5,0)))))))))</f>
        <v>2</v>
      </c>
      <c r="E3424" s="89" t="s">
        <v>271</v>
      </c>
      <c r="F3424" s="89">
        <f>IF(E3424="AM",1,(IF(E3424="BE",2,(IF(E3424="GV",3,(IF(E3424="RA",4,(IF(E3424="RM",5,(IF(E3424="AC",1,(IF(E3424="AT",2,(IF(E3424="DS",3,(IF(E3424="IP",4,(IF(E3424="MA",5,(IF(E3424="PT",6,(IF(E3424="AE",1,(IF(E3424="CM",2,(IF(E3424="DP",3,(IF(E3424="AN",1,(IF(E3424="CO",2,(IF(E3424="IM",3,(IF(E3424="MI",4,(IF(E3424="RP",5,(IF(E3424="SC",6,0)))))))))))))))))))))))))))))))))))))))</f>
        <v>6</v>
      </c>
      <c r="G3424" s="98">
        <v>4</v>
      </c>
      <c r="H3424" s="99">
        <v>1</v>
      </c>
      <c r="I3424" s="93" t="s">
        <v>73</v>
      </c>
      <c r="J3424" s="86" t="s">
        <v>4134</v>
      </c>
      <c r="K3424" s="107" t="s">
        <v>4264</v>
      </c>
      <c r="L3424" s="117">
        <f>IF(O3424="","",N3424*O3424*M3424)</f>
        <v>0</v>
      </c>
      <c r="M3424" s="108">
        <v>1</v>
      </c>
      <c r="N3424" s="95">
        <v>1</v>
      </c>
      <c r="O3424" s="109">
        <f>IF(Key!D$1="ON",P3424,IF(SUM(Q3424:DL3424)&lt;1,"",SUM(Q3424:DL3424)/COUNTIF(Q3424:DL3424,"&gt;0")))</f>
        <v>0</v>
      </c>
      <c r="P3424" s="109">
        <f>SUMIFS(Q3424:DK3424,Q$1:DK$1,Dashboard!$K$31)</f>
        <v>0</v>
      </c>
      <c r="U3424" s="95">
        <v>33</v>
      </c>
      <c r="AA3424" s="95">
        <v>25</v>
      </c>
      <c r="AH3424" s="95">
        <v>75</v>
      </c>
    </row>
    <row r="3425" spans="1:34" x14ac:dyDescent="0.3">
      <c r="A3425" s="89" t="str">
        <f>CONCATENATE(D3425,".",F3425,"-",G3425,".",H3425,"")</f>
        <v>2.6-4.1</v>
      </c>
      <c r="B3425" s="89" t="str">
        <f>IF(CONCATENATE(I3425,Key!F$2)=CONCATENATE(INDEX(Dashboard!J:J,MATCH(I3425,Dashboard!J:J,0),1),INDEX(Dashboard!J:K,MATCH(I3425,Dashboard!J:J,0),2)),"ON",IF(Dashboard!K$32="ALL","ON","-"))</f>
        <v>-</v>
      </c>
      <c r="C3425" s="88" t="s">
        <v>152</v>
      </c>
      <c r="D3425" s="89">
        <f>IF(C3425="ID",1,(IF(C3425="PR",2,(IF(C3425="DE",3,(IF(C3425="RS",4,(IF(C3425="RC",5,0)))))))))</f>
        <v>2</v>
      </c>
      <c r="E3425" s="89" t="s">
        <v>271</v>
      </c>
      <c r="F3425" s="89">
        <f>IF(E3425="AM",1,(IF(E3425="BE",2,(IF(E3425="GV",3,(IF(E3425="RA",4,(IF(E3425="RM",5,(IF(E3425="AC",1,(IF(E3425="AT",2,(IF(E3425="DS",3,(IF(E3425="IP",4,(IF(E3425="MA",5,(IF(E3425="PT",6,(IF(E3425="AE",1,(IF(E3425="CM",2,(IF(E3425="DP",3,(IF(E3425="AN",1,(IF(E3425="CO",2,(IF(E3425="IM",3,(IF(E3425="MI",4,(IF(E3425="RP",5,(IF(E3425="SC",6,0)))))))))))))))))))))))))))))))))))))))</f>
        <v>6</v>
      </c>
      <c r="G3425" s="52">
        <v>4</v>
      </c>
      <c r="H3425" s="90" t="s">
        <v>115</v>
      </c>
      <c r="I3425" s="93" t="s">
        <v>73</v>
      </c>
      <c r="J3425" s="86" t="s">
        <v>4136</v>
      </c>
      <c r="K3425" s="101" t="s">
        <v>4137</v>
      </c>
      <c r="L3425" s="117">
        <f>IF(O3425="","",N3425*O3425*M3425)</f>
        <v>0</v>
      </c>
      <c r="M3425" s="108">
        <v>1</v>
      </c>
      <c r="N3425" s="95">
        <v>1</v>
      </c>
      <c r="O3425" s="109">
        <f>IF(Key!D$1="ON",P3425,IF(SUM(Q3425:DL3425)&lt;1,"",SUM(Q3425:DL3425)/COUNTIF(Q3425:DL3425,"&gt;0")))</f>
        <v>0</v>
      </c>
      <c r="P3425" s="109">
        <f>SUMIFS(Q3425:DK3425,Q$1:DK$1,Dashboard!$K$31)</f>
        <v>0</v>
      </c>
      <c r="U3425" s="95">
        <v>33</v>
      </c>
      <c r="AA3425" s="95">
        <v>25</v>
      </c>
      <c r="AH3425" s="95">
        <v>75</v>
      </c>
    </row>
    <row r="3426" spans="1:34" ht="15.6" x14ac:dyDescent="0.3">
      <c r="A3426" s="89" t="str">
        <f>CONCATENATE(D3426,".",F3426,"-",G3426,".",H3426,"")</f>
        <v>2.6-4.1</v>
      </c>
      <c r="B3426" s="89" t="str">
        <f>IF(CONCATENATE(I3426,Key!F$2)=CONCATENATE(INDEX(Dashboard!J:J,MATCH(I3426,Dashboard!J:J,0),1),INDEX(Dashboard!J:K,MATCH(I3426,Dashboard!J:J,0),2)),"ON",IF(Dashboard!K$32="ALL","ON","-"))</f>
        <v>-</v>
      </c>
      <c r="C3426" s="88" t="s">
        <v>152</v>
      </c>
      <c r="D3426" s="89">
        <f>IF(C3426="ID",1,(IF(C3426="PR",2,(IF(C3426="DE",3,(IF(C3426="RS",4,(IF(C3426="RC",5,0)))))))))</f>
        <v>2</v>
      </c>
      <c r="E3426" s="89" t="s">
        <v>271</v>
      </c>
      <c r="F3426" s="89">
        <f>IF(E3426="AM",1,(IF(E3426="BE",2,(IF(E3426="GV",3,(IF(E3426="RA",4,(IF(E3426="RM",5,(IF(E3426="AC",1,(IF(E3426="AT",2,(IF(E3426="DS",3,(IF(E3426="IP",4,(IF(E3426="MA",5,(IF(E3426="PT",6,(IF(E3426="AE",1,(IF(E3426="CM",2,(IF(E3426="DP",3,(IF(E3426="AN",1,(IF(E3426="CO",2,(IF(E3426="IM",3,(IF(E3426="MI",4,(IF(E3426="RP",5,(IF(E3426="SC",6,0)))))))))))))))))))))))))))))))))))))))</f>
        <v>6</v>
      </c>
      <c r="G3426" s="52">
        <v>4</v>
      </c>
      <c r="H3426" s="90" t="s">
        <v>115</v>
      </c>
      <c r="I3426" s="93" t="s">
        <v>73</v>
      </c>
      <c r="J3426" s="86" t="s">
        <v>4216</v>
      </c>
      <c r="K3426" s="101" t="s">
        <v>5179</v>
      </c>
      <c r="L3426" s="117">
        <f>IF(O3426="","",N3426*O3426*M3426)</f>
        <v>0</v>
      </c>
      <c r="M3426" s="108">
        <v>1</v>
      </c>
      <c r="N3426" s="95">
        <v>1</v>
      </c>
      <c r="O3426" s="109">
        <f>IF(Key!D$1="ON",P3426,IF(SUM(Q3426:DL3426)&lt;1,"",SUM(Q3426:DL3426)/COUNTIF(Q3426:DL3426,"&gt;0")))</f>
        <v>0</v>
      </c>
      <c r="P3426" s="109">
        <f>SUMIFS(Q3426:DK3426,Q$1:DK$1,Dashboard!$K$31)</f>
        <v>0</v>
      </c>
      <c r="U3426" s="95">
        <v>33</v>
      </c>
      <c r="AA3426" s="95">
        <v>25</v>
      </c>
      <c r="AH3426" s="95">
        <v>75</v>
      </c>
    </row>
    <row r="3427" spans="1:34" ht="15.6" x14ac:dyDescent="0.3">
      <c r="A3427" s="89" t="str">
        <f>CONCATENATE(D3427,".",F3427,"-",G3427,".",H3427,"")</f>
        <v>2.6-4.1</v>
      </c>
      <c r="B3427" s="89" t="str">
        <f>IF(CONCATENATE(I3427,Key!F$2)=CONCATENATE(INDEX(Dashboard!J:J,MATCH(I3427,Dashboard!J:J,0),1),INDEX(Dashboard!J:K,MATCH(I3427,Dashboard!J:J,0),2)),"ON",IF(Dashboard!K$32="ALL","ON","-"))</f>
        <v>-</v>
      </c>
      <c r="C3427" s="88" t="s">
        <v>152</v>
      </c>
      <c r="D3427" s="89">
        <f>IF(C3427="ID",1,(IF(C3427="PR",2,(IF(C3427="DE",3,(IF(C3427="RS",4,(IF(C3427="RC",5,0)))))))))</f>
        <v>2</v>
      </c>
      <c r="E3427" s="89" t="s">
        <v>271</v>
      </c>
      <c r="F3427" s="89">
        <f>IF(E3427="AM",1,(IF(E3427="BE",2,(IF(E3427="GV",3,(IF(E3427="RA",4,(IF(E3427="RM",5,(IF(E3427="AC",1,(IF(E3427="AT",2,(IF(E3427="DS",3,(IF(E3427="IP",4,(IF(E3427="MA",5,(IF(E3427="PT",6,(IF(E3427="AE",1,(IF(E3427="CM",2,(IF(E3427="DP",3,(IF(E3427="AN",1,(IF(E3427="CO",2,(IF(E3427="IM",3,(IF(E3427="MI",4,(IF(E3427="RP",5,(IF(E3427="SC",6,0)))))))))))))))))))))))))))))))))))))))</f>
        <v>6</v>
      </c>
      <c r="G3427" s="52">
        <v>4</v>
      </c>
      <c r="H3427" s="89">
        <v>1</v>
      </c>
      <c r="I3427" s="93" t="s">
        <v>73</v>
      </c>
      <c r="J3427" s="110" t="s">
        <v>4235</v>
      </c>
      <c r="K3427" t="s">
        <v>5213</v>
      </c>
      <c r="L3427" s="117">
        <f>IF(O3427="","",N3427*O3427*M3427)</f>
        <v>0</v>
      </c>
      <c r="M3427" s="108">
        <v>1</v>
      </c>
      <c r="N3427" s="95">
        <v>1</v>
      </c>
      <c r="O3427" s="109">
        <f>IF(Key!D$1="ON",P3427,IF(SUM(Q3427:DL3427)&lt;1,"",SUM(Q3427:DL3427)/COUNTIF(Q3427:DL3427,"&gt;0")))</f>
        <v>0</v>
      </c>
      <c r="P3427" s="109">
        <f>SUMIFS(Q3427:DK3427,Q$1:DK$1,Dashboard!$K$31)</f>
        <v>0</v>
      </c>
      <c r="U3427" s="95">
        <v>33</v>
      </c>
      <c r="AA3427" s="95">
        <v>25</v>
      </c>
      <c r="AH3427" s="95">
        <v>75</v>
      </c>
    </row>
    <row r="3428" spans="1:34" ht="15.6" x14ac:dyDescent="0.3">
      <c r="A3428" s="89" t="str">
        <f>CONCATENATE(D3428,".",F3428,"-",G3428,".",H3428,"")</f>
        <v>2.6-4.1</v>
      </c>
      <c r="B3428" s="89" t="str">
        <f>IF(CONCATENATE(I3428,Key!F$2)=CONCATENATE(INDEX(Dashboard!J:J,MATCH(I3428,Dashboard!J:J,0),1),INDEX(Dashboard!J:K,MATCH(I3428,Dashboard!J:J,0),2)),"ON",IF(Dashboard!K$32="ALL","ON","-"))</f>
        <v>-</v>
      </c>
      <c r="C3428" s="88" t="s">
        <v>152</v>
      </c>
      <c r="D3428" s="89">
        <f>IF(C3428="ID",1,(IF(C3428="PR",2,(IF(C3428="DE",3,(IF(C3428="RS",4,(IF(C3428="RC",5,0)))))))))</f>
        <v>2</v>
      </c>
      <c r="E3428" s="89" t="s">
        <v>271</v>
      </c>
      <c r="F3428" s="89">
        <f>IF(E3428="AM",1,(IF(E3428="BE",2,(IF(E3428="GV",3,(IF(E3428="RA",4,(IF(E3428="RM",5,(IF(E3428="AC",1,(IF(E3428="AT",2,(IF(E3428="DS",3,(IF(E3428="IP",4,(IF(E3428="MA",5,(IF(E3428="PT",6,(IF(E3428="AE",1,(IF(E3428="CM",2,(IF(E3428="DP",3,(IF(E3428="AN",1,(IF(E3428="CO",2,(IF(E3428="IM",3,(IF(E3428="MI",4,(IF(E3428="RP",5,(IF(E3428="SC",6,0)))))))))))))))))))))))))))))))))))))))</f>
        <v>6</v>
      </c>
      <c r="G3428" s="98">
        <v>4</v>
      </c>
      <c r="H3428" s="99">
        <v>1</v>
      </c>
      <c r="I3428" s="93" t="s">
        <v>73</v>
      </c>
      <c r="J3428" s="86" t="s">
        <v>4237</v>
      </c>
      <c r="K3428" s="107" t="s">
        <v>4346</v>
      </c>
      <c r="L3428" s="117">
        <f>IF(O3428="","",N3428*O3428*M3428)</f>
        <v>0</v>
      </c>
      <c r="M3428" s="108">
        <v>1</v>
      </c>
      <c r="N3428" s="95">
        <v>1</v>
      </c>
      <c r="O3428" s="109">
        <f>IF(Key!D$1="ON",P3428,IF(SUM(Q3428:DL3428)&lt;1,"",SUM(Q3428:DL3428)/COUNTIF(Q3428:DL3428,"&gt;0")))</f>
        <v>0</v>
      </c>
      <c r="P3428" s="109">
        <f>SUMIFS(Q3428:DK3428,Q$1:DK$1,Dashboard!$K$31)</f>
        <v>0</v>
      </c>
      <c r="U3428" s="95">
        <v>33</v>
      </c>
      <c r="AA3428" s="95">
        <v>25</v>
      </c>
      <c r="AH3428" s="95">
        <v>75</v>
      </c>
    </row>
    <row r="3429" spans="1:34" ht="15.6" x14ac:dyDescent="0.3">
      <c r="A3429" s="89" t="str">
        <f>CONCATENATE(D3429,".",F3429,"-",G3429,".",H3429,"")</f>
        <v>2.6-4.1</v>
      </c>
      <c r="B3429" s="89" t="str">
        <f>IF(CONCATENATE(I3429,Key!F$2)=CONCATENATE(INDEX(Dashboard!J:J,MATCH(I3429,Dashboard!J:J,0),1),INDEX(Dashboard!J:K,MATCH(I3429,Dashboard!J:J,0),2)),"ON",IF(Dashboard!K$32="ALL","ON","-"))</f>
        <v>-</v>
      </c>
      <c r="C3429" s="88" t="s">
        <v>152</v>
      </c>
      <c r="D3429" s="89">
        <f>IF(C3429="ID",1,(IF(C3429="PR",2,(IF(C3429="DE",3,(IF(C3429="RS",4,(IF(C3429="RC",5,0)))))))))</f>
        <v>2</v>
      </c>
      <c r="E3429" s="89" t="s">
        <v>271</v>
      </c>
      <c r="F3429" s="89">
        <f>IF(E3429="AM",1,(IF(E3429="BE",2,(IF(E3429="GV",3,(IF(E3429="RA",4,(IF(E3429="RM",5,(IF(E3429="AC",1,(IF(E3429="AT",2,(IF(E3429="DS",3,(IF(E3429="IP",4,(IF(E3429="MA",5,(IF(E3429="PT",6,(IF(E3429="AE",1,(IF(E3429="CM",2,(IF(E3429="DP",3,(IF(E3429="AN",1,(IF(E3429="CO",2,(IF(E3429="IM",3,(IF(E3429="MI",4,(IF(E3429="RP",5,(IF(E3429="SC",6,0)))))))))))))))))))))))))))))))))))))))</f>
        <v>6</v>
      </c>
      <c r="G3429" s="52">
        <v>4</v>
      </c>
      <c r="H3429" s="90" t="s">
        <v>115</v>
      </c>
      <c r="I3429" s="93" t="s">
        <v>73</v>
      </c>
      <c r="J3429" s="86" t="s">
        <v>4217</v>
      </c>
      <c r="K3429" s="101" t="s">
        <v>5190</v>
      </c>
      <c r="L3429" s="117">
        <f>IF(O3429="","",N3429*O3429*M3429)</f>
        <v>0</v>
      </c>
      <c r="M3429" s="108">
        <v>1</v>
      </c>
      <c r="N3429" s="95">
        <v>1</v>
      </c>
      <c r="O3429" s="109">
        <f>IF(Key!D$1="ON",P3429,IF(SUM(Q3429:DL3429)&lt;1,"",SUM(Q3429:DL3429)/COUNTIF(Q3429:DL3429,"&gt;0")))</f>
        <v>0</v>
      </c>
      <c r="P3429" s="109">
        <f>SUMIFS(Q3429:DK3429,Q$1:DK$1,Dashboard!$K$31)</f>
        <v>0</v>
      </c>
      <c r="U3429" s="95">
        <v>33</v>
      </c>
      <c r="AA3429" s="95">
        <v>25</v>
      </c>
      <c r="AH3429" s="95">
        <v>75</v>
      </c>
    </row>
    <row r="3430" spans="1:34" ht="15.6" x14ac:dyDescent="0.3">
      <c r="A3430" s="89" t="str">
        <f>CONCATENATE(D3430,".",F3430,"-",G3430,".",H3430,"")</f>
        <v>2.6-4.1</v>
      </c>
      <c r="B3430" s="89" t="str">
        <f>IF(CONCATENATE(I3430,Key!F$2)=CONCATENATE(INDEX(Dashboard!J:J,MATCH(I3430,Dashboard!J:J,0),1),INDEX(Dashboard!J:K,MATCH(I3430,Dashboard!J:J,0),2)),"ON",IF(Dashboard!K$32="ALL","ON","-"))</f>
        <v>-</v>
      </c>
      <c r="C3430" s="88" t="s">
        <v>152</v>
      </c>
      <c r="D3430" s="89">
        <f>IF(C3430="ID",1,(IF(C3430="PR",2,(IF(C3430="DE",3,(IF(C3430="RS",4,(IF(C3430="RC",5,0)))))))))</f>
        <v>2</v>
      </c>
      <c r="E3430" s="89" t="s">
        <v>271</v>
      </c>
      <c r="F3430" s="89">
        <f>IF(E3430="AM",1,(IF(E3430="BE",2,(IF(E3430="GV",3,(IF(E3430="RA",4,(IF(E3430="RM",5,(IF(E3430="AC",1,(IF(E3430="AT",2,(IF(E3430="DS",3,(IF(E3430="IP",4,(IF(E3430="MA",5,(IF(E3430="PT",6,(IF(E3430="AE",1,(IF(E3430="CM",2,(IF(E3430="DP",3,(IF(E3430="AN",1,(IF(E3430="CO",2,(IF(E3430="IM",3,(IF(E3430="MI",4,(IF(E3430="RP",5,(IF(E3430="SC",6,0)))))))))))))))))))))))))))))))))))))))</f>
        <v>6</v>
      </c>
      <c r="G3430" s="52">
        <v>4</v>
      </c>
      <c r="H3430" s="90" t="s">
        <v>115</v>
      </c>
      <c r="I3430" s="93" t="s">
        <v>73</v>
      </c>
      <c r="J3430" s="86" t="s">
        <v>4221</v>
      </c>
      <c r="K3430" s="101" t="s">
        <v>4222</v>
      </c>
      <c r="L3430" s="117">
        <f>IF(O3430="","",N3430*O3430*M3430)</f>
        <v>0</v>
      </c>
      <c r="M3430" s="108">
        <v>1</v>
      </c>
      <c r="N3430" s="95">
        <v>1</v>
      </c>
      <c r="O3430" s="109">
        <f>IF(Key!D$1="ON",P3430,IF(SUM(Q3430:DL3430)&lt;1,"",SUM(Q3430:DL3430)/COUNTIF(Q3430:DL3430,"&gt;0")))</f>
        <v>0</v>
      </c>
      <c r="P3430" s="109">
        <f>SUMIFS(Q3430:DK3430,Q$1:DK$1,Dashboard!$K$31)</f>
        <v>0</v>
      </c>
      <c r="U3430" s="95">
        <v>33</v>
      </c>
      <c r="AA3430" s="95">
        <v>25</v>
      </c>
      <c r="AH3430" s="95">
        <v>75</v>
      </c>
    </row>
    <row r="3431" spans="1:34" ht="15.6" x14ac:dyDescent="0.3">
      <c r="A3431" s="89" t="str">
        <f>CONCATENATE(D3431,".",F3431,"-",G3431,".",H3431,"")</f>
        <v>2.6-4.1</v>
      </c>
      <c r="B3431" s="89" t="str">
        <f>IF(CONCATENATE(I3431,Key!F$2)=CONCATENATE(INDEX(Dashboard!J:J,MATCH(I3431,Dashboard!J:J,0),1),INDEX(Dashboard!J:K,MATCH(I3431,Dashboard!J:J,0),2)),"ON",IF(Dashboard!K$32="ALL","ON","-"))</f>
        <v>-</v>
      </c>
      <c r="C3431" s="88" t="s">
        <v>152</v>
      </c>
      <c r="D3431" s="89">
        <f>IF(C3431="ID",1,(IF(C3431="PR",2,(IF(C3431="DE",3,(IF(C3431="RS",4,(IF(C3431="RC",5,0)))))))))</f>
        <v>2</v>
      </c>
      <c r="E3431" s="89" t="s">
        <v>271</v>
      </c>
      <c r="F3431" s="89">
        <f>IF(E3431="AM",1,(IF(E3431="BE",2,(IF(E3431="GV",3,(IF(E3431="RA",4,(IF(E3431="RM",5,(IF(E3431="AC",1,(IF(E3431="AT",2,(IF(E3431="DS",3,(IF(E3431="IP",4,(IF(E3431="MA",5,(IF(E3431="PT",6,(IF(E3431="AE",1,(IF(E3431="CM",2,(IF(E3431="DP",3,(IF(E3431="AN",1,(IF(E3431="CO",2,(IF(E3431="IM",3,(IF(E3431="MI",4,(IF(E3431="RP",5,(IF(E3431="SC",6,0)))))))))))))))))))))))))))))))))))))))</f>
        <v>6</v>
      </c>
      <c r="G3431" s="52">
        <v>4</v>
      </c>
      <c r="H3431" s="90" t="s">
        <v>115</v>
      </c>
      <c r="I3431" s="93" t="s">
        <v>73</v>
      </c>
      <c r="J3431" s="86" t="s">
        <v>4223</v>
      </c>
      <c r="K3431" s="101" t="s">
        <v>5191</v>
      </c>
      <c r="L3431" s="117">
        <f>IF(O3431="","",N3431*O3431*M3431)</f>
        <v>0</v>
      </c>
      <c r="M3431" s="108">
        <v>1</v>
      </c>
      <c r="N3431" s="95">
        <v>1</v>
      </c>
      <c r="O3431" s="109">
        <f>IF(Key!D$1="ON",P3431,IF(SUM(Q3431:DL3431)&lt;1,"",SUM(Q3431:DL3431)/COUNTIF(Q3431:DL3431,"&gt;0")))</f>
        <v>0</v>
      </c>
      <c r="P3431" s="109">
        <f>SUMIFS(Q3431:DK3431,Q$1:DK$1,Dashboard!$K$31)</f>
        <v>0</v>
      </c>
      <c r="U3431" s="95">
        <v>33</v>
      </c>
      <c r="AA3431" s="95">
        <v>25</v>
      </c>
      <c r="AH3431" s="95">
        <v>75</v>
      </c>
    </row>
    <row r="3432" spans="1:34" ht="15.6" x14ac:dyDescent="0.3">
      <c r="A3432" s="89" t="str">
        <f>CONCATENATE(D3432,".",F3432,"-",G3432,".",H3432,"")</f>
        <v>2.6-4.1</v>
      </c>
      <c r="B3432" s="89" t="str">
        <f>IF(CONCATENATE(I3432,Key!F$2)=CONCATENATE(INDEX(Dashboard!J:J,MATCH(I3432,Dashboard!J:J,0),1),INDEX(Dashboard!J:K,MATCH(I3432,Dashboard!J:J,0),2)),"ON",IF(Dashboard!K$32="ALL","ON","-"))</f>
        <v>-</v>
      </c>
      <c r="C3432" s="88" t="s">
        <v>152</v>
      </c>
      <c r="D3432" s="89">
        <f>IF(C3432="ID",1,(IF(C3432="PR",2,(IF(C3432="DE",3,(IF(C3432="RS",4,(IF(C3432="RC",5,0)))))))))</f>
        <v>2</v>
      </c>
      <c r="E3432" s="89" t="s">
        <v>271</v>
      </c>
      <c r="F3432" s="89">
        <f>IF(E3432="AM",1,(IF(E3432="BE",2,(IF(E3432="GV",3,(IF(E3432="RA",4,(IF(E3432="RM",5,(IF(E3432="AC",1,(IF(E3432="AT",2,(IF(E3432="DS",3,(IF(E3432="IP",4,(IF(E3432="MA",5,(IF(E3432="PT",6,(IF(E3432="AE",1,(IF(E3432="CM",2,(IF(E3432="DP",3,(IF(E3432="AN",1,(IF(E3432="CO",2,(IF(E3432="IM",3,(IF(E3432="MI",4,(IF(E3432="RP",5,(IF(E3432="SC",6,0)))))))))))))))))))))))))))))))))))))))</f>
        <v>6</v>
      </c>
      <c r="G3432" s="52">
        <v>4</v>
      </c>
      <c r="H3432" s="90" t="s">
        <v>115</v>
      </c>
      <c r="I3432" s="93" t="s">
        <v>73</v>
      </c>
      <c r="J3432" s="86" t="s">
        <v>4224</v>
      </c>
      <c r="K3432" s="101" t="s">
        <v>5192</v>
      </c>
      <c r="L3432" s="117">
        <f>IF(O3432="","",N3432*O3432*M3432)</f>
        <v>0</v>
      </c>
      <c r="M3432" s="108">
        <v>1</v>
      </c>
      <c r="N3432" s="95">
        <v>1</v>
      </c>
      <c r="O3432" s="109">
        <f>IF(Key!D$1="ON",P3432,IF(SUM(Q3432:DL3432)&lt;1,"",SUM(Q3432:DL3432)/COUNTIF(Q3432:DL3432,"&gt;0")))</f>
        <v>0</v>
      </c>
      <c r="P3432" s="109">
        <f>SUMIFS(Q3432:DK3432,Q$1:DK$1,Dashboard!$K$31)</f>
        <v>0</v>
      </c>
      <c r="U3432" s="95">
        <v>33</v>
      </c>
      <c r="AA3432" s="95">
        <v>25</v>
      </c>
      <c r="AH3432" s="95">
        <v>75</v>
      </c>
    </row>
    <row r="3433" spans="1:34" ht="15.6" x14ac:dyDescent="0.3">
      <c r="A3433" s="89" t="str">
        <f>CONCATENATE(D3433,".",F3433,"-",G3433,".",H3433,"")</f>
        <v>2.6-4.1</v>
      </c>
      <c r="B3433" s="89" t="str">
        <f>IF(CONCATENATE(I3433,Key!F$2)=CONCATENATE(INDEX(Dashboard!J:J,MATCH(I3433,Dashboard!J:J,0),1),INDEX(Dashboard!J:K,MATCH(I3433,Dashboard!J:J,0),2)),"ON",IF(Dashboard!K$32="ALL","ON","-"))</f>
        <v>-</v>
      </c>
      <c r="C3433" s="88" t="s">
        <v>152</v>
      </c>
      <c r="D3433" s="89">
        <f>IF(C3433="ID",1,(IF(C3433="PR",2,(IF(C3433="DE",3,(IF(C3433="RS",4,(IF(C3433="RC",5,0)))))))))</f>
        <v>2</v>
      </c>
      <c r="E3433" s="89" t="s">
        <v>271</v>
      </c>
      <c r="F3433" s="89">
        <f>IF(E3433="AM",1,(IF(E3433="BE",2,(IF(E3433="GV",3,(IF(E3433="RA",4,(IF(E3433="RM",5,(IF(E3433="AC",1,(IF(E3433="AT",2,(IF(E3433="DS",3,(IF(E3433="IP",4,(IF(E3433="MA",5,(IF(E3433="PT",6,(IF(E3433="AE",1,(IF(E3433="CM",2,(IF(E3433="DP",3,(IF(E3433="AN",1,(IF(E3433="CO",2,(IF(E3433="IM",3,(IF(E3433="MI",4,(IF(E3433="RP",5,(IF(E3433="SC",6,0)))))))))))))))))))))))))))))))))))))))</f>
        <v>6</v>
      </c>
      <c r="G3433" s="52">
        <v>4</v>
      </c>
      <c r="H3433" s="90" t="s">
        <v>115</v>
      </c>
      <c r="I3433" s="93" t="s">
        <v>77</v>
      </c>
      <c r="J3433" s="87" t="s">
        <v>1785</v>
      </c>
      <c r="K3433" s="102" t="s">
        <v>2702</v>
      </c>
      <c r="L3433" s="117">
        <f>IF(O3433="","",N3433*O3433*M3433)</f>
        <v>0</v>
      </c>
      <c r="M3433" s="108">
        <v>1</v>
      </c>
      <c r="N3433" s="95">
        <v>1</v>
      </c>
      <c r="O3433" s="109">
        <f>IF(Key!D$1="ON",P3433,IF(SUM(Q3433:DL3433)&lt;1,"",SUM(Q3433:DL3433)/COUNTIF(Q3433:DL3433,"&gt;0")))</f>
        <v>0</v>
      </c>
      <c r="P3433" s="109">
        <f>SUMIFS(Q3433:DK3433,Q$1:DK$1,Dashboard!$K$31)</f>
        <v>0</v>
      </c>
      <c r="U3433" s="95">
        <v>33</v>
      </c>
      <c r="AA3433" s="95">
        <v>25</v>
      </c>
      <c r="AH3433" s="95">
        <v>75</v>
      </c>
    </row>
    <row r="3434" spans="1:34" ht="15.6" x14ac:dyDescent="0.3">
      <c r="A3434" s="89" t="str">
        <f>CONCATENATE(D3434,".",F3434,"-",G3434,".",H3434,"")</f>
        <v>2.6-4.1</v>
      </c>
      <c r="B3434" s="89" t="str">
        <f>IF(CONCATENATE(I3434,Key!F$2)=CONCATENATE(INDEX(Dashboard!J:J,MATCH(I3434,Dashboard!J:J,0),1),INDEX(Dashboard!J:K,MATCH(I3434,Dashboard!J:J,0),2)),"ON",IF(Dashboard!K$32="ALL","ON","-"))</f>
        <v>-</v>
      </c>
      <c r="C3434" s="88" t="s">
        <v>152</v>
      </c>
      <c r="D3434" s="89">
        <f>IF(C3434="ID",1,(IF(C3434="PR",2,(IF(C3434="DE",3,(IF(C3434="RS",4,(IF(C3434="RC",5,0)))))))))</f>
        <v>2</v>
      </c>
      <c r="E3434" s="89" t="s">
        <v>271</v>
      </c>
      <c r="F3434" s="89">
        <f>IF(E3434="AM",1,(IF(E3434="BE",2,(IF(E3434="GV",3,(IF(E3434="RA",4,(IF(E3434="RM",5,(IF(E3434="AC",1,(IF(E3434="AT",2,(IF(E3434="DS",3,(IF(E3434="IP",4,(IF(E3434="MA",5,(IF(E3434="PT",6,(IF(E3434="AE",1,(IF(E3434="CM",2,(IF(E3434="DP",3,(IF(E3434="AN",1,(IF(E3434="CO",2,(IF(E3434="IM",3,(IF(E3434="MI",4,(IF(E3434="RP",5,(IF(E3434="SC",6,0)))))))))))))))))))))))))))))))))))))))</f>
        <v>6</v>
      </c>
      <c r="G3434" s="52">
        <v>4</v>
      </c>
      <c r="H3434" s="90" t="s">
        <v>115</v>
      </c>
      <c r="I3434" s="93" t="s">
        <v>77</v>
      </c>
      <c r="J3434" s="87" t="s">
        <v>1786</v>
      </c>
      <c r="K3434" s="102" t="s">
        <v>2703</v>
      </c>
      <c r="L3434" s="117">
        <f>IF(O3434="","",N3434*O3434*M3434)</f>
        <v>0</v>
      </c>
      <c r="M3434" s="108">
        <v>1</v>
      </c>
      <c r="N3434" s="95">
        <v>1</v>
      </c>
      <c r="O3434" s="109">
        <f>IF(Key!D$1="ON",P3434,IF(SUM(Q3434:DL3434)&lt;1,"",SUM(Q3434:DL3434)/COUNTIF(Q3434:DL3434,"&gt;0")))</f>
        <v>0</v>
      </c>
      <c r="P3434" s="109">
        <f>SUMIFS(Q3434:DK3434,Q$1:DK$1,Dashboard!$K$31)</f>
        <v>0</v>
      </c>
      <c r="U3434" s="95">
        <v>33</v>
      </c>
      <c r="AA3434" s="95">
        <v>25</v>
      </c>
      <c r="AH3434" s="95">
        <v>75</v>
      </c>
    </row>
    <row r="3435" spans="1:34" ht="15.6" x14ac:dyDescent="0.3">
      <c r="A3435" s="89" t="str">
        <f>CONCATENATE(D3435,".",F3435,"-",G3435,".",H3435,"")</f>
        <v>2.6-4.1</v>
      </c>
      <c r="B3435" s="89" t="str">
        <f>IF(CONCATENATE(I3435,Key!F$2)=CONCATENATE(INDEX(Dashboard!J:J,MATCH(I3435,Dashboard!J:J,0),1),INDEX(Dashboard!J:K,MATCH(I3435,Dashboard!J:J,0),2)),"ON",IF(Dashboard!K$32="ALL","ON","-"))</f>
        <v>-</v>
      </c>
      <c r="C3435" s="88" t="s">
        <v>152</v>
      </c>
      <c r="D3435" s="89">
        <f>IF(C3435="ID",1,(IF(C3435="PR",2,(IF(C3435="DE",3,(IF(C3435="RS",4,(IF(C3435="RC",5,0)))))))))</f>
        <v>2</v>
      </c>
      <c r="E3435" s="89" t="s">
        <v>271</v>
      </c>
      <c r="F3435" s="89">
        <f>IF(E3435="AM",1,(IF(E3435="BE",2,(IF(E3435="GV",3,(IF(E3435="RA",4,(IF(E3435="RM",5,(IF(E3435="AC",1,(IF(E3435="AT",2,(IF(E3435="DS",3,(IF(E3435="IP",4,(IF(E3435="MA",5,(IF(E3435="PT",6,(IF(E3435="AE",1,(IF(E3435="CM",2,(IF(E3435="DP",3,(IF(E3435="AN",1,(IF(E3435="CO",2,(IF(E3435="IM",3,(IF(E3435="MI",4,(IF(E3435="RP",5,(IF(E3435="SC",6,0)))))))))))))))))))))))))))))))))))))))</f>
        <v>6</v>
      </c>
      <c r="G3435" s="52">
        <v>4</v>
      </c>
      <c r="H3435" s="90" t="s">
        <v>115</v>
      </c>
      <c r="I3435" s="93" t="s">
        <v>77</v>
      </c>
      <c r="J3435" s="87" t="s">
        <v>1787</v>
      </c>
      <c r="K3435" s="102" t="s">
        <v>2704</v>
      </c>
      <c r="L3435" s="117">
        <f>IF(O3435="","",N3435*O3435*M3435)</f>
        <v>0</v>
      </c>
      <c r="M3435" s="108">
        <v>1</v>
      </c>
      <c r="N3435" s="95">
        <v>1</v>
      </c>
      <c r="O3435" s="109">
        <f>IF(Key!D$1="ON",P3435,IF(SUM(Q3435:DL3435)&lt;1,"",SUM(Q3435:DL3435)/COUNTIF(Q3435:DL3435,"&gt;0")))</f>
        <v>0</v>
      </c>
      <c r="P3435" s="109">
        <f>SUMIFS(Q3435:DK3435,Q$1:DK$1,Dashboard!$K$31)</f>
        <v>0</v>
      </c>
      <c r="U3435" s="95">
        <v>33</v>
      </c>
      <c r="AA3435" s="95">
        <v>25</v>
      </c>
      <c r="AH3435" s="95">
        <v>75</v>
      </c>
    </row>
    <row r="3436" spans="1:34" ht="15.6" x14ac:dyDescent="0.3">
      <c r="A3436" s="89" t="str">
        <f>CONCATENATE(D3436,".",F3436,"-",G3436,".",H3436,"")</f>
        <v>2.6-4.1</v>
      </c>
      <c r="B3436" s="89" t="str">
        <f>IF(CONCATENATE(I3436,Key!F$2)=CONCATENATE(INDEX(Dashboard!J:J,MATCH(I3436,Dashboard!J:J,0),1),INDEX(Dashboard!J:K,MATCH(I3436,Dashboard!J:J,0),2)),"ON",IF(Dashboard!K$32="ALL","ON","-"))</f>
        <v>-</v>
      </c>
      <c r="C3436" s="88" t="s">
        <v>152</v>
      </c>
      <c r="D3436" s="89">
        <f>IF(C3436="ID",1,(IF(C3436="PR",2,(IF(C3436="DE",3,(IF(C3436="RS",4,(IF(C3436="RC",5,0)))))))))</f>
        <v>2</v>
      </c>
      <c r="E3436" s="89" t="s">
        <v>271</v>
      </c>
      <c r="F3436" s="89">
        <f>IF(E3436="AM",1,(IF(E3436="BE",2,(IF(E3436="GV",3,(IF(E3436="RA",4,(IF(E3436="RM",5,(IF(E3436="AC",1,(IF(E3436="AT",2,(IF(E3436="DS",3,(IF(E3436="IP",4,(IF(E3436="MA",5,(IF(E3436="PT",6,(IF(E3436="AE",1,(IF(E3436="CM",2,(IF(E3436="DP",3,(IF(E3436="AN",1,(IF(E3436="CO",2,(IF(E3436="IM",3,(IF(E3436="MI",4,(IF(E3436="RP",5,(IF(E3436="SC",6,0)))))))))))))))))))))))))))))))))))))))</f>
        <v>6</v>
      </c>
      <c r="G3436" s="52">
        <v>4</v>
      </c>
      <c r="H3436" s="90" t="s">
        <v>115</v>
      </c>
      <c r="I3436" s="93" t="s">
        <v>77</v>
      </c>
      <c r="J3436" s="87" t="s">
        <v>1788</v>
      </c>
      <c r="K3436" s="102" t="s">
        <v>2705</v>
      </c>
      <c r="L3436" s="117">
        <f>IF(O3436="","",N3436*O3436*M3436)</f>
        <v>0</v>
      </c>
      <c r="M3436" s="108">
        <v>1</v>
      </c>
      <c r="N3436" s="95">
        <v>1</v>
      </c>
      <c r="O3436" s="109">
        <f>IF(Key!D$1="ON",P3436,IF(SUM(Q3436:DL3436)&lt;1,"",SUM(Q3436:DL3436)/COUNTIF(Q3436:DL3436,"&gt;0")))</f>
        <v>0</v>
      </c>
      <c r="P3436" s="109">
        <f>SUMIFS(Q3436:DK3436,Q$1:DK$1,Dashboard!$K$31)</f>
        <v>0</v>
      </c>
      <c r="U3436" s="95">
        <v>33</v>
      </c>
      <c r="AA3436" s="95">
        <v>25</v>
      </c>
      <c r="AH3436" s="95">
        <v>75</v>
      </c>
    </row>
    <row r="3437" spans="1:34" ht="15.6" x14ac:dyDescent="0.3">
      <c r="A3437" s="89" t="str">
        <f>CONCATENATE(D3437,".",F3437,"-",G3437,".",H3437,"")</f>
        <v>2.6-4.1</v>
      </c>
      <c r="B3437" s="89" t="str">
        <f>IF(CONCATENATE(I3437,Key!F$2)=CONCATENATE(INDEX(Dashboard!J:J,MATCH(I3437,Dashboard!J:J,0),1),INDEX(Dashboard!J:K,MATCH(I3437,Dashboard!J:J,0),2)),"ON",IF(Dashboard!K$32="ALL","ON","-"))</f>
        <v>-</v>
      </c>
      <c r="C3437" s="88" t="s">
        <v>152</v>
      </c>
      <c r="D3437" s="89">
        <f>IF(C3437="ID",1,(IF(C3437="PR",2,(IF(C3437="DE",3,(IF(C3437="RS",4,(IF(C3437="RC",5,0)))))))))</f>
        <v>2</v>
      </c>
      <c r="E3437" s="89" t="s">
        <v>271</v>
      </c>
      <c r="F3437" s="89">
        <f>IF(E3437="AM",1,(IF(E3437="BE",2,(IF(E3437="GV",3,(IF(E3437="RA",4,(IF(E3437="RM",5,(IF(E3437="AC",1,(IF(E3437="AT",2,(IF(E3437="DS",3,(IF(E3437="IP",4,(IF(E3437="MA",5,(IF(E3437="PT",6,(IF(E3437="AE",1,(IF(E3437="CM",2,(IF(E3437="DP",3,(IF(E3437="AN",1,(IF(E3437="CO",2,(IF(E3437="IM",3,(IF(E3437="MI",4,(IF(E3437="RP",5,(IF(E3437="SC",6,0)))))))))))))))))))))))))))))))))))))))</f>
        <v>6</v>
      </c>
      <c r="G3437" s="52">
        <v>4</v>
      </c>
      <c r="H3437" s="90" t="s">
        <v>115</v>
      </c>
      <c r="I3437" s="93" t="s">
        <v>77</v>
      </c>
      <c r="J3437" s="87" t="s">
        <v>1789</v>
      </c>
      <c r="K3437" s="102" t="s">
        <v>2706</v>
      </c>
      <c r="L3437" s="117">
        <f>IF(O3437="","",N3437*O3437*M3437)</f>
        <v>0</v>
      </c>
      <c r="M3437" s="108">
        <v>1</v>
      </c>
      <c r="N3437" s="95">
        <v>1</v>
      </c>
      <c r="O3437" s="109">
        <f>IF(Key!D$1="ON",P3437,IF(SUM(Q3437:DL3437)&lt;1,"",SUM(Q3437:DL3437)/COUNTIF(Q3437:DL3437,"&gt;0")))</f>
        <v>0</v>
      </c>
      <c r="P3437" s="109">
        <f>SUMIFS(Q3437:DK3437,Q$1:DK$1,Dashboard!$K$31)</f>
        <v>0</v>
      </c>
      <c r="U3437" s="95">
        <v>33</v>
      </c>
      <c r="AA3437" s="95">
        <v>25</v>
      </c>
      <c r="AH3437" s="95">
        <v>75</v>
      </c>
    </row>
    <row r="3438" spans="1:34" x14ac:dyDescent="0.3">
      <c r="A3438" s="89" t="str">
        <f>CONCATENATE(D3438,".",F3438,"-",G3438,".",H3438,"")</f>
        <v>2.6-4.1</v>
      </c>
      <c r="B3438" s="89" t="str">
        <f>IF(CONCATENATE(I3438,Key!F$2)=CONCATENATE(INDEX(Dashboard!J:J,MATCH(I3438,Dashboard!J:J,0),1),INDEX(Dashboard!J:K,MATCH(I3438,Dashboard!J:J,0),2)),"ON",IF(Dashboard!K$32="ALL","ON","-"))</f>
        <v>-</v>
      </c>
      <c r="C3438" s="88" t="s">
        <v>152</v>
      </c>
      <c r="D3438" s="89">
        <f>IF(C3438="ID",1,(IF(C3438="PR",2,(IF(C3438="DE",3,(IF(C3438="RS",4,(IF(C3438="RC",5,0)))))))))</f>
        <v>2</v>
      </c>
      <c r="E3438" s="89" t="s">
        <v>271</v>
      </c>
      <c r="F3438" s="89">
        <f>IF(E3438="AM",1,(IF(E3438="BE",2,(IF(E3438="GV",3,(IF(E3438="RA",4,(IF(E3438="RM",5,(IF(E3438="AC",1,(IF(E3438="AT",2,(IF(E3438="DS",3,(IF(E3438="IP",4,(IF(E3438="MA",5,(IF(E3438="PT",6,(IF(E3438="AE",1,(IF(E3438="CM",2,(IF(E3438="DP",3,(IF(E3438="AN",1,(IF(E3438="CO",2,(IF(E3438="IM",3,(IF(E3438="MI",4,(IF(E3438="RP",5,(IF(E3438="SC",6,0)))))))))))))))))))))))))))))))))))))))</f>
        <v>6</v>
      </c>
      <c r="G3438" s="52">
        <v>4</v>
      </c>
      <c r="H3438" s="90" t="s">
        <v>115</v>
      </c>
      <c r="I3438" s="93" t="s">
        <v>77</v>
      </c>
      <c r="J3438" s="87" t="s">
        <v>1790</v>
      </c>
      <c r="K3438" s="102" t="s">
        <v>2707</v>
      </c>
      <c r="L3438" s="117">
        <f>IF(O3438="","",N3438*O3438*M3438)</f>
        <v>0</v>
      </c>
      <c r="M3438" s="108">
        <v>1</v>
      </c>
      <c r="N3438" s="95">
        <v>1</v>
      </c>
      <c r="O3438" s="109">
        <f>IF(Key!D$1="ON",P3438,IF(SUM(Q3438:DL3438)&lt;1,"",SUM(Q3438:DL3438)/COUNTIF(Q3438:DL3438,"&gt;0")))</f>
        <v>0</v>
      </c>
      <c r="P3438" s="109">
        <f>SUMIFS(Q3438:DK3438,Q$1:DK$1,Dashboard!$K$31)</f>
        <v>0</v>
      </c>
      <c r="U3438" s="95">
        <v>33</v>
      </c>
      <c r="AA3438" s="95">
        <v>25</v>
      </c>
      <c r="AH3438" s="95">
        <v>75</v>
      </c>
    </row>
    <row r="3439" spans="1:34" x14ac:dyDescent="0.3">
      <c r="A3439" s="89" t="str">
        <f>CONCATENATE(D3439,".",F3439,"-",G3439,".",H3439,"")</f>
        <v>2.6-4.1</v>
      </c>
      <c r="B3439" s="89" t="str">
        <f>IF(CONCATENATE(I3439,Key!F$2)=CONCATENATE(INDEX(Dashboard!J:J,MATCH(I3439,Dashboard!J:J,0),1),INDEX(Dashboard!J:K,MATCH(I3439,Dashboard!J:J,0),2)),"ON",IF(Dashboard!K$32="ALL","ON","-"))</f>
        <v>-</v>
      </c>
      <c r="C3439" s="88" t="s">
        <v>152</v>
      </c>
      <c r="D3439" s="89">
        <f>IF(C3439="ID",1,(IF(C3439="PR",2,(IF(C3439="DE",3,(IF(C3439="RS",4,(IF(C3439="RC",5,0)))))))))</f>
        <v>2</v>
      </c>
      <c r="E3439" s="89" t="s">
        <v>271</v>
      </c>
      <c r="F3439" s="89">
        <f>IF(E3439="AM",1,(IF(E3439="BE",2,(IF(E3439="GV",3,(IF(E3439="RA",4,(IF(E3439="RM",5,(IF(E3439="AC",1,(IF(E3439="AT",2,(IF(E3439="DS",3,(IF(E3439="IP",4,(IF(E3439="MA",5,(IF(E3439="PT",6,(IF(E3439="AE",1,(IF(E3439="CM",2,(IF(E3439="DP",3,(IF(E3439="AN",1,(IF(E3439="CO",2,(IF(E3439="IM",3,(IF(E3439="MI",4,(IF(E3439="RP",5,(IF(E3439="SC",6,0)))))))))))))))))))))))))))))))))))))))</f>
        <v>6</v>
      </c>
      <c r="G3439" s="52">
        <v>4</v>
      </c>
      <c r="H3439" s="90" t="s">
        <v>115</v>
      </c>
      <c r="I3439" s="93" t="s">
        <v>77</v>
      </c>
      <c r="J3439" s="87" t="s">
        <v>1791</v>
      </c>
      <c r="K3439" s="102" t="s">
        <v>2708</v>
      </c>
      <c r="L3439" s="117">
        <f>IF(O3439="","",N3439*O3439*M3439)</f>
        <v>0</v>
      </c>
      <c r="M3439" s="108">
        <v>0.9</v>
      </c>
      <c r="N3439" s="95">
        <v>1</v>
      </c>
      <c r="O3439" s="109">
        <f>IF(Key!D$1="ON",P3439,IF(SUM(Q3439:DL3439)&lt;1,"",SUM(Q3439:DL3439)/COUNTIF(Q3439:DL3439,"&gt;0")))</f>
        <v>0</v>
      </c>
      <c r="P3439" s="109">
        <f>SUMIFS(Q3439:DK3439,Q$1:DK$1,Dashboard!$K$31)</f>
        <v>0</v>
      </c>
      <c r="S3439" s="95">
        <v>99</v>
      </c>
      <c r="T3439" s="95">
        <v>80</v>
      </c>
      <c r="U3439" s="95">
        <v>33</v>
      </c>
      <c r="AA3439" s="95">
        <v>25</v>
      </c>
      <c r="AH3439" s="95">
        <v>75</v>
      </c>
    </row>
    <row r="3440" spans="1:34" ht="15.6" x14ac:dyDescent="0.3">
      <c r="A3440" s="89" t="str">
        <f>CONCATENATE(D3440,".",F3440,"-",G3440,".",H3440,"")</f>
        <v>2.6-4.1</v>
      </c>
      <c r="B3440" s="89" t="str">
        <f>IF(CONCATENATE(I3440,Key!F$2)=CONCATENATE(INDEX(Dashboard!J:J,MATCH(I3440,Dashboard!J:J,0),1),INDEX(Dashboard!J:K,MATCH(I3440,Dashboard!J:J,0),2)),"ON",IF(Dashboard!K$32="ALL","ON","-"))</f>
        <v>-</v>
      </c>
      <c r="C3440" s="88" t="s">
        <v>152</v>
      </c>
      <c r="D3440" s="89">
        <f>IF(C3440="ID",1,(IF(C3440="PR",2,(IF(C3440="DE",3,(IF(C3440="RS",4,(IF(C3440="RC",5,0)))))))))</f>
        <v>2</v>
      </c>
      <c r="E3440" s="89" t="s">
        <v>271</v>
      </c>
      <c r="F3440" s="89">
        <f>IF(E3440="AM",1,(IF(E3440="BE",2,(IF(E3440="GV",3,(IF(E3440="RA",4,(IF(E3440="RM",5,(IF(E3440="AC",1,(IF(E3440="AT",2,(IF(E3440="DS",3,(IF(E3440="IP",4,(IF(E3440="MA",5,(IF(E3440="PT",6,(IF(E3440="AE",1,(IF(E3440="CM",2,(IF(E3440="DP",3,(IF(E3440="AN",1,(IF(E3440="CO",2,(IF(E3440="IM",3,(IF(E3440="MI",4,(IF(E3440="RP",5,(IF(E3440="SC",6,0)))))))))))))))))))))))))))))))))))))))</f>
        <v>6</v>
      </c>
      <c r="G3440" s="52">
        <v>4</v>
      </c>
      <c r="H3440" s="90" t="s">
        <v>115</v>
      </c>
      <c r="I3440" s="93" t="s">
        <v>77</v>
      </c>
      <c r="J3440" s="87" t="s">
        <v>1792</v>
      </c>
      <c r="K3440" s="102" t="s">
        <v>2709</v>
      </c>
      <c r="L3440" s="117">
        <f>IF(O3440="","",N3440*O3440*M3440)</f>
        <v>0</v>
      </c>
      <c r="M3440" s="108">
        <v>1</v>
      </c>
      <c r="N3440" s="95">
        <v>1</v>
      </c>
      <c r="O3440" s="109">
        <f>IF(Key!D$1="ON",P3440,IF(SUM(Q3440:DL3440)&lt;1,"",SUM(Q3440:DL3440)/COUNTIF(Q3440:DL3440,"&gt;0")))</f>
        <v>0</v>
      </c>
      <c r="P3440" s="109">
        <f>SUMIFS(Q3440:DK3440,Q$1:DK$1,Dashboard!$K$31)</f>
        <v>0</v>
      </c>
      <c r="U3440" s="95">
        <v>33</v>
      </c>
      <c r="AA3440" s="95">
        <v>25</v>
      </c>
      <c r="AH3440" s="95">
        <v>75</v>
      </c>
    </row>
    <row r="3441" spans="1:34" x14ac:dyDescent="0.3">
      <c r="A3441" s="89" t="str">
        <f>CONCATENATE(D3441,".",F3441,"-",G3441,".",H3441,"")</f>
        <v>2.6-4.1</v>
      </c>
      <c r="B3441" s="89" t="str">
        <f>IF(CONCATENATE(I3441,Key!F$2)=CONCATENATE(INDEX(Dashboard!J:J,MATCH(I3441,Dashboard!J:J,0),1),INDEX(Dashboard!J:K,MATCH(I3441,Dashboard!J:J,0),2)),"ON",IF(Dashboard!K$32="ALL","ON","-"))</f>
        <v>-</v>
      </c>
      <c r="C3441" s="88" t="s">
        <v>152</v>
      </c>
      <c r="D3441" s="89">
        <f>IF(C3441="ID",1,(IF(C3441="PR",2,(IF(C3441="DE",3,(IF(C3441="RS",4,(IF(C3441="RC",5,0)))))))))</f>
        <v>2</v>
      </c>
      <c r="E3441" s="89" t="s">
        <v>271</v>
      </c>
      <c r="F3441" s="89">
        <f>IF(E3441="AM",1,(IF(E3441="BE",2,(IF(E3441="GV",3,(IF(E3441="RA",4,(IF(E3441="RM",5,(IF(E3441="AC",1,(IF(E3441="AT",2,(IF(E3441="DS",3,(IF(E3441="IP",4,(IF(E3441="MA",5,(IF(E3441="PT",6,(IF(E3441="AE",1,(IF(E3441="CM",2,(IF(E3441="DP",3,(IF(E3441="AN",1,(IF(E3441="CO",2,(IF(E3441="IM",3,(IF(E3441="MI",4,(IF(E3441="RP",5,(IF(E3441="SC",6,0)))))))))))))))))))))))))))))))))))))))</f>
        <v>6</v>
      </c>
      <c r="G3441" s="52">
        <v>4</v>
      </c>
      <c r="H3441" s="90" t="s">
        <v>115</v>
      </c>
      <c r="I3441" s="93" t="s">
        <v>77</v>
      </c>
      <c r="J3441" s="87" t="s">
        <v>1793</v>
      </c>
      <c r="K3441" s="102" t="s">
        <v>2710</v>
      </c>
      <c r="L3441" s="117">
        <f>IF(O3441="","",N3441*O3441*M3441)</f>
        <v>0</v>
      </c>
      <c r="M3441" s="108">
        <v>1</v>
      </c>
      <c r="N3441" s="95">
        <v>1</v>
      </c>
      <c r="O3441" s="109">
        <f>IF(Key!D$1="ON",P3441,IF(SUM(Q3441:DL3441)&lt;1,"",SUM(Q3441:DL3441)/COUNTIF(Q3441:DL3441,"&gt;0")))</f>
        <v>0</v>
      </c>
      <c r="P3441" s="109">
        <f>SUMIFS(Q3441:DK3441,Q$1:DK$1,Dashboard!$K$31)</f>
        <v>0</v>
      </c>
      <c r="U3441" s="95">
        <v>33</v>
      </c>
      <c r="AA3441" s="95">
        <v>25</v>
      </c>
      <c r="AH3441" s="95">
        <v>75</v>
      </c>
    </row>
    <row r="3442" spans="1:34" x14ac:dyDescent="0.3">
      <c r="A3442" s="89" t="str">
        <f>CONCATENATE(D3442,".",F3442,"-",G3442,".",H3442,"")</f>
        <v>2.6-4.1</v>
      </c>
      <c r="B3442" s="89" t="str">
        <f>IF(CONCATENATE(I3442,Key!F$2)=CONCATENATE(INDEX(Dashboard!J:J,MATCH(I3442,Dashboard!J:J,0),1),INDEX(Dashboard!J:K,MATCH(I3442,Dashboard!J:J,0),2)),"ON",IF(Dashboard!K$32="ALL","ON","-"))</f>
        <v>-</v>
      </c>
      <c r="C3442" s="96" t="s">
        <v>152</v>
      </c>
      <c r="D3442" s="89">
        <f>IF(C3442="ID",1,(IF(C3442="PR",2,(IF(C3442="DE",3,(IF(C3442="RS",4,(IF(C3442="RC",5,0)))))))))</f>
        <v>2</v>
      </c>
      <c r="E3442" s="89" t="s">
        <v>271</v>
      </c>
      <c r="F3442" s="89">
        <f>IF(E3442="AM",1,(IF(E3442="BE",2,(IF(E3442="GV",3,(IF(E3442="RA",4,(IF(E3442="RM",5,(IF(E3442="AC",1,(IF(E3442="AT",2,(IF(E3442="DS",3,(IF(E3442="IP",4,(IF(E3442="MA",5,(IF(E3442="PT",6,(IF(E3442="AE",1,(IF(E3442="CM",2,(IF(E3442="DP",3,(IF(E3442="AN",1,(IF(E3442="CO",2,(IF(E3442="IM",3,(IF(E3442="MI",4,(IF(E3442="RP",5,(IF(E3442="SC",6,0)))))))))))))))))))))))))))))))))))))))</f>
        <v>6</v>
      </c>
      <c r="G3442" s="52">
        <v>4</v>
      </c>
      <c r="H3442" s="90" t="s">
        <v>115</v>
      </c>
      <c r="I3442" s="93" t="s">
        <v>77</v>
      </c>
      <c r="J3442" s="87" t="s">
        <v>1269</v>
      </c>
      <c r="K3442" s="102" t="s">
        <v>2283</v>
      </c>
      <c r="L3442" s="117">
        <f>IF(O3442="","",N3442*O3442*M3442)</f>
        <v>0</v>
      </c>
      <c r="M3442" s="108">
        <v>1</v>
      </c>
      <c r="N3442" s="95">
        <v>1</v>
      </c>
      <c r="O3442" s="109">
        <f>IF(Key!D$1="ON",P3442,IF(SUM(Q3442:DL3442)&lt;1,"",SUM(Q3442:DL3442)/COUNTIF(Q3442:DL3442,"&gt;0")))</f>
        <v>0</v>
      </c>
      <c r="P3442" s="109">
        <f>SUMIFS(Q3442:DK3442,Q$1:DK$1,Dashboard!$K$31)</f>
        <v>0</v>
      </c>
      <c r="U3442" s="95">
        <v>33</v>
      </c>
      <c r="AA3442" s="95">
        <v>25</v>
      </c>
      <c r="AH3442" s="95">
        <v>75</v>
      </c>
    </row>
    <row r="3443" spans="1:34" x14ac:dyDescent="0.3">
      <c r="A3443" s="89" t="str">
        <f>CONCATENATE(D3443,".",F3443,"-",G3443,".",H3443,"")</f>
        <v>2.6-4.1</v>
      </c>
      <c r="B3443" s="89" t="str">
        <f>IF(CONCATENATE(I3443,Key!F$2)=CONCATENATE(INDEX(Dashboard!J:J,MATCH(I3443,Dashboard!J:J,0),1),INDEX(Dashboard!J:K,MATCH(I3443,Dashboard!J:J,0),2)),"ON",IF(Dashboard!K$32="ALL","ON","-"))</f>
        <v>-</v>
      </c>
      <c r="C3443" s="88" t="s">
        <v>152</v>
      </c>
      <c r="D3443" s="89">
        <f>IF(C3443="ID",1,(IF(C3443="PR",2,(IF(C3443="DE",3,(IF(C3443="RS",4,(IF(C3443="RC",5,0)))))))))</f>
        <v>2</v>
      </c>
      <c r="E3443" s="89" t="s">
        <v>271</v>
      </c>
      <c r="F3443" s="89">
        <f>IF(E3443="AM",1,(IF(E3443="BE",2,(IF(E3443="GV",3,(IF(E3443="RA",4,(IF(E3443="RM",5,(IF(E3443="AC",1,(IF(E3443="AT",2,(IF(E3443="DS",3,(IF(E3443="IP",4,(IF(E3443="MA",5,(IF(E3443="PT",6,(IF(E3443="AE",1,(IF(E3443="CM",2,(IF(E3443="DP",3,(IF(E3443="AN",1,(IF(E3443="CO",2,(IF(E3443="IM",3,(IF(E3443="MI",4,(IF(E3443="RP",5,(IF(E3443="SC",6,0)))))))))))))))))))))))))))))))))))))))</f>
        <v>6</v>
      </c>
      <c r="G3443" s="52">
        <v>4</v>
      </c>
      <c r="H3443" s="90" t="s">
        <v>115</v>
      </c>
      <c r="I3443" s="93" t="s">
        <v>77</v>
      </c>
      <c r="J3443" s="87" t="s">
        <v>1794</v>
      </c>
      <c r="K3443" s="103" t="s">
        <v>2711</v>
      </c>
      <c r="L3443" s="117">
        <f>IF(O3443="","",N3443*O3443*M3443)</f>
        <v>0</v>
      </c>
      <c r="M3443" s="108">
        <v>1</v>
      </c>
      <c r="N3443" s="95">
        <v>1</v>
      </c>
      <c r="O3443" s="109">
        <f>IF(Key!D$1="ON",P3443,IF(SUM(Q3443:DL3443)&lt;1,"",SUM(Q3443:DL3443)/COUNTIF(Q3443:DL3443,"&gt;0")))</f>
        <v>0</v>
      </c>
      <c r="P3443" s="109">
        <f>SUMIFS(Q3443:DK3443,Q$1:DK$1,Dashboard!$K$31)</f>
        <v>0</v>
      </c>
      <c r="U3443" s="95">
        <v>33</v>
      </c>
      <c r="AA3443" s="95">
        <v>25</v>
      </c>
      <c r="AH3443" s="95">
        <v>75</v>
      </c>
    </row>
    <row r="3444" spans="1:34" x14ac:dyDescent="0.3">
      <c r="A3444" s="89" t="str">
        <f>CONCATENATE(D3444,".",F3444,"-",G3444,".",H3444,"")</f>
        <v>2.6-4.1</v>
      </c>
      <c r="B3444" s="89" t="str">
        <f>IF(CONCATENATE(I3444,Key!F$2)=CONCATENATE(INDEX(Dashboard!J:J,MATCH(I3444,Dashboard!J:J,0),1),INDEX(Dashboard!J:K,MATCH(I3444,Dashboard!J:J,0),2)),"ON",IF(Dashboard!K$32="ALL","ON","-"))</f>
        <v>-</v>
      </c>
      <c r="C3444" s="88" t="s">
        <v>152</v>
      </c>
      <c r="D3444" s="89">
        <f>IF(C3444="ID",1,(IF(C3444="PR",2,(IF(C3444="DE",3,(IF(C3444="RS",4,(IF(C3444="RC",5,0)))))))))</f>
        <v>2</v>
      </c>
      <c r="E3444" s="89" t="s">
        <v>271</v>
      </c>
      <c r="F3444" s="89">
        <f>IF(E3444="AM",1,(IF(E3444="BE",2,(IF(E3444="GV",3,(IF(E3444="RA",4,(IF(E3444="RM",5,(IF(E3444="AC",1,(IF(E3444="AT",2,(IF(E3444="DS",3,(IF(E3444="IP",4,(IF(E3444="MA",5,(IF(E3444="PT",6,(IF(E3444="AE",1,(IF(E3444="CM",2,(IF(E3444="DP",3,(IF(E3444="AN",1,(IF(E3444="CO",2,(IF(E3444="IM",3,(IF(E3444="MI",4,(IF(E3444="RP",5,(IF(E3444="SC",6,0)))))))))))))))))))))))))))))))))))))))</f>
        <v>6</v>
      </c>
      <c r="G3444" s="52">
        <v>4</v>
      </c>
      <c r="H3444" s="90" t="s">
        <v>115</v>
      </c>
      <c r="I3444" s="93" t="s">
        <v>77</v>
      </c>
      <c r="J3444" s="87" t="s">
        <v>1795</v>
      </c>
      <c r="K3444" s="103" t="s">
        <v>2712</v>
      </c>
      <c r="L3444" s="117">
        <f>IF(O3444="","",N3444*O3444*M3444)</f>
        <v>0</v>
      </c>
      <c r="M3444" s="108">
        <v>1</v>
      </c>
      <c r="N3444" s="95">
        <v>1</v>
      </c>
      <c r="O3444" s="109">
        <f>IF(Key!D$1="ON",P3444,IF(SUM(Q3444:DL3444)&lt;1,"",SUM(Q3444:DL3444)/COUNTIF(Q3444:DL3444,"&gt;0")))</f>
        <v>0</v>
      </c>
      <c r="P3444" s="109">
        <f>SUMIFS(Q3444:DK3444,Q$1:DK$1,Dashboard!$K$31)</f>
        <v>0</v>
      </c>
      <c r="U3444" s="95">
        <v>33</v>
      </c>
      <c r="AA3444" s="95">
        <v>25</v>
      </c>
      <c r="AH3444" s="95">
        <v>75</v>
      </c>
    </row>
    <row r="3445" spans="1:34" ht="15.6" x14ac:dyDescent="0.3">
      <c r="A3445" s="89" t="str">
        <f>CONCATENATE(D3445,".",F3445,"-",G3445,".",H3445,"")</f>
        <v>2.6-4.1</v>
      </c>
      <c r="B3445" s="89" t="str">
        <f>IF(CONCATENATE(I3445,Key!F$2)=CONCATENATE(INDEX(Dashboard!J:J,MATCH(I3445,Dashboard!J:J,0),1),INDEX(Dashboard!J:K,MATCH(I3445,Dashboard!J:J,0),2)),"ON",IF(Dashboard!K$32="ALL","ON","-"))</f>
        <v>-</v>
      </c>
      <c r="C3445" s="88" t="s">
        <v>152</v>
      </c>
      <c r="D3445" s="89">
        <f>IF(C3445="ID",1,(IF(C3445="PR",2,(IF(C3445="DE",3,(IF(C3445="RS",4,(IF(C3445="RC",5,0)))))))))</f>
        <v>2</v>
      </c>
      <c r="E3445" s="89" t="s">
        <v>271</v>
      </c>
      <c r="F3445" s="89">
        <f>IF(E3445="AM",1,(IF(E3445="BE",2,(IF(E3445="GV",3,(IF(E3445="RA",4,(IF(E3445="RM",5,(IF(E3445="AC",1,(IF(E3445="AT",2,(IF(E3445="DS",3,(IF(E3445="IP",4,(IF(E3445="MA",5,(IF(E3445="PT",6,(IF(E3445="AE",1,(IF(E3445="CM",2,(IF(E3445="DP",3,(IF(E3445="AN",1,(IF(E3445="CO",2,(IF(E3445="IM",3,(IF(E3445="MI",4,(IF(E3445="RP",5,(IF(E3445="SC",6,0)))))))))))))))))))))))))))))))))))))))</f>
        <v>6</v>
      </c>
      <c r="G3445" s="52">
        <v>4</v>
      </c>
      <c r="H3445" s="90" t="s">
        <v>115</v>
      </c>
      <c r="I3445" s="93" t="s">
        <v>77</v>
      </c>
      <c r="J3445" s="87" t="s">
        <v>1796</v>
      </c>
      <c r="K3445" s="103" t="s">
        <v>2713</v>
      </c>
      <c r="L3445" s="117">
        <f>IF(O3445="","",N3445*O3445*M3445)</f>
        <v>0</v>
      </c>
      <c r="M3445" s="108">
        <v>1</v>
      </c>
      <c r="N3445" s="95">
        <v>1</v>
      </c>
      <c r="O3445" s="109">
        <f>IF(Key!D$1="ON",P3445,IF(SUM(Q3445:DL3445)&lt;1,"",SUM(Q3445:DL3445)/COUNTIF(Q3445:DL3445,"&gt;0")))</f>
        <v>0</v>
      </c>
      <c r="P3445" s="109">
        <f>SUMIFS(Q3445:DK3445,Q$1:DK$1,Dashboard!$K$31)</f>
        <v>0</v>
      </c>
      <c r="U3445" s="95">
        <v>33</v>
      </c>
      <c r="AA3445" s="95">
        <v>25</v>
      </c>
      <c r="AH3445" s="95">
        <v>75</v>
      </c>
    </row>
    <row r="3446" spans="1:34" ht="15.6" x14ac:dyDescent="0.3">
      <c r="A3446" s="89" t="str">
        <f>CONCATENATE(D3446,".",F3446,"-",G3446,".",H3446,"")</f>
        <v>2.6-4.1</v>
      </c>
      <c r="B3446" s="89" t="str">
        <f>IF(CONCATENATE(I3446,Key!F$2)=CONCATENATE(INDEX(Dashboard!J:J,MATCH(I3446,Dashboard!J:J,0),1),INDEX(Dashboard!J:K,MATCH(I3446,Dashboard!J:J,0),2)),"ON",IF(Dashboard!K$32="ALL","ON","-"))</f>
        <v>-</v>
      </c>
      <c r="C3446" s="88" t="s">
        <v>152</v>
      </c>
      <c r="D3446" s="89">
        <f>IF(C3446="ID",1,(IF(C3446="PR",2,(IF(C3446="DE",3,(IF(C3446="RS",4,(IF(C3446="RC",5,0)))))))))</f>
        <v>2</v>
      </c>
      <c r="E3446" s="89" t="s">
        <v>271</v>
      </c>
      <c r="F3446" s="89">
        <f>IF(E3446="AM",1,(IF(E3446="BE",2,(IF(E3446="GV",3,(IF(E3446="RA",4,(IF(E3446="RM",5,(IF(E3446="AC",1,(IF(E3446="AT",2,(IF(E3446="DS",3,(IF(E3446="IP",4,(IF(E3446="MA",5,(IF(E3446="PT",6,(IF(E3446="AE",1,(IF(E3446="CM",2,(IF(E3446="DP",3,(IF(E3446="AN",1,(IF(E3446="CO",2,(IF(E3446="IM",3,(IF(E3446="MI",4,(IF(E3446="RP",5,(IF(E3446="SC",6,0)))))))))))))))))))))))))))))))))))))))</f>
        <v>6</v>
      </c>
      <c r="G3446" s="52">
        <v>4</v>
      </c>
      <c r="H3446" s="90" t="s">
        <v>115</v>
      </c>
      <c r="I3446" s="93" t="s">
        <v>85</v>
      </c>
      <c r="J3446" s="87" t="s">
        <v>1792</v>
      </c>
      <c r="K3446" s="119" t="s">
        <v>4731</v>
      </c>
      <c r="L3446" s="117">
        <f>IF(O3446="","",N3446*O3446*M3446)</f>
        <v>0</v>
      </c>
      <c r="M3446" s="108">
        <v>1</v>
      </c>
      <c r="N3446" s="95">
        <v>1</v>
      </c>
      <c r="O3446" s="109">
        <f>IF(Key!D$1="ON",P3446,IF(SUM(Q3446:DL3446)&lt;1,"",SUM(Q3446:DL3446)/COUNTIF(Q3446:DL3446,"&gt;0")))</f>
        <v>0</v>
      </c>
      <c r="P3446" s="109">
        <f>SUMIFS(Q3446:DK3446,Q$1:DK$1,Dashboard!$K$31)</f>
        <v>0</v>
      </c>
      <c r="U3446" s="95">
        <v>33</v>
      </c>
      <c r="AA3446" s="95">
        <v>25</v>
      </c>
      <c r="AH3446" s="95">
        <v>75</v>
      </c>
    </row>
    <row r="3447" spans="1:34" ht="15.6" x14ac:dyDescent="0.3">
      <c r="A3447" s="89" t="str">
        <f>CONCATENATE(D3447,".",F3447,"-",G3447,".",H3447,"")</f>
        <v>2.6-4.1</v>
      </c>
      <c r="B3447" s="89" t="str">
        <f>IF(CONCATENATE(I3447,Key!F$2)=CONCATENATE(INDEX(Dashboard!J:J,MATCH(I3447,Dashboard!J:J,0),1),INDEX(Dashboard!J:K,MATCH(I3447,Dashboard!J:J,0),2)),"ON",IF(Dashboard!K$32="ALL","ON","-"))</f>
        <v>-</v>
      </c>
      <c r="C3447" s="96" t="s">
        <v>152</v>
      </c>
      <c r="D3447" s="89">
        <f>IF(C3447="ID",1,(IF(C3447="PR",2,(IF(C3447="DE",3,(IF(C3447="RS",4,(IF(C3447="RC",5,0)))))))))</f>
        <v>2</v>
      </c>
      <c r="E3447" s="89" t="s">
        <v>271</v>
      </c>
      <c r="F3447" s="89">
        <f>IF(E3447="AM",1,(IF(E3447="BE",2,(IF(E3447="GV",3,(IF(E3447="RA",4,(IF(E3447="RM",5,(IF(E3447="AC",1,(IF(E3447="AT",2,(IF(E3447="DS",3,(IF(E3447="IP",4,(IF(E3447="MA",5,(IF(E3447="PT",6,(IF(E3447="AE",1,(IF(E3447="CM",2,(IF(E3447="DP",3,(IF(E3447="AN",1,(IF(E3447="CO",2,(IF(E3447="IM",3,(IF(E3447="MI",4,(IF(E3447="RP",5,(IF(E3447="SC",6,0)))))))))))))))))))))))))))))))))))))))</f>
        <v>6</v>
      </c>
      <c r="G3447" s="52">
        <v>4</v>
      </c>
      <c r="H3447" s="90" t="s">
        <v>115</v>
      </c>
      <c r="I3447" s="93" t="s">
        <v>85</v>
      </c>
      <c r="J3447" s="87" t="s">
        <v>1269</v>
      </c>
      <c r="K3447" s="119" t="s">
        <v>1270</v>
      </c>
      <c r="L3447" s="117">
        <f>IF(O3447="","",N3447*O3447*M3447)</f>
        <v>0</v>
      </c>
      <c r="M3447" s="108">
        <v>1</v>
      </c>
      <c r="N3447" s="95">
        <v>1</v>
      </c>
      <c r="O3447" s="109">
        <f>IF(Key!D$1="ON",P3447,IF(SUM(Q3447:DL3447)&lt;1,"",SUM(Q3447:DL3447)/COUNTIF(Q3447:DL3447,"&gt;0")))</f>
        <v>0</v>
      </c>
      <c r="P3447" s="109">
        <f>SUMIFS(Q3447:DK3447,Q$1:DK$1,Dashboard!$K$31)</f>
        <v>0</v>
      </c>
      <c r="U3447" s="95">
        <v>33</v>
      </c>
      <c r="AA3447" s="95">
        <v>25</v>
      </c>
      <c r="AH3447" s="95">
        <v>75</v>
      </c>
    </row>
    <row r="3448" spans="1:34" x14ac:dyDescent="0.3">
      <c r="A3448" s="89" t="str">
        <f>CONCATENATE(D3448,".",F3448,"-",G3448,".",H3448,"")</f>
        <v>2.6-4.1</v>
      </c>
      <c r="B3448" s="89" t="str">
        <f>IF(CONCATENATE(I3448,Key!F$2)=CONCATENATE(INDEX(Dashboard!J:J,MATCH(I3448,Dashboard!J:J,0),1),INDEX(Dashboard!J:K,MATCH(I3448,Dashboard!J:J,0),2)),"ON",IF(Dashboard!K$32="ALL","ON","-"))</f>
        <v>-</v>
      </c>
      <c r="C3448" s="88" t="s">
        <v>152</v>
      </c>
      <c r="D3448" s="89">
        <f>IF(C3448="ID",1,(IF(C3448="PR",2,(IF(C3448="DE",3,(IF(C3448="RS",4,(IF(C3448="RC",5,0)))))))))</f>
        <v>2</v>
      </c>
      <c r="E3448" s="89" t="s">
        <v>271</v>
      </c>
      <c r="F3448" s="89">
        <f>IF(E3448="AM",1,(IF(E3448="BE",2,(IF(E3448="GV",3,(IF(E3448="RA",4,(IF(E3448="RM",5,(IF(E3448="AC",1,(IF(E3448="AT",2,(IF(E3448="DS",3,(IF(E3448="IP",4,(IF(E3448="MA",5,(IF(E3448="PT",6,(IF(E3448="AE",1,(IF(E3448="CM",2,(IF(E3448="DP",3,(IF(E3448="AN",1,(IF(E3448="CO",2,(IF(E3448="IM",3,(IF(E3448="MI",4,(IF(E3448="RP",5,(IF(E3448="SC",6,0)))))))))))))))))))))))))))))))))))))))</f>
        <v>6</v>
      </c>
      <c r="G3448" s="52">
        <v>4</v>
      </c>
      <c r="H3448" s="90" t="s">
        <v>115</v>
      </c>
      <c r="I3448" s="93" t="s">
        <v>85</v>
      </c>
      <c r="J3448" s="87" t="s">
        <v>1800</v>
      </c>
      <c r="K3448" s="119" t="s">
        <v>5077</v>
      </c>
      <c r="L3448" s="117">
        <f>IF(O3448="","",N3448*O3448*M3448)</f>
        <v>0</v>
      </c>
      <c r="M3448" s="108">
        <v>1</v>
      </c>
      <c r="N3448" s="95">
        <v>1</v>
      </c>
      <c r="O3448" s="109">
        <f>IF(Key!D$1="ON",P3448,IF(SUM(Q3448:DL3448)&lt;1,"",SUM(Q3448:DL3448)/COUNTIF(Q3448:DL3448,"&gt;0")))</f>
        <v>0</v>
      </c>
      <c r="P3448" s="109">
        <f>SUMIFS(Q3448:DK3448,Q$1:DK$1,Dashboard!$K$31)</f>
        <v>0</v>
      </c>
      <c r="U3448" s="95">
        <v>33</v>
      </c>
      <c r="AA3448" s="95">
        <v>25</v>
      </c>
      <c r="AH3448" s="95">
        <v>75</v>
      </c>
    </row>
    <row r="3449" spans="1:34" x14ac:dyDescent="0.3">
      <c r="A3449" s="89" t="str">
        <f>CONCATENATE(D3449,".",F3449,"-",G3449,".",H3449,"")</f>
        <v>2.6-4.1</v>
      </c>
      <c r="B3449" s="89" t="str">
        <f>IF(CONCATENATE(I3449,Key!F$2)=CONCATENATE(INDEX(Dashboard!J:J,MATCH(I3449,Dashboard!J:J,0),1),INDEX(Dashboard!J:K,MATCH(I3449,Dashboard!J:J,0),2)),"ON",IF(Dashboard!K$32="ALL","ON","-"))</f>
        <v>-</v>
      </c>
      <c r="C3449" s="88" t="s">
        <v>152</v>
      </c>
      <c r="D3449" s="89">
        <f>IF(C3449="ID",1,(IF(C3449="PR",2,(IF(C3449="DE",3,(IF(C3449="RS",4,(IF(C3449="RC",5,0)))))))))</f>
        <v>2</v>
      </c>
      <c r="E3449" s="89" t="s">
        <v>271</v>
      </c>
      <c r="F3449" s="89">
        <f>IF(E3449="AM",1,(IF(E3449="BE",2,(IF(E3449="GV",3,(IF(E3449="RA",4,(IF(E3449="RM",5,(IF(E3449="AC",1,(IF(E3449="AT",2,(IF(E3449="DS",3,(IF(E3449="IP",4,(IF(E3449="MA",5,(IF(E3449="PT",6,(IF(E3449="AE",1,(IF(E3449="CM",2,(IF(E3449="DP",3,(IF(E3449="AN",1,(IF(E3449="CO",2,(IF(E3449="IM",3,(IF(E3449="MI",4,(IF(E3449="RP",5,(IF(E3449="SC",6,0)))))))))))))))))))))))))))))))))))))))</f>
        <v>6</v>
      </c>
      <c r="G3449" s="52">
        <v>4</v>
      </c>
      <c r="H3449" s="90" t="s">
        <v>115</v>
      </c>
      <c r="I3449" s="93" t="s">
        <v>85</v>
      </c>
      <c r="J3449" s="87" t="s">
        <v>1802</v>
      </c>
      <c r="K3449" s="119" t="s">
        <v>5079</v>
      </c>
      <c r="L3449" s="117">
        <f>IF(O3449="","",N3449*O3449*M3449)</f>
        <v>0</v>
      </c>
      <c r="M3449" s="108">
        <v>1</v>
      </c>
      <c r="N3449" s="95">
        <v>1</v>
      </c>
      <c r="O3449" s="109">
        <f>IF(Key!D$1="ON",P3449,IF(SUM(Q3449:DL3449)&lt;1,"",SUM(Q3449:DL3449)/COUNTIF(Q3449:DL3449,"&gt;0")))</f>
        <v>0</v>
      </c>
      <c r="P3449" s="109">
        <f>SUMIFS(Q3449:DK3449,Q$1:DK$1,Dashboard!$K$31)</f>
        <v>0</v>
      </c>
      <c r="U3449" s="95">
        <v>33</v>
      </c>
      <c r="AA3449" s="95">
        <v>25</v>
      </c>
      <c r="AH3449" s="95">
        <v>75</v>
      </c>
    </row>
    <row r="3450" spans="1:34" x14ac:dyDescent="0.3">
      <c r="A3450" s="89" t="str">
        <f>CONCATENATE(D3450,".",F3450,"-",G3450,".",H3450,"")</f>
        <v>2.6-4.1</v>
      </c>
      <c r="B3450" s="89" t="str">
        <f>IF(CONCATENATE(I3450,Key!F$2)=CONCATENATE(INDEX(Dashboard!J:J,MATCH(I3450,Dashboard!J:J,0),1),INDEX(Dashboard!J:K,MATCH(I3450,Dashboard!J:J,0),2)),"ON",IF(Dashboard!K$32="ALL","ON","-"))</f>
        <v>-</v>
      </c>
      <c r="C3450" s="88" t="s">
        <v>152</v>
      </c>
      <c r="D3450" s="89">
        <f>IF(C3450="ID",1,(IF(C3450="PR",2,(IF(C3450="DE",3,(IF(C3450="RS",4,(IF(C3450="RC",5,0)))))))))</f>
        <v>2</v>
      </c>
      <c r="E3450" s="89" t="s">
        <v>271</v>
      </c>
      <c r="F3450" s="89">
        <f>IF(E3450="AM",1,(IF(E3450="BE",2,(IF(E3450="GV",3,(IF(E3450="RA",4,(IF(E3450="RM",5,(IF(E3450="AC",1,(IF(E3450="AT",2,(IF(E3450="DS",3,(IF(E3450="IP",4,(IF(E3450="MA",5,(IF(E3450="PT",6,(IF(E3450="AE",1,(IF(E3450="CM",2,(IF(E3450="DP",3,(IF(E3450="AN",1,(IF(E3450="CO",2,(IF(E3450="IM",3,(IF(E3450="MI",4,(IF(E3450="RP",5,(IF(E3450="SC",6,0)))))))))))))))))))))))))))))))))))))))</f>
        <v>6</v>
      </c>
      <c r="G3450" s="52">
        <v>4</v>
      </c>
      <c r="H3450" s="90" t="s">
        <v>115</v>
      </c>
      <c r="I3450" s="93" t="s">
        <v>85</v>
      </c>
      <c r="J3450" s="87" t="s">
        <v>1785</v>
      </c>
      <c r="K3450" s="119" t="s">
        <v>4576</v>
      </c>
      <c r="L3450" s="117">
        <f>IF(O3450="","",N3450*O3450*M3450)</f>
        <v>0</v>
      </c>
      <c r="M3450" s="108">
        <v>1</v>
      </c>
      <c r="N3450" s="95">
        <v>1</v>
      </c>
      <c r="O3450" s="109">
        <f>IF(Key!D$1="ON",P3450,IF(SUM(Q3450:DL3450)&lt;1,"",SUM(Q3450:DL3450)/COUNTIF(Q3450:DL3450,"&gt;0")))</f>
        <v>0</v>
      </c>
      <c r="P3450" s="109">
        <f>SUMIFS(Q3450:DK3450,Q$1:DK$1,Dashboard!$K$31)</f>
        <v>0</v>
      </c>
      <c r="U3450" s="95">
        <v>33</v>
      </c>
      <c r="AA3450" s="95">
        <v>25</v>
      </c>
      <c r="AH3450" s="95">
        <v>75</v>
      </c>
    </row>
    <row r="3451" spans="1:34" x14ac:dyDescent="0.3">
      <c r="A3451" s="89" t="str">
        <f>CONCATENATE(D3451,".",F3451,"-",G3451,".",H3451,"")</f>
        <v>2.6-4.1</v>
      </c>
      <c r="B3451" s="89" t="str">
        <f>IF(CONCATENATE(I3451,Key!F$2)=CONCATENATE(INDEX(Dashboard!J:J,MATCH(I3451,Dashboard!J:J,0),1),INDEX(Dashboard!J:K,MATCH(I3451,Dashboard!J:J,0),2)),"ON",IF(Dashboard!K$32="ALL","ON","-"))</f>
        <v>-</v>
      </c>
      <c r="C3451" s="88" t="s">
        <v>152</v>
      </c>
      <c r="D3451" s="89">
        <f>IF(C3451="ID",1,(IF(C3451="PR",2,(IF(C3451="DE",3,(IF(C3451="RS",4,(IF(C3451="RC",5,0)))))))))</f>
        <v>2</v>
      </c>
      <c r="E3451" s="89" t="s">
        <v>271</v>
      </c>
      <c r="F3451" s="89">
        <f>IF(E3451="AM",1,(IF(E3451="BE",2,(IF(E3451="GV",3,(IF(E3451="RA",4,(IF(E3451="RM",5,(IF(E3451="AC",1,(IF(E3451="AT",2,(IF(E3451="DS",3,(IF(E3451="IP",4,(IF(E3451="MA",5,(IF(E3451="PT",6,(IF(E3451="AE",1,(IF(E3451="CM",2,(IF(E3451="DP",3,(IF(E3451="AN",1,(IF(E3451="CO",2,(IF(E3451="IM",3,(IF(E3451="MI",4,(IF(E3451="RP",5,(IF(E3451="SC",6,0)))))))))))))))))))))))))))))))))))))))</f>
        <v>6</v>
      </c>
      <c r="G3451" s="52">
        <v>4</v>
      </c>
      <c r="H3451" s="90" t="s">
        <v>115</v>
      </c>
      <c r="I3451" s="93" t="s">
        <v>85</v>
      </c>
      <c r="J3451" s="87" t="s">
        <v>1787</v>
      </c>
      <c r="K3451" s="119" t="s">
        <v>4544</v>
      </c>
      <c r="L3451" s="117">
        <f>IF(O3451="","",N3451*O3451*M3451)</f>
        <v>0</v>
      </c>
      <c r="M3451" s="108">
        <v>1</v>
      </c>
      <c r="N3451" s="95">
        <v>1</v>
      </c>
      <c r="O3451" s="109">
        <f>IF(Key!D$1="ON",P3451,IF(SUM(Q3451:DL3451)&lt;1,"",SUM(Q3451:DL3451)/COUNTIF(Q3451:DL3451,"&gt;0")))</f>
        <v>0</v>
      </c>
      <c r="P3451" s="109">
        <f>SUMIFS(Q3451:DK3451,Q$1:DK$1,Dashboard!$K$31)</f>
        <v>0</v>
      </c>
      <c r="U3451" s="95">
        <v>33</v>
      </c>
      <c r="AA3451" s="95">
        <v>25</v>
      </c>
      <c r="AH3451" s="95">
        <v>75</v>
      </c>
    </row>
    <row r="3452" spans="1:34" x14ac:dyDescent="0.3">
      <c r="A3452" s="89" t="str">
        <f>CONCATENATE(D3452,".",F3452,"-",G3452,".",H3452,"")</f>
        <v>2.6-4.1</v>
      </c>
      <c r="B3452" s="89" t="str">
        <f>IF(CONCATENATE(I3452,Key!F$2)=CONCATENATE(INDEX(Dashboard!J:J,MATCH(I3452,Dashboard!J:J,0),1),INDEX(Dashboard!J:K,MATCH(I3452,Dashboard!J:J,0),2)),"ON",IF(Dashboard!K$32="ALL","ON","-"))</f>
        <v>-</v>
      </c>
      <c r="C3452" s="88" t="s">
        <v>152</v>
      </c>
      <c r="D3452" s="89">
        <f>IF(C3452="ID",1,(IF(C3452="PR",2,(IF(C3452="DE",3,(IF(C3452="RS",4,(IF(C3452="RC",5,0)))))))))</f>
        <v>2</v>
      </c>
      <c r="E3452" s="89" t="s">
        <v>271</v>
      </c>
      <c r="F3452" s="89">
        <f>IF(E3452="AM",1,(IF(E3452="BE",2,(IF(E3452="GV",3,(IF(E3452="RA",4,(IF(E3452="RM",5,(IF(E3452="AC",1,(IF(E3452="AT",2,(IF(E3452="DS",3,(IF(E3452="IP",4,(IF(E3452="MA",5,(IF(E3452="PT",6,(IF(E3452="AE",1,(IF(E3452="CM",2,(IF(E3452="DP",3,(IF(E3452="AN",1,(IF(E3452="CO",2,(IF(E3452="IM",3,(IF(E3452="MI",4,(IF(E3452="RP",5,(IF(E3452="SC",6,0)))))))))))))))))))))))))))))))))))))))</f>
        <v>6</v>
      </c>
      <c r="G3452" s="52">
        <v>4</v>
      </c>
      <c r="H3452" s="90" t="s">
        <v>115</v>
      </c>
      <c r="I3452" s="93" t="s">
        <v>85</v>
      </c>
      <c r="J3452" s="87" t="s">
        <v>1786</v>
      </c>
      <c r="K3452" s="119" t="s">
        <v>4518</v>
      </c>
      <c r="L3452" s="117">
        <f>IF(O3452="","",N3452*O3452*M3452)</f>
        <v>0</v>
      </c>
      <c r="M3452" s="108">
        <v>1</v>
      </c>
      <c r="N3452" s="95">
        <v>1</v>
      </c>
      <c r="O3452" s="109">
        <f>IF(Key!D$1="ON",P3452,IF(SUM(Q3452:DL3452)&lt;1,"",SUM(Q3452:DL3452)/COUNTIF(Q3452:DL3452,"&gt;0")))</f>
        <v>0</v>
      </c>
      <c r="P3452" s="109">
        <f>SUMIFS(Q3452:DK3452,Q$1:DK$1,Dashboard!$K$31)</f>
        <v>0</v>
      </c>
      <c r="U3452" s="95">
        <v>33</v>
      </c>
      <c r="AA3452" s="95">
        <v>25</v>
      </c>
      <c r="AH3452" s="95">
        <v>75</v>
      </c>
    </row>
    <row r="3453" spans="1:34" x14ac:dyDescent="0.3">
      <c r="A3453" s="89" t="str">
        <f>CONCATENATE(D3453,".",F3453,"-",G3453,".",H3453,"")</f>
        <v>2.6-4.1</v>
      </c>
      <c r="B3453" s="89" t="str">
        <f>IF(CONCATENATE(I3453,Key!F$2)=CONCATENATE(INDEX(Dashboard!J:J,MATCH(I3453,Dashboard!J:J,0),1),INDEX(Dashboard!J:K,MATCH(I3453,Dashboard!J:J,0),2)),"ON",IF(Dashboard!K$32="ALL","ON","-"))</f>
        <v>-</v>
      </c>
      <c r="C3453" s="88" t="s">
        <v>152</v>
      </c>
      <c r="D3453" s="89">
        <f>IF(C3453="ID",1,(IF(C3453="PR",2,(IF(C3453="DE",3,(IF(C3453="RS",4,(IF(C3453="RC",5,0)))))))))</f>
        <v>2</v>
      </c>
      <c r="E3453" s="89" t="s">
        <v>271</v>
      </c>
      <c r="F3453" s="89">
        <f>IF(E3453="AM",1,(IF(E3453="BE",2,(IF(E3453="GV",3,(IF(E3453="RA",4,(IF(E3453="RM",5,(IF(E3453="AC",1,(IF(E3453="AT",2,(IF(E3453="DS",3,(IF(E3453="IP",4,(IF(E3453="MA",5,(IF(E3453="PT",6,(IF(E3453="AE",1,(IF(E3453="CM",2,(IF(E3453="DP",3,(IF(E3453="AN",1,(IF(E3453="CO",2,(IF(E3453="IM",3,(IF(E3453="MI",4,(IF(E3453="RP",5,(IF(E3453="SC",6,0)))))))))))))))))))))))))))))))))))))))</f>
        <v>6</v>
      </c>
      <c r="G3453" s="52">
        <v>4</v>
      </c>
      <c r="H3453" s="90" t="s">
        <v>115</v>
      </c>
      <c r="I3453" s="93" t="s">
        <v>85</v>
      </c>
      <c r="J3453" s="87" t="s">
        <v>1788</v>
      </c>
      <c r="K3453" s="119" t="s">
        <v>4727</v>
      </c>
      <c r="L3453" s="117">
        <f>IF(O3453="","",N3453*O3453*M3453)</f>
        <v>0</v>
      </c>
      <c r="M3453" s="108">
        <v>1</v>
      </c>
      <c r="N3453" s="95">
        <v>1</v>
      </c>
      <c r="O3453" s="109">
        <f>IF(Key!D$1="ON",P3453,IF(SUM(Q3453:DL3453)&lt;1,"",SUM(Q3453:DL3453)/COUNTIF(Q3453:DL3453,"&gt;0")))</f>
        <v>0</v>
      </c>
      <c r="P3453" s="109">
        <f>SUMIFS(Q3453:DK3453,Q$1:DK$1,Dashboard!$K$31)</f>
        <v>0</v>
      </c>
      <c r="U3453" s="95">
        <v>33</v>
      </c>
      <c r="AA3453" s="95">
        <v>25</v>
      </c>
      <c r="AH3453" s="95">
        <v>75</v>
      </c>
    </row>
    <row r="3454" spans="1:34" ht="15.6" x14ac:dyDescent="0.3">
      <c r="A3454" s="89" t="str">
        <f>CONCATENATE(D3454,".",F3454,"-",G3454,".",H3454,"")</f>
        <v>2.6-4.1</v>
      </c>
      <c r="B3454" s="89" t="str">
        <f>IF(CONCATENATE(I3454,Key!F$2)=CONCATENATE(INDEX(Dashboard!J:J,MATCH(I3454,Dashboard!J:J,0),1),INDEX(Dashboard!J:K,MATCH(I3454,Dashboard!J:J,0),2)),"ON",IF(Dashboard!K$32="ALL","ON","-"))</f>
        <v>-</v>
      </c>
      <c r="C3454" s="88" t="s">
        <v>152</v>
      </c>
      <c r="D3454" s="89">
        <f>IF(C3454="ID",1,(IF(C3454="PR",2,(IF(C3454="DE",3,(IF(C3454="RS",4,(IF(C3454="RC",5,0)))))))))</f>
        <v>2</v>
      </c>
      <c r="E3454" s="89" t="s">
        <v>271</v>
      </c>
      <c r="F3454" s="89">
        <f>IF(E3454="AM",1,(IF(E3454="BE",2,(IF(E3454="GV",3,(IF(E3454="RA",4,(IF(E3454="RM",5,(IF(E3454="AC",1,(IF(E3454="AT",2,(IF(E3454="DS",3,(IF(E3454="IP",4,(IF(E3454="MA",5,(IF(E3454="PT",6,(IF(E3454="AE",1,(IF(E3454="CM",2,(IF(E3454="DP",3,(IF(E3454="AN",1,(IF(E3454="CO",2,(IF(E3454="IM",3,(IF(E3454="MI",4,(IF(E3454="RP",5,(IF(E3454="SC",6,0)))))))))))))))))))))))))))))))))))))))</f>
        <v>6</v>
      </c>
      <c r="G3454" s="52">
        <v>4</v>
      </c>
      <c r="H3454" s="90" t="s">
        <v>115</v>
      </c>
      <c r="I3454" s="93" t="s">
        <v>85</v>
      </c>
      <c r="J3454" s="87" t="s">
        <v>1791</v>
      </c>
      <c r="K3454" s="119" t="s">
        <v>4730</v>
      </c>
      <c r="L3454" s="117">
        <f>IF(O3454="","",N3454*O3454*M3454)</f>
        <v>0</v>
      </c>
      <c r="M3454" s="108">
        <v>1</v>
      </c>
      <c r="N3454" s="95">
        <v>1</v>
      </c>
      <c r="O3454" s="109">
        <f>IF(Key!D$1="ON",P3454,IF(SUM(Q3454:DL3454)&lt;1,"",SUM(Q3454:DL3454)/COUNTIF(Q3454:DL3454,"&gt;0")))</f>
        <v>0</v>
      </c>
      <c r="P3454" s="109">
        <f>SUMIFS(Q3454:DK3454,Q$1:DK$1,Dashboard!$K$31)</f>
        <v>0</v>
      </c>
      <c r="U3454" s="95">
        <v>33</v>
      </c>
      <c r="AA3454" s="95">
        <v>25</v>
      </c>
      <c r="AH3454" s="95">
        <v>75</v>
      </c>
    </row>
    <row r="3455" spans="1:34" ht="15.6" x14ac:dyDescent="0.3">
      <c r="A3455" s="89" t="str">
        <f>CONCATENATE(D3455,".",F3455,"-",G3455,".",H3455,"")</f>
        <v>2.6-4.1</v>
      </c>
      <c r="B3455" s="89" t="str">
        <f>IF(CONCATENATE(I3455,Key!F$2)=CONCATENATE(INDEX(Dashboard!J:J,MATCH(I3455,Dashboard!J:J,0),1),INDEX(Dashboard!J:K,MATCH(I3455,Dashboard!J:J,0),2)),"ON",IF(Dashboard!K$32="ALL","ON","-"))</f>
        <v>-</v>
      </c>
      <c r="C3455" s="88" t="s">
        <v>152</v>
      </c>
      <c r="D3455" s="89">
        <f>IF(C3455="ID",1,(IF(C3455="PR",2,(IF(C3455="DE",3,(IF(C3455="RS",4,(IF(C3455="RC",5,0)))))))))</f>
        <v>2</v>
      </c>
      <c r="E3455" s="89" t="s">
        <v>271</v>
      </c>
      <c r="F3455" s="89">
        <f>IF(E3455="AM",1,(IF(E3455="BE",2,(IF(E3455="GV",3,(IF(E3455="RA",4,(IF(E3455="RM",5,(IF(E3455="AC",1,(IF(E3455="AT",2,(IF(E3455="DS",3,(IF(E3455="IP",4,(IF(E3455="MA",5,(IF(E3455="PT",6,(IF(E3455="AE",1,(IF(E3455="CM",2,(IF(E3455="DP",3,(IF(E3455="AN",1,(IF(E3455="CO",2,(IF(E3455="IM",3,(IF(E3455="MI",4,(IF(E3455="RP",5,(IF(E3455="SC",6,0)))))))))))))))))))))))))))))))))))))))</f>
        <v>6</v>
      </c>
      <c r="G3455" s="52">
        <v>4</v>
      </c>
      <c r="H3455" s="90" t="s">
        <v>115</v>
      </c>
      <c r="I3455" s="93" t="s">
        <v>85</v>
      </c>
      <c r="J3455" s="87" t="s">
        <v>1801</v>
      </c>
      <c r="K3455" s="119" t="s">
        <v>5078</v>
      </c>
      <c r="L3455" s="117">
        <f>IF(O3455="","",N3455*O3455*M3455)</f>
        <v>0</v>
      </c>
      <c r="M3455" s="108">
        <v>1</v>
      </c>
      <c r="N3455" s="95">
        <v>1</v>
      </c>
      <c r="O3455" s="109">
        <f>IF(Key!D$1="ON",P3455,IF(SUM(Q3455:DL3455)&lt;1,"",SUM(Q3455:DL3455)/COUNTIF(Q3455:DL3455,"&gt;0")))</f>
        <v>0</v>
      </c>
      <c r="P3455" s="109">
        <f>SUMIFS(Q3455:DK3455,Q$1:DK$1,Dashboard!$K$31)</f>
        <v>0</v>
      </c>
      <c r="U3455" s="95">
        <v>33</v>
      </c>
      <c r="AA3455" s="95">
        <v>25</v>
      </c>
      <c r="AH3455" s="95">
        <v>75</v>
      </c>
    </row>
    <row r="3456" spans="1:34" ht="15.6" x14ac:dyDescent="0.3">
      <c r="A3456" s="89" t="str">
        <f>CONCATENATE(D3456,".",F3456,"-",G3456,".",H3456,"")</f>
        <v>2.6-4.1</v>
      </c>
      <c r="B3456" s="89" t="str">
        <f>IF(CONCATENATE(I3456,Key!F$2)=CONCATENATE(INDEX(Dashboard!J:J,MATCH(I3456,Dashboard!J:J,0),1),INDEX(Dashboard!J:K,MATCH(I3456,Dashboard!J:J,0),2)),"ON",IF(Dashboard!K$32="ALL","ON","-"))</f>
        <v>-</v>
      </c>
      <c r="C3456" s="88" t="s">
        <v>152</v>
      </c>
      <c r="D3456" s="89">
        <f>IF(C3456="ID",1,(IF(C3456="PR",2,(IF(C3456="DE",3,(IF(C3456="RS",4,(IF(C3456="RC",5,0)))))))))</f>
        <v>2</v>
      </c>
      <c r="E3456" s="89" t="s">
        <v>271</v>
      </c>
      <c r="F3456" s="89">
        <f>IF(E3456="AM",1,(IF(E3456="BE",2,(IF(E3456="GV",3,(IF(E3456="RA",4,(IF(E3456="RM",5,(IF(E3456="AC",1,(IF(E3456="AT",2,(IF(E3456="DS",3,(IF(E3456="IP",4,(IF(E3456="MA",5,(IF(E3456="PT",6,(IF(E3456="AE",1,(IF(E3456="CM",2,(IF(E3456="DP",3,(IF(E3456="AN",1,(IF(E3456="CO",2,(IF(E3456="IM",3,(IF(E3456="MI",4,(IF(E3456="RP",5,(IF(E3456="SC",6,0)))))))))))))))))))))))))))))))))))))))</f>
        <v>6</v>
      </c>
      <c r="G3456" s="52">
        <v>4</v>
      </c>
      <c r="H3456" s="90" t="s">
        <v>115</v>
      </c>
      <c r="I3456" s="93" t="s">
        <v>85</v>
      </c>
      <c r="J3456" s="87" t="s">
        <v>1793</v>
      </c>
      <c r="K3456" s="119" t="s">
        <v>5175</v>
      </c>
      <c r="L3456" s="117">
        <f>IF(O3456="","",N3456*O3456*M3456)</f>
        <v>0</v>
      </c>
      <c r="M3456" s="108">
        <v>1</v>
      </c>
      <c r="N3456" s="95">
        <v>1</v>
      </c>
      <c r="O3456" s="109">
        <f>IF(Key!D$1="ON",P3456,IF(SUM(Q3456:DL3456)&lt;1,"",SUM(Q3456:DL3456)/COUNTIF(Q3456:DL3456,"&gt;0")))</f>
        <v>0</v>
      </c>
      <c r="P3456" s="109">
        <f>SUMIFS(Q3456:DK3456,Q$1:DK$1,Dashboard!$K$31)</f>
        <v>0</v>
      </c>
      <c r="U3456" s="95">
        <v>33</v>
      </c>
      <c r="AA3456" s="95">
        <v>25</v>
      </c>
      <c r="AH3456" s="95">
        <v>75</v>
      </c>
    </row>
    <row r="3457" spans="1:34" ht="15.6" x14ac:dyDescent="0.3">
      <c r="A3457" s="89" t="str">
        <f>CONCATENATE(D3457,".",F3457,"-",G3457,".",H3457,"")</f>
        <v>2.6-4.1</v>
      </c>
      <c r="B3457" s="89" t="str">
        <f>IF(CONCATENATE(I3457,Key!F$2)=CONCATENATE(INDEX(Dashboard!J:J,MATCH(I3457,Dashboard!J:J,0),1),INDEX(Dashboard!J:K,MATCH(I3457,Dashboard!J:J,0),2)),"ON",IF(Dashboard!K$32="ALL","ON","-"))</f>
        <v>-</v>
      </c>
      <c r="C3457" s="88" t="s">
        <v>152</v>
      </c>
      <c r="D3457" s="89">
        <f>IF(C3457="ID",1,(IF(C3457="PR",2,(IF(C3457="DE",3,(IF(C3457="RS",4,(IF(C3457="RC",5,0)))))))))</f>
        <v>2</v>
      </c>
      <c r="E3457" s="89" t="s">
        <v>271</v>
      </c>
      <c r="F3457" s="89">
        <f>IF(E3457="AM",1,(IF(E3457="BE",2,(IF(E3457="GV",3,(IF(E3457="RA",4,(IF(E3457="RM",5,(IF(E3457="AC",1,(IF(E3457="AT",2,(IF(E3457="DS",3,(IF(E3457="IP",4,(IF(E3457="MA",5,(IF(E3457="PT",6,(IF(E3457="AE",1,(IF(E3457="CM",2,(IF(E3457="DP",3,(IF(E3457="AN",1,(IF(E3457="CO",2,(IF(E3457="IM",3,(IF(E3457="MI",4,(IF(E3457="RP",5,(IF(E3457="SC",6,0)))))))))))))))))))))))))))))))))))))))</f>
        <v>6</v>
      </c>
      <c r="G3457" s="52">
        <v>4</v>
      </c>
      <c r="H3457" s="90" t="s">
        <v>115</v>
      </c>
      <c r="I3457" s="93" t="s">
        <v>85</v>
      </c>
      <c r="J3457" s="87" t="s">
        <v>1804</v>
      </c>
      <c r="K3457" s="119" t="s">
        <v>1805</v>
      </c>
      <c r="L3457" s="117">
        <f>IF(O3457="","",N3457*O3457*M3457)</f>
        <v>0</v>
      </c>
      <c r="M3457" s="108">
        <v>1</v>
      </c>
      <c r="N3457" s="95">
        <v>1</v>
      </c>
      <c r="O3457" s="109">
        <f>IF(Key!D$1="ON",P3457,IF(SUM(Q3457:DL3457)&lt;1,"",SUM(Q3457:DL3457)/COUNTIF(Q3457:DL3457,"&gt;0")))</f>
        <v>0</v>
      </c>
      <c r="P3457" s="109">
        <f>SUMIFS(Q3457:DK3457,Q$1:DK$1,Dashboard!$K$31)</f>
        <v>0</v>
      </c>
      <c r="U3457" s="95">
        <v>33</v>
      </c>
      <c r="AA3457" s="95">
        <v>25</v>
      </c>
      <c r="AH3457" s="95">
        <v>75</v>
      </c>
    </row>
    <row r="3458" spans="1:34" ht="15.6" x14ac:dyDescent="0.3">
      <c r="A3458" s="89" t="str">
        <f>CONCATENATE(D3458,".",F3458,"-",G3458,".",H3458,"")</f>
        <v>2.6-4.1</v>
      </c>
      <c r="B3458" s="89" t="str">
        <f>IF(CONCATENATE(I3458,Key!F$2)=CONCATENATE(INDEX(Dashboard!J:J,MATCH(I3458,Dashboard!J:J,0),1),INDEX(Dashboard!J:K,MATCH(I3458,Dashboard!J:J,0),2)),"ON",IF(Dashboard!K$32="ALL","ON","-"))</f>
        <v>-</v>
      </c>
      <c r="C3458" s="88" t="s">
        <v>152</v>
      </c>
      <c r="D3458" s="89">
        <f>IF(C3458="ID",1,(IF(C3458="PR",2,(IF(C3458="DE",3,(IF(C3458="RS",4,(IF(C3458="RC",5,0)))))))))</f>
        <v>2</v>
      </c>
      <c r="E3458" s="89" t="s">
        <v>271</v>
      </c>
      <c r="F3458" s="89">
        <f>IF(E3458="AM",1,(IF(E3458="BE",2,(IF(E3458="GV",3,(IF(E3458="RA",4,(IF(E3458="RM",5,(IF(E3458="AC",1,(IF(E3458="AT",2,(IF(E3458="DS",3,(IF(E3458="IP",4,(IF(E3458="MA",5,(IF(E3458="PT",6,(IF(E3458="AE",1,(IF(E3458="CM",2,(IF(E3458="DP",3,(IF(E3458="AN",1,(IF(E3458="CO",2,(IF(E3458="IM",3,(IF(E3458="MI",4,(IF(E3458="RP",5,(IF(E3458="SC",6,0)))))))))))))))))))))))))))))))))))))))</f>
        <v>6</v>
      </c>
      <c r="G3458" s="52">
        <v>4</v>
      </c>
      <c r="H3458" s="90" t="s">
        <v>115</v>
      </c>
      <c r="I3458" s="93" t="s">
        <v>85</v>
      </c>
      <c r="J3458" s="87" t="s">
        <v>1790</v>
      </c>
      <c r="K3458" s="119" t="s">
        <v>4729</v>
      </c>
      <c r="L3458" s="117">
        <f>IF(O3458="","",N3458*O3458*M3458)</f>
        <v>0</v>
      </c>
      <c r="M3458" s="108">
        <v>1</v>
      </c>
      <c r="N3458" s="95">
        <v>1</v>
      </c>
      <c r="O3458" s="109">
        <f>IF(Key!D$1="ON",P3458,IF(SUM(Q3458:DL3458)&lt;1,"",SUM(Q3458:DL3458)/COUNTIF(Q3458:DL3458,"&gt;0")))</f>
        <v>0</v>
      </c>
      <c r="P3458" s="109">
        <f>SUMIFS(Q3458:DK3458,Q$1:DK$1,Dashboard!$K$31)</f>
        <v>0</v>
      </c>
      <c r="U3458" s="95">
        <v>33</v>
      </c>
      <c r="AA3458" s="95">
        <v>25</v>
      </c>
      <c r="AH3458" s="95">
        <v>75</v>
      </c>
    </row>
    <row r="3459" spans="1:34" ht="15.6" x14ac:dyDescent="0.3">
      <c r="A3459" s="89" t="str">
        <f>CONCATENATE(D3459,".",F3459,"-",G3459,".",H3459,"")</f>
        <v>2.6-4.1</v>
      </c>
      <c r="B3459" s="89" t="str">
        <f>IF(CONCATENATE(I3459,Key!F$2)=CONCATENATE(INDEX(Dashboard!J:J,MATCH(I3459,Dashboard!J:J,0),1),INDEX(Dashboard!J:K,MATCH(I3459,Dashboard!J:J,0),2)),"ON",IF(Dashboard!K$32="ALL","ON","-"))</f>
        <v>-</v>
      </c>
      <c r="C3459" s="88" t="s">
        <v>152</v>
      </c>
      <c r="D3459" s="89">
        <f>IF(C3459="ID",1,(IF(C3459="PR",2,(IF(C3459="DE",3,(IF(C3459="RS",4,(IF(C3459="RC",5,0)))))))))</f>
        <v>2</v>
      </c>
      <c r="E3459" s="89" t="s">
        <v>271</v>
      </c>
      <c r="F3459" s="89">
        <f>IF(E3459="AM",1,(IF(E3459="BE",2,(IF(E3459="GV",3,(IF(E3459="RA",4,(IF(E3459="RM",5,(IF(E3459="AC",1,(IF(E3459="AT",2,(IF(E3459="DS",3,(IF(E3459="IP",4,(IF(E3459="MA",5,(IF(E3459="PT",6,(IF(E3459="AE",1,(IF(E3459="CM",2,(IF(E3459="DP",3,(IF(E3459="AN",1,(IF(E3459="CO",2,(IF(E3459="IM",3,(IF(E3459="MI",4,(IF(E3459="RP",5,(IF(E3459="SC",6,0)))))))))))))))))))))))))))))))))))))))</f>
        <v>6</v>
      </c>
      <c r="G3459" s="52">
        <v>4</v>
      </c>
      <c r="H3459" s="90" t="s">
        <v>115</v>
      </c>
      <c r="I3459" s="93" t="s">
        <v>85</v>
      </c>
      <c r="J3459" s="87" t="s">
        <v>1803</v>
      </c>
      <c r="K3459" s="119" t="s">
        <v>5080</v>
      </c>
      <c r="L3459" s="117">
        <f>IF(O3459="","",N3459*O3459*M3459)</f>
        <v>0</v>
      </c>
      <c r="M3459" s="108">
        <v>1</v>
      </c>
      <c r="N3459" s="95">
        <v>1</v>
      </c>
      <c r="O3459" s="109">
        <f>IF(Key!D$1="ON",P3459,IF(SUM(Q3459:DL3459)&lt;1,"",SUM(Q3459:DL3459)/COUNTIF(Q3459:DL3459,"&gt;0")))</f>
        <v>0</v>
      </c>
      <c r="P3459" s="109">
        <f>SUMIFS(Q3459:DK3459,Q$1:DK$1,Dashboard!$K$31)</f>
        <v>0</v>
      </c>
      <c r="U3459" s="95">
        <v>33</v>
      </c>
      <c r="AA3459" s="95">
        <v>25</v>
      </c>
      <c r="AH3459" s="95">
        <v>75</v>
      </c>
    </row>
    <row r="3460" spans="1:34" x14ac:dyDescent="0.3">
      <c r="A3460" s="89" t="str">
        <f>CONCATENATE(D3460,".",F3460,"-",G3460,".",H3460,"")</f>
        <v>2.6-4.1</v>
      </c>
      <c r="B3460" s="89" t="str">
        <f>IF(CONCATENATE(I3460,Key!F$2)=CONCATENATE(INDEX(Dashboard!J:J,MATCH(I3460,Dashboard!J:J,0),1),INDEX(Dashboard!J:K,MATCH(I3460,Dashboard!J:J,0),2)),"ON",IF(Dashboard!K$32="ALL","ON","-"))</f>
        <v>-</v>
      </c>
      <c r="C3460" s="88" t="s">
        <v>152</v>
      </c>
      <c r="D3460" s="89">
        <f>IF(C3460="ID",1,(IF(C3460="PR",2,(IF(C3460="DE",3,(IF(C3460="RS",4,(IF(C3460="RC",5,0)))))))))</f>
        <v>2</v>
      </c>
      <c r="E3460" s="89" t="s">
        <v>271</v>
      </c>
      <c r="F3460" s="89">
        <f>IF(E3460="AM",1,(IF(E3460="BE",2,(IF(E3460="GV",3,(IF(E3460="RA",4,(IF(E3460="RM",5,(IF(E3460="AC",1,(IF(E3460="AT",2,(IF(E3460="DS",3,(IF(E3460="IP",4,(IF(E3460="MA",5,(IF(E3460="PT",6,(IF(E3460="AE",1,(IF(E3460="CM",2,(IF(E3460="DP",3,(IF(E3460="AN",1,(IF(E3460="CO",2,(IF(E3460="IM",3,(IF(E3460="MI",4,(IF(E3460="RP",5,(IF(E3460="SC",6,0)))))))))))))))))))))))))))))))))))))))</f>
        <v>6</v>
      </c>
      <c r="G3460" s="52">
        <v>4</v>
      </c>
      <c r="H3460" s="90" t="s">
        <v>115</v>
      </c>
      <c r="I3460" s="93" t="s">
        <v>85</v>
      </c>
      <c r="J3460" s="87" t="s">
        <v>1789</v>
      </c>
      <c r="K3460" s="119" t="s">
        <v>4728</v>
      </c>
      <c r="L3460" s="117">
        <f>IF(O3460="","",N3460*O3460*M3460)</f>
        <v>0</v>
      </c>
      <c r="M3460" s="108">
        <v>1</v>
      </c>
      <c r="N3460" s="95">
        <v>1</v>
      </c>
      <c r="O3460" s="109">
        <f>IF(Key!D$1="ON",P3460,IF(SUM(Q3460:DL3460)&lt;1,"",SUM(Q3460:DL3460)/COUNTIF(Q3460:DL3460,"&gt;0")))</f>
        <v>0</v>
      </c>
      <c r="P3460" s="109">
        <f>SUMIFS(Q3460:DK3460,Q$1:DK$1,Dashboard!$K$31)</f>
        <v>0</v>
      </c>
      <c r="U3460" s="95">
        <v>33</v>
      </c>
      <c r="AA3460" s="95">
        <v>25</v>
      </c>
      <c r="AH3460" s="95">
        <v>75</v>
      </c>
    </row>
    <row r="3461" spans="1:34" x14ac:dyDescent="0.3">
      <c r="A3461" s="89" t="str">
        <f>CONCATENATE(D3461,".",F3461,"-",G3461,".",H3461,"")</f>
        <v>2.6-4.1</v>
      </c>
      <c r="B3461" s="89" t="str">
        <f>IF(CONCATENATE(I3461,Key!F$2)=CONCATENATE(INDEX(Dashboard!J:J,MATCH(I3461,Dashboard!J:J,0),1),INDEX(Dashboard!J:K,MATCH(I3461,Dashboard!J:J,0),2)),"ON",IF(Dashboard!K$32="ALL","ON","-"))</f>
        <v>-</v>
      </c>
      <c r="C3461" s="88" t="s">
        <v>152</v>
      </c>
      <c r="D3461" s="89">
        <f>IF(C3461="ID",1,(IF(C3461="PR",2,(IF(C3461="DE",3,(IF(C3461="RS",4,(IF(C3461="RC",5,0)))))))))</f>
        <v>2</v>
      </c>
      <c r="E3461" s="89" t="s">
        <v>271</v>
      </c>
      <c r="F3461" s="89">
        <f>IF(E3461="AM",1,(IF(E3461="BE",2,(IF(E3461="GV",3,(IF(E3461="RA",4,(IF(E3461="RM",5,(IF(E3461="AC",1,(IF(E3461="AT",2,(IF(E3461="DS",3,(IF(E3461="IP",4,(IF(E3461="MA",5,(IF(E3461="PT",6,(IF(E3461="AE",1,(IF(E3461="CM",2,(IF(E3461="DP",3,(IF(E3461="AN",1,(IF(E3461="CO",2,(IF(E3461="IM",3,(IF(E3461="MI",4,(IF(E3461="RP",5,(IF(E3461="SC",6,0)))))))))))))))))))))))))))))))))))))))</f>
        <v>6</v>
      </c>
      <c r="G3461" s="52">
        <v>4</v>
      </c>
      <c r="H3461" s="90" t="s">
        <v>115</v>
      </c>
      <c r="I3461" s="93" t="s">
        <v>85</v>
      </c>
      <c r="J3461" s="87" t="s">
        <v>1798</v>
      </c>
      <c r="K3461" s="119" t="s">
        <v>1799</v>
      </c>
      <c r="L3461" s="117">
        <f>IF(O3461="","",N3461*O3461*M3461)</f>
        <v>0</v>
      </c>
      <c r="M3461" s="108">
        <v>1</v>
      </c>
      <c r="N3461" s="95">
        <v>1</v>
      </c>
      <c r="O3461" s="109">
        <f>IF(Key!D$1="ON",P3461,IF(SUM(Q3461:DL3461)&lt;1,"",SUM(Q3461:DL3461)/COUNTIF(Q3461:DL3461,"&gt;0")))</f>
        <v>0</v>
      </c>
      <c r="P3461" s="109">
        <f>SUMIFS(Q3461:DK3461,Q$1:DK$1,Dashboard!$K$31)</f>
        <v>0</v>
      </c>
      <c r="U3461" s="95">
        <v>33</v>
      </c>
      <c r="AA3461" s="95">
        <v>25</v>
      </c>
      <c r="AH3461" s="95">
        <v>75</v>
      </c>
    </row>
    <row r="3462" spans="1:34" x14ac:dyDescent="0.3">
      <c r="A3462" s="89" t="str">
        <f>CONCATENATE(D3462,".",F3462,"-",G3462,".",H3462,"")</f>
        <v>2.6-4.1</v>
      </c>
      <c r="B3462" s="89" t="str">
        <f>IF(CONCATENATE(I3462,Key!F$2)=CONCATENATE(INDEX(Dashboard!J:J,MATCH(I3462,Dashboard!J:J,0),1),INDEX(Dashboard!J:K,MATCH(I3462,Dashboard!J:J,0),2)),"ON",IF(Dashboard!K$32="ALL","ON","-"))</f>
        <v>-</v>
      </c>
      <c r="C3462" s="88" t="s">
        <v>152</v>
      </c>
      <c r="D3462" s="89">
        <f>IF(C3462="ID",1,(IF(C3462="PR",2,(IF(C3462="DE",3,(IF(C3462="RS",4,(IF(C3462="RC",5,0)))))))))</f>
        <v>2</v>
      </c>
      <c r="E3462" s="89" t="s">
        <v>271</v>
      </c>
      <c r="F3462" s="89">
        <f>IF(E3462="AM",1,(IF(E3462="BE",2,(IF(E3462="GV",3,(IF(E3462="RA",4,(IF(E3462="RM",5,(IF(E3462="AC",1,(IF(E3462="AT",2,(IF(E3462="DS",3,(IF(E3462="IP",4,(IF(E3462="MA",5,(IF(E3462="PT",6,(IF(E3462="AE",1,(IF(E3462="CM",2,(IF(E3462="DP",3,(IF(E3462="AN",1,(IF(E3462="CO",2,(IF(E3462="IM",3,(IF(E3462="MI",4,(IF(E3462="RP",5,(IF(E3462="SC",6,0)))))))))))))))))))))))))))))))))))))))</f>
        <v>6</v>
      </c>
      <c r="G3462" s="52">
        <v>4</v>
      </c>
      <c r="H3462" s="90" t="s">
        <v>115</v>
      </c>
      <c r="I3462" s="93" t="s">
        <v>92</v>
      </c>
      <c r="J3462" s="88">
        <v>1.4</v>
      </c>
      <c r="K3462" s="102" t="s">
        <v>5226</v>
      </c>
      <c r="L3462" s="117">
        <f>IF(O3462="","",N3462*O3462*M3462)</f>
        <v>0</v>
      </c>
      <c r="M3462" s="108">
        <v>1</v>
      </c>
      <c r="N3462" s="95">
        <v>1</v>
      </c>
      <c r="O3462" s="109">
        <f>IF(Key!D$1="ON",P3462,IF(SUM(Q3462:DL3462)&lt;1,"",SUM(Q3462:DL3462)/COUNTIF(Q3462:DL3462,"&gt;0")))</f>
        <v>0</v>
      </c>
      <c r="P3462" s="109">
        <f>SUMIFS(Q3462:DK3462,Q$1:DK$1,Dashboard!$K$31)</f>
        <v>0</v>
      </c>
      <c r="U3462" s="95">
        <v>33</v>
      </c>
      <c r="AA3462" s="95">
        <v>25</v>
      </c>
      <c r="AH3462" s="95">
        <v>75</v>
      </c>
    </row>
    <row r="3463" spans="1:34" x14ac:dyDescent="0.3">
      <c r="A3463" s="89" t="str">
        <f>CONCATENATE(D3463,".",F3463,"-",G3463,".",H3463,"")</f>
        <v>2.6-4.1</v>
      </c>
      <c r="B3463" s="89" t="str">
        <f>IF(CONCATENATE(I3463,Key!F$2)=CONCATENATE(INDEX(Dashboard!J:J,MATCH(I3463,Dashboard!J:J,0),1),INDEX(Dashboard!J:K,MATCH(I3463,Dashboard!J:J,0),2)),"ON",IF(Dashboard!K$32="ALL","ON","-"))</f>
        <v>-</v>
      </c>
      <c r="C3463" s="88" t="s">
        <v>152</v>
      </c>
      <c r="D3463" s="89">
        <f>IF(C3463="ID",1,(IF(C3463="PR",2,(IF(C3463="DE",3,(IF(C3463="RS",4,(IF(C3463="RC",5,0)))))))))</f>
        <v>2</v>
      </c>
      <c r="E3463" s="89" t="s">
        <v>271</v>
      </c>
      <c r="F3463" s="89">
        <f>IF(E3463="AM",1,(IF(E3463="BE",2,(IF(E3463="GV",3,(IF(E3463="RA",4,(IF(E3463="RM",5,(IF(E3463="AC",1,(IF(E3463="AT",2,(IF(E3463="DS",3,(IF(E3463="IP",4,(IF(E3463="MA",5,(IF(E3463="PT",6,(IF(E3463="AE",1,(IF(E3463="CM",2,(IF(E3463="DP",3,(IF(E3463="AN",1,(IF(E3463="CO",2,(IF(E3463="IM",3,(IF(E3463="MI",4,(IF(E3463="RP",5,(IF(E3463="SC",6,0)))))))))))))))))))))))))))))))))))))))</f>
        <v>6</v>
      </c>
      <c r="G3463" s="52">
        <v>4</v>
      </c>
      <c r="H3463" s="90" t="s">
        <v>115</v>
      </c>
      <c r="I3463" s="93" t="s">
        <v>92</v>
      </c>
      <c r="J3463" s="88">
        <v>4</v>
      </c>
      <c r="K3463" s="102" t="s">
        <v>5226</v>
      </c>
      <c r="L3463" s="117">
        <f>IF(O3463="","",N3463*O3463*M3463)</f>
        <v>0</v>
      </c>
      <c r="M3463" s="108">
        <v>1</v>
      </c>
      <c r="N3463" s="95">
        <v>1</v>
      </c>
      <c r="O3463" s="109">
        <f>IF(Key!D$1="ON",P3463,IF(SUM(Q3463:DL3463)&lt;1,"",SUM(Q3463:DL3463)/COUNTIF(Q3463:DL3463,"&gt;0")))</f>
        <v>0</v>
      </c>
      <c r="P3463" s="109">
        <f>SUMIFS(Q3463:DK3463,Q$1:DK$1,Dashboard!$K$31)</f>
        <v>0</v>
      </c>
      <c r="U3463" s="95">
        <v>33</v>
      </c>
      <c r="AA3463" s="95">
        <v>25</v>
      </c>
      <c r="AH3463" s="95">
        <v>75</v>
      </c>
    </row>
    <row r="3464" spans="1:34" x14ac:dyDescent="0.3">
      <c r="A3464" s="89" t="str">
        <f>CONCATENATE(D3464,".",F3464,"-",G3464,".",H3464,"")</f>
        <v>2.6-4.1</v>
      </c>
      <c r="B3464" s="89" t="str">
        <f>IF(CONCATENATE(I3464,Key!F$2)=CONCATENATE(INDEX(Dashboard!J:J,MATCH(I3464,Dashboard!J:J,0),1),INDEX(Dashboard!J:K,MATCH(I3464,Dashboard!J:J,0),2)),"ON",IF(Dashboard!K$32="ALL","ON","-"))</f>
        <v>-</v>
      </c>
      <c r="C3464" s="96" t="s">
        <v>152</v>
      </c>
      <c r="D3464" s="89">
        <f>IF(C3464="ID",1,(IF(C3464="PR",2,(IF(C3464="DE",3,(IF(C3464="RS",4,(IF(C3464="RC",5,0)))))))))</f>
        <v>2</v>
      </c>
      <c r="E3464" s="89" t="s">
        <v>271</v>
      </c>
      <c r="F3464" s="89">
        <f>IF(E3464="AM",1,(IF(E3464="BE",2,(IF(E3464="GV",3,(IF(E3464="RA",4,(IF(E3464="RM",5,(IF(E3464="AC",1,(IF(E3464="AT",2,(IF(E3464="DS",3,(IF(E3464="IP",4,(IF(E3464="MA",5,(IF(E3464="PT",6,(IF(E3464="AE",1,(IF(E3464="CM",2,(IF(E3464="DP",3,(IF(E3464="AN",1,(IF(E3464="CO",2,(IF(E3464="IM",3,(IF(E3464="MI",4,(IF(E3464="RP",5,(IF(E3464="SC",6,0)))))))))))))))))))))))))))))))))))))))</f>
        <v>6</v>
      </c>
      <c r="G3464" s="52">
        <v>4</v>
      </c>
      <c r="H3464" s="90" t="s">
        <v>115</v>
      </c>
      <c r="I3464" s="93" t="s">
        <v>92</v>
      </c>
      <c r="J3464" s="87">
        <v>4.0999999999999996</v>
      </c>
      <c r="K3464" s="102" t="s">
        <v>5226</v>
      </c>
      <c r="L3464" s="117">
        <f>IF(O3464="","",N3464*O3464*M3464)</f>
        <v>0</v>
      </c>
      <c r="M3464" s="108">
        <v>1</v>
      </c>
      <c r="N3464" s="95">
        <v>1</v>
      </c>
      <c r="O3464" s="109">
        <f>IF(Key!D$1="ON",P3464,IF(SUM(Q3464:DL3464)&lt;1,"",SUM(Q3464:DL3464)/COUNTIF(Q3464:DL3464,"&gt;0")))</f>
        <v>0</v>
      </c>
      <c r="P3464" s="109">
        <f>SUMIFS(Q3464:DK3464,Q$1:DK$1,Dashboard!$K$31)</f>
        <v>0</v>
      </c>
      <c r="U3464" s="95">
        <v>33</v>
      </c>
      <c r="AA3464" s="95">
        <v>25</v>
      </c>
      <c r="AH3464" s="95">
        <v>75</v>
      </c>
    </row>
    <row r="3465" spans="1:34" x14ac:dyDescent="0.3">
      <c r="A3465" s="89" t="str">
        <f>CONCATENATE(D3465,".",F3465,"-",G3465,".",H3465,"")</f>
        <v>2.6-4.1</v>
      </c>
      <c r="B3465" s="89" t="str">
        <f>IF(CONCATENATE(I3465,Key!F$2)=CONCATENATE(INDEX(Dashboard!J:J,MATCH(I3465,Dashboard!J:J,0),1),INDEX(Dashboard!J:K,MATCH(I3465,Dashboard!J:J,0),2)),"ON",IF(Dashboard!K$32="ALL","ON","-"))</f>
        <v>-</v>
      </c>
      <c r="C3465" s="96" t="s">
        <v>152</v>
      </c>
      <c r="D3465" s="89">
        <f>IF(C3465="ID",1,(IF(C3465="PR",2,(IF(C3465="DE",3,(IF(C3465="RS",4,(IF(C3465="RC",5,0)))))))))</f>
        <v>2</v>
      </c>
      <c r="E3465" s="89" t="s">
        <v>271</v>
      </c>
      <c r="F3465" s="89">
        <f>IF(E3465="AM",1,(IF(E3465="BE",2,(IF(E3465="GV",3,(IF(E3465="RA",4,(IF(E3465="RM",5,(IF(E3465="AC",1,(IF(E3465="AT",2,(IF(E3465="DS",3,(IF(E3465="IP",4,(IF(E3465="MA",5,(IF(E3465="PT",6,(IF(E3465="AE",1,(IF(E3465="CM",2,(IF(E3465="DP",3,(IF(E3465="AN",1,(IF(E3465="CO",2,(IF(E3465="IM",3,(IF(E3465="MI",4,(IF(E3465="RP",5,(IF(E3465="SC",6,0)))))))))))))))))))))))))))))))))))))))</f>
        <v>6</v>
      </c>
      <c r="G3465" s="52">
        <v>4</v>
      </c>
      <c r="H3465" s="90" t="s">
        <v>115</v>
      </c>
      <c r="I3465" s="93" t="s">
        <v>92</v>
      </c>
      <c r="J3465" s="87">
        <v>8.3000000000000007</v>
      </c>
      <c r="K3465" s="102" t="s">
        <v>5226</v>
      </c>
      <c r="L3465" s="117">
        <f>IF(O3465="","",N3465*O3465*M3465)</f>
        <v>0</v>
      </c>
      <c r="M3465" s="108">
        <v>1</v>
      </c>
      <c r="N3465" s="95">
        <v>1</v>
      </c>
      <c r="O3465" s="109">
        <f>IF(Key!D$1="ON",P3465,IF(SUM(Q3465:DL3465)&lt;1,"",SUM(Q3465:DL3465)/COUNTIF(Q3465:DL3465,"&gt;0")))</f>
        <v>0</v>
      </c>
      <c r="P3465" s="109">
        <f>SUMIFS(Q3465:DK3465,Q$1:DK$1,Dashboard!$K$31)</f>
        <v>0</v>
      </c>
      <c r="U3465" s="95">
        <v>33</v>
      </c>
      <c r="AA3465" s="95">
        <v>25</v>
      </c>
      <c r="AH3465" s="95">
        <v>75</v>
      </c>
    </row>
    <row r="3466" spans="1:34" ht="15.6" x14ac:dyDescent="0.3">
      <c r="A3466" s="89" t="str">
        <f>CONCATENATE(D3466,".",F3466,"-",G3466,".",H3466,"")</f>
        <v>2.6-4.1</v>
      </c>
      <c r="B3466" s="89" t="str">
        <f>IF(CONCATENATE(I3466,Key!F$2)=CONCATENATE(INDEX(Dashboard!J:J,MATCH(I3466,Dashboard!J:J,0),1),INDEX(Dashboard!J:K,MATCH(I3466,Dashboard!J:J,0),2)),"ON",IF(Dashboard!K$32="ALL","ON","-"))</f>
        <v>-</v>
      </c>
      <c r="C3466" s="96" t="s">
        <v>152</v>
      </c>
      <c r="D3466" s="89">
        <f>IF(C3466="ID",1,(IF(C3466="PR",2,(IF(C3466="DE",3,(IF(C3466="RS",4,(IF(C3466="RC",5,0)))))))))</f>
        <v>2</v>
      </c>
      <c r="E3466" s="89" t="s">
        <v>271</v>
      </c>
      <c r="F3466" s="89">
        <f>IF(E3466="AM",1,(IF(E3466="BE",2,(IF(E3466="GV",3,(IF(E3466="RA",4,(IF(E3466="RM",5,(IF(E3466="AC",1,(IF(E3466="AT",2,(IF(E3466="DS",3,(IF(E3466="IP",4,(IF(E3466="MA",5,(IF(E3466="PT",6,(IF(E3466="AE",1,(IF(E3466="CM",2,(IF(E3466="DP",3,(IF(E3466="AN",1,(IF(E3466="CO",2,(IF(E3466="IM",3,(IF(E3466="MI",4,(IF(E3466="RP",5,(IF(E3466="SC",6,0)))))))))))))))))))))))))))))))))))))))</f>
        <v>6</v>
      </c>
      <c r="G3466" s="52">
        <v>4</v>
      </c>
      <c r="H3466" s="90" t="s">
        <v>115</v>
      </c>
      <c r="I3466" s="93" t="s">
        <v>92</v>
      </c>
      <c r="J3466" s="88">
        <v>11.1</v>
      </c>
      <c r="K3466" s="102" t="s">
        <v>5226</v>
      </c>
      <c r="L3466" s="117">
        <f>IF(O3466="","",N3466*O3466*M3466)</f>
        <v>0</v>
      </c>
      <c r="M3466" s="108">
        <v>1</v>
      </c>
      <c r="N3466" s="95">
        <v>1</v>
      </c>
      <c r="O3466" s="109">
        <f>IF(Key!D$1="ON",P3466,IF(SUM(Q3466:DL3466)&lt;1,"",SUM(Q3466:DL3466)/COUNTIF(Q3466:DL3466,"&gt;0")))</f>
        <v>0</v>
      </c>
      <c r="P3466" s="109">
        <f>SUMIFS(Q3466:DK3466,Q$1:DK$1,Dashboard!$K$31)</f>
        <v>0</v>
      </c>
      <c r="U3466" s="95">
        <v>33</v>
      </c>
      <c r="AA3466" s="95">
        <v>25</v>
      </c>
      <c r="AH3466" s="95">
        <v>75</v>
      </c>
    </row>
    <row r="3467" spans="1:34" ht="15.6" x14ac:dyDescent="0.3">
      <c r="A3467" s="89" t="str">
        <f>CONCATENATE(D3467,".",F3467,"-",G3467,".",H3467,"")</f>
        <v>2.6-4.1</v>
      </c>
      <c r="B3467" s="89" t="str">
        <f>IF(CONCATENATE(I3467,Key!F$2)=CONCATENATE(INDEX(Dashboard!J:J,MATCH(I3467,Dashboard!J:J,0),1),INDEX(Dashboard!J:K,MATCH(I3467,Dashboard!J:J,0),2)),"ON",IF(Dashboard!K$32="ALL","ON","-"))</f>
        <v>-</v>
      </c>
      <c r="C3467" s="96" t="s">
        <v>152</v>
      </c>
      <c r="D3467" s="89">
        <f>IF(C3467="ID",1,(IF(C3467="PR",2,(IF(C3467="DE",3,(IF(C3467="RS",4,(IF(C3467="RC",5,0)))))))))</f>
        <v>2</v>
      </c>
      <c r="E3467" s="89" t="s">
        <v>271</v>
      </c>
      <c r="F3467" s="89">
        <f>IF(E3467="AM",1,(IF(E3467="BE",2,(IF(E3467="GV",3,(IF(E3467="RA",4,(IF(E3467="RM",5,(IF(E3467="AC",1,(IF(E3467="AT",2,(IF(E3467="DS",3,(IF(E3467="IP",4,(IF(E3467="MA",5,(IF(E3467="PT",6,(IF(E3467="AE",1,(IF(E3467="CM",2,(IF(E3467="DP",3,(IF(E3467="AN",1,(IF(E3467="CO",2,(IF(E3467="IM",3,(IF(E3467="MI",4,(IF(E3467="RP",5,(IF(E3467="SC",6,0)))))))))))))))))))))))))))))))))))))))</f>
        <v>6</v>
      </c>
      <c r="G3467" s="52">
        <v>4</v>
      </c>
      <c r="H3467" s="90" t="s">
        <v>115</v>
      </c>
      <c r="I3467" s="93" t="s">
        <v>92</v>
      </c>
      <c r="J3467" s="88" t="s">
        <v>305</v>
      </c>
      <c r="K3467" s="102" t="s">
        <v>5226</v>
      </c>
      <c r="L3467" s="117">
        <f>IF(O3467="","",N3467*O3467*M3467)</f>
        <v>0</v>
      </c>
      <c r="M3467" s="108">
        <v>1</v>
      </c>
      <c r="N3467" s="95">
        <v>1</v>
      </c>
      <c r="O3467" s="109">
        <f>IF(Key!D$1="ON",P3467,IF(SUM(Q3467:DL3467)&lt;1,"",SUM(Q3467:DL3467)/COUNTIF(Q3467:DL3467,"&gt;0")))</f>
        <v>0</v>
      </c>
      <c r="P3467" s="109">
        <f>SUMIFS(Q3467:DK3467,Q$1:DK$1,Dashboard!$K$31)</f>
        <v>0</v>
      </c>
      <c r="U3467" s="95">
        <v>33</v>
      </c>
      <c r="AA3467" s="95">
        <v>25</v>
      </c>
      <c r="AH3467" s="95">
        <v>75</v>
      </c>
    </row>
    <row r="3468" spans="1:34" x14ac:dyDescent="0.3">
      <c r="A3468" s="89" t="str">
        <f>CONCATENATE(D3468,".",F3468,"-",G3468,".",H3468,"")</f>
        <v>2.6-4.1</v>
      </c>
      <c r="B3468" s="89" t="str">
        <f>IF(CONCATENATE(I3468,Key!F$2)=CONCATENATE(INDEX(Dashboard!J:J,MATCH(I3468,Dashboard!J:J,0),1),INDEX(Dashboard!J:K,MATCH(I3468,Dashboard!J:J,0),2)),"ON",IF(Dashboard!K$32="ALL","ON","-"))</f>
        <v>-</v>
      </c>
      <c r="C3468" s="88" t="s">
        <v>152</v>
      </c>
      <c r="D3468" s="89">
        <f>IF(C3468="ID",1,(IF(C3468="PR",2,(IF(C3468="DE",3,(IF(C3468="RS",4,(IF(C3468="RC",5,0)))))))))</f>
        <v>2</v>
      </c>
      <c r="E3468" s="89" t="s">
        <v>271</v>
      </c>
      <c r="F3468" s="89">
        <f>IF(E3468="AM",1,(IF(E3468="BE",2,(IF(E3468="GV",3,(IF(E3468="RA",4,(IF(E3468="RM",5,(IF(E3468="AC",1,(IF(E3468="AT",2,(IF(E3468="DS",3,(IF(E3468="IP",4,(IF(E3468="MA",5,(IF(E3468="PT",6,(IF(E3468="AE",1,(IF(E3468="CM",2,(IF(E3468="DP",3,(IF(E3468="AN",1,(IF(E3468="CO",2,(IF(E3468="IM",3,(IF(E3468="MI",4,(IF(E3468="RP",5,(IF(E3468="SC",6,0)))))))))))))))))))))))))))))))))))))))</f>
        <v>6</v>
      </c>
      <c r="G3468" s="52">
        <v>4</v>
      </c>
      <c r="H3468" s="90" t="s">
        <v>115</v>
      </c>
      <c r="I3468" s="93" t="s">
        <v>92</v>
      </c>
      <c r="J3468" s="88" t="s">
        <v>306</v>
      </c>
      <c r="K3468" s="102" t="s">
        <v>5226</v>
      </c>
      <c r="L3468" s="117">
        <f>IF(O3468="","",N3468*O3468*M3468)</f>
        <v>0</v>
      </c>
      <c r="M3468" s="108">
        <v>1</v>
      </c>
      <c r="N3468" s="95">
        <v>1</v>
      </c>
      <c r="O3468" s="109">
        <f>IF(Key!D$1="ON",P3468,IF(SUM(Q3468:DL3468)&lt;1,"",SUM(Q3468:DL3468)/COUNTIF(Q3468:DL3468,"&gt;0")))</f>
        <v>0</v>
      </c>
      <c r="P3468" s="109">
        <f>SUMIFS(Q3468:DK3468,Q$1:DK$1,Dashboard!$K$31)</f>
        <v>0</v>
      </c>
      <c r="U3468" s="95">
        <v>33</v>
      </c>
      <c r="AA3468" s="95">
        <v>25</v>
      </c>
      <c r="AH3468" s="95">
        <v>75</v>
      </c>
    </row>
    <row r="3469" spans="1:34" x14ac:dyDescent="0.3">
      <c r="A3469" s="89" t="str">
        <f>CONCATENATE(D3469,".",F3469,"-",G3469,".",H3469,"")</f>
        <v>2.6-4.1</v>
      </c>
      <c r="B3469" s="89" t="str">
        <f>IF(CONCATENATE(I3469,Key!F$2)=CONCATENATE(INDEX(Dashboard!J:J,MATCH(I3469,Dashboard!J:J,0),1),INDEX(Dashboard!J:K,MATCH(I3469,Dashboard!J:J,0),2)),"ON",IF(Dashboard!K$32="ALL","ON","-"))</f>
        <v>-</v>
      </c>
      <c r="C3469" s="96" t="s">
        <v>152</v>
      </c>
      <c r="D3469" s="89">
        <f>IF(C3469="ID",1,(IF(C3469="PR",2,(IF(C3469="DE",3,(IF(C3469="RS",4,(IF(C3469="RC",5,0)))))))))</f>
        <v>2</v>
      </c>
      <c r="E3469" s="89" t="s">
        <v>271</v>
      </c>
      <c r="F3469" s="89">
        <f>IF(E3469="AM",1,(IF(E3469="BE",2,(IF(E3469="GV",3,(IF(E3469="RA",4,(IF(E3469="RM",5,(IF(E3469="AC",1,(IF(E3469="AT",2,(IF(E3469="DS",3,(IF(E3469="IP",4,(IF(E3469="MA",5,(IF(E3469="PT",6,(IF(E3469="AE",1,(IF(E3469="CM",2,(IF(E3469="DP",3,(IF(E3469="AN",1,(IF(E3469="CO",2,(IF(E3469="IM",3,(IF(E3469="MI",4,(IF(E3469="RP",5,(IF(E3469="SC",6,0)))))))))))))))))))))))))))))))))))))))</f>
        <v>6</v>
      </c>
      <c r="G3469" s="52">
        <v>4</v>
      </c>
      <c r="H3469" s="90" t="s">
        <v>115</v>
      </c>
      <c r="I3469" s="93" t="s">
        <v>92</v>
      </c>
      <c r="J3469" s="88" t="s">
        <v>194</v>
      </c>
      <c r="K3469" s="102" t="s">
        <v>5226</v>
      </c>
      <c r="L3469" s="117">
        <f>IF(O3469="","",N3469*O3469*M3469)</f>
        <v>0</v>
      </c>
      <c r="M3469" s="108">
        <v>1</v>
      </c>
      <c r="N3469" s="95">
        <v>1</v>
      </c>
      <c r="O3469" s="109">
        <f>IF(Key!D$1="ON",P3469,IF(SUM(Q3469:DL3469)&lt;1,"",SUM(Q3469:DL3469)/COUNTIF(Q3469:DL3469,"&gt;0")))</f>
        <v>0</v>
      </c>
      <c r="P3469" s="109">
        <f>SUMIFS(Q3469:DK3469,Q$1:DK$1,Dashboard!$K$31)</f>
        <v>0</v>
      </c>
      <c r="U3469" s="95">
        <v>33</v>
      </c>
      <c r="AA3469" s="95">
        <v>25</v>
      </c>
      <c r="AH3469" s="95">
        <v>75</v>
      </c>
    </row>
    <row r="3470" spans="1:34" x14ac:dyDescent="0.3">
      <c r="A3470" s="89" t="str">
        <f>CONCATENATE(D3470,".",F3470,"-",G3470,".",H3470,"")</f>
        <v>2.6-4.1</v>
      </c>
      <c r="B3470" s="89" t="str">
        <f>IF(CONCATENATE(I3470,Key!F$2)=CONCATENATE(INDEX(Dashboard!J:J,MATCH(I3470,Dashboard!J:J,0),1),INDEX(Dashboard!J:K,MATCH(I3470,Dashboard!J:J,0),2)),"ON",IF(Dashboard!K$32="ALL","ON","-"))</f>
        <v>-</v>
      </c>
      <c r="C3470" s="96" t="s">
        <v>152</v>
      </c>
      <c r="D3470" s="89">
        <f>IF(C3470="ID",1,(IF(C3470="PR",2,(IF(C3470="DE",3,(IF(C3470="RS",4,(IF(C3470="RC",5,0)))))))))</f>
        <v>2</v>
      </c>
      <c r="E3470" s="89" t="s">
        <v>271</v>
      </c>
      <c r="F3470" s="89">
        <f>IF(E3470="AM",1,(IF(E3470="BE",2,(IF(E3470="GV",3,(IF(E3470="RA",4,(IF(E3470="RM",5,(IF(E3470="AC",1,(IF(E3470="AT",2,(IF(E3470="DS",3,(IF(E3470="IP",4,(IF(E3470="MA",5,(IF(E3470="PT",6,(IF(E3470="AE",1,(IF(E3470="CM",2,(IF(E3470="DP",3,(IF(E3470="AN",1,(IF(E3470="CO",2,(IF(E3470="IM",3,(IF(E3470="MI",4,(IF(E3470="RP",5,(IF(E3470="SC",6,0)))))))))))))))))))))))))))))))))))))))</f>
        <v>6</v>
      </c>
      <c r="G3470" s="52">
        <v>4</v>
      </c>
      <c r="H3470" s="90" t="s">
        <v>115</v>
      </c>
      <c r="I3470" s="93" t="s">
        <v>92</v>
      </c>
      <c r="J3470" s="88" t="s">
        <v>195</v>
      </c>
      <c r="K3470" s="102" t="s">
        <v>5226</v>
      </c>
      <c r="L3470" s="117">
        <f>IF(O3470="","",N3470*O3470*M3470)</f>
        <v>0</v>
      </c>
      <c r="M3470" s="108">
        <v>1</v>
      </c>
      <c r="N3470" s="95">
        <v>1</v>
      </c>
      <c r="O3470" s="109">
        <f>IF(Key!D$1="ON",P3470,IF(SUM(Q3470:DL3470)&lt;1,"",SUM(Q3470:DL3470)/COUNTIF(Q3470:DL3470,"&gt;0")))</f>
        <v>0</v>
      </c>
      <c r="P3470" s="109">
        <f>SUMIFS(Q3470:DK3470,Q$1:DK$1,Dashboard!$K$31)</f>
        <v>0</v>
      </c>
      <c r="U3470" s="95">
        <v>33</v>
      </c>
      <c r="AA3470" s="95">
        <v>25</v>
      </c>
      <c r="AH3470" s="95">
        <v>75</v>
      </c>
    </row>
    <row r="3471" spans="1:34" ht="15.6" x14ac:dyDescent="0.3">
      <c r="A3471" s="89" t="str">
        <f>CONCATENATE(D3471,".",F3471,"-",G3471,".",H3471,"")</f>
        <v>2.6-4.1</v>
      </c>
      <c r="B3471" s="89" t="str">
        <f>IF(CONCATENATE(I3471,Key!F$2)=CONCATENATE(INDEX(Dashboard!J:J,MATCH(I3471,Dashboard!J:J,0),1),INDEX(Dashboard!J:K,MATCH(I3471,Dashboard!J:J,0),2)),"ON",IF(Dashboard!K$32="ALL","ON","-"))</f>
        <v>-</v>
      </c>
      <c r="C3471" s="96" t="s">
        <v>152</v>
      </c>
      <c r="D3471" s="89">
        <f>IF(C3471="ID",1,(IF(C3471="PR",2,(IF(C3471="DE",3,(IF(C3471="RS",4,(IF(C3471="RC",5,0)))))))))</f>
        <v>2</v>
      </c>
      <c r="E3471" s="89" t="s">
        <v>271</v>
      </c>
      <c r="F3471" s="89">
        <f>IF(E3471="AM",1,(IF(E3471="BE",2,(IF(E3471="GV",3,(IF(E3471="RA",4,(IF(E3471="RM",5,(IF(E3471="AC",1,(IF(E3471="AT",2,(IF(E3471="DS",3,(IF(E3471="IP",4,(IF(E3471="MA",5,(IF(E3471="PT",6,(IF(E3471="AE",1,(IF(E3471="CM",2,(IF(E3471="DP",3,(IF(E3471="AN",1,(IF(E3471="CO",2,(IF(E3471="IM",3,(IF(E3471="MI",4,(IF(E3471="RP",5,(IF(E3471="SC",6,0)))))))))))))))))))))))))))))))))))))))</f>
        <v>6</v>
      </c>
      <c r="G3471" s="52">
        <v>4</v>
      </c>
      <c r="H3471" s="90" t="s">
        <v>115</v>
      </c>
      <c r="I3471" s="93" t="s">
        <v>92</v>
      </c>
      <c r="J3471" s="88" t="s">
        <v>196</v>
      </c>
      <c r="K3471" s="102" t="s">
        <v>5226</v>
      </c>
      <c r="L3471" s="117">
        <f>IF(O3471="","",N3471*O3471*M3471)</f>
        <v>0</v>
      </c>
      <c r="M3471" s="108">
        <v>1</v>
      </c>
      <c r="N3471" s="95">
        <v>1</v>
      </c>
      <c r="O3471" s="109">
        <f>IF(Key!D$1="ON",P3471,IF(SUM(Q3471:DL3471)&lt;1,"",SUM(Q3471:DL3471)/COUNTIF(Q3471:DL3471,"&gt;0")))</f>
        <v>0</v>
      </c>
      <c r="P3471" s="109">
        <f>SUMIFS(Q3471:DK3471,Q$1:DK$1,Dashboard!$K$31)</f>
        <v>0</v>
      </c>
      <c r="U3471" s="95">
        <v>33</v>
      </c>
      <c r="AA3471" s="95">
        <v>25</v>
      </c>
      <c r="AH3471" s="95">
        <v>75</v>
      </c>
    </row>
    <row r="3472" spans="1:34" x14ac:dyDescent="0.3">
      <c r="A3472" s="89" t="str">
        <f>CONCATENATE(D3472,".",F3472,"-",G3472,".",H3472,"")</f>
        <v>2.6-4.1</v>
      </c>
      <c r="B3472" s="89" t="str">
        <f>IF(CONCATENATE(I3472,Key!F$2)=CONCATENATE(INDEX(Dashboard!J:J,MATCH(I3472,Dashboard!J:J,0),1),INDEX(Dashboard!J:K,MATCH(I3472,Dashboard!J:J,0),2)),"ON",IF(Dashboard!K$32="ALL","ON","-"))</f>
        <v>-</v>
      </c>
      <c r="C3472" s="96" t="s">
        <v>152</v>
      </c>
      <c r="D3472" s="89">
        <f>IF(C3472="ID",1,(IF(C3472="PR",2,(IF(C3472="DE",3,(IF(C3472="RS",4,(IF(C3472="RC",5,0)))))))))</f>
        <v>2</v>
      </c>
      <c r="E3472" s="89" t="s">
        <v>271</v>
      </c>
      <c r="F3472" s="89">
        <f>IF(E3472="AM",1,(IF(E3472="BE",2,(IF(E3472="GV",3,(IF(E3472="RA",4,(IF(E3472="RM",5,(IF(E3472="AC",1,(IF(E3472="AT",2,(IF(E3472="DS",3,(IF(E3472="IP",4,(IF(E3472="MA",5,(IF(E3472="PT",6,(IF(E3472="AE",1,(IF(E3472="CM",2,(IF(E3472="DP",3,(IF(E3472="AN",1,(IF(E3472="CO",2,(IF(E3472="IM",3,(IF(E3472="MI",4,(IF(E3472="RP",5,(IF(E3472="SC",6,0)))))))))))))))))))))))))))))))))))))))</f>
        <v>6</v>
      </c>
      <c r="G3472" s="52">
        <v>4</v>
      </c>
      <c r="H3472" s="90" t="s">
        <v>115</v>
      </c>
      <c r="I3472" s="93" t="s">
        <v>92</v>
      </c>
      <c r="J3472" s="88" t="s">
        <v>307</v>
      </c>
      <c r="K3472" s="102" t="s">
        <v>5226</v>
      </c>
      <c r="L3472" s="117">
        <f>IF(O3472="","",N3472*O3472*M3472)</f>
        <v>0</v>
      </c>
      <c r="M3472" s="108">
        <v>1</v>
      </c>
      <c r="N3472" s="95">
        <v>1</v>
      </c>
      <c r="O3472" s="109">
        <f>IF(Key!D$1="ON",P3472,IF(SUM(Q3472:DL3472)&lt;1,"",SUM(Q3472:DL3472)/COUNTIF(Q3472:DL3472,"&gt;0")))</f>
        <v>0</v>
      </c>
      <c r="P3472" s="109">
        <f>SUMIFS(Q3472:DK3472,Q$1:DK$1,Dashboard!$K$31)</f>
        <v>0</v>
      </c>
      <c r="U3472" s="95">
        <v>33</v>
      </c>
      <c r="AA3472" s="95">
        <v>25</v>
      </c>
      <c r="AH3472" s="95">
        <v>75</v>
      </c>
    </row>
    <row r="3473" spans="1:34" x14ac:dyDescent="0.3">
      <c r="A3473" s="89" t="str">
        <f>CONCATENATE(D3473,".",F3473,"-",G3473,".",H3473,"")</f>
        <v>2.6-4.1</v>
      </c>
      <c r="B3473" s="89" t="str">
        <f>IF(CONCATENATE(I3473,Key!F$2)=CONCATENATE(INDEX(Dashboard!J:J,MATCH(I3473,Dashboard!J:J,0),1),INDEX(Dashboard!J:K,MATCH(I3473,Dashboard!J:J,0),2)),"ON",IF(Dashboard!K$32="ALL","ON","-"))</f>
        <v>-</v>
      </c>
      <c r="C3473" s="88" t="s">
        <v>152</v>
      </c>
      <c r="D3473" s="89">
        <f>IF(C3473="ID",1,(IF(C3473="PR",2,(IF(C3473="DE",3,(IF(C3473="RS",4,(IF(C3473="RC",5,0)))))))))</f>
        <v>2</v>
      </c>
      <c r="E3473" s="89" t="s">
        <v>271</v>
      </c>
      <c r="F3473" s="89">
        <f>IF(E3473="AM",1,(IF(E3473="BE",2,(IF(E3473="GV",3,(IF(E3473="RA",4,(IF(E3473="RM",5,(IF(E3473="AC",1,(IF(E3473="AT",2,(IF(E3473="DS",3,(IF(E3473="IP",4,(IF(E3473="MA",5,(IF(E3473="PT",6,(IF(E3473="AE",1,(IF(E3473="CM",2,(IF(E3473="DP",3,(IF(E3473="AN",1,(IF(E3473="CO",2,(IF(E3473="IM",3,(IF(E3473="MI",4,(IF(E3473="RP",5,(IF(E3473="SC",6,0)))))))))))))))))))))))))))))))))))))))</f>
        <v>6</v>
      </c>
      <c r="G3473" s="52">
        <v>4</v>
      </c>
      <c r="H3473" s="90" t="s">
        <v>115</v>
      </c>
      <c r="I3473" s="93" t="s">
        <v>92</v>
      </c>
      <c r="J3473" s="88" t="s">
        <v>308</v>
      </c>
      <c r="K3473" s="102" t="s">
        <v>5226</v>
      </c>
      <c r="L3473" s="117">
        <f>IF(O3473="","",N3473*O3473*M3473)</f>
        <v>0</v>
      </c>
      <c r="M3473" s="108">
        <v>1</v>
      </c>
      <c r="N3473" s="95">
        <v>1</v>
      </c>
      <c r="O3473" s="109">
        <f>IF(Key!D$1="ON",P3473,IF(SUM(Q3473:DL3473)&lt;1,"",SUM(Q3473:DL3473)/COUNTIF(Q3473:DL3473,"&gt;0")))</f>
        <v>0</v>
      </c>
      <c r="P3473" s="109">
        <f>SUMIFS(Q3473:DK3473,Q$1:DK$1,Dashboard!$K$31)</f>
        <v>0</v>
      </c>
      <c r="U3473" s="95">
        <v>33</v>
      </c>
      <c r="AA3473" s="95">
        <v>25</v>
      </c>
      <c r="AH3473" s="95">
        <v>75</v>
      </c>
    </row>
    <row r="3474" spans="1:34" x14ac:dyDescent="0.3">
      <c r="A3474" s="89" t="str">
        <f>CONCATENATE(D3474,".",F3474,"-",G3474,".",H3474,"")</f>
        <v>2.6-4.1</v>
      </c>
      <c r="B3474" s="89" t="str">
        <f>IF(CONCATENATE(I3474,Key!F$2)=CONCATENATE(INDEX(Dashboard!J:J,MATCH(I3474,Dashboard!J:J,0),1),INDEX(Dashboard!J:K,MATCH(I3474,Dashboard!J:J,0),2)),"ON",IF(Dashboard!K$32="ALL","ON","-"))</f>
        <v>-</v>
      </c>
      <c r="C3474" s="88" t="s">
        <v>152</v>
      </c>
      <c r="D3474" s="89">
        <f>IF(C3474="ID",1,(IF(C3474="PR",2,(IF(C3474="DE",3,(IF(C3474="RS",4,(IF(C3474="RC",5,0)))))))))</f>
        <v>2</v>
      </c>
      <c r="E3474" s="89" t="s">
        <v>271</v>
      </c>
      <c r="F3474" s="89">
        <f>IF(E3474="AM",1,(IF(E3474="BE",2,(IF(E3474="GV",3,(IF(E3474="RA",4,(IF(E3474="RM",5,(IF(E3474="AC",1,(IF(E3474="AT",2,(IF(E3474="DS",3,(IF(E3474="IP",4,(IF(E3474="MA",5,(IF(E3474="PT",6,(IF(E3474="AE",1,(IF(E3474="CM",2,(IF(E3474="DP",3,(IF(E3474="AN",1,(IF(E3474="CO",2,(IF(E3474="IM",3,(IF(E3474="MI",4,(IF(E3474="RP",5,(IF(E3474="SC",6,0)))))))))))))))))))))))))))))))))))))))</f>
        <v>6</v>
      </c>
      <c r="G3474" s="52">
        <v>4</v>
      </c>
      <c r="H3474" s="90" t="s">
        <v>115</v>
      </c>
      <c r="I3474" s="93" t="s">
        <v>92</v>
      </c>
      <c r="J3474" s="88" t="s">
        <v>309</v>
      </c>
      <c r="K3474" s="102" t="s">
        <v>5226</v>
      </c>
      <c r="L3474" s="117">
        <f>IF(O3474="","",N3474*O3474*M3474)</f>
        <v>0</v>
      </c>
      <c r="M3474" s="108">
        <v>1</v>
      </c>
      <c r="N3474" s="95">
        <v>1</v>
      </c>
      <c r="O3474" s="109">
        <f>IF(Key!D$1="ON",P3474,IF(SUM(Q3474:DL3474)&lt;1,"",SUM(Q3474:DL3474)/COUNTIF(Q3474:DL3474,"&gt;0")))</f>
        <v>0</v>
      </c>
      <c r="P3474" s="109">
        <f>SUMIFS(Q3474:DK3474,Q$1:DK$1,Dashboard!$K$31)</f>
        <v>0</v>
      </c>
      <c r="U3474" s="95">
        <v>33</v>
      </c>
      <c r="AA3474" s="95">
        <v>25</v>
      </c>
      <c r="AH3474" s="95">
        <v>75</v>
      </c>
    </row>
    <row r="3475" spans="1:34" ht="15.6" x14ac:dyDescent="0.3">
      <c r="A3475" s="89" t="str">
        <f>CONCATENATE(D3475,".",F3475,"-",G3475,".",H3475,"")</f>
        <v>2.6-4.10</v>
      </c>
      <c r="B3475" s="89" t="str">
        <f>IF(CONCATENATE(I3475,Key!F$2)=CONCATENATE(INDEX(Dashboard!J:J,MATCH(I3475,Dashboard!J:J,0),1),INDEX(Dashboard!J:K,MATCH(I3475,Dashboard!J:J,0),2)),"ON",IF(Dashboard!K$32="ALL","ON","-"))</f>
        <v>-</v>
      </c>
      <c r="C3475" s="88" t="s">
        <v>152</v>
      </c>
      <c r="D3475" s="89">
        <f>IF(C3475="ID",1,(IF(C3475="PR",2,(IF(C3475="DE",3,(IF(C3475="RS",4,(IF(C3475="RC",5,0)))))))))</f>
        <v>2</v>
      </c>
      <c r="E3475" s="89" t="s">
        <v>271</v>
      </c>
      <c r="F3475" s="89">
        <f>IF(E3475="AM",1,(IF(E3475="BE",2,(IF(E3475="GV",3,(IF(E3475="RA",4,(IF(E3475="RM",5,(IF(E3475="AC",1,(IF(E3475="AT",2,(IF(E3475="DS",3,(IF(E3475="IP",4,(IF(E3475="MA",5,(IF(E3475="PT",6,(IF(E3475="AE",1,(IF(E3475="CM",2,(IF(E3475="DP",3,(IF(E3475="AN",1,(IF(E3475="CO",2,(IF(E3475="IM",3,(IF(E3475="MI",4,(IF(E3475="RP",5,(IF(E3475="SC",6,0)))))))))))))))))))))))))))))))))))))))</f>
        <v>6</v>
      </c>
      <c r="G3475" s="52">
        <v>4</v>
      </c>
      <c r="H3475" s="90" t="s">
        <v>3117</v>
      </c>
      <c r="I3475" s="93" t="s">
        <v>64</v>
      </c>
      <c r="J3475" s="86" t="s">
        <v>1779</v>
      </c>
      <c r="K3475" s="103" t="s">
        <v>2698</v>
      </c>
      <c r="L3475" s="117">
        <f>IF(O3475="","",N3475*O3475*M3475)</f>
        <v>0</v>
      </c>
      <c r="M3475" s="108">
        <v>1</v>
      </c>
      <c r="N3475" s="95">
        <v>1</v>
      </c>
      <c r="O3475" s="109">
        <f>IF(Key!D$1="ON",P3475,IF(SUM(Q3475:DL3475)&lt;1,"",SUM(Q3475:DL3475)/COUNTIF(Q3475:DL3475,"&gt;0")))</f>
        <v>0</v>
      </c>
      <c r="P3475" s="109">
        <f>SUMIFS(Q3475:DK3475,Q$1:DK$1,Dashboard!$K$31)</f>
        <v>0</v>
      </c>
      <c r="U3475" s="95">
        <v>33</v>
      </c>
      <c r="AA3475" s="95">
        <v>25</v>
      </c>
      <c r="AH3475" s="95">
        <v>75</v>
      </c>
    </row>
    <row r="3476" spans="1:34" ht="15.6" x14ac:dyDescent="0.3">
      <c r="A3476" s="89" t="str">
        <f>CONCATENATE(D3476,".",F3476,"-",G3476,".",H3476,"")</f>
        <v>2.6-4.5</v>
      </c>
      <c r="B3476" s="89" t="str">
        <f>IF(CONCATENATE(I3476,Key!F$2)=CONCATENATE(INDEX(Dashboard!J:J,MATCH(I3476,Dashboard!J:J,0),1),INDEX(Dashboard!J:K,MATCH(I3476,Dashboard!J:J,0),2)),"ON",IF(Dashboard!K$32="ALL","ON","-"))</f>
        <v>-</v>
      </c>
      <c r="C3476" s="88" t="s">
        <v>152</v>
      </c>
      <c r="D3476" s="89">
        <f>IF(C3476="ID",1,(IF(C3476="PR",2,(IF(C3476="DE",3,(IF(C3476="RS",4,(IF(C3476="RC",5,0)))))))))</f>
        <v>2</v>
      </c>
      <c r="E3476" s="89" t="s">
        <v>271</v>
      </c>
      <c r="F3476" s="89">
        <f>IF(E3476="AM",1,(IF(E3476="BE",2,(IF(E3476="GV",3,(IF(E3476="RA",4,(IF(E3476="RM",5,(IF(E3476="AC",1,(IF(E3476="AT",2,(IF(E3476="DS",3,(IF(E3476="IP",4,(IF(E3476="MA",5,(IF(E3476="PT",6,(IF(E3476="AE",1,(IF(E3476="CM",2,(IF(E3476="DP",3,(IF(E3476="AN",1,(IF(E3476="CO",2,(IF(E3476="IM",3,(IF(E3476="MI",4,(IF(E3476="RP",5,(IF(E3476="SC",6,0)))))))))))))))))))))))))))))))))))))))</f>
        <v>6</v>
      </c>
      <c r="G3476" s="52">
        <v>4</v>
      </c>
      <c r="H3476" s="90" t="s">
        <v>123</v>
      </c>
      <c r="I3476" s="93" t="s">
        <v>77</v>
      </c>
      <c r="J3476" s="87" t="s">
        <v>1797</v>
      </c>
      <c r="K3476" s="102" t="s">
        <v>2714</v>
      </c>
      <c r="L3476" s="117">
        <f>IF(O3476="","",N3476*O3476*M3476)</f>
        <v>0</v>
      </c>
      <c r="M3476" s="108">
        <v>1</v>
      </c>
      <c r="N3476" s="95">
        <v>1</v>
      </c>
      <c r="O3476" s="109">
        <f>IF(Key!D$1="ON",P3476,IF(SUM(Q3476:DL3476)&lt;1,"",SUM(Q3476:DL3476)/COUNTIF(Q3476:DL3476,"&gt;0")))</f>
        <v>0</v>
      </c>
      <c r="P3476" s="109">
        <f>SUMIFS(Q3476:DK3476,Q$1:DK$1,Dashboard!$K$31)</f>
        <v>0</v>
      </c>
      <c r="U3476" s="95">
        <v>33</v>
      </c>
      <c r="AA3476" s="95">
        <v>25</v>
      </c>
      <c r="AH3476" s="95">
        <v>75</v>
      </c>
    </row>
    <row r="3477" spans="1:34" ht="15.6" x14ac:dyDescent="0.3">
      <c r="A3477" s="89" t="str">
        <f>CONCATENATE(D3477,".",F3477,"-",G3477,".",H3477,"")</f>
        <v>2.6-4.5</v>
      </c>
      <c r="B3477" s="89" t="str">
        <f>IF(CONCATENATE(I3477,Key!F$2)=CONCATENATE(INDEX(Dashboard!J:J,MATCH(I3477,Dashboard!J:J,0),1),INDEX(Dashboard!J:K,MATCH(I3477,Dashboard!J:J,0),2)),"ON",IF(Dashboard!K$32="ALL","ON","-"))</f>
        <v>-</v>
      </c>
      <c r="C3477" s="88" t="s">
        <v>152</v>
      </c>
      <c r="D3477" s="89">
        <f>IF(C3477="ID",1,(IF(C3477="PR",2,(IF(C3477="DE",3,(IF(C3477="RS",4,(IF(C3477="RC",5,0)))))))))</f>
        <v>2</v>
      </c>
      <c r="E3477" s="89" t="s">
        <v>271</v>
      </c>
      <c r="F3477" s="89">
        <f>IF(E3477="AM",1,(IF(E3477="BE",2,(IF(E3477="GV",3,(IF(E3477="RA",4,(IF(E3477="RM",5,(IF(E3477="AC",1,(IF(E3477="AT",2,(IF(E3477="DS",3,(IF(E3477="IP",4,(IF(E3477="MA",5,(IF(E3477="PT",6,(IF(E3477="AE",1,(IF(E3477="CM",2,(IF(E3477="DP",3,(IF(E3477="AN",1,(IF(E3477="CO",2,(IF(E3477="IM",3,(IF(E3477="MI",4,(IF(E3477="RP",5,(IF(E3477="SC",6,0)))))))))))))))))))))))))))))))))))))))</f>
        <v>6</v>
      </c>
      <c r="G3477" s="52">
        <v>4</v>
      </c>
      <c r="H3477" s="90" t="s">
        <v>123</v>
      </c>
      <c r="I3477" s="93" t="s">
        <v>77</v>
      </c>
      <c r="J3477" s="87" t="s">
        <v>1798</v>
      </c>
      <c r="K3477" s="102" t="s">
        <v>2715</v>
      </c>
      <c r="L3477" s="117">
        <f>IF(O3477="","",N3477*O3477*M3477)</f>
        <v>0</v>
      </c>
      <c r="M3477" s="108">
        <v>1</v>
      </c>
      <c r="N3477" s="95">
        <v>1</v>
      </c>
      <c r="O3477" s="109">
        <f>IF(Key!D$1="ON",P3477,IF(SUM(Q3477:DL3477)&lt;1,"",SUM(Q3477:DL3477)/COUNTIF(Q3477:DL3477,"&gt;0")))</f>
        <v>0</v>
      </c>
      <c r="P3477" s="109">
        <f>SUMIFS(Q3477:DK3477,Q$1:DK$1,Dashboard!$K$31)</f>
        <v>0</v>
      </c>
      <c r="U3477" s="95">
        <v>33</v>
      </c>
      <c r="AA3477" s="95">
        <v>25</v>
      </c>
      <c r="AH3477" s="95">
        <v>75</v>
      </c>
    </row>
    <row r="3478" spans="1:34" ht="15.6" x14ac:dyDescent="0.3">
      <c r="A3478" s="89" t="str">
        <f>CONCATENATE(D3478,".",F3478,"-",G3478,".",H3478,"")</f>
        <v>2.6-4.5</v>
      </c>
      <c r="B3478" s="89" t="str">
        <f>IF(CONCATENATE(I3478,Key!F$2)=CONCATENATE(INDEX(Dashboard!J:J,MATCH(I3478,Dashboard!J:J,0),1),INDEX(Dashboard!J:K,MATCH(I3478,Dashboard!J:J,0),2)),"ON",IF(Dashboard!K$32="ALL","ON","-"))</f>
        <v>-</v>
      </c>
      <c r="C3478" s="88" t="s">
        <v>152</v>
      </c>
      <c r="D3478" s="89">
        <f>IF(C3478="ID",1,(IF(C3478="PR",2,(IF(C3478="DE",3,(IF(C3478="RS",4,(IF(C3478="RC",5,0)))))))))</f>
        <v>2</v>
      </c>
      <c r="E3478" s="89" t="s">
        <v>271</v>
      </c>
      <c r="F3478" s="89">
        <f>IF(E3478="AM",1,(IF(E3478="BE",2,(IF(E3478="GV",3,(IF(E3478="RA",4,(IF(E3478="RM",5,(IF(E3478="AC",1,(IF(E3478="AT",2,(IF(E3478="DS",3,(IF(E3478="IP",4,(IF(E3478="MA",5,(IF(E3478="PT",6,(IF(E3478="AE",1,(IF(E3478="CM",2,(IF(E3478="DP",3,(IF(E3478="AN",1,(IF(E3478="CO",2,(IF(E3478="IM",3,(IF(E3478="MI",4,(IF(E3478="RP",5,(IF(E3478="SC",6,0)))))))))))))))))))))))))))))))))))))))</f>
        <v>6</v>
      </c>
      <c r="G3478" s="52">
        <v>4</v>
      </c>
      <c r="H3478" s="90" t="s">
        <v>123</v>
      </c>
      <c r="I3478" s="93" t="s">
        <v>77</v>
      </c>
      <c r="J3478" s="87" t="s">
        <v>1800</v>
      </c>
      <c r="K3478" s="102" t="s">
        <v>2716</v>
      </c>
      <c r="L3478" s="117">
        <f>IF(O3478="","",N3478*O3478*M3478)</f>
        <v>0</v>
      </c>
      <c r="M3478" s="108">
        <v>1</v>
      </c>
      <c r="N3478" s="95">
        <v>1</v>
      </c>
      <c r="O3478" s="109">
        <f>IF(Key!D$1="ON",P3478,IF(SUM(Q3478:DL3478)&lt;1,"",SUM(Q3478:DL3478)/COUNTIF(Q3478:DL3478,"&gt;0")))</f>
        <v>0</v>
      </c>
      <c r="P3478" s="109">
        <f>SUMIFS(Q3478:DK3478,Q$1:DK$1,Dashboard!$K$31)</f>
        <v>0</v>
      </c>
      <c r="U3478" s="95">
        <v>33</v>
      </c>
      <c r="AA3478" s="95">
        <v>25</v>
      </c>
      <c r="AH3478" s="95">
        <v>75</v>
      </c>
    </row>
    <row r="3479" spans="1:34" ht="15.6" x14ac:dyDescent="0.3">
      <c r="A3479" s="89" t="str">
        <f>CONCATENATE(D3479,".",F3479,"-",G3479,".",H3479,"")</f>
        <v>2.6-4.5</v>
      </c>
      <c r="B3479" s="89" t="str">
        <f>IF(CONCATENATE(I3479,Key!F$2)=CONCATENATE(INDEX(Dashboard!J:J,MATCH(I3479,Dashboard!J:J,0),1),INDEX(Dashboard!J:K,MATCH(I3479,Dashboard!J:J,0),2)),"ON",IF(Dashboard!K$32="ALL","ON","-"))</f>
        <v>-</v>
      </c>
      <c r="C3479" s="88" t="s">
        <v>152</v>
      </c>
      <c r="D3479" s="89">
        <f>IF(C3479="ID",1,(IF(C3479="PR",2,(IF(C3479="DE",3,(IF(C3479="RS",4,(IF(C3479="RC",5,0)))))))))</f>
        <v>2</v>
      </c>
      <c r="E3479" s="89" t="s">
        <v>271</v>
      </c>
      <c r="F3479" s="89">
        <f>IF(E3479="AM",1,(IF(E3479="BE",2,(IF(E3479="GV",3,(IF(E3479="RA",4,(IF(E3479="RM",5,(IF(E3479="AC",1,(IF(E3479="AT",2,(IF(E3479="DS",3,(IF(E3479="IP",4,(IF(E3479="MA",5,(IF(E3479="PT",6,(IF(E3479="AE",1,(IF(E3479="CM",2,(IF(E3479="DP",3,(IF(E3479="AN",1,(IF(E3479="CO",2,(IF(E3479="IM",3,(IF(E3479="MI",4,(IF(E3479="RP",5,(IF(E3479="SC",6,0)))))))))))))))))))))))))))))))))))))))</f>
        <v>6</v>
      </c>
      <c r="G3479" s="52">
        <v>4</v>
      </c>
      <c r="H3479" s="90" t="s">
        <v>123</v>
      </c>
      <c r="I3479" s="93" t="s">
        <v>77</v>
      </c>
      <c r="J3479" s="87" t="s">
        <v>1801</v>
      </c>
      <c r="K3479" s="102" t="s">
        <v>2717</v>
      </c>
      <c r="L3479" s="117">
        <f>IF(O3479="","",N3479*O3479*M3479)</f>
        <v>0</v>
      </c>
      <c r="M3479" s="108">
        <v>1</v>
      </c>
      <c r="N3479" s="95">
        <v>1</v>
      </c>
      <c r="O3479" s="109">
        <f>IF(Key!D$1="ON",P3479,IF(SUM(Q3479:DL3479)&lt;1,"",SUM(Q3479:DL3479)/COUNTIF(Q3479:DL3479,"&gt;0")))</f>
        <v>0</v>
      </c>
      <c r="P3479" s="109">
        <f>SUMIFS(Q3479:DK3479,Q$1:DK$1,Dashboard!$K$31)</f>
        <v>0</v>
      </c>
      <c r="U3479" s="95">
        <v>33</v>
      </c>
      <c r="AA3479" s="95">
        <v>25</v>
      </c>
      <c r="AH3479" s="95">
        <v>75</v>
      </c>
    </row>
    <row r="3480" spans="1:34" x14ac:dyDescent="0.3">
      <c r="A3480" s="89" t="str">
        <f>CONCATENATE(D3480,".",F3480,"-",G3480,".",H3480,"")</f>
        <v>2.6-4.5</v>
      </c>
      <c r="B3480" s="89" t="str">
        <f>IF(CONCATENATE(I3480,Key!F$2)=CONCATENATE(INDEX(Dashboard!J:J,MATCH(I3480,Dashboard!J:J,0),1),INDEX(Dashboard!J:K,MATCH(I3480,Dashboard!J:J,0),2)),"ON",IF(Dashboard!K$32="ALL","ON","-"))</f>
        <v>-</v>
      </c>
      <c r="C3480" s="88" t="s">
        <v>152</v>
      </c>
      <c r="D3480" s="89">
        <f>IF(C3480="ID",1,(IF(C3480="PR",2,(IF(C3480="DE",3,(IF(C3480="RS",4,(IF(C3480="RC",5,0)))))))))</f>
        <v>2</v>
      </c>
      <c r="E3480" s="89" t="s">
        <v>271</v>
      </c>
      <c r="F3480" s="89">
        <f>IF(E3480="AM",1,(IF(E3480="BE",2,(IF(E3480="GV",3,(IF(E3480="RA",4,(IF(E3480="RM",5,(IF(E3480="AC",1,(IF(E3480="AT",2,(IF(E3480="DS",3,(IF(E3480="IP",4,(IF(E3480="MA",5,(IF(E3480="PT",6,(IF(E3480="AE",1,(IF(E3480="CM",2,(IF(E3480="DP",3,(IF(E3480="AN",1,(IF(E3480="CO",2,(IF(E3480="IM",3,(IF(E3480="MI",4,(IF(E3480="RP",5,(IF(E3480="SC",6,0)))))))))))))))))))))))))))))))))))))))</f>
        <v>6</v>
      </c>
      <c r="G3480" s="52">
        <v>4</v>
      </c>
      <c r="H3480" s="90" t="s">
        <v>123</v>
      </c>
      <c r="I3480" s="93" t="s">
        <v>77</v>
      </c>
      <c r="J3480" s="87" t="s">
        <v>1802</v>
      </c>
      <c r="K3480" s="102" t="s">
        <v>2718</v>
      </c>
      <c r="L3480" s="117">
        <f>IF(O3480="","",N3480*O3480*M3480)</f>
        <v>0</v>
      </c>
      <c r="M3480" s="108">
        <v>1</v>
      </c>
      <c r="N3480" s="95">
        <v>1</v>
      </c>
      <c r="O3480" s="109">
        <f>IF(Key!D$1="ON",P3480,IF(SUM(Q3480:DL3480)&lt;1,"",SUM(Q3480:DL3480)/COUNTIF(Q3480:DL3480,"&gt;0")))</f>
        <v>0</v>
      </c>
      <c r="P3480" s="109">
        <f>SUMIFS(Q3480:DK3480,Q$1:DK$1,Dashboard!$K$31)</f>
        <v>0</v>
      </c>
      <c r="U3480" s="95">
        <v>33</v>
      </c>
      <c r="AA3480" s="95">
        <v>25</v>
      </c>
      <c r="AH3480" s="95">
        <v>75</v>
      </c>
    </row>
    <row r="3481" spans="1:34" ht="15.6" x14ac:dyDescent="0.3">
      <c r="A3481" s="89" t="str">
        <f>CONCATENATE(D3481,".",F3481,"-",G3481,".",H3481,"")</f>
        <v>2.6-4.5</v>
      </c>
      <c r="B3481" s="89" t="str">
        <f>IF(CONCATENATE(I3481,Key!F$2)=CONCATENATE(INDEX(Dashboard!J:J,MATCH(I3481,Dashboard!J:J,0),1),INDEX(Dashboard!J:K,MATCH(I3481,Dashboard!J:J,0),2)),"ON",IF(Dashboard!K$32="ALL","ON","-"))</f>
        <v>-</v>
      </c>
      <c r="C3481" s="88" t="s">
        <v>152</v>
      </c>
      <c r="D3481" s="89">
        <f>IF(C3481="ID",1,(IF(C3481="PR",2,(IF(C3481="DE",3,(IF(C3481="RS",4,(IF(C3481="RC",5,0)))))))))</f>
        <v>2</v>
      </c>
      <c r="E3481" s="89" t="s">
        <v>271</v>
      </c>
      <c r="F3481" s="89">
        <f>IF(E3481="AM",1,(IF(E3481="BE",2,(IF(E3481="GV",3,(IF(E3481="RA",4,(IF(E3481="RM",5,(IF(E3481="AC",1,(IF(E3481="AT",2,(IF(E3481="DS",3,(IF(E3481="IP",4,(IF(E3481="MA",5,(IF(E3481="PT",6,(IF(E3481="AE",1,(IF(E3481="CM",2,(IF(E3481="DP",3,(IF(E3481="AN",1,(IF(E3481="CO",2,(IF(E3481="IM",3,(IF(E3481="MI",4,(IF(E3481="RP",5,(IF(E3481="SC",6,0)))))))))))))))))))))))))))))))))))))))</f>
        <v>6</v>
      </c>
      <c r="G3481" s="52">
        <v>4</v>
      </c>
      <c r="H3481" s="90" t="s">
        <v>123</v>
      </c>
      <c r="I3481" s="93" t="s">
        <v>77</v>
      </c>
      <c r="J3481" s="87" t="s">
        <v>1803</v>
      </c>
      <c r="K3481" s="102" t="s">
        <v>2719</v>
      </c>
      <c r="L3481" s="117">
        <f>IF(O3481="","",N3481*O3481*M3481)</f>
        <v>0</v>
      </c>
      <c r="M3481" s="108">
        <v>1</v>
      </c>
      <c r="N3481" s="95">
        <v>1</v>
      </c>
      <c r="O3481" s="109">
        <f>IF(Key!D$1="ON",P3481,IF(SUM(Q3481:DL3481)&lt;1,"",SUM(Q3481:DL3481)/COUNTIF(Q3481:DL3481,"&gt;0")))</f>
        <v>0</v>
      </c>
      <c r="P3481" s="109">
        <f>SUMIFS(Q3481:DK3481,Q$1:DK$1,Dashboard!$K$31)</f>
        <v>0</v>
      </c>
      <c r="U3481" s="95">
        <v>33</v>
      </c>
      <c r="AA3481" s="95">
        <v>25</v>
      </c>
      <c r="AH3481" s="95">
        <v>75</v>
      </c>
    </row>
    <row r="3482" spans="1:34" ht="15.6" x14ac:dyDescent="0.3">
      <c r="A3482" s="89" t="str">
        <f>CONCATENATE(D3482,".",F3482,"-",G3482,".",H3482,"")</f>
        <v>2.6-4.5</v>
      </c>
      <c r="B3482" s="89" t="str">
        <f>IF(CONCATENATE(I3482,Key!F$2)=CONCATENATE(INDEX(Dashboard!J:J,MATCH(I3482,Dashboard!J:J,0),1),INDEX(Dashboard!J:K,MATCH(I3482,Dashboard!J:J,0),2)),"ON",IF(Dashboard!K$32="ALL","ON","-"))</f>
        <v>-</v>
      </c>
      <c r="C3482" s="88" t="s">
        <v>152</v>
      </c>
      <c r="D3482" s="89">
        <f>IF(C3482="ID",1,(IF(C3482="PR",2,(IF(C3482="DE",3,(IF(C3482="RS",4,(IF(C3482="RC",5,0)))))))))</f>
        <v>2</v>
      </c>
      <c r="E3482" s="89" t="s">
        <v>271</v>
      </c>
      <c r="F3482" s="89">
        <f>IF(E3482="AM",1,(IF(E3482="BE",2,(IF(E3482="GV",3,(IF(E3482="RA",4,(IF(E3482="RM",5,(IF(E3482="AC",1,(IF(E3482="AT",2,(IF(E3482="DS",3,(IF(E3482="IP",4,(IF(E3482="MA",5,(IF(E3482="PT",6,(IF(E3482="AE",1,(IF(E3482="CM",2,(IF(E3482="DP",3,(IF(E3482="AN",1,(IF(E3482="CO",2,(IF(E3482="IM",3,(IF(E3482="MI",4,(IF(E3482="RP",5,(IF(E3482="SC",6,0)))))))))))))))))))))))))))))))))))))))</f>
        <v>6</v>
      </c>
      <c r="G3482" s="52">
        <v>4</v>
      </c>
      <c r="H3482" s="90" t="s">
        <v>123</v>
      </c>
      <c r="I3482" s="93" t="s">
        <v>77</v>
      </c>
      <c r="J3482" s="87" t="s">
        <v>1804</v>
      </c>
      <c r="K3482" s="102" t="s">
        <v>2720</v>
      </c>
      <c r="L3482" s="117">
        <f>IF(O3482="","",N3482*O3482*M3482)</f>
        <v>0</v>
      </c>
      <c r="M3482" s="108">
        <v>1</v>
      </c>
      <c r="N3482" s="95">
        <v>1</v>
      </c>
      <c r="O3482" s="109">
        <f>IF(Key!D$1="ON",P3482,IF(SUM(Q3482:DL3482)&lt;1,"",SUM(Q3482:DL3482)/COUNTIF(Q3482:DL3482,"&gt;0")))</f>
        <v>0</v>
      </c>
      <c r="P3482" s="109">
        <f>SUMIFS(Q3482:DK3482,Q$1:DK$1,Dashboard!$K$31)</f>
        <v>0</v>
      </c>
      <c r="U3482" s="95">
        <v>33</v>
      </c>
      <c r="AA3482" s="95">
        <v>25</v>
      </c>
      <c r="AH3482" s="95">
        <v>75</v>
      </c>
    </row>
    <row r="3483" spans="1:34" ht="15.6" x14ac:dyDescent="0.3">
      <c r="A3483" s="89" t="str">
        <f>CONCATENATE(D3483,".",F3483,"-",G3483,".",H3483,"")</f>
        <v>2.6-5.0</v>
      </c>
      <c r="B3483" s="89" t="str">
        <f>IF(CONCATENATE(I3483,Key!F$2)=CONCATENATE(INDEX(Dashboard!J:J,MATCH(I3483,Dashboard!J:J,0),1),INDEX(Dashboard!J:K,MATCH(I3483,Dashboard!J:J,0),2)),"ON",IF(Dashboard!K$32="ALL","ON","-"))</f>
        <v>-</v>
      </c>
      <c r="C3483" s="96" t="s">
        <v>152</v>
      </c>
      <c r="D3483" s="89">
        <f>IF(C3483="ID",1,(IF(C3483="PR",2,(IF(C3483="DE",3,(IF(C3483="RS",4,(IF(C3483="RC",5,0)))))))))</f>
        <v>2</v>
      </c>
      <c r="E3483" s="89" t="s">
        <v>271</v>
      </c>
      <c r="F3483" s="89">
        <f>IF(E3483="AM",1,(IF(E3483="BE",2,(IF(E3483="GV",3,(IF(E3483="RA",4,(IF(E3483="RM",5,(IF(E3483="AC",1,(IF(E3483="AT",2,(IF(E3483="DS",3,(IF(E3483="IP",4,(IF(E3483="MA",5,(IF(E3483="PT",6,(IF(E3483="AE",1,(IF(E3483="CM",2,(IF(E3483="DP",3,(IF(E3483="AN",1,(IF(E3483="CO",2,(IF(E3483="IM",3,(IF(E3483="MI",4,(IF(E3483="RP",5,(IF(E3483="SC",6,0)))))))))))))))))))))))))))))))))))))))</f>
        <v>6</v>
      </c>
      <c r="G3483" s="52">
        <v>5</v>
      </c>
      <c r="H3483" s="90" t="s">
        <v>347</v>
      </c>
      <c r="I3483" s="93" t="s">
        <v>2835</v>
      </c>
      <c r="J3483" s="54" t="s">
        <v>3004</v>
      </c>
      <c r="K3483" s="150" t="s">
        <v>3005</v>
      </c>
      <c r="L3483" s="117">
        <f>IF(O3483="","",N3483*O3483*M3483)</f>
        <v>0</v>
      </c>
      <c r="M3483" s="108">
        <v>1</v>
      </c>
      <c r="N3483" s="95">
        <v>1</v>
      </c>
      <c r="O3483" s="109">
        <f>IF(Key!D$1="ON",P3483,IF(SUM(Q3483:DL3483)&lt;1,"",SUM(Q3483:DL3483)/COUNTIF(Q3483:DL3483,"&gt;0")))</f>
        <v>0</v>
      </c>
      <c r="P3483" s="109">
        <f>SUMIFS(Q3483:DK3483,Q$1:DK$1,Dashboard!$K$31)</f>
        <v>0</v>
      </c>
      <c r="U3483" s="95">
        <v>33</v>
      </c>
    </row>
    <row r="3484" spans="1:34" ht="15.6" x14ac:dyDescent="0.3">
      <c r="A3484" s="89" t="str">
        <f>CONCATENATE(D3484,".",F3484,"-",G3484,".",H3484,"")</f>
        <v>2.6-5.1</v>
      </c>
      <c r="B3484" s="89" t="str">
        <f>IF(CONCATENATE(I3484,Key!F$2)=CONCATENATE(INDEX(Dashboard!J:J,MATCH(I3484,Dashboard!J:J,0),1),INDEX(Dashboard!J:K,MATCH(I3484,Dashboard!J:J,0),2)),"ON",IF(Dashboard!K$32="ALL","ON","-"))</f>
        <v>-</v>
      </c>
      <c r="C3484" s="96" t="s">
        <v>152</v>
      </c>
      <c r="D3484" s="89">
        <f>IF(C3484="ID",1,(IF(C3484="PR",2,(IF(C3484="DE",3,(IF(C3484="RS",4,(IF(C3484="RC",5,0)))))))))</f>
        <v>2</v>
      </c>
      <c r="E3484" s="131" t="s">
        <v>271</v>
      </c>
      <c r="F3484" s="89">
        <f>IF(E3484="AM",1,(IF(E3484="BE",2,(IF(E3484="GV",3,(IF(E3484="RA",4,(IF(E3484="RM",5,(IF(E3484="AC",1,(IF(E3484="AT",2,(IF(E3484="DS",3,(IF(E3484="IP",4,(IF(E3484="MA",5,(IF(E3484="PT",6,(IF(E3484="AE",1,(IF(E3484="CM",2,(IF(E3484="DP",3,(IF(E3484="AN",1,(IF(E3484="CO",2,(IF(E3484="IM",3,(IF(E3484="MI",4,(IF(E3484="RP",5,(IF(E3484="SC",6,0)))))))))))))))))))))))))))))))))))))))</f>
        <v>6</v>
      </c>
      <c r="G3484" s="52">
        <v>5</v>
      </c>
      <c r="H3484" s="99">
        <v>1</v>
      </c>
      <c r="I3484" s="93" t="s">
        <v>37</v>
      </c>
      <c r="J3484" s="86">
        <v>9.5</v>
      </c>
      <c r="K3484" s="102" t="s">
        <v>3812</v>
      </c>
      <c r="L3484" s="117">
        <f>IF(O3484="","",N3484*O3484*M3484)</f>
        <v>0</v>
      </c>
      <c r="M3484" s="108">
        <v>1</v>
      </c>
      <c r="N3484" s="95">
        <v>1</v>
      </c>
      <c r="O3484" s="109">
        <f>IF(Key!D$1="ON",P3484,IF(SUM(Q3484:DL3484)&lt;1,"",SUM(Q3484:DL3484)/COUNTIF(Q3484:DL3484,"&gt;0")))</f>
        <v>0</v>
      </c>
      <c r="P3484" s="109">
        <f>SUMIFS(Q3484:DK3484,Q$1:DK$1,Dashboard!$K$31)</f>
        <v>0</v>
      </c>
      <c r="U3484" s="95">
        <v>33</v>
      </c>
      <c r="AA3484" s="95">
        <v>25</v>
      </c>
      <c r="AH3484" s="95">
        <v>75</v>
      </c>
    </row>
    <row r="3485" spans="1:34" ht="15.6" x14ac:dyDescent="0.3">
      <c r="A3485" s="89" t="str">
        <f>CONCATENATE(D3485,".",F3485,"-",G3485,".",H3485,"")</f>
        <v>2.6-5.1</v>
      </c>
      <c r="B3485" s="89" t="str">
        <f>IF(CONCATENATE(I3485,Key!F$2)=CONCATENATE(INDEX(Dashboard!J:J,MATCH(I3485,Dashboard!J:J,0),1),INDEX(Dashboard!J:K,MATCH(I3485,Dashboard!J:J,0),2)),"ON",IF(Dashboard!K$32="ALL","ON","-"))</f>
        <v>-</v>
      </c>
      <c r="C3485" s="96" t="s">
        <v>152</v>
      </c>
      <c r="D3485" s="89">
        <f>IF(C3485="ID",1,(IF(C3485="PR",2,(IF(C3485="DE",3,(IF(C3485="RS",4,(IF(C3485="RC",5,0)))))))))</f>
        <v>2</v>
      </c>
      <c r="E3485" s="89" t="s">
        <v>271</v>
      </c>
      <c r="F3485" s="89">
        <f>IF(E3485="AM",1,(IF(E3485="BE",2,(IF(E3485="GV",3,(IF(E3485="RA",4,(IF(E3485="RM",5,(IF(E3485="AC",1,(IF(E3485="AT",2,(IF(E3485="DS",3,(IF(E3485="IP",4,(IF(E3485="MA",5,(IF(E3485="PT",6,(IF(E3485="AE",1,(IF(E3485="CM",2,(IF(E3485="DP",3,(IF(E3485="AN",1,(IF(E3485="CO",2,(IF(E3485="IM",3,(IF(E3485="MI",4,(IF(E3485="RP",5,(IF(E3485="SC",6,0)))))))))))))))))))))))))))))))))))))))</f>
        <v>6</v>
      </c>
      <c r="G3485" s="52">
        <v>5</v>
      </c>
      <c r="H3485" s="90" t="s">
        <v>115</v>
      </c>
      <c r="I3485" s="93" t="s">
        <v>52</v>
      </c>
      <c r="J3485" s="88" t="s">
        <v>3290</v>
      </c>
      <c r="K3485" s="103" t="s">
        <v>3291</v>
      </c>
      <c r="L3485" s="117">
        <f>IF(O3485="","",N3485*O3485*M3485)</f>
        <v>0</v>
      </c>
      <c r="M3485" s="108">
        <v>1</v>
      </c>
      <c r="N3485" s="95">
        <v>1</v>
      </c>
      <c r="O3485" s="109">
        <f>IF(Key!D$1="ON",P3485,IF(SUM(Q3485:DL3485)&lt;1,"",SUM(Q3485:DL3485)/COUNTIF(Q3485:DL3485,"&gt;0")))</f>
        <v>0</v>
      </c>
      <c r="P3485" s="109">
        <f>SUMIFS(Q3485:DK3485,Q$1:DK$1,Dashboard!$K$31)</f>
        <v>0</v>
      </c>
      <c r="U3485" s="95">
        <v>33</v>
      </c>
      <c r="AA3485" s="95">
        <v>25</v>
      </c>
      <c r="AH3485" s="95">
        <v>75</v>
      </c>
    </row>
    <row r="3486" spans="1:34" ht="15.6" x14ac:dyDescent="0.3">
      <c r="A3486" s="89" t="str">
        <f>CONCATENATE(D3486,".",F3486,"-",G3486,".",H3486,"")</f>
        <v>2.6-5.1</v>
      </c>
      <c r="B3486" s="89" t="str">
        <f>IF(CONCATENATE(I3486,Key!F$2)=CONCATENATE(INDEX(Dashboard!J:J,MATCH(I3486,Dashboard!J:J,0),1),INDEX(Dashboard!J:K,MATCH(I3486,Dashboard!J:J,0),2)),"ON",IF(Dashboard!K$32="ALL","ON","-"))</f>
        <v>-</v>
      </c>
      <c r="C3486" s="88" t="s">
        <v>152</v>
      </c>
      <c r="D3486" s="89">
        <f>IF(C3486="ID",1,(IF(C3486="PR",2,(IF(C3486="DE",3,(IF(C3486="RS",4,(IF(C3486="RC",5,0)))))))))</f>
        <v>2</v>
      </c>
      <c r="E3486" s="89" t="s">
        <v>271</v>
      </c>
      <c r="F3486" s="89">
        <f>IF(E3486="AM",1,(IF(E3486="BE",2,(IF(E3486="GV",3,(IF(E3486="RA",4,(IF(E3486="RM",5,(IF(E3486="AC",1,(IF(E3486="AT",2,(IF(E3486="DS",3,(IF(E3486="IP",4,(IF(E3486="MA",5,(IF(E3486="PT",6,(IF(E3486="AE",1,(IF(E3486="CM",2,(IF(E3486="DP",3,(IF(E3486="AN",1,(IF(E3486="CO",2,(IF(E3486="IM",3,(IF(E3486="MI",4,(IF(E3486="RP",5,(IF(E3486="SC",6,0)))))))))))))))))))))))))))))))))))))))</f>
        <v>6</v>
      </c>
      <c r="G3486" s="52">
        <v>5</v>
      </c>
      <c r="H3486" s="90" t="s">
        <v>115</v>
      </c>
      <c r="I3486" s="93" t="s">
        <v>77</v>
      </c>
      <c r="J3486" s="87" t="s">
        <v>1806</v>
      </c>
      <c r="K3486" s="102" t="s">
        <v>2721</v>
      </c>
      <c r="L3486" s="117">
        <f>IF(O3486="","",N3486*O3486*M3486)</f>
        <v>0</v>
      </c>
      <c r="M3486" s="108">
        <v>1</v>
      </c>
      <c r="N3486" s="95">
        <v>1</v>
      </c>
      <c r="O3486" s="109">
        <f>IF(Key!D$1="ON",P3486,IF(SUM(Q3486:DL3486)&lt;1,"",SUM(Q3486:DL3486)/COUNTIF(Q3486:DL3486,"&gt;0")))</f>
        <v>0</v>
      </c>
      <c r="P3486" s="109">
        <f>SUMIFS(Q3486:DK3486,Q$1:DK$1,Dashboard!$K$31)</f>
        <v>0</v>
      </c>
      <c r="U3486" s="95">
        <v>33</v>
      </c>
      <c r="AA3486" s="95">
        <v>25</v>
      </c>
      <c r="AH3486" s="95">
        <v>75</v>
      </c>
    </row>
    <row r="3487" spans="1:34" ht="15.6" x14ac:dyDescent="0.3">
      <c r="A3487" s="89" t="str">
        <f>CONCATENATE(D3487,".",F3487,"-",G3487,".",H3487,"")</f>
        <v>2.6-5.1</v>
      </c>
      <c r="B3487" s="89" t="str">
        <f>IF(CONCATENATE(I3487,Key!F$2)=CONCATENATE(INDEX(Dashboard!J:J,MATCH(I3487,Dashboard!J:J,0),1),INDEX(Dashboard!J:K,MATCH(I3487,Dashboard!J:J,0),2)),"ON",IF(Dashboard!K$32="ALL","ON","-"))</f>
        <v>-</v>
      </c>
      <c r="C3487" s="88" t="s">
        <v>152</v>
      </c>
      <c r="D3487" s="89">
        <f>IF(C3487="ID",1,(IF(C3487="PR",2,(IF(C3487="DE",3,(IF(C3487="RS",4,(IF(C3487="RC",5,0)))))))))</f>
        <v>2</v>
      </c>
      <c r="E3487" s="89" t="s">
        <v>271</v>
      </c>
      <c r="F3487" s="89">
        <f>IF(E3487="AM",1,(IF(E3487="BE",2,(IF(E3487="GV",3,(IF(E3487="RA",4,(IF(E3487="RM",5,(IF(E3487="AC",1,(IF(E3487="AT",2,(IF(E3487="DS",3,(IF(E3487="IP",4,(IF(E3487="MA",5,(IF(E3487="PT",6,(IF(E3487="AE",1,(IF(E3487="CM",2,(IF(E3487="DP",3,(IF(E3487="AN",1,(IF(E3487="CO",2,(IF(E3487="IM",3,(IF(E3487="MI",4,(IF(E3487="RP",5,(IF(E3487="SC",6,0)))))))))))))))))))))))))))))))))))))))</f>
        <v>6</v>
      </c>
      <c r="G3487" s="52">
        <v>5</v>
      </c>
      <c r="H3487" s="90" t="s">
        <v>115</v>
      </c>
      <c r="I3487" s="93" t="s">
        <v>77</v>
      </c>
      <c r="J3487" s="87" t="s">
        <v>1807</v>
      </c>
      <c r="K3487" s="102" t="s">
        <v>2722</v>
      </c>
      <c r="L3487" s="117">
        <f>IF(O3487="","",N3487*O3487*M3487)</f>
        <v>0</v>
      </c>
      <c r="M3487" s="108">
        <v>1</v>
      </c>
      <c r="N3487" s="95">
        <v>1</v>
      </c>
      <c r="O3487" s="109">
        <f>IF(Key!D$1="ON",P3487,IF(SUM(Q3487:DL3487)&lt;1,"",SUM(Q3487:DL3487)/COUNTIF(Q3487:DL3487,"&gt;0")))</f>
        <v>0</v>
      </c>
      <c r="P3487" s="109">
        <f>SUMIFS(Q3487:DK3487,Q$1:DK$1,Dashboard!$K$31)</f>
        <v>0</v>
      </c>
      <c r="U3487" s="95">
        <v>33</v>
      </c>
      <c r="AA3487" s="95">
        <v>25</v>
      </c>
      <c r="AH3487" s="95">
        <v>75</v>
      </c>
    </row>
    <row r="3488" spans="1:34" ht="15.6" x14ac:dyDescent="0.3">
      <c r="A3488" s="89" t="str">
        <f>CONCATENATE(D3488,".",F3488,"-",G3488,".",H3488,"")</f>
        <v>2.6-5.1</v>
      </c>
      <c r="B3488" s="89" t="str">
        <f>IF(CONCATENATE(I3488,Key!F$2)=CONCATENATE(INDEX(Dashboard!J:J,MATCH(I3488,Dashboard!J:J,0),1),INDEX(Dashboard!J:K,MATCH(I3488,Dashboard!J:J,0),2)),"ON",IF(Dashboard!K$32="ALL","ON","-"))</f>
        <v>-</v>
      </c>
      <c r="C3488" s="88" t="s">
        <v>152</v>
      </c>
      <c r="D3488" s="89">
        <f>IF(C3488="ID",1,(IF(C3488="PR",2,(IF(C3488="DE",3,(IF(C3488="RS",4,(IF(C3488="RC",5,0)))))))))</f>
        <v>2</v>
      </c>
      <c r="E3488" s="89" t="s">
        <v>271</v>
      </c>
      <c r="F3488" s="89">
        <f>IF(E3488="AM",1,(IF(E3488="BE",2,(IF(E3488="GV",3,(IF(E3488="RA",4,(IF(E3488="RM",5,(IF(E3488="AC",1,(IF(E3488="AT",2,(IF(E3488="DS",3,(IF(E3488="IP",4,(IF(E3488="MA",5,(IF(E3488="PT",6,(IF(E3488="AE",1,(IF(E3488="CM",2,(IF(E3488="DP",3,(IF(E3488="AN",1,(IF(E3488="CO",2,(IF(E3488="IM",3,(IF(E3488="MI",4,(IF(E3488="RP",5,(IF(E3488="SC",6,0)))))))))))))))))))))))))))))))))))))))</f>
        <v>6</v>
      </c>
      <c r="G3488" s="52">
        <v>5</v>
      </c>
      <c r="H3488" s="90" t="s">
        <v>115</v>
      </c>
      <c r="I3488" s="93" t="s">
        <v>85</v>
      </c>
      <c r="J3488" s="87" t="s">
        <v>1807</v>
      </c>
      <c r="K3488" s="119" t="s">
        <v>4672</v>
      </c>
      <c r="L3488" s="117">
        <f>IF(O3488="","",N3488*O3488*M3488)</f>
        <v>0</v>
      </c>
      <c r="M3488" s="108">
        <v>1</v>
      </c>
      <c r="N3488" s="95">
        <v>1</v>
      </c>
      <c r="O3488" s="109">
        <f>IF(Key!D$1="ON",P3488,IF(SUM(Q3488:DL3488)&lt;1,"",SUM(Q3488:DL3488)/COUNTIF(Q3488:DL3488,"&gt;0")))</f>
        <v>0</v>
      </c>
      <c r="P3488" s="109">
        <f>SUMIFS(Q3488:DK3488,Q$1:DK$1,Dashboard!$K$31)</f>
        <v>0</v>
      </c>
      <c r="U3488" s="95">
        <v>33</v>
      </c>
      <c r="AA3488" s="95">
        <v>25</v>
      </c>
      <c r="AH3488" s="95">
        <v>75</v>
      </c>
    </row>
    <row r="3489" spans="1:34" ht="15.6" x14ac:dyDescent="0.3">
      <c r="A3489" s="89" t="str">
        <f>CONCATENATE(D3489,".",F3489,"-",G3489,".",H3489,"")</f>
        <v>2.6-5.1</v>
      </c>
      <c r="B3489" s="89" t="str">
        <f>IF(CONCATENATE(I3489,Key!F$2)=CONCATENATE(INDEX(Dashboard!J:J,MATCH(I3489,Dashboard!J:J,0),1),INDEX(Dashboard!J:K,MATCH(I3489,Dashboard!J:J,0),2)),"ON",IF(Dashboard!K$32="ALL","ON","-"))</f>
        <v>-</v>
      </c>
      <c r="C3489" s="96" t="s">
        <v>152</v>
      </c>
      <c r="D3489" s="89">
        <f>IF(C3489="ID",1,(IF(C3489="PR",2,(IF(C3489="DE",3,(IF(C3489="RS",4,(IF(C3489="RC",5,0)))))))))</f>
        <v>2</v>
      </c>
      <c r="E3489" s="89" t="s">
        <v>271</v>
      </c>
      <c r="F3489" s="89">
        <f>IF(E3489="AM",1,(IF(E3489="BE",2,(IF(E3489="GV",3,(IF(E3489="RA",4,(IF(E3489="RM",5,(IF(E3489="AC",1,(IF(E3489="AT",2,(IF(E3489="DS",3,(IF(E3489="IP",4,(IF(E3489="MA",5,(IF(E3489="PT",6,(IF(E3489="AE",1,(IF(E3489="CM",2,(IF(E3489="DP",3,(IF(E3489="AN",1,(IF(E3489="CO",2,(IF(E3489="IM",3,(IF(E3489="MI",4,(IF(E3489="RP",5,(IF(E3489="SC",6,0)))))))))))))))))))))))))))))))))))))))</f>
        <v>6</v>
      </c>
      <c r="G3489" s="52">
        <v>5</v>
      </c>
      <c r="H3489" s="90" t="s">
        <v>115</v>
      </c>
      <c r="I3489" s="93" t="s">
        <v>85</v>
      </c>
      <c r="J3489" s="87" t="s">
        <v>986</v>
      </c>
      <c r="K3489" s="119" t="s">
        <v>987</v>
      </c>
      <c r="L3489" s="117">
        <f>IF(O3489="","",N3489*O3489*M3489)</f>
        <v>0</v>
      </c>
      <c r="M3489" s="108">
        <v>1</v>
      </c>
      <c r="N3489" s="95">
        <v>1</v>
      </c>
      <c r="O3489" s="109">
        <f>IF(Key!D$1="ON",P3489,IF(SUM(Q3489:DL3489)&lt;1,"",SUM(Q3489:DL3489)/COUNTIF(Q3489:DL3489,"&gt;0")))</f>
        <v>0</v>
      </c>
      <c r="P3489" s="109">
        <f>SUMIFS(Q3489:DK3489,Q$1:DK$1,Dashboard!$K$31)</f>
        <v>0</v>
      </c>
      <c r="U3489" s="95">
        <v>33</v>
      </c>
      <c r="AA3489" s="95">
        <v>25</v>
      </c>
      <c r="AH3489" s="95">
        <v>75</v>
      </c>
    </row>
    <row r="3490" spans="1:34" ht="15.6" x14ac:dyDescent="0.3">
      <c r="A3490" s="89" t="str">
        <f>CONCATENATE(D3490,".",F3490,"-",G3490,".",H3490,"")</f>
        <v>2.6-5.1</v>
      </c>
      <c r="B3490" s="89" t="str">
        <f>IF(CONCATENATE(I3490,Key!F$2)=CONCATENATE(INDEX(Dashboard!J:J,MATCH(I3490,Dashboard!J:J,0),1),INDEX(Dashboard!J:K,MATCH(I3490,Dashboard!J:J,0),2)),"ON",IF(Dashboard!K$32="ALL","ON","-"))</f>
        <v>-</v>
      </c>
      <c r="C3490" s="88" t="s">
        <v>152</v>
      </c>
      <c r="D3490" s="89">
        <f>IF(C3490="ID",1,(IF(C3490="PR",2,(IF(C3490="DE",3,(IF(C3490="RS",4,(IF(C3490="RC",5,0)))))))))</f>
        <v>2</v>
      </c>
      <c r="E3490" s="89" t="s">
        <v>271</v>
      </c>
      <c r="F3490" s="89">
        <f>IF(E3490="AM",1,(IF(E3490="BE",2,(IF(E3490="GV",3,(IF(E3490="RA",4,(IF(E3490="RM",5,(IF(E3490="AC",1,(IF(E3490="AT",2,(IF(E3490="DS",3,(IF(E3490="IP",4,(IF(E3490="MA",5,(IF(E3490="PT",6,(IF(E3490="AE",1,(IF(E3490="CM",2,(IF(E3490="DP",3,(IF(E3490="AN",1,(IF(E3490="CO",2,(IF(E3490="IM",3,(IF(E3490="MI",4,(IF(E3490="RP",5,(IF(E3490="SC",6,0)))))))))))))))))))))))))))))))))))))))</f>
        <v>6</v>
      </c>
      <c r="G3490" s="52">
        <v>5</v>
      </c>
      <c r="H3490" s="90" t="s">
        <v>115</v>
      </c>
      <c r="I3490" s="93" t="s">
        <v>85</v>
      </c>
      <c r="J3490" s="87" t="s">
        <v>1926</v>
      </c>
      <c r="K3490" s="119" t="s">
        <v>5152</v>
      </c>
      <c r="L3490" s="117">
        <f>IF(O3490="","",N3490*O3490*M3490)</f>
        <v>0</v>
      </c>
      <c r="M3490" s="108">
        <v>1</v>
      </c>
      <c r="N3490" s="95">
        <v>1</v>
      </c>
      <c r="O3490" s="109">
        <f>IF(Key!D$1="ON",P3490,IF(SUM(Q3490:DL3490)&lt;1,"",SUM(Q3490:DL3490)/COUNTIF(Q3490:DL3490,"&gt;0")))</f>
        <v>0</v>
      </c>
      <c r="P3490" s="109">
        <f>SUMIFS(Q3490:DK3490,Q$1:DK$1,Dashboard!$K$31)</f>
        <v>0</v>
      </c>
      <c r="U3490" s="95">
        <v>33</v>
      </c>
      <c r="AA3490" s="95">
        <v>25</v>
      </c>
      <c r="AH3490" s="95">
        <v>75</v>
      </c>
    </row>
    <row r="3491" spans="1:34" ht="15.6" x14ac:dyDescent="0.3">
      <c r="A3491" s="89" t="str">
        <f>CONCATENATE(D3491,".",F3491,"-",G3491,".",H3491,"")</f>
        <v>2.6-5.1</v>
      </c>
      <c r="B3491" s="89" t="str">
        <f>IF(CONCATENATE(I3491,Key!F$2)=CONCATENATE(INDEX(Dashboard!J:J,MATCH(I3491,Dashboard!J:J,0),1),INDEX(Dashboard!J:K,MATCH(I3491,Dashboard!J:J,0),2)),"ON",IF(Dashboard!K$32="ALL","ON","-"))</f>
        <v>-</v>
      </c>
      <c r="C3491" s="88" t="s">
        <v>152</v>
      </c>
      <c r="D3491" s="89">
        <f>IF(C3491="ID",1,(IF(C3491="PR",2,(IF(C3491="DE",3,(IF(C3491="RS",4,(IF(C3491="RC",5,0)))))))))</f>
        <v>2</v>
      </c>
      <c r="E3491" s="89" t="s">
        <v>271</v>
      </c>
      <c r="F3491" s="89">
        <f>IF(E3491="AM",1,(IF(E3491="BE",2,(IF(E3491="GV",3,(IF(E3491="RA",4,(IF(E3491="RM",5,(IF(E3491="AC",1,(IF(E3491="AT",2,(IF(E3491="DS",3,(IF(E3491="IP",4,(IF(E3491="MA",5,(IF(E3491="PT",6,(IF(E3491="AE",1,(IF(E3491="CM",2,(IF(E3491="DP",3,(IF(E3491="AN",1,(IF(E3491="CO",2,(IF(E3491="IM",3,(IF(E3491="MI",4,(IF(E3491="RP",5,(IF(E3491="SC",6,0)))))))))))))))))))))))))))))))))))))))</f>
        <v>6</v>
      </c>
      <c r="G3491" s="52">
        <v>5</v>
      </c>
      <c r="H3491" s="90" t="s">
        <v>115</v>
      </c>
      <c r="I3491" s="93" t="s">
        <v>85</v>
      </c>
      <c r="J3491" s="87" t="s">
        <v>1806</v>
      </c>
      <c r="K3491" s="119" t="s">
        <v>4612</v>
      </c>
      <c r="L3491" s="117">
        <f>IF(O3491="","",N3491*O3491*M3491)</f>
        <v>0</v>
      </c>
      <c r="M3491" s="108">
        <v>1</v>
      </c>
      <c r="N3491" s="95">
        <v>1</v>
      </c>
      <c r="O3491" s="109">
        <f>IF(Key!D$1="ON",P3491,IF(SUM(Q3491:DL3491)&lt;1,"",SUM(Q3491:DL3491)/COUNTIF(Q3491:DL3491,"&gt;0")))</f>
        <v>0</v>
      </c>
      <c r="P3491" s="109">
        <f>SUMIFS(Q3491:DK3491,Q$1:DK$1,Dashboard!$K$31)</f>
        <v>0</v>
      </c>
      <c r="U3491" s="95">
        <v>33</v>
      </c>
      <c r="AA3491" s="95">
        <v>25</v>
      </c>
      <c r="AH3491" s="95">
        <v>75</v>
      </c>
    </row>
    <row r="3492" spans="1:34" ht="15.6" x14ac:dyDescent="0.3">
      <c r="A3492" s="89" t="str">
        <f>CONCATENATE(D3492,".",F3492,"-",G3492,".",H3492,"")</f>
        <v>2.6-5.1</v>
      </c>
      <c r="B3492" s="89" t="str">
        <f>IF(CONCATENATE(I3492,Key!F$2)=CONCATENATE(INDEX(Dashboard!J:J,MATCH(I3492,Dashboard!J:J,0),1),INDEX(Dashboard!J:K,MATCH(I3492,Dashboard!J:J,0),2)),"ON",IF(Dashboard!K$32="ALL","ON","-"))</f>
        <v>-</v>
      </c>
      <c r="C3492" s="96" t="s">
        <v>152</v>
      </c>
      <c r="D3492" s="89">
        <f>IF(C3492="ID",1,(IF(C3492="PR",2,(IF(C3492="DE",3,(IF(C3492="RS",4,(IF(C3492="RC",5,0)))))))))</f>
        <v>2</v>
      </c>
      <c r="E3492" s="89" t="s">
        <v>271</v>
      </c>
      <c r="F3492" s="89">
        <f>IF(E3492="AM",1,(IF(E3492="BE",2,(IF(E3492="GV",3,(IF(E3492="RA",4,(IF(E3492="RM",5,(IF(E3492="AC",1,(IF(E3492="AT",2,(IF(E3492="DS",3,(IF(E3492="IP",4,(IF(E3492="MA",5,(IF(E3492="PT",6,(IF(E3492="AE",1,(IF(E3492="CM",2,(IF(E3492="DP",3,(IF(E3492="AN",1,(IF(E3492="CO",2,(IF(E3492="IM",3,(IF(E3492="MI",4,(IF(E3492="RP",5,(IF(E3492="SC",6,0)))))))))))))))))))))))))))))))))))))))</f>
        <v>6</v>
      </c>
      <c r="G3492" s="52">
        <v>5</v>
      </c>
      <c r="H3492" s="90" t="s">
        <v>115</v>
      </c>
      <c r="I3492" s="93" t="s">
        <v>92</v>
      </c>
      <c r="J3492" s="88" t="s">
        <v>310</v>
      </c>
      <c r="K3492" s="102" t="s">
        <v>5226</v>
      </c>
      <c r="L3492" s="117">
        <f>IF(O3492="","",N3492*O3492*M3492)</f>
        <v>0</v>
      </c>
      <c r="M3492" s="108">
        <v>1</v>
      </c>
      <c r="N3492" s="95">
        <v>1</v>
      </c>
      <c r="O3492" s="109">
        <f>IF(Key!D$1="ON",P3492,IF(SUM(Q3492:DL3492)&lt;1,"",SUM(Q3492:DL3492)/COUNTIF(Q3492:DL3492,"&gt;0")))</f>
        <v>0</v>
      </c>
      <c r="P3492" s="109">
        <f>SUMIFS(Q3492:DK3492,Q$1:DK$1,Dashboard!$K$31)</f>
        <v>0</v>
      </c>
      <c r="U3492" s="95">
        <v>33</v>
      </c>
      <c r="AA3492" s="95">
        <v>25</v>
      </c>
      <c r="AH3492" s="95">
        <v>75</v>
      </c>
    </row>
    <row r="3493" spans="1:34" ht="15.6" x14ac:dyDescent="0.3">
      <c r="A3493" s="89" t="str">
        <f>CONCATENATE(D3493,".",F3493,"-",G3493,".",H3493,"")</f>
        <v>3.1-0.0</v>
      </c>
      <c r="B3493" s="89" t="str">
        <f>IF(CONCATENATE(I3493,Key!F$2)=CONCATENATE(INDEX(Dashboard!J:J,MATCH(I3493,Dashboard!J:J,0),1),INDEX(Dashboard!J:K,MATCH(I3493,Dashboard!J:J,0),2)),"ON",IF(Dashboard!K$32="ALL","ON","-"))</f>
        <v>-</v>
      </c>
      <c r="C3493" s="96" t="s">
        <v>311</v>
      </c>
      <c r="D3493" s="89">
        <f>IF(C3493="ID",1,(IF(C3493="PR",2,(IF(C3493="DE",3,(IF(C3493="RS",4,(IF(C3493="RC",5,0)))))))))</f>
        <v>3</v>
      </c>
      <c r="E3493" s="89" t="s">
        <v>312</v>
      </c>
      <c r="F3493" s="89">
        <f>IF(E3493="AM",1,(IF(E3493="BE",2,(IF(E3493="GV",3,(IF(E3493="RA",4,(IF(E3493="RM",5,(IF(E3493="AC",1,(IF(E3493="AT",2,(IF(E3493="DS",3,(IF(E3493="IP",4,(IF(E3493="MA",5,(IF(E3493="PT",6,(IF(E3493="AE",1,(IF(E3493="CM",2,(IF(E3493="DP",3,(IF(E3493="AN",1,(IF(E3493="CO",2,(IF(E3493="IM",3,(IF(E3493="MI",4,(IF(E3493="RP",5,(IF(E3493="SC",6,0)))))))))))))))))))))))))))))))))))))))</f>
        <v>1</v>
      </c>
      <c r="G3493" s="52">
        <v>0</v>
      </c>
      <c r="H3493" s="90" t="s">
        <v>347</v>
      </c>
      <c r="I3493" s="93" t="s">
        <v>2835</v>
      </c>
      <c r="J3493" s="139" t="s">
        <v>3006</v>
      </c>
      <c r="K3493" s="144" t="s">
        <v>3007</v>
      </c>
      <c r="L3493" s="117">
        <f>IF(O3493="","",N3493*O3493*M3493)</f>
        <v>0</v>
      </c>
      <c r="M3493" s="108">
        <v>1</v>
      </c>
      <c r="N3493" s="95">
        <v>1</v>
      </c>
      <c r="O3493" s="109">
        <f>IF(Key!D$1="ON",P3493,IF(SUM(Q3493:DL3493)&lt;1,"",SUM(Q3493:DL3493)/COUNTIF(Q3493:DL3493,"&gt;0")))</f>
        <v>0</v>
      </c>
      <c r="P3493" s="109">
        <f>SUMIFS(Q3493:DK3493,Q$1:DK$1,Dashboard!$K$31)</f>
        <v>0</v>
      </c>
      <c r="Q3493" s="110">
        <v>83</v>
      </c>
      <c r="U3493" s="95">
        <v>33</v>
      </c>
    </row>
    <row r="3494" spans="1:34" ht="15.6" x14ac:dyDescent="0.3">
      <c r="A3494" s="89" t="str">
        <f>CONCATENATE(D3494,".",F3494,"-",G3494,".",H3494,"")</f>
        <v>3.1-0.1</v>
      </c>
      <c r="B3494" s="89" t="str">
        <f>IF(CONCATENATE(I3494,Key!F$2)=CONCATENATE(INDEX(Dashboard!J:J,MATCH(I3494,Dashboard!J:J,0),1),INDEX(Dashboard!J:K,MATCH(I3494,Dashboard!J:J,0),2)),"ON",IF(Dashboard!K$32="ALL","ON","-"))</f>
        <v>-</v>
      </c>
      <c r="C3494" s="96" t="s">
        <v>311</v>
      </c>
      <c r="D3494" s="89">
        <f>IF(C3494="ID",1,(IF(C3494="PR",2,(IF(C3494="DE",3,(IF(C3494="RS",4,(IF(C3494="RC",5,0)))))))))</f>
        <v>3</v>
      </c>
      <c r="E3494" s="89" t="s">
        <v>312</v>
      </c>
      <c r="F3494" s="89">
        <f>IF(E3494="AM",1,(IF(E3494="BE",2,(IF(E3494="GV",3,(IF(E3494="RA",4,(IF(E3494="RM",5,(IF(E3494="AC",1,(IF(E3494="AT",2,(IF(E3494="DS",3,(IF(E3494="IP",4,(IF(E3494="MA",5,(IF(E3494="PT",6,(IF(E3494="AE",1,(IF(E3494="CM",2,(IF(E3494="DP",3,(IF(E3494="AN",1,(IF(E3494="CO",2,(IF(E3494="IM",3,(IF(E3494="MI",4,(IF(E3494="RP",5,(IF(E3494="SC",6,0)))))))))))))))))))))))))))))))))))))))</f>
        <v>1</v>
      </c>
      <c r="G3494" s="52">
        <v>0</v>
      </c>
      <c r="H3494" s="90" t="s">
        <v>115</v>
      </c>
      <c r="I3494" s="93" t="s">
        <v>2835</v>
      </c>
      <c r="J3494" s="57" t="s">
        <v>3006</v>
      </c>
      <c r="K3494" s="58" t="s">
        <v>3008</v>
      </c>
      <c r="L3494" s="117">
        <f>IF(O3494="","",N3494*O3494*M3494)</f>
        <v>0</v>
      </c>
      <c r="M3494" s="108">
        <v>1</v>
      </c>
      <c r="N3494" s="95">
        <v>1</v>
      </c>
      <c r="O3494" s="109">
        <f>IF(Key!D$1="ON",P3494,IF(SUM(Q3494:DL3494)&lt;1,"",SUM(Q3494:DL3494)/COUNTIF(Q3494:DL3494,"&gt;0")))</f>
        <v>0</v>
      </c>
      <c r="P3494" s="109">
        <f>SUMIFS(Q3494:DK3494,Q$1:DK$1,Dashboard!$K$31)</f>
        <v>0</v>
      </c>
      <c r="Q3494" s="110">
        <v>83</v>
      </c>
      <c r="U3494" s="95">
        <v>33</v>
      </c>
      <c r="AA3494" s="95">
        <v>50</v>
      </c>
    </row>
    <row r="3495" spans="1:34" ht="15.6" x14ac:dyDescent="0.3">
      <c r="A3495" s="89" t="str">
        <f>CONCATENATE(D3495,".",F3495,"-",G3495,".",H3495,"")</f>
        <v>3.1-1.0</v>
      </c>
      <c r="B3495" s="89" t="str">
        <f>IF(CONCATENATE(I3495,Key!F$2)=CONCATENATE(INDEX(Dashboard!J:J,MATCH(I3495,Dashboard!J:J,0),1),INDEX(Dashboard!J:K,MATCH(I3495,Dashboard!J:J,0),2)),"ON",IF(Dashboard!K$32="ALL","ON","-"))</f>
        <v>-</v>
      </c>
      <c r="C3495" s="96" t="s">
        <v>311</v>
      </c>
      <c r="D3495" s="89">
        <f>IF(C3495="ID",1,(IF(C3495="PR",2,(IF(C3495="DE",3,(IF(C3495="RS",4,(IF(C3495="RC",5,0)))))))))</f>
        <v>3</v>
      </c>
      <c r="E3495" s="89" t="s">
        <v>312</v>
      </c>
      <c r="F3495" s="89">
        <f>IF(E3495="AM",1,(IF(E3495="BE",2,(IF(E3495="GV",3,(IF(E3495="RA",4,(IF(E3495="RM",5,(IF(E3495="AC",1,(IF(E3495="AT",2,(IF(E3495="DS",3,(IF(E3495="IP",4,(IF(E3495="MA",5,(IF(E3495="PT",6,(IF(E3495="AE",1,(IF(E3495="CM",2,(IF(E3495="DP",3,(IF(E3495="AN",1,(IF(E3495="CO",2,(IF(E3495="IM",3,(IF(E3495="MI",4,(IF(E3495="RP",5,(IF(E3495="SC",6,0)))))))))))))))))))))))))))))))))))))))</f>
        <v>1</v>
      </c>
      <c r="G3495" s="52">
        <v>1</v>
      </c>
      <c r="H3495" s="90" t="s">
        <v>347</v>
      </c>
      <c r="I3495" s="93" t="s">
        <v>2835</v>
      </c>
      <c r="J3495" s="53" t="s">
        <v>3009</v>
      </c>
      <c r="K3495" s="58" t="s">
        <v>3010</v>
      </c>
      <c r="L3495" s="117">
        <f>IF(O3495="","",N3495*O3495*M3495)</f>
        <v>0</v>
      </c>
      <c r="M3495" s="108">
        <v>1</v>
      </c>
      <c r="N3495" s="95">
        <v>1</v>
      </c>
      <c r="O3495" s="109">
        <f>IF(Key!D$1="ON",P3495,IF(SUM(Q3495:DL3495)&lt;1,"",SUM(Q3495:DL3495)/COUNTIF(Q3495:DL3495,"&gt;0")))</f>
        <v>0</v>
      </c>
      <c r="P3495" s="109">
        <f>SUMIFS(Q3495:DK3495,Q$1:DK$1,Dashboard!$K$31)</f>
        <v>0</v>
      </c>
      <c r="U3495" s="95">
        <v>33</v>
      </c>
    </row>
    <row r="3496" spans="1:34" ht="15.6" x14ac:dyDescent="0.3">
      <c r="A3496" s="89" t="str">
        <f>CONCATENATE(D3496,".",F3496,"-",G3496,".",H3496,"")</f>
        <v>3.1-1.1</v>
      </c>
      <c r="B3496" s="89" t="str">
        <f>IF(CONCATENATE(I3496,Key!F$2)=CONCATENATE(INDEX(Dashboard!J:J,MATCH(I3496,Dashboard!J:J,0),1),INDEX(Dashboard!J:K,MATCH(I3496,Dashboard!J:J,0),2)),"ON",IF(Dashboard!K$32="ALL","ON","-"))</f>
        <v>ON</v>
      </c>
      <c r="C3496" s="130" t="s">
        <v>311</v>
      </c>
      <c r="D3496" s="89">
        <f>IF(C3496="ID",1,(IF(C3496="PR",2,(IF(C3496="DE",3,(IF(C3496="RS",4,(IF(C3496="RC",5,0)))))))))</f>
        <v>3</v>
      </c>
      <c r="E3496" s="95" t="s">
        <v>312</v>
      </c>
      <c r="F3496" s="89">
        <f>IF(E3496="AM",1,(IF(E3496="BE",2,(IF(E3496="GV",3,(IF(E3496="RA",4,(IF(E3496="RM",5,(IF(E3496="AC",1,(IF(E3496="AT",2,(IF(E3496="DS",3,(IF(E3496="IP",4,(IF(E3496="MA",5,(IF(E3496="PT",6,(IF(E3496="AE",1,(IF(E3496="CM",2,(IF(E3496="DP",3,(IF(E3496="AN",1,(IF(E3496="CO",2,(IF(E3496="IM",3,(IF(E3496="MI",4,(IF(E3496="RP",5,(IF(E3496="SC",6,0)))))))))))))))))))))))))))))))))))))))</f>
        <v>1</v>
      </c>
      <c r="G3496" s="52">
        <v>1</v>
      </c>
      <c r="H3496" s="90" t="s">
        <v>115</v>
      </c>
      <c r="I3496" s="93" t="s">
        <v>4107</v>
      </c>
      <c r="J3496" s="86" t="s">
        <v>3958</v>
      </c>
      <c r="K3496" s="101" t="s">
        <v>4360</v>
      </c>
      <c r="L3496" s="117">
        <f>IF(O3496="","",N3496*O3496*M3496)</f>
        <v>0</v>
      </c>
      <c r="M3496" s="108">
        <v>1</v>
      </c>
      <c r="N3496" s="95">
        <v>1</v>
      </c>
      <c r="O3496" s="109">
        <f>IF(Key!D$1="ON",P3496,IF(SUM(Q3496:DL3496)&lt;1,"",SUM(Q3496:DL3496)/COUNTIF(Q3496:DL3496,"&gt;0")))</f>
        <v>0</v>
      </c>
      <c r="P3496" s="109">
        <f>SUMIFS(Q3496:DK3496,Q$1:DK$1,Dashboard!$K$31)</f>
        <v>0</v>
      </c>
      <c r="U3496" s="95">
        <v>33</v>
      </c>
      <c r="AA3496" s="95">
        <v>25</v>
      </c>
      <c r="AH3496" s="95">
        <v>75</v>
      </c>
    </row>
    <row r="3497" spans="1:34" ht="15.6" x14ac:dyDescent="0.3">
      <c r="A3497" s="89" t="str">
        <f>CONCATENATE(D3497,".",F3497,"-",G3497,".",H3497,"")</f>
        <v>3.1-1.1</v>
      </c>
      <c r="B3497" s="89" t="str">
        <f>IF(CONCATENATE(I3497,Key!F$2)=CONCATENATE(INDEX(Dashboard!J:J,MATCH(I3497,Dashboard!J:J,0),1),INDEX(Dashboard!J:K,MATCH(I3497,Dashboard!J:J,0),2)),"ON",IF(Dashboard!K$32="ALL","ON","-"))</f>
        <v>ON</v>
      </c>
      <c r="C3497" s="88" t="s">
        <v>311</v>
      </c>
      <c r="D3497" s="89">
        <f>IF(C3497="ID",1,(IF(C3497="PR",2,(IF(C3497="DE",3,(IF(C3497="RS",4,(IF(C3497="RC",5,0)))))))))</f>
        <v>3</v>
      </c>
      <c r="E3497" s="89" t="s">
        <v>312</v>
      </c>
      <c r="F3497" s="89">
        <f>IF(E3497="AM",1,(IF(E3497="BE",2,(IF(E3497="GV",3,(IF(E3497="RA",4,(IF(E3497="RM",5,(IF(E3497="AC",1,(IF(E3497="AT",2,(IF(E3497="DS",3,(IF(E3497="IP",4,(IF(E3497="MA",5,(IF(E3497="PT",6,(IF(E3497="AE",1,(IF(E3497="CM",2,(IF(E3497="DP",3,(IF(E3497="AN",1,(IF(E3497="CO",2,(IF(E3497="IM",3,(IF(E3497="MI",4,(IF(E3497="RP",5,(IF(E3497="SC",6,0)))))))))))))))))))))))))))))))))))))))</f>
        <v>1</v>
      </c>
      <c r="G3497" s="52">
        <v>1</v>
      </c>
      <c r="H3497" s="90" t="s">
        <v>115</v>
      </c>
      <c r="I3497" s="93" t="s">
        <v>4107</v>
      </c>
      <c r="J3497" s="86" t="s">
        <v>3958</v>
      </c>
      <c r="K3497" s="101" t="s">
        <v>4360</v>
      </c>
      <c r="L3497" s="117">
        <f>IF(O3497="","",N3497*O3497*M3497)</f>
        <v>0</v>
      </c>
      <c r="M3497" s="108">
        <v>1</v>
      </c>
      <c r="N3497" s="95">
        <v>1</v>
      </c>
      <c r="O3497" s="109">
        <f>IF(Key!D$1="ON",P3497,IF(SUM(Q3497:DL3497)&lt;1,"",SUM(Q3497:DL3497)/COUNTIF(Q3497:DL3497,"&gt;0")))</f>
        <v>0</v>
      </c>
      <c r="P3497" s="109">
        <f>SUMIFS(Q3497:DK3497,Q$1:DK$1,Dashboard!$K$31)</f>
        <v>0</v>
      </c>
      <c r="U3497" s="95">
        <v>33</v>
      </c>
      <c r="AA3497" s="95">
        <v>25</v>
      </c>
      <c r="AH3497" s="95">
        <v>75</v>
      </c>
    </row>
    <row r="3498" spans="1:34" ht="15.6" x14ac:dyDescent="0.3">
      <c r="A3498" s="89" t="str">
        <f>CONCATENATE(D3498,".",F3498,"-",G3498,".",H3498,"")</f>
        <v>3.1-1.1</v>
      </c>
      <c r="B3498" s="89" t="str">
        <f>IF(CONCATENATE(I3498,Key!F$2)=CONCATENATE(INDEX(Dashboard!J:J,MATCH(I3498,Dashboard!J:J,0),1),INDEX(Dashboard!J:K,MATCH(I3498,Dashboard!J:J,0),2)),"ON",IF(Dashboard!K$32="ALL","ON","-"))</f>
        <v>ON</v>
      </c>
      <c r="C3498" s="130" t="s">
        <v>311</v>
      </c>
      <c r="D3498" s="89">
        <f>IF(C3498="ID",1,(IF(C3498="PR",2,(IF(C3498="DE",3,(IF(C3498="RS",4,(IF(C3498="RC",5,0)))))))))</f>
        <v>3</v>
      </c>
      <c r="E3498" s="95" t="s">
        <v>312</v>
      </c>
      <c r="F3498" s="89">
        <f>IF(E3498="AM",1,(IF(E3498="BE",2,(IF(E3498="GV",3,(IF(E3498="RA",4,(IF(E3498="RM",5,(IF(E3498="AC",1,(IF(E3498="AT",2,(IF(E3498="DS",3,(IF(E3498="IP",4,(IF(E3498="MA",5,(IF(E3498="PT",6,(IF(E3498="AE",1,(IF(E3498="CM",2,(IF(E3498="DP",3,(IF(E3498="AN",1,(IF(E3498="CO",2,(IF(E3498="IM",3,(IF(E3498="MI",4,(IF(E3498="RP",5,(IF(E3498="SC",6,0)))))))))))))))))))))))))))))))))))))))</f>
        <v>1</v>
      </c>
      <c r="G3498" s="52">
        <v>1</v>
      </c>
      <c r="H3498" s="90" t="s">
        <v>115</v>
      </c>
      <c r="I3498" s="93" t="s">
        <v>4107</v>
      </c>
      <c r="J3498" s="86" t="s">
        <v>3961</v>
      </c>
      <c r="K3498" s="101" t="s">
        <v>4362</v>
      </c>
      <c r="L3498" s="117">
        <f>IF(O3498="","",N3498*O3498*M3498)</f>
        <v>0</v>
      </c>
      <c r="M3498" s="108">
        <v>1</v>
      </c>
      <c r="N3498" s="95">
        <v>1</v>
      </c>
      <c r="O3498" s="109">
        <f>IF(Key!D$1="ON",P3498,IF(SUM(Q3498:DL3498)&lt;1,"",SUM(Q3498:DL3498)/COUNTIF(Q3498:DL3498,"&gt;0")))</f>
        <v>0</v>
      </c>
      <c r="P3498" s="109">
        <f>SUMIFS(Q3498:DK3498,Q$1:DK$1,Dashboard!$K$31)</f>
        <v>0</v>
      </c>
      <c r="U3498" s="95">
        <v>33</v>
      </c>
      <c r="AA3498" s="95">
        <v>25</v>
      </c>
      <c r="AH3498" s="95">
        <v>75</v>
      </c>
    </row>
    <row r="3499" spans="1:34" x14ac:dyDescent="0.3">
      <c r="A3499" s="89" t="str">
        <f>CONCATENATE(D3499,".",F3499,"-",G3499,".",H3499,"")</f>
        <v>3.1-1.1</v>
      </c>
      <c r="B3499" s="89" t="str">
        <f>IF(CONCATENATE(I3499,Key!F$2)=CONCATENATE(INDEX(Dashboard!J:J,MATCH(I3499,Dashboard!J:J,0),1),INDEX(Dashboard!J:K,MATCH(I3499,Dashboard!J:J,0),2)),"ON",IF(Dashboard!K$32="ALL","ON","-"))</f>
        <v>ON</v>
      </c>
      <c r="C3499" s="130" t="s">
        <v>311</v>
      </c>
      <c r="D3499" s="89">
        <f>IF(C3499="ID",1,(IF(C3499="PR",2,(IF(C3499="DE",3,(IF(C3499="RS",4,(IF(C3499="RC",5,0)))))))))</f>
        <v>3</v>
      </c>
      <c r="E3499" s="95" t="s">
        <v>312</v>
      </c>
      <c r="F3499" s="89">
        <f>IF(E3499="AM",1,(IF(E3499="BE",2,(IF(E3499="GV",3,(IF(E3499="RA",4,(IF(E3499="RM",5,(IF(E3499="AC",1,(IF(E3499="AT",2,(IF(E3499="DS",3,(IF(E3499="IP",4,(IF(E3499="MA",5,(IF(E3499="PT",6,(IF(E3499="AE",1,(IF(E3499="CM",2,(IF(E3499="DP",3,(IF(E3499="AN",1,(IF(E3499="CO",2,(IF(E3499="IM",3,(IF(E3499="MI",4,(IF(E3499="RP",5,(IF(E3499="SC",6,0)))))))))))))))))))))))))))))))))))))))</f>
        <v>1</v>
      </c>
      <c r="G3499" s="52">
        <v>1</v>
      </c>
      <c r="H3499" s="90" t="s">
        <v>115</v>
      </c>
      <c r="I3499" s="93" t="s">
        <v>4107</v>
      </c>
      <c r="J3499" s="86" t="s">
        <v>3983</v>
      </c>
      <c r="K3499" s="101" t="s">
        <v>4438</v>
      </c>
      <c r="L3499" s="117">
        <f>IF(O3499="","",N3499*O3499*M3499)</f>
        <v>0</v>
      </c>
      <c r="M3499" s="108">
        <v>1</v>
      </c>
      <c r="N3499" s="95">
        <v>1</v>
      </c>
      <c r="O3499" s="109">
        <f>IF(Key!D$1="ON",P3499,IF(SUM(Q3499:DL3499)&lt;1,"",SUM(Q3499:DL3499)/COUNTIF(Q3499:DL3499,"&gt;0")))</f>
        <v>0</v>
      </c>
      <c r="P3499" s="109">
        <f>SUMIFS(Q3499:DK3499,Q$1:DK$1,Dashboard!$K$31)</f>
        <v>0</v>
      </c>
      <c r="U3499" s="95">
        <v>33</v>
      </c>
      <c r="AA3499" s="95">
        <v>25</v>
      </c>
      <c r="AH3499" s="95">
        <v>75</v>
      </c>
    </row>
    <row r="3500" spans="1:34" ht="15.6" x14ac:dyDescent="0.3">
      <c r="A3500" s="89" t="str">
        <f>CONCATENATE(D3500,".",F3500,"-",G3500,".",H3500,"")</f>
        <v>3.1-1.1</v>
      </c>
      <c r="B3500" s="89" t="str">
        <f>IF(CONCATENATE(I3500,Key!F$2)=CONCATENATE(INDEX(Dashboard!J:J,MATCH(I3500,Dashboard!J:J,0),1),INDEX(Dashboard!J:K,MATCH(I3500,Dashboard!J:J,0),2)),"ON",IF(Dashboard!K$32="ALL","ON","-"))</f>
        <v>ON</v>
      </c>
      <c r="C3500" s="130" t="s">
        <v>311</v>
      </c>
      <c r="D3500" s="89">
        <f>IF(C3500="ID",1,(IF(C3500="PR",2,(IF(C3500="DE",3,(IF(C3500="RS",4,(IF(C3500="RC",5,0)))))))))</f>
        <v>3</v>
      </c>
      <c r="E3500" s="95" t="s">
        <v>312</v>
      </c>
      <c r="F3500" s="89">
        <f>IF(E3500="AM",1,(IF(E3500="BE",2,(IF(E3500="GV",3,(IF(E3500="RA",4,(IF(E3500="RM",5,(IF(E3500="AC",1,(IF(E3500="AT",2,(IF(E3500="DS",3,(IF(E3500="IP",4,(IF(E3500="MA",5,(IF(E3500="PT",6,(IF(E3500="AE",1,(IF(E3500="CM",2,(IF(E3500="DP",3,(IF(E3500="AN",1,(IF(E3500="CO",2,(IF(E3500="IM",3,(IF(E3500="MI",4,(IF(E3500="RP",5,(IF(E3500="SC",6,0)))))))))))))))))))))))))))))))))))))))</f>
        <v>1</v>
      </c>
      <c r="G3500" s="52">
        <v>1</v>
      </c>
      <c r="H3500" s="90" t="s">
        <v>115</v>
      </c>
      <c r="I3500" s="93" t="s">
        <v>4107</v>
      </c>
      <c r="J3500" s="86" t="s">
        <v>3986</v>
      </c>
      <c r="K3500" s="101" t="s">
        <v>4374</v>
      </c>
      <c r="L3500" s="117">
        <f>IF(O3500="","",N3500*O3500*M3500)</f>
        <v>0</v>
      </c>
      <c r="M3500" s="108">
        <v>1</v>
      </c>
      <c r="N3500" s="95">
        <v>1</v>
      </c>
      <c r="O3500" s="109">
        <f>IF(Key!D$1="ON",P3500,IF(SUM(Q3500:DL3500)&lt;1,"",SUM(Q3500:DL3500)/COUNTIF(Q3500:DL3500,"&gt;0")))</f>
        <v>0</v>
      </c>
      <c r="P3500" s="109">
        <f>SUMIFS(Q3500:DK3500,Q$1:DK$1,Dashboard!$K$31)</f>
        <v>0</v>
      </c>
      <c r="U3500" s="95">
        <v>33</v>
      </c>
      <c r="AA3500" s="95">
        <v>25</v>
      </c>
      <c r="AH3500" s="95">
        <v>75</v>
      </c>
    </row>
    <row r="3501" spans="1:34" ht="15.6" x14ac:dyDescent="0.3">
      <c r="A3501" s="89" t="str">
        <f>CONCATENATE(D3501,".",F3501,"-",G3501,".",H3501,"")</f>
        <v>3.1-1.1</v>
      </c>
      <c r="B3501" s="89" t="str">
        <f>IF(CONCATENATE(I3501,Key!F$2)=CONCATENATE(INDEX(Dashboard!J:J,MATCH(I3501,Dashboard!J:J,0),1),INDEX(Dashboard!J:K,MATCH(I3501,Dashboard!J:J,0),2)),"ON",IF(Dashboard!K$32="ALL","ON","-"))</f>
        <v>-</v>
      </c>
      <c r="C3501" s="88" t="s">
        <v>311</v>
      </c>
      <c r="D3501" s="89">
        <f>IF(C3501="ID",1,(IF(C3501="PR",2,(IF(C3501="DE",3,(IF(C3501="RS",4,(IF(C3501="RC",5,0)))))))))</f>
        <v>3</v>
      </c>
      <c r="E3501" s="89" t="s">
        <v>312</v>
      </c>
      <c r="F3501" s="89">
        <f>IF(E3501="AM",1,(IF(E3501="BE",2,(IF(E3501="GV",3,(IF(E3501="RA",4,(IF(E3501="RM",5,(IF(E3501="AC",1,(IF(E3501="AT",2,(IF(E3501="DS",3,(IF(E3501="IP",4,(IF(E3501="MA",5,(IF(E3501="PT",6,(IF(E3501="AE",1,(IF(E3501="CM",2,(IF(E3501="DP",3,(IF(E3501="AN",1,(IF(E3501="CO",2,(IF(E3501="IM",3,(IF(E3501="MI",4,(IF(E3501="RP",5,(IF(E3501="SC",6,0)))))))))))))))))))))))))))))))))))))))</f>
        <v>1</v>
      </c>
      <c r="G3501" s="52">
        <v>1</v>
      </c>
      <c r="H3501" s="99">
        <v>1</v>
      </c>
      <c r="I3501" s="93" t="s">
        <v>37</v>
      </c>
      <c r="J3501" s="86">
        <v>7.6</v>
      </c>
      <c r="K3501" s="102" t="s">
        <v>3813</v>
      </c>
      <c r="L3501" s="117">
        <f>IF(O3501="","",N3501*O3501*M3501)</f>
        <v>0</v>
      </c>
      <c r="M3501" s="108">
        <v>1</v>
      </c>
      <c r="N3501" s="95">
        <v>1</v>
      </c>
      <c r="O3501" s="109">
        <f>IF(Key!D$1="ON",P3501,IF(SUM(Q3501:DL3501)&lt;1,"",SUM(Q3501:DL3501)/COUNTIF(Q3501:DL3501,"&gt;0")))</f>
        <v>0</v>
      </c>
      <c r="P3501" s="109">
        <f>SUMIFS(Q3501:DK3501,Q$1:DK$1,Dashboard!$K$31)</f>
        <v>0</v>
      </c>
      <c r="U3501" s="95">
        <v>33</v>
      </c>
      <c r="AA3501" s="95">
        <v>25</v>
      </c>
      <c r="AH3501" s="95">
        <v>75</v>
      </c>
    </row>
    <row r="3502" spans="1:34" ht="15.6" x14ac:dyDescent="0.3">
      <c r="A3502" s="89" t="str">
        <f>CONCATENATE(D3502,".",F3502,"-",G3502,".",H3502,"")</f>
        <v>3.1-1.1</v>
      </c>
      <c r="B3502" s="89" t="str">
        <f>IF(CONCATENATE(I3502,Key!F$2)=CONCATENATE(INDEX(Dashboard!J:J,MATCH(I3502,Dashboard!J:J,0),1),INDEX(Dashboard!J:K,MATCH(I3502,Dashboard!J:J,0),2)),"ON",IF(Dashboard!K$32="ALL","ON","-"))</f>
        <v>-</v>
      </c>
      <c r="C3502" s="88" t="s">
        <v>311</v>
      </c>
      <c r="D3502" s="89">
        <f>IF(C3502="ID",1,(IF(C3502="PR",2,(IF(C3502="DE",3,(IF(C3502="RS",4,(IF(C3502="RC",5,0)))))))))</f>
        <v>3</v>
      </c>
      <c r="E3502" s="89" t="s">
        <v>312</v>
      </c>
      <c r="F3502" s="89">
        <f>IF(E3502="AM",1,(IF(E3502="BE",2,(IF(E3502="GV",3,(IF(E3502="RA",4,(IF(E3502="RM",5,(IF(E3502="AC",1,(IF(E3502="AT",2,(IF(E3502="DS",3,(IF(E3502="IP",4,(IF(E3502="MA",5,(IF(E3502="PT",6,(IF(E3502="AE",1,(IF(E3502="CM",2,(IF(E3502="DP",3,(IF(E3502="AN",1,(IF(E3502="CO",2,(IF(E3502="IM",3,(IF(E3502="MI",4,(IF(E3502="RP",5,(IF(E3502="SC",6,0)))))))))))))))))))))))))))))))))))))))</f>
        <v>1</v>
      </c>
      <c r="G3502" s="52">
        <v>1</v>
      </c>
      <c r="H3502" s="99">
        <v>1</v>
      </c>
      <c r="I3502" s="93" t="s">
        <v>41</v>
      </c>
      <c r="J3502" s="86">
        <v>7.5</v>
      </c>
      <c r="K3502" s="103" t="s">
        <v>3506</v>
      </c>
      <c r="L3502" s="117">
        <f>IF(O3502="","",N3502*O3502*M3502)</f>
        <v>0</v>
      </c>
      <c r="M3502" s="108">
        <v>1</v>
      </c>
      <c r="N3502" s="95">
        <v>1</v>
      </c>
      <c r="O3502" s="109">
        <f>IF(Key!D$1="ON",P3502,IF(SUM(Q3502:DL3502)&lt;1,"",SUM(Q3502:DL3502)/COUNTIF(Q3502:DL3502,"&gt;0")))</f>
        <v>0</v>
      </c>
      <c r="P3502" s="109">
        <f>SUMIFS(Q3502:DK3502,Q$1:DK$1,Dashboard!$K$31)</f>
        <v>0</v>
      </c>
      <c r="U3502" s="95">
        <v>33</v>
      </c>
    </row>
    <row r="3503" spans="1:34" ht="15.6" x14ac:dyDescent="0.3">
      <c r="A3503" s="89" t="str">
        <f>CONCATENATE(D3503,".",F3503,"-",G3503,".",H3503,"")</f>
        <v>3.1-1.1</v>
      </c>
      <c r="B3503" s="89" t="str">
        <f>IF(CONCATENATE(I3503,Key!F$2)=CONCATENATE(INDEX(Dashboard!J:J,MATCH(I3503,Dashboard!J:J,0),1),INDEX(Dashboard!J:K,MATCH(I3503,Dashboard!J:J,0),2)),"ON",IF(Dashboard!K$32="ALL","ON","-"))</f>
        <v>-</v>
      </c>
      <c r="C3503" s="96" t="s">
        <v>311</v>
      </c>
      <c r="D3503" s="89">
        <f>IF(C3503="ID",1,(IF(C3503="PR",2,(IF(C3503="DE",3,(IF(C3503="RS",4,(IF(C3503="RC",5,0)))))))))</f>
        <v>3</v>
      </c>
      <c r="E3503" s="89" t="s">
        <v>312</v>
      </c>
      <c r="F3503" s="89">
        <f>IF(E3503="AM",1,(IF(E3503="BE",2,(IF(E3503="GV",3,(IF(E3503="RA",4,(IF(E3503="RM",5,(IF(E3503="AC",1,(IF(E3503="AT",2,(IF(E3503="DS",3,(IF(E3503="IP",4,(IF(E3503="MA",5,(IF(E3503="PT",6,(IF(E3503="AE",1,(IF(E3503="CM",2,(IF(E3503="DP",3,(IF(E3503="AN",1,(IF(E3503="CO",2,(IF(E3503="IM",3,(IF(E3503="MI",4,(IF(E3503="RP",5,(IF(E3503="SC",6,0)))))))))))))))))))))))))))))))))))))))</f>
        <v>1</v>
      </c>
      <c r="G3503" s="52">
        <v>1</v>
      </c>
      <c r="H3503" s="99">
        <v>1</v>
      </c>
      <c r="I3503" s="93" t="s">
        <v>41</v>
      </c>
      <c r="J3503" s="86">
        <v>12.6</v>
      </c>
      <c r="K3503" s="103" t="s">
        <v>3548</v>
      </c>
      <c r="L3503" s="117">
        <f>IF(O3503="","",N3503*O3503*M3503)</f>
        <v>0</v>
      </c>
      <c r="M3503" s="108">
        <v>1</v>
      </c>
      <c r="N3503" s="95">
        <v>1</v>
      </c>
      <c r="O3503" s="109">
        <f>IF(Key!D$1="ON",P3503,IF(SUM(Q3503:DL3503)&lt;1,"",SUM(Q3503:DL3503)/COUNTIF(Q3503:DL3503,"&gt;0")))</f>
        <v>0</v>
      </c>
      <c r="P3503" s="109">
        <f>SUMIFS(Q3503:DK3503,Q$1:DK$1,Dashboard!$K$31)</f>
        <v>0</v>
      </c>
      <c r="U3503" s="95">
        <v>33</v>
      </c>
    </row>
    <row r="3504" spans="1:34" x14ac:dyDescent="0.3">
      <c r="A3504" s="89" t="str">
        <f>CONCATENATE(D3504,".",F3504,"-",G3504,".",H3504,"")</f>
        <v>3.1-1.1</v>
      </c>
      <c r="B3504" s="89" t="str">
        <f>IF(CONCATENATE(I3504,Key!F$2)=CONCATENATE(INDEX(Dashboard!J:J,MATCH(I3504,Dashboard!J:J,0),1),INDEX(Dashboard!J:K,MATCH(I3504,Dashboard!J:J,0),2)),"ON",IF(Dashboard!K$32="ALL","ON","-"))</f>
        <v>-</v>
      </c>
      <c r="C3504" s="96" t="s">
        <v>311</v>
      </c>
      <c r="D3504" s="89">
        <f>IF(C3504="ID",1,(IF(C3504="PR",2,(IF(C3504="DE",3,(IF(C3504="RS",4,(IF(C3504="RC",5,0)))))))))</f>
        <v>3</v>
      </c>
      <c r="E3504" s="89" t="s">
        <v>312</v>
      </c>
      <c r="F3504" s="89">
        <f>IF(E3504="AM",1,(IF(E3504="BE",2,(IF(E3504="GV",3,(IF(E3504="RA",4,(IF(E3504="RM",5,(IF(E3504="AC",1,(IF(E3504="AT",2,(IF(E3504="DS",3,(IF(E3504="IP",4,(IF(E3504="MA",5,(IF(E3504="PT",6,(IF(E3504="AE",1,(IF(E3504="CM",2,(IF(E3504="DP",3,(IF(E3504="AN",1,(IF(E3504="CO",2,(IF(E3504="IM",3,(IF(E3504="MI",4,(IF(E3504="RP",5,(IF(E3504="SC",6,0)))))))))))))))))))))))))))))))))))))))</f>
        <v>1</v>
      </c>
      <c r="G3504" s="52">
        <v>1</v>
      </c>
      <c r="H3504" s="99">
        <v>1</v>
      </c>
      <c r="I3504" s="93" t="s">
        <v>41</v>
      </c>
      <c r="J3504" s="86">
        <v>12.7</v>
      </c>
      <c r="K3504" s="103" t="s">
        <v>3549</v>
      </c>
      <c r="L3504" s="117">
        <f>IF(O3504="","",N3504*O3504*M3504)</f>
        <v>0</v>
      </c>
      <c r="M3504" s="108">
        <v>1</v>
      </c>
      <c r="N3504" s="95">
        <v>1</v>
      </c>
      <c r="O3504" s="109">
        <f>IF(Key!D$1="ON",P3504,IF(SUM(Q3504:DL3504)&lt;1,"",SUM(Q3504:DL3504)/COUNTIF(Q3504:DL3504,"&gt;0")))</f>
        <v>0</v>
      </c>
      <c r="P3504" s="109">
        <f>SUMIFS(Q3504:DK3504,Q$1:DK$1,Dashboard!$K$31)</f>
        <v>0</v>
      </c>
      <c r="U3504" s="95">
        <v>33</v>
      </c>
    </row>
    <row r="3505" spans="1:34" ht="15.6" x14ac:dyDescent="0.3">
      <c r="A3505" s="89" t="str">
        <f>CONCATENATE(D3505,".",F3505,"-",G3505,".",H3505,"")</f>
        <v>3.1-1.1</v>
      </c>
      <c r="B3505" s="89" t="str">
        <f>IF(CONCATENATE(I3505,Key!F$2)=CONCATENATE(INDEX(Dashboard!J:J,MATCH(I3505,Dashboard!J:J,0),1),INDEX(Dashboard!J:K,MATCH(I3505,Dashboard!J:J,0),2)),"ON",IF(Dashboard!K$32="ALL","ON","-"))</f>
        <v>-</v>
      </c>
      <c r="C3505" s="88" t="s">
        <v>311</v>
      </c>
      <c r="D3505" s="89">
        <f>IF(C3505="ID",1,(IF(C3505="PR",2,(IF(C3505="DE",3,(IF(C3505="RS",4,(IF(C3505="RC",5,0)))))))))</f>
        <v>3</v>
      </c>
      <c r="E3505" s="89" t="s">
        <v>312</v>
      </c>
      <c r="F3505" s="89">
        <f>IF(E3505="AM",1,(IF(E3505="BE",2,(IF(E3505="GV",3,(IF(E3505="RA",4,(IF(E3505="RM",5,(IF(E3505="AC",1,(IF(E3505="AT",2,(IF(E3505="DS",3,(IF(E3505="IP",4,(IF(E3505="MA",5,(IF(E3505="PT",6,(IF(E3505="AE",1,(IF(E3505="CM",2,(IF(E3505="DP",3,(IF(E3505="AN",1,(IF(E3505="CO",2,(IF(E3505="IM",3,(IF(E3505="MI",4,(IF(E3505="RP",5,(IF(E3505="SC",6,0)))))))))))))))))))))))))))))))))))))))</f>
        <v>1</v>
      </c>
      <c r="G3505" s="52">
        <v>1</v>
      </c>
      <c r="H3505" s="89">
        <v>1</v>
      </c>
      <c r="I3505" s="93" t="s">
        <v>60</v>
      </c>
      <c r="J3505" s="88" t="s">
        <v>3196</v>
      </c>
      <c r="K3505" s="51" t="s">
        <v>5309</v>
      </c>
      <c r="L3505" s="117">
        <f>IF(O3505="","",N3505*O3505*M3505)</f>
        <v>0</v>
      </c>
      <c r="M3505" s="108">
        <v>1</v>
      </c>
      <c r="N3505" s="95">
        <v>1</v>
      </c>
      <c r="O3505" s="109">
        <f>IF(Key!D$1="ON",P3505,IF(SUM(Q3505:DL3505)&lt;1,"",SUM(Q3505:DL3505)/COUNTIF(Q3505:DL3505,"&gt;0")))</f>
        <v>0</v>
      </c>
      <c r="P3505" s="109">
        <f>SUMIFS(Q3505:DK3505,Q$1:DK$1,Dashboard!$K$31)</f>
        <v>0</v>
      </c>
      <c r="U3505" s="95">
        <v>33</v>
      </c>
      <c r="AA3505" s="95">
        <v>25</v>
      </c>
      <c r="AH3505" s="95">
        <v>75</v>
      </c>
    </row>
    <row r="3506" spans="1:34" ht="15.6" x14ac:dyDescent="0.3">
      <c r="A3506" s="89" t="str">
        <f>CONCATENATE(D3506,".",F3506,"-",G3506,".",H3506,"")</f>
        <v>3.1-1.1</v>
      </c>
      <c r="B3506" s="89" t="str">
        <f>IF(CONCATENATE(I3506,Key!F$2)=CONCATENATE(INDEX(Dashboard!J:J,MATCH(I3506,Dashboard!J:J,0),1),INDEX(Dashboard!J:K,MATCH(I3506,Dashboard!J:J,0),2)),"ON",IF(Dashboard!K$32="ALL","ON","-"))</f>
        <v>-</v>
      </c>
      <c r="C3506" s="88" t="s">
        <v>311</v>
      </c>
      <c r="D3506" s="89">
        <f>IF(C3506="ID",1,(IF(C3506="PR",2,(IF(C3506="DE",3,(IF(C3506="RS",4,(IF(C3506="RC",5,0)))))))))</f>
        <v>3</v>
      </c>
      <c r="E3506" s="89" t="s">
        <v>153</v>
      </c>
      <c r="F3506" s="89">
        <f>IF(E3506="AM",1,(IF(E3506="BE",2,(IF(E3506="GV",3,(IF(E3506="RA",4,(IF(E3506="RM",5,(IF(E3506="AC",1,(IF(E3506="AT",2,(IF(E3506="DS",3,(IF(E3506="IP",4,(IF(E3506="MA",5,(IF(E3506="PT",6,(IF(E3506="AE",1,(IF(E3506="CM",2,(IF(E3506="DP",3,(IF(E3506="AN",1,(IF(E3506="CO",2,(IF(E3506="IM",3,(IF(E3506="MI",4,(IF(E3506="RP",5,(IF(E3506="SC",6,0)))))))))))))))))))))))))))))))))))))))</f>
        <v>1</v>
      </c>
      <c r="G3506" s="52">
        <v>1</v>
      </c>
      <c r="H3506" s="90" t="s">
        <v>115</v>
      </c>
      <c r="I3506" s="93" t="s">
        <v>64</v>
      </c>
      <c r="J3506" s="87" t="s">
        <v>1814</v>
      </c>
      <c r="K3506" s="102" t="s">
        <v>2724</v>
      </c>
      <c r="L3506" s="117">
        <f>IF(O3506="","",N3506*O3506*M3506)</f>
        <v>0</v>
      </c>
      <c r="M3506" s="108">
        <v>1</v>
      </c>
      <c r="N3506" s="95">
        <v>1</v>
      </c>
      <c r="O3506" s="109">
        <f>IF(Key!D$1="ON",P3506,IF(SUM(Q3506:DL3506)&lt;1,"",SUM(Q3506:DL3506)/COUNTIF(Q3506:DL3506,"&gt;0")))</f>
        <v>0</v>
      </c>
      <c r="P3506" s="109">
        <f>SUMIFS(Q3506:DK3506,Q$1:DK$1,Dashboard!$K$31)</f>
        <v>0</v>
      </c>
      <c r="U3506" s="95">
        <v>33</v>
      </c>
      <c r="AA3506" s="95">
        <v>25</v>
      </c>
      <c r="AH3506" s="95">
        <v>75</v>
      </c>
    </row>
    <row r="3507" spans="1:34" ht="15.6" x14ac:dyDescent="0.3">
      <c r="A3507" s="89" t="str">
        <f>CONCATENATE(D3507,".",F3507,"-",G3507,".",H3507,"")</f>
        <v>3.1-1.1</v>
      </c>
      <c r="B3507" s="89" t="str">
        <f>IF(CONCATENATE(I3507,Key!F$2)=CONCATENATE(INDEX(Dashboard!J:J,MATCH(I3507,Dashboard!J:J,0),1),INDEX(Dashboard!J:K,MATCH(I3507,Dashboard!J:J,0),2)),"ON",IF(Dashboard!K$32="ALL","ON","-"))</f>
        <v>-</v>
      </c>
      <c r="C3507" s="88" t="s">
        <v>311</v>
      </c>
      <c r="D3507" s="89">
        <f>IF(C3507="ID",1,(IF(C3507="PR",2,(IF(C3507="DE",3,(IF(C3507="RS",4,(IF(C3507="RC",5,0)))))))))</f>
        <v>3</v>
      </c>
      <c r="E3507" s="89" t="s">
        <v>312</v>
      </c>
      <c r="F3507" s="89">
        <f>IF(E3507="AM",1,(IF(E3507="BE",2,(IF(E3507="GV",3,(IF(E3507="RA",4,(IF(E3507="RM",5,(IF(E3507="AC",1,(IF(E3507="AT",2,(IF(E3507="DS",3,(IF(E3507="IP",4,(IF(E3507="MA",5,(IF(E3507="PT",6,(IF(E3507="AE",1,(IF(E3507="CM",2,(IF(E3507="DP",3,(IF(E3507="AN",1,(IF(E3507="CO",2,(IF(E3507="IM",3,(IF(E3507="MI",4,(IF(E3507="RP",5,(IF(E3507="SC",6,0)))))))))))))))))))))))))))))))))))))))</f>
        <v>1</v>
      </c>
      <c r="G3507" s="52">
        <v>1</v>
      </c>
      <c r="H3507" s="90" t="s">
        <v>115</v>
      </c>
      <c r="I3507" s="93" t="s">
        <v>77</v>
      </c>
      <c r="J3507" s="87" t="s">
        <v>1812</v>
      </c>
      <c r="K3507" s="102" t="s">
        <v>2723</v>
      </c>
      <c r="L3507" s="117">
        <f>IF(O3507="","",N3507*O3507*M3507)</f>
        <v>0</v>
      </c>
      <c r="M3507" s="108">
        <v>1</v>
      </c>
      <c r="N3507" s="95">
        <v>1</v>
      </c>
      <c r="O3507" s="109">
        <f>IF(Key!D$1="ON",P3507,IF(SUM(Q3507:DL3507)&lt;1,"",SUM(Q3507:DL3507)/COUNTIF(Q3507:DL3507,"&gt;0")))</f>
        <v>0</v>
      </c>
      <c r="P3507" s="109">
        <f>SUMIFS(Q3507:DK3507,Q$1:DK$1,Dashboard!$K$31)</f>
        <v>0</v>
      </c>
      <c r="U3507" s="95">
        <v>33</v>
      </c>
      <c r="AA3507" s="95">
        <v>25</v>
      </c>
      <c r="AH3507" s="95">
        <v>75</v>
      </c>
    </row>
    <row r="3508" spans="1:34" ht="15.6" x14ac:dyDescent="0.3">
      <c r="A3508" s="89" t="str">
        <f>CONCATENATE(D3508,".",F3508,"-",G3508,".",H3508,"")</f>
        <v>3.1-1.1</v>
      </c>
      <c r="B3508" s="89" t="str">
        <f>IF(CONCATENATE(I3508,Key!F$2)=CONCATENATE(INDEX(Dashboard!J:J,MATCH(I3508,Dashboard!J:J,0),1),INDEX(Dashboard!J:K,MATCH(I3508,Dashboard!J:J,0),2)),"ON",IF(Dashboard!K$32="ALL","ON","-"))</f>
        <v>-</v>
      </c>
      <c r="C3508" s="88" t="s">
        <v>311</v>
      </c>
      <c r="D3508" s="89">
        <f>IF(C3508="ID",1,(IF(C3508="PR",2,(IF(C3508="DE",3,(IF(C3508="RS",4,(IF(C3508="RC",5,0)))))))))</f>
        <v>3</v>
      </c>
      <c r="E3508" s="89" t="s">
        <v>312</v>
      </c>
      <c r="F3508" s="89">
        <f>IF(E3508="AM",1,(IF(E3508="BE",2,(IF(E3508="GV",3,(IF(E3508="RA",4,(IF(E3508="RM",5,(IF(E3508="AC",1,(IF(E3508="AT",2,(IF(E3508="DS",3,(IF(E3508="IP",4,(IF(E3508="MA",5,(IF(E3508="PT",6,(IF(E3508="AE",1,(IF(E3508="CM",2,(IF(E3508="DP",3,(IF(E3508="AN",1,(IF(E3508="CO",2,(IF(E3508="IM",3,(IF(E3508="MI",4,(IF(E3508="RP",5,(IF(E3508="SC",6,0)))))))))))))))))))))))))))))))))))))))</f>
        <v>1</v>
      </c>
      <c r="G3508" s="52">
        <v>1</v>
      </c>
      <c r="H3508" s="90" t="s">
        <v>115</v>
      </c>
      <c r="I3508" s="93" t="s">
        <v>85</v>
      </c>
      <c r="J3508" s="86" t="s">
        <v>825</v>
      </c>
      <c r="K3508" s="119" t="s">
        <v>826</v>
      </c>
      <c r="L3508" s="117">
        <f>IF(O3508="","",N3508*O3508*M3508)</f>
        <v>0</v>
      </c>
      <c r="M3508" s="108">
        <v>1</v>
      </c>
      <c r="N3508" s="95">
        <v>1</v>
      </c>
      <c r="O3508" s="109">
        <f>IF(Key!D$1="ON",P3508,IF(SUM(Q3508:DL3508)&lt;1,"",SUM(Q3508:DL3508)/COUNTIF(Q3508:DL3508,"&gt;0")))</f>
        <v>0</v>
      </c>
      <c r="P3508" s="109">
        <f>SUMIFS(Q3508:DK3508,Q$1:DK$1,Dashboard!$K$31)</f>
        <v>0</v>
      </c>
      <c r="U3508" s="95">
        <v>33</v>
      </c>
      <c r="AA3508" s="95">
        <v>25</v>
      </c>
      <c r="AH3508" s="95">
        <v>75</v>
      </c>
    </row>
    <row r="3509" spans="1:34" x14ac:dyDescent="0.3">
      <c r="A3509" s="89" t="str">
        <f>CONCATENATE(D3509,".",F3509,"-",G3509,".",H3509,"")</f>
        <v>3.1-1.1</v>
      </c>
      <c r="B3509" s="89" t="str">
        <f>IF(CONCATENATE(I3509,Key!F$2)=CONCATENATE(INDEX(Dashboard!J:J,MATCH(I3509,Dashboard!J:J,0),1),INDEX(Dashboard!J:K,MATCH(I3509,Dashboard!J:J,0),2)),"ON",IF(Dashboard!K$32="ALL","ON","-"))</f>
        <v>-</v>
      </c>
      <c r="C3509" s="96" t="s">
        <v>311</v>
      </c>
      <c r="D3509" s="89">
        <f>IF(C3509="ID",1,(IF(C3509="PR",2,(IF(C3509="DE",3,(IF(C3509="RS",4,(IF(C3509="RC",5,0)))))))))</f>
        <v>3</v>
      </c>
      <c r="E3509" s="89" t="s">
        <v>312</v>
      </c>
      <c r="F3509" s="89">
        <f>IF(E3509="AM",1,(IF(E3509="BE",2,(IF(E3509="GV",3,(IF(E3509="RA",4,(IF(E3509="RM",5,(IF(E3509="AC",1,(IF(E3509="AT",2,(IF(E3509="DS",3,(IF(E3509="IP",4,(IF(E3509="MA",5,(IF(E3509="PT",6,(IF(E3509="AE",1,(IF(E3509="CM",2,(IF(E3509="DP",3,(IF(E3509="AN",1,(IF(E3509="CO",2,(IF(E3509="IM",3,(IF(E3509="MI",4,(IF(E3509="RP",5,(IF(E3509="SC",6,0)))))))))))))))))))))))))))))))))))))))</f>
        <v>1</v>
      </c>
      <c r="G3509" s="52">
        <v>1</v>
      </c>
      <c r="H3509" s="89">
        <v>1</v>
      </c>
      <c r="I3509" s="93" t="s">
        <v>85</v>
      </c>
      <c r="J3509" s="86" t="s">
        <v>841</v>
      </c>
      <c r="K3509" s="119" t="s">
        <v>5085</v>
      </c>
      <c r="L3509" s="117">
        <f>IF(O3509="","",N3509*O3509*M3509)</f>
        <v>0</v>
      </c>
      <c r="M3509" s="108">
        <v>1</v>
      </c>
      <c r="N3509" s="95">
        <v>1</v>
      </c>
      <c r="O3509" s="109">
        <f>IF(Key!D$1="ON",P3509,IF(SUM(Q3509:DL3509)&lt;1,"",SUM(Q3509:DL3509)/COUNTIF(Q3509:DL3509,"&gt;0")))</f>
        <v>0</v>
      </c>
      <c r="P3509" s="109">
        <f>SUMIFS(Q3509:DK3509,Q$1:DK$1,Dashboard!$K$31)</f>
        <v>0</v>
      </c>
      <c r="U3509" s="95">
        <v>33</v>
      </c>
      <c r="AA3509" s="95">
        <v>25</v>
      </c>
      <c r="AH3509" s="95">
        <v>75</v>
      </c>
    </row>
    <row r="3510" spans="1:34" x14ac:dyDescent="0.3">
      <c r="A3510" s="89" t="str">
        <f>CONCATENATE(D3510,".",F3510,"-",G3510,".",H3510,"")</f>
        <v>3.1-1.1</v>
      </c>
      <c r="B3510" s="89" t="str">
        <f>IF(CONCATENATE(I3510,Key!F$2)=CONCATENATE(INDEX(Dashboard!J:J,MATCH(I3510,Dashboard!J:J,0),1),INDEX(Dashboard!J:K,MATCH(I3510,Dashboard!J:J,0),2)),"ON",IF(Dashboard!K$32="ALL","ON","-"))</f>
        <v>-</v>
      </c>
      <c r="C3510" s="88" t="s">
        <v>311</v>
      </c>
      <c r="D3510" s="89">
        <f>IF(C3510="ID",1,(IF(C3510="PR",2,(IF(C3510="DE",3,(IF(C3510="RS",4,(IF(C3510="RC",5,0)))))))))</f>
        <v>3</v>
      </c>
      <c r="E3510" s="89" t="s">
        <v>312</v>
      </c>
      <c r="F3510" s="89">
        <f>IF(E3510="AM",1,(IF(E3510="BE",2,(IF(E3510="GV",3,(IF(E3510="RA",4,(IF(E3510="RM",5,(IF(E3510="AC",1,(IF(E3510="AT",2,(IF(E3510="DS",3,(IF(E3510="IP",4,(IF(E3510="MA",5,(IF(E3510="PT",6,(IF(E3510="AE",1,(IF(E3510="CM",2,(IF(E3510="DP",3,(IF(E3510="AN",1,(IF(E3510="CO",2,(IF(E3510="IM",3,(IF(E3510="MI",4,(IF(E3510="RP",5,(IF(E3510="SC",6,0)))))))))))))))))))))))))))))))))))))))</f>
        <v>1</v>
      </c>
      <c r="G3510" s="52">
        <v>1</v>
      </c>
      <c r="H3510" s="90" t="s">
        <v>115</v>
      </c>
      <c r="I3510" s="93" t="s">
        <v>85</v>
      </c>
      <c r="J3510" s="87" t="s">
        <v>1812</v>
      </c>
      <c r="K3510" s="119" t="s">
        <v>1813</v>
      </c>
      <c r="L3510" s="117">
        <f>IF(O3510="","",N3510*O3510*M3510)</f>
        <v>0</v>
      </c>
      <c r="M3510" s="108">
        <v>1</v>
      </c>
      <c r="N3510" s="95">
        <v>1</v>
      </c>
      <c r="O3510" s="109">
        <f>IF(Key!D$1="ON",P3510,IF(SUM(Q3510:DL3510)&lt;1,"",SUM(Q3510:DL3510)/COUNTIF(Q3510:DL3510,"&gt;0")))</f>
        <v>0</v>
      </c>
      <c r="P3510" s="109">
        <f>SUMIFS(Q3510:DK3510,Q$1:DK$1,Dashboard!$K$31)</f>
        <v>0</v>
      </c>
      <c r="U3510" s="95">
        <v>33</v>
      </c>
      <c r="AA3510" s="95">
        <v>25</v>
      </c>
      <c r="AH3510" s="95">
        <v>75</v>
      </c>
    </row>
    <row r="3511" spans="1:34" x14ac:dyDescent="0.3">
      <c r="A3511" s="89" t="str">
        <f>CONCATENATE(D3511,".",F3511,"-",G3511,".",H3511,"")</f>
        <v>3.1-1.1</v>
      </c>
      <c r="B3511" s="89" t="str">
        <f>IF(CONCATENATE(I3511,Key!F$2)=CONCATENATE(INDEX(Dashboard!J:J,MATCH(I3511,Dashboard!J:J,0),1),INDEX(Dashboard!J:K,MATCH(I3511,Dashboard!J:J,0),2)),"ON",IF(Dashboard!K$32="ALL","ON","-"))</f>
        <v>-</v>
      </c>
      <c r="C3511" s="88" t="s">
        <v>311</v>
      </c>
      <c r="D3511" s="89">
        <f>IF(C3511="ID",1,(IF(C3511="PR",2,(IF(C3511="DE",3,(IF(C3511="RS",4,(IF(C3511="RC",5,0)))))))))</f>
        <v>3</v>
      </c>
      <c r="E3511" s="89" t="s">
        <v>312</v>
      </c>
      <c r="F3511" s="89">
        <f>IF(E3511="AM",1,(IF(E3511="BE",2,(IF(E3511="GV",3,(IF(E3511="RA",4,(IF(E3511="RM",5,(IF(E3511="AC",1,(IF(E3511="AT",2,(IF(E3511="DS",3,(IF(E3511="IP",4,(IF(E3511="MA",5,(IF(E3511="PT",6,(IF(E3511="AE",1,(IF(E3511="CM",2,(IF(E3511="DP",3,(IF(E3511="AN",1,(IF(E3511="CO",2,(IF(E3511="IM",3,(IF(E3511="MI",4,(IF(E3511="RP",5,(IF(E3511="SC",6,0)))))))))))))))))))))))))))))))))))))))</f>
        <v>1</v>
      </c>
      <c r="G3511" s="52">
        <v>1</v>
      </c>
      <c r="H3511" s="90" t="s">
        <v>115</v>
      </c>
      <c r="I3511" s="93" t="s">
        <v>85</v>
      </c>
      <c r="J3511" s="86" t="s">
        <v>647</v>
      </c>
      <c r="K3511" s="119" t="s">
        <v>4541</v>
      </c>
      <c r="L3511" s="117">
        <f>IF(O3511="","",N3511*O3511*M3511)</f>
        <v>0</v>
      </c>
      <c r="M3511" s="108">
        <v>1</v>
      </c>
      <c r="N3511" s="95">
        <v>1</v>
      </c>
      <c r="O3511" s="109">
        <f>IF(Key!D$1="ON",P3511,IF(SUM(Q3511:DL3511)&lt;1,"",SUM(Q3511:DL3511)/COUNTIF(Q3511:DL3511,"&gt;0")))</f>
        <v>0</v>
      </c>
      <c r="P3511" s="109">
        <f>SUMIFS(Q3511:DK3511,Q$1:DK$1,Dashboard!$K$31)</f>
        <v>0</v>
      </c>
      <c r="U3511" s="95">
        <v>33</v>
      </c>
      <c r="AA3511" s="95">
        <v>25</v>
      </c>
      <c r="AH3511" s="95">
        <v>75</v>
      </c>
    </row>
    <row r="3512" spans="1:34" x14ac:dyDescent="0.3">
      <c r="A3512" s="89" t="str">
        <f>CONCATENATE(D3512,".",F3512,"-",G3512,".",H3512,"")</f>
        <v>3.1-1.1</v>
      </c>
      <c r="B3512" s="89" t="str">
        <f>IF(CONCATENATE(I3512,Key!F$2)=CONCATENATE(INDEX(Dashboard!J:J,MATCH(I3512,Dashboard!J:J,0),1),INDEX(Dashboard!J:K,MATCH(I3512,Dashboard!J:J,0),2)),"ON",IF(Dashboard!K$32="ALL","ON","-"))</f>
        <v>-</v>
      </c>
      <c r="C3512" s="96" t="s">
        <v>311</v>
      </c>
      <c r="D3512" s="89">
        <f>IF(C3512="ID",1,(IF(C3512="PR",2,(IF(C3512="DE",3,(IF(C3512="RS",4,(IF(C3512="RC",5,0)))))))))</f>
        <v>3</v>
      </c>
      <c r="E3512" s="89" t="s">
        <v>312</v>
      </c>
      <c r="F3512" s="89">
        <f>IF(E3512="AM",1,(IF(E3512="BE",2,(IF(E3512="GV",3,(IF(E3512="RA",4,(IF(E3512="RM",5,(IF(E3512="AC",1,(IF(E3512="AT",2,(IF(E3512="DS",3,(IF(E3512="IP",4,(IF(E3512="MA",5,(IF(E3512="PT",6,(IF(E3512="AE",1,(IF(E3512="CM",2,(IF(E3512="DP",3,(IF(E3512="AN",1,(IF(E3512="CO",2,(IF(E3512="IM",3,(IF(E3512="MI",4,(IF(E3512="RP",5,(IF(E3512="SC",6,0)))))))))))))))))))))))))))))))))))))))</f>
        <v>1</v>
      </c>
      <c r="G3512" s="52">
        <v>1</v>
      </c>
      <c r="H3512" s="89">
        <v>1</v>
      </c>
      <c r="I3512" s="93" t="s">
        <v>85</v>
      </c>
      <c r="J3512" s="86" t="s">
        <v>839</v>
      </c>
      <c r="K3512" s="119" t="s">
        <v>840</v>
      </c>
      <c r="L3512" s="117">
        <f>IF(O3512="","",N3512*O3512*M3512)</f>
        <v>0</v>
      </c>
      <c r="M3512" s="108">
        <v>1</v>
      </c>
      <c r="N3512" s="95">
        <v>1</v>
      </c>
      <c r="O3512" s="109">
        <f>IF(Key!D$1="ON",P3512,IF(SUM(Q3512:DL3512)&lt;1,"",SUM(Q3512:DL3512)/COUNTIF(Q3512:DL3512,"&gt;0")))</f>
        <v>0</v>
      </c>
      <c r="P3512" s="109">
        <f>SUMIFS(Q3512:DK3512,Q$1:DK$1,Dashboard!$K$31)</f>
        <v>0</v>
      </c>
      <c r="U3512" s="95">
        <v>33</v>
      </c>
      <c r="AA3512" s="95">
        <v>25</v>
      </c>
      <c r="AH3512" s="95">
        <v>75</v>
      </c>
    </row>
    <row r="3513" spans="1:34" ht="15.6" x14ac:dyDescent="0.3">
      <c r="A3513" s="89" t="str">
        <f>CONCATENATE(D3513,".",F3513,"-",G3513,".",H3513,"")</f>
        <v>3.1-1.1</v>
      </c>
      <c r="B3513" s="89" t="str">
        <f>IF(CONCATENATE(I3513,Key!F$2)=CONCATENATE(INDEX(Dashboard!J:J,MATCH(I3513,Dashboard!J:J,0),1),INDEX(Dashboard!J:K,MATCH(I3513,Dashboard!J:J,0),2)),"ON",IF(Dashboard!K$32="ALL","ON","-"))</f>
        <v>-</v>
      </c>
      <c r="C3513" s="96" t="s">
        <v>311</v>
      </c>
      <c r="D3513" s="89">
        <f>IF(C3513="ID",1,(IF(C3513="PR",2,(IF(C3513="DE",3,(IF(C3513="RS",4,(IF(C3513="RC",5,0)))))))))</f>
        <v>3</v>
      </c>
      <c r="E3513" s="89" t="s">
        <v>312</v>
      </c>
      <c r="F3513" s="89">
        <f>IF(E3513="AM",1,(IF(E3513="BE",2,(IF(E3513="GV",3,(IF(E3513="RA",4,(IF(E3513="RM",5,(IF(E3513="AC",1,(IF(E3513="AT",2,(IF(E3513="DS",3,(IF(E3513="IP",4,(IF(E3513="MA",5,(IF(E3513="PT",6,(IF(E3513="AE",1,(IF(E3513="CM",2,(IF(E3513="DP",3,(IF(E3513="AN",1,(IF(E3513="CO",2,(IF(E3513="IM",3,(IF(E3513="MI",4,(IF(E3513="RP",5,(IF(E3513="SC",6,0)))))))))))))))))))))))))))))))))))))))</f>
        <v>1</v>
      </c>
      <c r="G3513" s="52">
        <v>1</v>
      </c>
      <c r="H3513" s="90" t="s">
        <v>115</v>
      </c>
      <c r="I3513" s="93" t="s">
        <v>92</v>
      </c>
      <c r="J3513" s="87">
        <v>11.1</v>
      </c>
      <c r="K3513" s="102" t="s">
        <v>5226</v>
      </c>
      <c r="L3513" s="117">
        <f>IF(O3513="","",N3513*O3513*M3513)</f>
        <v>0</v>
      </c>
      <c r="M3513" s="108">
        <v>1</v>
      </c>
      <c r="N3513" s="95">
        <v>1</v>
      </c>
      <c r="O3513" s="109">
        <f>IF(Key!D$1="ON",P3513,IF(SUM(Q3513:DL3513)&lt;1,"",SUM(Q3513:DL3513)/COUNTIF(Q3513:DL3513,"&gt;0")))</f>
        <v>0</v>
      </c>
      <c r="P3513" s="109">
        <f>SUMIFS(Q3513:DK3513,Q$1:DK$1,Dashboard!$K$31)</f>
        <v>0</v>
      </c>
      <c r="U3513" s="95">
        <v>33</v>
      </c>
      <c r="AA3513" s="95">
        <v>25</v>
      </c>
      <c r="AH3513" s="95">
        <v>75</v>
      </c>
    </row>
    <row r="3514" spans="1:34" x14ac:dyDescent="0.3">
      <c r="A3514" s="89" t="str">
        <f>CONCATENATE(D3514,".",F3514,"-",G3514,".",H3514,"")</f>
        <v>3.1-1.5</v>
      </c>
      <c r="B3514" s="89" t="str">
        <f>IF(CONCATENATE(I3514,Key!F$2)=CONCATENATE(INDEX(Dashboard!J:J,MATCH(I3514,Dashboard!J:J,0),1),INDEX(Dashboard!J:K,MATCH(I3514,Dashboard!J:J,0),2)),"ON",IF(Dashboard!K$32="ALL","ON","-"))</f>
        <v>-</v>
      </c>
      <c r="C3514" s="88" t="s">
        <v>311</v>
      </c>
      <c r="D3514" s="89">
        <f>IF(C3514="ID",1,(IF(C3514="PR",2,(IF(C3514="DE",3,(IF(C3514="RS",4,(IF(C3514="RC",5,0)))))))))</f>
        <v>3</v>
      </c>
      <c r="E3514" s="89" t="s">
        <v>153</v>
      </c>
      <c r="F3514" s="89">
        <f>IF(E3514="AM",1,(IF(E3514="BE",2,(IF(E3514="GV",3,(IF(E3514="RA",4,(IF(E3514="RM",5,(IF(E3514="AC",1,(IF(E3514="AT",2,(IF(E3514="DS",3,(IF(E3514="IP",4,(IF(E3514="MA",5,(IF(E3514="PT",6,(IF(E3514="AE",1,(IF(E3514="CM",2,(IF(E3514="DP",3,(IF(E3514="AN",1,(IF(E3514="CO",2,(IF(E3514="IM",3,(IF(E3514="MI",4,(IF(E3514="RP",5,(IF(E3514="SC",6,0)))))))))))))))))))))))))))))))))))))))</f>
        <v>1</v>
      </c>
      <c r="G3514" s="52">
        <v>1</v>
      </c>
      <c r="H3514" s="90" t="s">
        <v>123</v>
      </c>
      <c r="I3514" s="93" t="s">
        <v>77</v>
      </c>
      <c r="J3514" s="87" t="s">
        <v>1814</v>
      </c>
      <c r="K3514" s="102" t="s">
        <v>2724</v>
      </c>
      <c r="L3514" s="117">
        <f>IF(O3514="","",N3514*O3514*M3514)</f>
        <v>0</v>
      </c>
      <c r="M3514" s="108">
        <v>1</v>
      </c>
      <c r="N3514" s="95">
        <v>1</v>
      </c>
      <c r="O3514" s="109">
        <f>IF(Key!D$1="ON",P3514,IF(SUM(Q3514:DL3514)&lt;1,"",SUM(Q3514:DL3514)/COUNTIF(Q3514:DL3514,"&gt;0")))</f>
        <v>0</v>
      </c>
      <c r="P3514" s="109">
        <f>SUMIFS(Q3514:DK3514,Q$1:DK$1,Dashboard!$K$31)</f>
        <v>0</v>
      </c>
      <c r="U3514" s="95">
        <v>33</v>
      </c>
      <c r="AA3514" s="95">
        <v>25</v>
      </c>
      <c r="AH3514" s="95">
        <v>75</v>
      </c>
    </row>
    <row r="3515" spans="1:34" x14ac:dyDescent="0.3">
      <c r="A3515" s="89" t="str">
        <f>CONCATENATE(D3515,".",F3515,"-",G3515,".",H3515,"")</f>
        <v>3.1-1.5</v>
      </c>
      <c r="B3515" s="89" t="str">
        <f>IF(CONCATENATE(I3515,Key!F$2)=CONCATENATE(INDEX(Dashboard!J:J,MATCH(I3515,Dashboard!J:J,0),1),INDEX(Dashboard!J:K,MATCH(I3515,Dashboard!J:J,0),2)),"ON",IF(Dashboard!K$32="ALL","ON","-"))</f>
        <v>-</v>
      </c>
      <c r="C3515" s="88" t="s">
        <v>311</v>
      </c>
      <c r="D3515" s="89">
        <f>IF(C3515="ID",1,(IF(C3515="PR",2,(IF(C3515="DE",3,(IF(C3515="RS",4,(IF(C3515="RC",5,0)))))))))</f>
        <v>3</v>
      </c>
      <c r="E3515" s="89" t="s">
        <v>312</v>
      </c>
      <c r="F3515" s="89">
        <f>IF(E3515="AM",1,(IF(E3515="BE",2,(IF(E3515="GV",3,(IF(E3515="RA",4,(IF(E3515="RM",5,(IF(E3515="AC",1,(IF(E3515="AT",2,(IF(E3515="DS",3,(IF(E3515="IP",4,(IF(E3515="MA",5,(IF(E3515="PT",6,(IF(E3515="AE",1,(IF(E3515="CM",2,(IF(E3515="DP",3,(IF(E3515="AN",1,(IF(E3515="CO",2,(IF(E3515="IM",3,(IF(E3515="MI",4,(IF(E3515="RP",5,(IF(E3515="SC",6,0)))))))))))))))))))))))))))))))))))))))</f>
        <v>1</v>
      </c>
      <c r="G3515" s="52">
        <v>1</v>
      </c>
      <c r="H3515" s="90" t="s">
        <v>123</v>
      </c>
      <c r="I3515" s="93" t="s">
        <v>77</v>
      </c>
      <c r="J3515" s="87" t="s">
        <v>1815</v>
      </c>
      <c r="K3515" s="102" t="s">
        <v>2725</v>
      </c>
      <c r="L3515" s="117">
        <f>IF(O3515="","",N3515*O3515*M3515)</f>
        <v>0</v>
      </c>
      <c r="M3515" s="108">
        <v>1</v>
      </c>
      <c r="N3515" s="95">
        <v>1</v>
      </c>
      <c r="O3515" s="109">
        <f>IF(Key!D$1="ON",P3515,IF(SUM(Q3515:DL3515)&lt;1,"",SUM(Q3515:DL3515)/COUNTIF(Q3515:DL3515,"&gt;0")))</f>
        <v>0</v>
      </c>
      <c r="P3515" s="109">
        <f>SUMIFS(Q3515:DK3515,Q$1:DK$1,Dashboard!$K$31)</f>
        <v>0</v>
      </c>
      <c r="U3515" s="95">
        <v>33</v>
      </c>
      <c r="AA3515" s="95">
        <v>25</v>
      </c>
      <c r="AH3515" s="95">
        <v>75</v>
      </c>
    </row>
    <row r="3516" spans="1:34" ht="15.6" x14ac:dyDescent="0.3">
      <c r="A3516" s="89" t="str">
        <f>CONCATENATE(D3516,".",F3516,"-",G3516,".",H3516,"")</f>
        <v>3.1-2.0</v>
      </c>
      <c r="B3516" s="89" t="str">
        <f>IF(CONCATENATE(I3516,Key!F$2)=CONCATENATE(INDEX(Dashboard!J:J,MATCH(I3516,Dashboard!J:J,0),1),INDEX(Dashboard!J:K,MATCH(I3516,Dashboard!J:J,0),2)),"ON",IF(Dashboard!K$32="ALL","ON","-"))</f>
        <v>-</v>
      </c>
      <c r="C3516" s="96" t="s">
        <v>311</v>
      </c>
      <c r="D3516" s="89">
        <f>IF(C3516="ID",1,(IF(C3516="PR",2,(IF(C3516="DE",3,(IF(C3516="RS",4,(IF(C3516="RC",5,0)))))))))</f>
        <v>3</v>
      </c>
      <c r="E3516" s="89" t="s">
        <v>312</v>
      </c>
      <c r="F3516" s="89">
        <f>IF(E3516="AM",1,(IF(E3516="BE",2,(IF(E3516="GV",3,(IF(E3516="RA",4,(IF(E3516="RM",5,(IF(E3516="AC",1,(IF(E3516="AT",2,(IF(E3516="DS",3,(IF(E3516="IP",4,(IF(E3516="MA",5,(IF(E3516="PT",6,(IF(E3516="AE",1,(IF(E3516="CM",2,(IF(E3516="DP",3,(IF(E3516="AN",1,(IF(E3516="CO",2,(IF(E3516="IM",3,(IF(E3516="MI",4,(IF(E3516="RP",5,(IF(E3516="SC",6,0)))))))))))))))))))))))))))))))))))))))</f>
        <v>1</v>
      </c>
      <c r="G3516" s="52">
        <v>2</v>
      </c>
      <c r="H3516" s="90" t="s">
        <v>347</v>
      </c>
      <c r="I3516" s="93" t="s">
        <v>2835</v>
      </c>
      <c r="J3516" s="53" t="s">
        <v>3011</v>
      </c>
      <c r="K3516" s="58" t="s">
        <v>3012</v>
      </c>
      <c r="L3516" s="117">
        <f>IF(O3516="","",N3516*O3516*M3516)</f>
        <v>0</v>
      </c>
      <c r="M3516" s="108">
        <v>1</v>
      </c>
      <c r="N3516" s="95">
        <v>1</v>
      </c>
      <c r="O3516" s="109">
        <f>IF(Key!D$1="ON",P3516,IF(SUM(Q3516:DL3516)&lt;1,"",SUM(Q3516:DL3516)/COUNTIF(Q3516:DL3516,"&gt;0")))</f>
        <v>0</v>
      </c>
      <c r="P3516" s="109">
        <f>SUMIFS(Q3516:DK3516,Q$1:DK$1,Dashboard!$K$31)</f>
        <v>0</v>
      </c>
      <c r="U3516" s="95">
        <v>33</v>
      </c>
    </row>
    <row r="3517" spans="1:34" ht="15.6" x14ac:dyDescent="0.3">
      <c r="A3517" s="89" t="str">
        <f>CONCATENATE(D3517,".",F3517,"-",G3517,".",H3517,"")</f>
        <v>3.1-2.1</v>
      </c>
      <c r="B3517" s="89" t="str">
        <f>IF(CONCATENATE(I3517,Key!F$2)=CONCATENATE(INDEX(Dashboard!J:J,MATCH(I3517,Dashboard!J:J,0),1),INDEX(Dashboard!J:K,MATCH(I3517,Dashboard!J:J,0),2)),"ON",IF(Dashboard!K$32="ALL","ON","-"))</f>
        <v>ON</v>
      </c>
      <c r="C3517" s="88" t="s">
        <v>311</v>
      </c>
      <c r="D3517" s="89">
        <f>IF(C3517="ID",1,(IF(C3517="PR",2,(IF(C3517="DE",3,(IF(C3517="RS",4,(IF(C3517="RC",5,0)))))))))</f>
        <v>3</v>
      </c>
      <c r="E3517" s="89" t="s">
        <v>312</v>
      </c>
      <c r="F3517" s="89">
        <f>IF(E3517="AM",1,(IF(E3517="BE",2,(IF(E3517="GV",3,(IF(E3517="RA",4,(IF(E3517="RM",5,(IF(E3517="AC",1,(IF(E3517="AT",2,(IF(E3517="DS",3,(IF(E3517="IP",4,(IF(E3517="MA",5,(IF(E3517="PT",6,(IF(E3517="AE",1,(IF(E3517="CM",2,(IF(E3517="DP",3,(IF(E3517="AN",1,(IF(E3517="CO",2,(IF(E3517="IM",3,(IF(E3517="MI",4,(IF(E3517="RP",5,(IF(E3517="SC",6,0)))))))))))))))))))))))))))))))))))))))</f>
        <v>1</v>
      </c>
      <c r="G3517" s="52">
        <v>2</v>
      </c>
      <c r="H3517" s="90" t="s">
        <v>115</v>
      </c>
      <c r="I3517" s="93" t="s">
        <v>4107</v>
      </c>
      <c r="J3517" s="86" t="s">
        <v>3968</v>
      </c>
      <c r="K3517" s="101" t="s">
        <v>4366</v>
      </c>
      <c r="L3517" s="117">
        <f>IF(O3517="","",N3517*O3517*M3517)</f>
        <v>0</v>
      </c>
      <c r="M3517" s="108">
        <v>1</v>
      </c>
      <c r="N3517" s="95">
        <v>1</v>
      </c>
      <c r="O3517" s="109">
        <f>IF(Key!D$1="ON",P3517,IF(SUM(Q3517:DL3517)&lt;1,"",SUM(Q3517:DL3517)/COUNTIF(Q3517:DL3517,"&gt;0")))</f>
        <v>0</v>
      </c>
      <c r="P3517" s="109">
        <f>SUMIFS(Q3517:DK3517,Q$1:DK$1,Dashboard!$K$31)</f>
        <v>0</v>
      </c>
      <c r="U3517" s="95">
        <v>33</v>
      </c>
      <c r="AA3517" s="95">
        <v>25</v>
      </c>
      <c r="AH3517" s="95">
        <v>75</v>
      </c>
    </row>
    <row r="3518" spans="1:34" x14ac:dyDescent="0.3">
      <c r="A3518" s="89" t="str">
        <f>CONCATENATE(D3518,".",F3518,"-",G3518,".",H3518,"")</f>
        <v>3.1-2.1</v>
      </c>
      <c r="B3518" s="89" t="str">
        <f>IF(CONCATENATE(I3518,Key!F$2)=CONCATENATE(INDEX(Dashboard!J:J,MATCH(I3518,Dashboard!J:J,0),1),INDEX(Dashboard!J:K,MATCH(I3518,Dashboard!J:J,0),2)),"ON",IF(Dashboard!K$32="ALL","ON","-"))</f>
        <v>ON</v>
      </c>
      <c r="C3518" s="88" t="s">
        <v>311</v>
      </c>
      <c r="D3518" s="89">
        <f>IF(C3518="ID",1,(IF(C3518="PR",2,(IF(C3518="DE",3,(IF(C3518="RS",4,(IF(C3518="RC",5,0)))))))))</f>
        <v>3</v>
      </c>
      <c r="E3518" s="89" t="s">
        <v>312</v>
      </c>
      <c r="F3518" s="89">
        <f>IF(E3518="AM",1,(IF(E3518="BE",2,(IF(E3518="GV",3,(IF(E3518="RA",4,(IF(E3518="RM",5,(IF(E3518="AC",1,(IF(E3518="AT",2,(IF(E3518="DS",3,(IF(E3518="IP",4,(IF(E3518="MA",5,(IF(E3518="PT",6,(IF(E3518="AE",1,(IF(E3518="CM",2,(IF(E3518="DP",3,(IF(E3518="AN",1,(IF(E3518="CO",2,(IF(E3518="IM",3,(IF(E3518="MI",4,(IF(E3518="RP",5,(IF(E3518="SC",6,0)))))))))))))))))))))))))))))))))))))))</f>
        <v>1</v>
      </c>
      <c r="G3518" s="52">
        <v>2</v>
      </c>
      <c r="H3518" s="90" t="s">
        <v>115</v>
      </c>
      <c r="I3518" s="93" t="s">
        <v>4107</v>
      </c>
      <c r="J3518" s="86" t="s">
        <v>4007</v>
      </c>
      <c r="K3518" s="101" t="s">
        <v>4379</v>
      </c>
      <c r="L3518" s="117">
        <f>IF(O3518="","",N3518*O3518*M3518)</f>
        <v>0</v>
      </c>
      <c r="M3518" s="108">
        <v>1</v>
      </c>
      <c r="N3518" s="95">
        <v>1</v>
      </c>
      <c r="O3518" s="109">
        <f>IF(Key!D$1="ON",P3518,IF(SUM(Q3518:DL3518)&lt;1,"",SUM(Q3518:DL3518)/COUNTIF(Q3518:DL3518,"&gt;0")))</f>
        <v>0</v>
      </c>
      <c r="P3518" s="109">
        <f>SUMIFS(Q3518:DK3518,Q$1:DK$1,Dashboard!$K$31)</f>
        <v>0</v>
      </c>
      <c r="U3518" s="95">
        <v>33</v>
      </c>
      <c r="AA3518" s="95">
        <v>25</v>
      </c>
      <c r="AH3518" s="95">
        <v>75</v>
      </c>
    </row>
    <row r="3519" spans="1:34" ht="15.6" x14ac:dyDescent="0.3">
      <c r="A3519" s="89" t="str">
        <f>CONCATENATE(D3519,".",F3519,"-",G3519,".",H3519,"")</f>
        <v>3.1-2.1</v>
      </c>
      <c r="B3519" s="89" t="str">
        <f>IF(CONCATENATE(I3519,Key!F$2)=CONCATENATE(INDEX(Dashboard!J:J,MATCH(I3519,Dashboard!J:J,0),1),INDEX(Dashboard!J:K,MATCH(I3519,Dashboard!J:J,0),2)),"ON",IF(Dashboard!K$32="ALL","ON","-"))</f>
        <v>ON</v>
      </c>
      <c r="C3519" s="130" t="s">
        <v>311</v>
      </c>
      <c r="D3519" s="89">
        <f>IF(C3519="ID",1,(IF(C3519="PR",2,(IF(C3519="DE",3,(IF(C3519="RS",4,(IF(C3519="RC",5,0)))))))))</f>
        <v>3</v>
      </c>
      <c r="E3519" s="95" t="s">
        <v>312</v>
      </c>
      <c r="F3519" s="89">
        <f>IF(E3519="AM",1,(IF(E3519="BE",2,(IF(E3519="GV",3,(IF(E3519="RA",4,(IF(E3519="RM",5,(IF(E3519="AC",1,(IF(E3519="AT",2,(IF(E3519="DS",3,(IF(E3519="IP",4,(IF(E3519="MA",5,(IF(E3519="PT",6,(IF(E3519="AE",1,(IF(E3519="CM",2,(IF(E3519="DP",3,(IF(E3519="AN",1,(IF(E3519="CO",2,(IF(E3519="IM",3,(IF(E3519="MI",4,(IF(E3519="RP",5,(IF(E3519="SC",6,0)))))))))))))))))))))))))))))))))))))))</f>
        <v>1</v>
      </c>
      <c r="G3519" s="52">
        <v>2</v>
      </c>
      <c r="H3519" s="90" t="s">
        <v>115</v>
      </c>
      <c r="I3519" s="93" t="s">
        <v>4107</v>
      </c>
      <c r="J3519" s="86" t="s">
        <v>4009</v>
      </c>
      <c r="K3519" s="101" t="s">
        <v>4381</v>
      </c>
      <c r="L3519" s="117">
        <f>IF(O3519="","",N3519*O3519*M3519)</f>
        <v>0</v>
      </c>
      <c r="M3519" s="108">
        <v>1</v>
      </c>
      <c r="N3519" s="95">
        <v>1</v>
      </c>
      <c r="O3519" s="109">
        <f>IF(Key!D$1="ON",P3519,IF(SUM(Q3519:DL3519)&lt;1,"",SUM(Q3519:DL3519)/COUNTIF(Q3519:DL3519,"&gt;0")))</f>
        <v>0</v>
      </c>
      <c r="P3519" s="109">
        <f>SUMIFS(Q3519:DK3519,Q$1:DK$1,Dashboard!$K$31)</f>
        <v>0</v>
      </c>
      <c r="U3519" s="95">
        <v>33</v>
      </c>
      <c r="AA3519" s="95">
        <v>25</v>
      </c>
      <c r="AH3519" s="95">
        <v>75</v>
      </c>
    </row>
    <row r="3520" spans="1:34" ht="15.6" x14ac:dyDescent="0.3">
      <c r="A3520" s="89" t="str">
        <f>CONCATENATE(D3520,".",F3520,"-",G3520,".",H3520,"")</f>
        <v>3.1-2.1</v>
      </c>
      <c r="B3520" s="89" t="str">
        <f>IF(CONCATENATE(I3520,Key!F$2)=CONCATENATE(INDEX(Dashboard!J:J,MATCH(I3520,Dashboard!J:J,0),1),INDEX(Dashboard!J:K,MATCH(I3520,Dashboard!J:J,0),2)),"ON",IF(Dashboard!K$32="ALL","ON","-"))</f>
        <v>ON</v>
      </c>
      <c r="C3520" s="96" t="s">
        <v>311</v>
      </c>
      <c r="D3520" s="89">
        <f>IF(C3520="ID",1,(IF(C3520="PR",2,(IF(C3520="DE",3,(IF(C3520="RS",4,(IF(C3520="RC",5,0)))))))))</f>
        <v>3</v>
      </c>
      <c r="E3520" s="89" t="s">
        <v>312</v>
      </c>
      <c r="F3520" s="89">
        <f>IF(E3520="AM",1,(IF(E3520="BE",2,(IF(E3520="GV",3,(IF(E3520="RA",4,(IF(E3520="RM",5,(IF(E3520="AC",1,(IF(E3520="AT",2,(IF(E3520="DS",3,(IF(E3520="IP",4,(IF(E3520="MA",5,(IF(E3520="PT",6,(IF(E3520="AE",1,(IF(E3520="CM",2,(IF(E3520="DP",3,(IF(E3520="AN",1,(IF(E3520="CO",2,(IF(E3520="IM",3,(IF(E3520="MI",4,(IF(E3520="RP",5,(IF(E3520="SC",6,0)))))))))))))))))))))))))))))))))))))))</f>
        <v>1</v>
      </c>
      <c r="G3520" s="52">
        <v>2</v>
      </c>
      <c r="H3520" s="90" t="s">
        <v>115</v>
      </c>
      <c r="I3520" s="93" t="s">
        <v>4107</v>
      </c>
      <c r="J3520" s="86" t="s">
        <v>4012</v>
      </c>
      <c r="K3520" s="101" t="s">
        <v>4450</v>
      </c>
      <c r="L3520" s="117">
        <f>IF(O3520="","",N3520*O3520*M3520)</f>
        <v>0</v>
      </c>
      <c r="M3520" s="108">
        <v>1</v>
      </c>
      <c r="N3520" s="95">
        <v>1</v>
      </c>
      <c r="O3520" s="109">
        <f>IF(Key!D$1="ON",P3520,IF(SUM(Q3520:DL3520)&lt;1,"",SUM(Q3520:DL3520)/COUNTIF(Q3520:DL3520,"&gt;0")))</f>
        <v>0</v>
      </c>
      <c r="P3520" s="109">
        <f>SUMIFS(Q3520:DK3520,Q$1:DK$1,Dashboard!$K$31)</f>
        <v>0</v>
      </c>
      <c r="U3520" s="95">
        <v>33</v>
      </c>
      <c r="AA3520" s="95">
        <v>25</v>
      </c>
      <c r="AH3520" s="95">
        <v>75</v>
      </c>
    </row>
    <row r="3521" spans="1:34" ht="15.6" x14ac:dyDescent="0.3">
      <c r="A3521" s="89" t="str">
        <f>CONCATENATE(D3521,".",F3521,"-",G3521,".",H3521,"")</f>
        <v>3.1-2.1</v>
      </c>
      <c r="B3521" s="89" t="str">
        <f>IF(CONCATENATE(I3521,Key!F$2)=CONCATENATE(INDEX(Dashboard!J:J,MATCH(I3521,Dashboard!J:J,0),1),INDEX(Dashboard!J:K,MATCH(I3521,Dashboard!J:J,0),2)),"ON",IF(Dashboard!K$32="ALL","ON","-"))</f>
        <v>ON</v>
      </c>
      <c r="C3521" s="130" t="s">
        <v>311</v>
      </c>
      <c r="D3521" s="89">
        <f>IF(C3521="ID",1,(IF(C3521="PR",2,(IF(C3521="DE",3,(IF(C3521="RS",4,(IF(C3521="RC",5,0)))))))))</f>
        <v>3</v>
      </c>
      <c r="E3521" s="95" t="s">
        <v>312</v>
      </c>
      <c r="F3521" s="89">
        <f>IF(E3521="AM",1,(IF(E3521="BE",2,(IF(E3521="GV",3,(IF(E3521="RA",4,(IF(E3521="RM",5,(IF(E3521="AC",1,(IF(E3521="AT",2,(IF(E3521="DS",3,(IF(E3521="IP",4,(IF(E3521="MA",5,(IF(E3521="PT",6,(IF(E3521="AE",1,(IF(E3521="CM",2,(IF(E3521="DP",3,(IF(E3521="AN",1,(IF(E3521="CO",2,(IF(E3521="IM",3,(IF(E3521="MI",4,(IF(E3521="RP",5,(IF(E3521="SC",6,0)))))))))))))))))))))))))))))))))))))))</f>
        <v>1</v>
      </c>
      <c r="G3521" s="52">
        <v>2</v>
      </c>
      <c r="H3521" s="90" t="s">
        <v>115</v>
      </c>
      <c r="I3521" s="93" t="s">
        <v>4107</v>
      </c>
      <c r="J3521" s="86" t="s">
        <v>4050</v>
      </c>
      <c r="K3521" s="101" t="s">
        <v>4482</v>
      </c>
      <c r="L3521" s="117">
        <f>IF(O3521="","",N3521*O3521*M3521)</f>
        <v>0</v>
      </c>
      <c r="M3521" s="108">
        <v>1</v>
      </c>
      <c r="N3521" s="95">
        <v>1</v>
      </c>
      <c r="O3521" s="109">
        <f>IF(Key!D$1="ON",P3521,IF(SUM(Q3521:DL3521)&lt;1,"",SUM(Q3521:DL3521)/COUNTIF(Q3521:DL3521,"&gt;0")))</f>
        <v>0</v>
      </c>
      <c r="P3521" s="109">
        <f>SUMIFS(Q3521:DK3521,Q$1:DK$1,Dashboard!$K$31)</f>
        <v>0</v>
      </c>
      <c r="U3521" s="95">
        <v>33</v>
      </c>
      <c r="AA3521" s="95">
        <v>25</v>
      </c>
      <c r="AH3521" s="95">
        <v>75</v>
      </c>
    </row>
    <row r="3522" spans="1:34" ht="15.6" x14ac:dyDescent="0.3">
      <c r="A3522" s="89" t="str">
        <f>CONCATENATE(D3522,".",F3522,"-",G3522,".",H3522,"")</f>
        <v>3.1-2.1</v>
      </c>
      <c r="B3522" s="89" t="str">
        <f>IF(CONCATENATE(I3522,Key!F$2)=CONCATENATE(INDEX(Dashboard!J:J,MATCH(I3522,Dashboard!J:J,0),1),INDEX(Dashboard!J:K,MATCH(I3522,Dashboard!J:J,0),2)),"ON",IF(Dashboard!K$32="ALL","ON","-"))</f>
        <v>-</v>
      </c>
      <c r="C3522" s="88" t="s">
        <v>311</v>
      </c>
      <c r="D3522" s="89">
        <f>IF(C3522="ID",1,(IF(C3522="PR",2,(IF(C3522="DE",3,(IF(C3522="RS",4,(IF(C3522="RC",5,0)))))))))</f>
        <v>3</v>
      </c>
      <c r="E3522" s="89" t="s">
        <v>312</v>
      </c>
      <c r="F3522" s="89">
        <f>IF(E3522="AM",1,(IF(E3522="BE",2,(IF(E3522="GV",3,(IF(E3522="RA",4,(IF(E3522="RM",5,(IF(E3522="AC",1,(IF(E3522="AT",2,(IF(E3522="DS",3,(IF(E3522="IP",4,(IF(E3522="MA",5,(IF(E3522="PT",6,(IF(E3522="AE",1,(IF(E3522="CM",2,(IF(E3522="DP",3,(IF(E3522="AN",1,(IF(E3522="CO",2,(IF(E3522="IM",3,(IF(E3522="MI",4,(IF(E3522="RP",5,(IF(E3522="SC",6,0)))))))))))))))))))))))))))))))))))))))</f>
        <v>1</v>
      </c>
      <c r="G3522" s="52">
        <v>2</v>
      </c>
      <c r="H3522" s="99">
        <v>1</v>
      </c>
      <c r="I3522" s="93" t="s">
        <v>37</v>
      </c>
      <c r="J3522" s="86">
        <v>6</v>
      </c>
      <c r="K3522" s="102" t="s">
        <v>3814</v>
      </c>
      <c r="L3522" s="117">
        <f>IF(O3522="","",N3522*O3522*M3522)</f>
        <v>0</v>
      </c>
      <c r="M3522" s="108">
        <v>1</v>
      </c>
      <c r="N3522" s="95">
        <v>1</v>
      </c>
      <c r="O3522" s="109">
        <f>IF(Key!D$1="ON",P3522,IF(SUM(Q3522:DL3522)&lt;1,"",SUM(Q3522:DL3522)/COUNTIF(Q3522:DL3522,"&gt;0")))</f>
        <v>0</v>
      </c>
      <c r="P3522" s="109">
        <f>SUMIFS(Q3522:DK3522,Q$1:DK$1,Dashboard!$K$31)</f>
        <v>0</v>
      </c>
      <c r="U3522" s="95">
        <v>33</v>
      </c>
      <c r="AA3522" s="95">
        <v>25</v>
      </c>
      <c r="AH3522" s="95">
        <v>75</v>
      </c>
    </row>
    <row r="3523" spans="1:34" ht="15.6" x14ac:dyDescent="0.3">
      <c r="A3523" s="89" t="str">
        <f>CONCATENATE(D3523,".",F3523,"-",G3523,".",H3523,"")</f>
        <v>3.1-2.1</v>
      </c>
      <c r="B3523" s="89" t="str">
        <f>IF(CONCATENATE(I3523,Key!F$2)=CONCATENATE(INDEX(Dashboard!J:J,MATCH(I3523,Dashboard!J:J,0),1),INDEX(Dashboard!J:K,MATCH(I3523,Dashboard!J:J,0),2)),"ON",IF(Dashboard!K$32="ALL","ON","-"))</f>
        <v>-</v>
      </c>
      <c r="C3523" s="96" t="s">
        <v>311</v>
      </c>
      <c r="D3523" s="89">
        <f>IF(C3523="ID",1,(IF(C3523="PR",2,(IF(C3523="DE",3,(IF(C3523="RS",4,(IF(C3523="RC",5,0)))))))))</f>
        <v>3</v>
      </c>
      <c r="E3523" s="89" t="s">
        <v>312</v>
      </c>
      <c r="F3523" s="89">
        <f>IF(E3523="AM",1,(IF(E3523="BE",2,(IF(E3523="GV",3,(IF(E3523="RA",4,(IF(E3523="RM",5,(IF(E3523="AC",1,(IF(E3523="AT",2,(IF(E3523="DS",3,(IF(E3523="IP",4,(IF(E3523="MA",5,(IF(E3523="PT",6,(IF(E3523="AE",1,(IF(E3523="CM",2,(IF(E3523="DP",3,(IF(E3523="AN",1,(IF(E3523="CO",2,(IF(E3523="IM",3,(IF(E3523="MI",4,(IF(E3523="RP",5,(IF(E3523="SC",6,0)))))))))))))))))))))))))))))))))))))))</f>
        <v>1</v>
      </c>
      <c r="G3523" s="52">
        <v>2</v>
      </c>
      <c r="H3523" s="99">
        <v>1</v>
      </c>
      <c r="I3523" s="93" t="s">
        <v>41</v>
      </c>
      <c r="J3523" s="86">
        <v>4.8</v>
      </c>
      <c r="K3523" s="103" t="s">
        <v>3484</v>
      </c>
      <c r="L3523" s="117">
        <f>IF(O3523="","",N3523*O3523*M3523)</f>
        <v>0</v>
      </c>
      <c r="M3523" s="108">
        <v>1</v>
      </c>
      <c r="N3523" s="95">
        <v>1</v>
      </c>
      <c r="O3523" s="109">
        <f>IF(Key!D$1="ON",P3523,IF(SUM(Q3523:DL3523)&lt;1,"",SUM(Q3523:DL3523)/COUNTIF(Q3523:DL3523,"&gt;0")))</f>
        <v>0</v>
      </c>
      <c r="P3523" s="109">
        <f>SUMIFS(Q3523:DK3523,Q$1:DK$1,Dashboard!$K$31)</f>
        <v>0</v>
      </c>
      <c r="U3523" s="95">
        <v>33</v>
      </c>
    </row>
    <row r="3524" spans="1:34" x14ac:dyDescent="0.3">
      <c r="A3524" s="89" t="str">
        <f>CONCATENATE(D3524,".",F3524,"-",G3524,".",H3524,"")</f>
        <v>3.1-2.1</v>
      </c>
      <c r="B3524" s="89" t="str">
        <f>IF(CONCATENATE(I3524,Key!F$2)=CONCATENATE(INDEX(Dashboard!J:J,MATCH(I3524,Dashboard!J:J,0),1),INDEX(Dashboard!J:K,MATCH(I3524,Dashboard!J:J,0),2)),"ON",IF(Dashboard!K$32="ALL","ON","-"))</f>
        <v>-</v>
      </c>
      <c r="C3524" s="132" t="s">
        <v>311</v>
      </c>
      <c r="D3524" s="89">
        <f>IF(C3524="ID",1,(IF(C3524="PR",2,(IF(C3524="DE",3,(IF(C3524="RS",4,(IF(C3524="RC",5,0)))))))))</f>
        <v>3</v>
      </c>
      <c r="E3524" s="89" t="s">
        <v>312</v>
      </c>
      <c r="F3524" s="89">
        <f>IF(E3524="AM",1,(IF(E3524="BE",2,(IF(E3524="GV",3,(IF(E3524="RA",4,(IF(E3524="RM",5,(IF(E3524="AC",1,(IF(E3524="AT",2,(IF(E3524="DS",3,(IF(E3524="IP",4,(IF(E3524="MA",5,(IF(E3524="PT",6,(IF(E3524="AE",1,(IF(E3524="CM",2,(IF(E3524="DP",3,(IF(E3524="AN",1,(IF(E3524="CO",2,(IF(E3524="IM",3,(IF(E3524="MI",4,(IF(E3524="RP",5,(IF(E3524="SC",6,0)))))))))))))))))))))))))))))))))))))))</f>
        <v>1</v>
      </c>
      <c r="G3524" s="52">
        <v>2</v>
      </c>
      <c r="H3524" s="99">
        <v>1</v>
      </c>
      <c r="I3524" s="93" t="s">
        <v>41</v>
      </c>
      <c r="J3524" s="86">
        <v>4.9000000000000004</v>
      </c>
      <c r="K3524" s="103" t="s">
        <v>3485</v>
      </c>
      <c r="L3524" s="117">
        <f>IF(O3524="","",N3524*O3524*M3524)</f>
        <v>0</v>
      </c>
      <c r="M3524" s="108">
        <v>1</v>
      </c>
      <c r="N3524" s="95">
        <v>1</v>
      </c>
      <c r="O3524" s="109">
        <f>IF(Key!D$1="ON",P3524,IF(SUM(Q3524:DL3524)&lt;1,"",SUM(Q3524:DL3524)/COUNTIF(Q3524:DL3524,"&gt;0")))</f>
        <v>0</v>
      </c>
      <c r="P3524" s="109">
        <f>SUMIFS(Q3524:DK3524,Q$1:DK$1,Dashboard!$K$31)</f>
        <v>0</v>
      </c>
      <c r="U3524" s="95">
        <v>33</v>
      </c>
    </row>
    <row r="3525" spans="1:34" x14ac:dyDescent="0.3">
      <c r="A3525" s="89" t="str">
        <f>CONCATENATE(D3525,".",F3525,"-",G3525,".",H3525,"")</f>
        <v>3.1-2.1</v>
      </c>
      <c r="B3525" s="89" t="str">
        <f>IF(CONCATENATE(I3525,Key!F$2)=CONCATENATE(INDEX(Dashboard!J:J,MATCH(I3525,Dashboard!J:J,0),1),INDEX(Dashboard!J:K,MATCH(I3525,Dashboard!J:J,0),2)),"ON",IF(Dashboard!K$32="ALL","ON","-"))</f>
        <v>-</v>
      </c>
      <c r="C3525" s="127" t="s">
        <v>311</v>
      </c>
      <c r="D3525" s="89">
        <f>IF(C3525="ID",1,(IF(C3525="PR",2,(IF(C3525="DE",3,(IF(C3525="RS",4,(IF(C3525="RC",5,0)))))))))</f>
        <v>3</v>
      </c>
      <c r="E3525" s="89" t="s">
        <v>312</v>
      </c>
      <c r="F3525" s="89">
        <f>IF(E3525="AM",1,(IF(E3525="BE",2,(IF(E3525="GV",3,(IF(E3525="RA",4,(IF(E3525="RM",5,(IF(E3525="AC",1,(IF(E3525="AT",2,(IF(E3525="DS",3,(IF(E3525="IP",4,(IF(E3525="MA",5,(IF(E3525="PT",6,(IF(E3525="AE",1,(IF(E3525="CM",2,(IF(E3525="DP",3,(IF(E3525="AN",1,(IF(E3525="CO",2,(IF(E3525="IM",3,(IF(E3525="MI",4,(IF(E3525="RP",5,(IF(E3525="SC",6,0)))))))))))))))))))))))))))))))))))))))</f>
        <v>1</v>
      </c>
      <c r="G3525" s="52">
        <v>2</v>
      </c>
      <c r="H3525" s="99">
        <v>1</v>
      </c>
      <c r="I3525" s="93" t="s">
        <v>41</v>
      </c>
      <c r="J3525" s="86">
        <v>6</v>
      </c>
      <c r="K3525" s="103" t="s">
        <v>3492</v>
      </c>
      <c r="L3525" s="117">
        <f>IF(O3525="","",N3525*O3525*M3525)</f>
        <v>0</v>
      </c>
      <c r="M3525" s="108">
        <v>1</v>
      </c>
      <c r="N3525" s="95">
        <v>1</v>
      </c>
      <c r="O3525" s="109">
        <f>IF(Key!D$1="ON",P3525,IF(SUM(Q3525:DL3525)&lt;1,"",SUM(Q3525:DL3525)/COUNTIF(Q3525:DL3525,"&gt;0")))</f>
        <v>0</v>
      </c>
      <c r="P3525" s="109">
        <f>SUMIFS(Q3525:DK3525,Q$1:DK$1,Dashboard!$K$31)</f>
        <v>0</v>
      </c>
      <c r="U3525" s="95">
        <v>33</v>
      </c>
    </row>
    <row r="3526" spans="1:34" x14ac:dyDescent="0.3">
      <c r="A3526" s="89" t="str">
        <f>CONCATENATE(D3526,".",F3526,"-",G3526,".",H3526,"")</f>
        <v>3.1-2.1</v>
      </c>
      <c r="B3526" s="89" t="str">
        <f>IF(CONCATENATE(I3526,Key!F$2)=CONCATENATE(INDEX(Dashboard!J:J,MATCH(I3526,Dashboard!J:J,0),1),INDEX(Dashboard!J:K,MATCH(I3526,Dashboard!J:J,0),2)),"ON",IF(Dashboard!K$32="ALL","ON","-"))</f>
        <v>-</v>
      </c>
      <c r="C3526" s="127" t="s">
        <v>311</v>
      </c>
      <c r="D3526" s="89">
        <f>IF(C3526="ID",1,(IF(C3526="PR",2,(IF(C3526="DE",3,(IF(C3526="RS",4,(IF(C3526="RC",5,0)))))))))</f>
        <v>3</v>
      </c>
      <c r="E3526" s="89" t="s">
        <v>312</v>
      </c>
      <c r="F3526" s="89">
        <f>IF(E3526="AM",1,(IF(E3526="BE",2,(IF(E3526="GV",3,(IF(E3526="RA",4,(IF(E3526="RM",5,(IF(E3526="AC",1,(IF(E3526="AT",2,(IF(E3526="DS",3,(IF(E3526="IP",4,(IF(E3526="MA",5,(IF(E3526="PT",6,(IF(E3526="AE",1,(IF(E3526="CM",2,(IF(E3526="DP",3,(IF(E3526="AN",1,(IF(E3526="CO",2,(IF(E3526="IM",3,(IF(E3526="MI",4,(IF(E3526="RP",5,(IF(E3526="SC",6,0)))))))))))))))))))))))))))))))))))))))</f>
        <v>1</v>
      </c>
      <c r="G3526" s="52">
        <v>2</v>
      </c>
      <c r="H3526" s="99">
        <v>1</v>
      </c>
      <c r="I3526" s="93" t="s">
        <v>41</v>
      </c>
      <c r="J3526" s="86">
        <v>6.2</v>
      </c>
      <c r="K3526" s="103" t="s">
        <v>3494</v>
      </c>
      <c r="L3526" s="117">
        <f>IF(O3526="","",N3526*O3526*M3526)</f>
        <v>0</v>
      </c>
      <c r="M3526" s="108">
        <v>1</v>
      </c>
      <c r="N3526" s="95">
        <v>1</v>
      </c>
      <c r="O3526" s="109">
        <f>IF(Key!D$1="ON",P3526,IF(SUM(Q3526:DL3526)&lt;1,"",SUM(Q3526:DL3526)/COUNTIF(Q3526:DL3526,"&gt;0")))</f>
        <v>0</v>
      </c>
      <c r="P3526" s="109">
        <f>SUMIFS(Q3526:DK3526,Q$1:DK$1,Dashboard!$K$31)</f>
        <v>0</v>
      </c>
      <c r="U3526" s="95">
        <v>33</v>
      </c>
    </row>
    <row r="3527" spans="1:34" ht="15.6" x14ac:dyDescent="0.3">
      <c r="A3527" s="89" t="str">
        <f>CONCATENATE(D3527,".",F3527,"-",G3527,".",H3527,"")</f>
        <v>3.1-2.1</v>
      </c>
      <c r="B3527" s="89" t="str">
        <f>IF(CONCATENATE(I3527,Key!F$2)=CONCATENATE(INDEX(Dashboard!J:J,MATCH(I3527,Dashboard!J:J,0),1),INDEX(Dashboard!J:K,MATCH(I3527,Dashboard!J:J,0),2)),"ON",IF(Dashboard!K$32="ALL","ON","-"))</f>
        <v>-</v>
      </c>
      <c r="C3527" s="127" t="s">
        <v>311</v>
      </c>
      <c r="D3527" s="89">
        <f>IF(C3527="ID",1,(IF(C3527="PR",2,(IF(C3527="DE",3,(IF(C3527="RS",4,(IF(C3527="RC",5,0)))))))))</f>
        <v>3</v>
      </c>
      <c r="E3527" s="89" t="s">
        <v>312</v>
      </c>
      <c r="F3527" s="89">
        <f>IF(E3527="AM",1,(IF(E3527="BE",2,(IF(E3527="GV",3,(IF(E3527="RA",4,(IF(E3527="RM",5,(IF(E3527="AC",1,(IF(E3527="AT",2,(IF(E3527="DS",3,(IF(E3527="IP",4,(IF(E3527="MA",5,(IF(E3527="PT",6,(IF(E3527="AE",1,(IF(E3527="CM",2,(IF(E3527="DP",3,(IF(E3527="AN",1,(IF(E3527="CO",2,(IF(E3527="IM",3,(IF(E3527="MI",4,(IF(E3527="RP",5,(IF(E3527="SC",6,0)))))))))))))))))))))))))))))))))))))))</f>
        <v>1</v>
      </c>
      <c r="G3527" s="52">
        <v>2</v>
      </c>
      <c r="H3527" s="99">
        <v>1</v>
      </c>
      <c r="I3527" s="93" t="s">
        <v>41</v>
      </c>
      <c r="J3527" s="86">
        <v>6.3</v>
      </c>
      <c r="K3527" s="103" t="s">
        <v>3495</v>
      </c>
      <c r="L3527" s="117">
        <f>IF(O3527="","",N3527*O3527*M3527)</f>
        <v>0</v>
      </c>
      <c r="M3527" s="108">
        <v>1</v>
      </c>
      <c r="N3527" s="95">
        <v>1</v>
      </c>
      <c r="O3527" s="109">
        <f>IF(Key!D$1="ON",P3527,IF(SUM(Q3527:DL3527)&lt;1,"",SUM(Q3527:DL3527)/COUNTIF(Q3527:DL3527,"&gt;0")))</f>
        <v>0</v>
      </c>
      <c r="P3527" s="109">
        <f>SUMIFS(Q3527:DK3527,Q$1:DK$1,Dashboard!$K$31)</f>
        <v>0</v>
      </c>
      <c r="U3527" s="95">
        <v>33</v>
      </c>
    </row>
    <row r="3528" spans="1:34" x14ac:dyDescent="0.3">
      <c r="A3528" s="89" t="str">
        <f>CONCATENATE(D3528,".",F3528,"-",G3528,".",H3528,"")</f>
        <v>3.1-2.1</v>
      </c>
      <c r="B3528" s="89" t="str">
        <f>IF(CONCATENATE(I3528,Key!F$2)=CONCATENATE(INDEX(Dashboard!J:J,MATCH(I3528,Dashboard!J:J,0),1),INDEX(Dashboard!J:K,MATCH(I3528,Dashboard!J:J,0),2)),"ON",IF(Dashboard!K$32="ALL","ON","-"))</f>
        <v>-</v>
      </c>
      <c r="C3528" s="127" t="s">
        <v>311</v>
      </c>
      <c r="D3528" s="89">
        <f>IF(C3528="ID",1,(IF(C3528="PR",2,(IF(C3528="DE",3,(IF(C3528="RS",4,(IF(C3528="RC",5,0)))))))))</f>
        <v>3</v>
      </c>
      <c r="E3528" s="89" t="s">
        <v>312</v>
      </c>
      <c r="F3528" s="89">
        <f>IF(E3528="AM",1,(IF(E3528="BE",2,(IF(E3528="GV",3,(IF(E3528="RA",4,(IF(E3528="RM",5,(IF(E3528="AC",1,(IF(E3528="AT",2,(IF(E3528="DS",3,(IF(E3528="IP",4,(IF(E3528="MA",5,(IF(E3528="PT",6,(IF(E3528="AE",1,(IF(E3528="CM",2,(IF(E3528="DP",3,(IF(E3528="AN",1,(IF(E3528="CO",2,(IF(E3528="IM",3,(IF(E3528="MI",4,(IF(E3528="RP",5,(IF(E3528="SC",6,0)))))))))))))))))))))))))))))))))))))))</f>
        <v>1</v>
      </c>
      <c r="G3528" s="52">
        <v>2</v>
      </c>
      <c r="H3528" s="99">
        <v>1</v>
      </c>
      <c r="I3528" s="93" t="s">
        <v>41</v>
      </c>
      <c r="J3528" s="86">
        <v>6.7</v>
      </c>
      <c r="K3528" s="103" t="s">
        <v>3499</v>
      </c>
      <c r="L3528" s="117">
        <f>IF(O3528="","",N3528*O3528*M3528)</f>
        <v>0</v>
      </c>
      <c r="M3528" s="108">
        <v>1</v>
      </c>
      <c r="N3528" s="95">
        <v>1</v>
      </c>
      <c r="O3528" s="109">
        <f>IF(Key!D$1="ON",P3528,IF(SUM(Q3528:DL3528)&lt;1,"",SUM(Q3528:DL3528)/COUNTIF(Q3528:DL3528,"&gt;0")))</f>
        <v>0</v>
      </c>
      <c r="P3528" s="109">
        <f>SUMIFS(Q3528:DK3528,Q$1:DK$1,Dashboard!$K$31)</f>
        <v>0</v>
      </c>
      <c r="U3528" s="95">
        <v>33</v>
      </c>
    </row>
    <row r="3529" spans="1:34" x14ac:dyDescent="0.3">
      <c r="A3529" s="89" t="str">
        <f>CONCATENATE(D3529,".",F3529,"-",G3529,".",H3529,"")</f>
        <v>3.1-2.1</v>
      </c>
      <c r="B3529" s="89" t="str">
        <f>IF(CONCATENATE(I3529,Key!F$2)=CONCATENATE(INDEX(Dashboard!J:J,MATCH(I3529,Dashboard!J:J,0),1),INDEX(Dashboard!J:K,MATCH(I3529,Dashboard!J:J,0),2)),"ON",IF(Dashboard!K$32="ALL","ON","-"))</f>
        <v>-</v>
      </c>
      <c r="C3529" s="132" t="s">
        <v>311</v>
      </c>
      <c r="D3529" s="89">
        <f>IF(C3529="ID",1,(IF(C3529="PR",2,(IF(C3529="DE",3,(IF(C3529="RS",4,(IF(C3529="RC",5,0)))))))))</f>
        <v>3</v>
      </c>
      <c r="E3529" s="89" t="s">
        <v>312</v>
      </c>
      <c r="F3529" s="89">
        <f>IF(E3529="AM",1,(IF(E3529="BE",2,(IF(E3529="GV",3,(IF(E3529="RA",4,(IF(E3529="RM",5,(IF(E3529="AC",1,(IF(E3529="AT",2,(IF(E3529="DS",3,(IF(E3529="IP",4,(IF(E3529="MA",5,(IF(E3529="PT",6,(IF(E3529="AE",1,(IF(E3529="CM",2,(IF(E3529="DP",3,(IF(E3529="AN",1,(IF(E3529="CO",2,(IF(E3529="IM",3,(IF(E3529="MI",4,(IF(E3529="RP",5,(IF(E3529="SC",6,0)))))))))))))))))))))))))))))))))))))))</f>
        <v>1</v>
      </c>
      <c r="G3529" s="52">
        <v>2</v>
      </c>
      <c r="H3529" s="99">
        <v>1</v>
      </c>
      <c r="I3529" s="93" t="s">
        <v>41</v>
      </c>
      <c r="J3529" s="86">
        <v>16.13</v>
      </c>
      <c r="K3529" s="103" t="s">
        <v>3586</v>
      </c>
      <c r="L3529" s="117">
        <f>IF(O3529="","",N3529*O3529*M3529)</f>
        <v>0</v>
      </c>
      <c r="M3529" s="108">
        <v>1</v>
      </c>
      <c r="N3529" s="95">
        <v>1</v>
      </c>
      <c r="O3529" s="109">
        <f>IF(Key!D$1="ON",P3529,IF(SUM(Q3529:DL3529)&lt;1,"",SUM(Q3529:DL3529)/COUNTIF(Q3529:DL3529,"&gt;0")))</f>
        <v>0</v>
      </c>
      <c r="P3529" s="109">
        <f>SUMIFS(Q3529:DK3529,Q$1:DK$1,Dashboard!$K$31)</f>
        <v>0</v>
      </c>
      <c r="U3529" s="95">
        <v>33</v>
      </c>
    </row>
    <row r="3530" spans="1:34" x14ac:dyDescent="0.3">
      <c r="A3530" s="89" t="str">
        <f>CONCATENATE(D3530,".",F3530,"-",G3530,".",H3530,"")</f>
        <v>3.1-2.1</v>
      </c>
      <c r="B3530" s="89" t="str">
        <f>IF(CONCATENATE(I3530,Key!F$2)=CONCATENATE(INDEX(Dashboard!J:J,MATCH(I3530,Dashboard!J:J,0),1),INDEX(Dashboard!J:K,MATCH(I3530,Dashboard!J:J,0),2)),"ON",IF(Dashboard!K$32="ALL","ON","-"))</f>
        <v>-</v>
      </c>
      <c r="C3530" s="132" t="s">
        <v>311</v>
      </c>
      <c r="D3530" s="89">
        <f>IF(C3530="ID",1,(IF(C3530="PR",2,(IF(C3530="DE",3,(IF(C3530="RS",4,(IF(C3530="RC",5,0)))))))))</f>
        <v>3</v>
      </c>
      <c r="E3530" s="89" t="s">
        <v>312</v>
      </c>
      <c r="F3530" s="89">
        <f>IF(E3530="AM",1,(IF(E3530="BE",2,(IF(E3530="GV",3,(IF(E3530="RA",4,(IF(E3530="RM",5,(IF(E3530="AC",1,(IF(E3530="AT",2,(IF(E3530="DS",3,(IF(E3530="IP",4,(IF(E3530="MA",5,(IF(E3530="PT",6,(IF(E3530="AE",1,(IF(E3530="CM",2,(IF(E3530="DP",3,(IF(E3530="AN",1,(IF(E3530="CO",2,(IF(E3530="IM",3,(IF(E3530="MI",4,(IF(E3530="RP",5,(IF(E3530="SC",6,0)))))))))))))))))))))))))))))))))))))))</f>
        <v>1</v>
      </c>
      <c r="G3530" s="52">
        <v>2</v>
      </c>
      <c r="H3530" s="90" t="s">
        <v>115</v>
      </c>
      <c r="I3530" s="93" t="s">
        <v>52</v>
      </c>
      <c r="J3530" s="88" t="s">
        <v>3446</v>
      </c>
      <c r="K3530" s="103" t="s">
        <v>3447</v>
      </c>
      <c r="L3530" s="117">
        <f>IF(O3530="","",N3530*O3530*M3530)</f>
        <v>0</v>
      </c>
      <c r="M3530" s="108">
        <v>1</v>
      </c>
      <c r="N3530" s="95">
        <v>1</v>
      </c>
      <c r="O3530" s="109">
        <f>IF(Key!D$1="ON",P3530,IF(SUM(Q3530:DL3530)&lt;1,"",SUM(Q3530:DL3530)/COUNTIF(Q3530:DL3530,"&gt;0")))</f>
        <v>0</v>
      </c>
      <c r="P3530" s="109">
        <f>SUMIFS(Q3530:DK3530,Q$1:DK$1,Dashboard!$K$31)</f>
        <v>0</v>
      </c>
      <c r="U3530" s="95">
        <v>33</v>
      </c>
      <c r="AA3530" s="95">
        <v>25</v>
      </c>
      <c r="AH3530" s="95">
        <v>75</v>
      </c>
    </row>
    <row r="3531" spans="1:34" ht="15.6" x14ac:dyDescent="0.3">
      <c r="A3531" s="89" t="str">
        <f>CONCATENATE(D3531,".",F3531,"-",G3531,".",H3531,"")</f>
        <v>3.1-2.1</v>
      </c>
      <c r="B3531" s="89" t="str">
        <f>IF(CONCATENATE(I3531,Key!F$2)=CONCATENATE(INDEX(Dashboard!J:J,MATCH(I3531,Dashboard!J:J,0),1),INDEX(Dashboard!J:K,MATCH(I3531,Dashboard!J:J,0),2)),"ON",IF(Dashboard!K$32="ALL","ON","-"))</f>
        <v>-</v>
      </c>
      <c r="C3531" s="132" t="s">
        <v>311</v>
      </c>
      <c r="D3531" s="89">
        <f>IF(C3531="ID",1,(IF(C3531="PR",2,(IF(C3531="DE",3,(IF(C3531="RS",4,(IF(C3531="RC",5,0)))))))))</f>
        <v>3</v>
      </c>
      <c r="E3531" s="89" t="s">
        <v>312</v>
      </c>
      <c r="F3531" s="89">
        <f>IF(E3531="AM",1,(IF(E3531="BE",2,(IF(E3531="GV",3,(IF(E3531="RA",4,(IF(E3531="RM",5,(IF(E3531="AC",1,(IF(E3531="AT",2,(IF(E3531="DS",3,(IF(E3531="IP",4,(IF(E3531="MA",5,(IF(E3531="PT",6,(IF(E3531="AE",1,(IF(E3531="CM",2,(IF(E3531="DP",3,(IF(E3531="AN",1,(IF(E3531="CO",2,(IF(E3531="IM",3,(IF(E3531="MI",4,(IF(E3531="RP",5,(IF(E3531="SC",6,0)))))))))))))))))))))))))))))))))))))))</f>
        <v>1</v>
      </c>
      <c r="G3531" s="52">
        <v>2</v>
      </c>
      <c r="H3531" s="90" t="s">
        <v>115</v>
      </c>
      <c r="I3531" s="93" t="s">
        <v>52</v>
      </c>
      <c r="J3531" s="88" t="s">
        <v>3437</v>
      </c>
      <c r="K3531" s="103" t="s">
        <v>3438</v>
      </c>
      <c r="L3531" s="117">
        <f>IF(O3531="","",N3531*O3531*M3531)</f>
        <v>0</v>
      </c>
      <c r="M3531" s="108">
        <v>1</v>
      </c>
      <c r="N3531" s="95">
        <v>1</v>
      </c>
      <c r="O3531" s="109">
        <f>IF(Key!D$1="ON",P3531,IF(SUM(Q3531:DL3531)&lt;1,"",SUM(Q3531:DL3531)/COUNTIF(Q3531:DL3531,"&gt;0")))</f>
        <v>0</v>
      </c>
      <c r="P3531" s="109">
        <f>SUMIFS(Q3531:DK3531,Q$1:DK$1,Dashboard!$K$31)</f>
        <v>0</v>
      </c>
      <c r="U3531" s="95">
        <v>33</v>
      </c>
      <c r="AA3531" s="95">
        <v>25</v>
      </c>
      <c r="AH3531" s="95">
        <v>75</v>
      </c>
    </row>
    <row r="3532" spans="1:34" x14ac:dyDescent="0.3">
      <c r="A3532" s="89" t="str">
        <f>CONCATENATE(D3532,".",F3532,"-",G3532,".",H3532,"")</f>
        <v>3.1-2.1</v>
      </c>
      <c r="B3532" s="89" t="str">
        <f>IF(CONCATENATE(I3532,Key!F$2)=CONCATENATE(INDEX(Dashboard!J:J,MATCH(I3532,Dashboard!J:J,0),1),INDEX(Dashboard!J:K,MATCH(I3532,Dashboard!J:J,0),2)),"ON",IF(Dashboard!K$32="ALL","ON","-"))</f>
        <v>-</v>
      </c>
      <c r="C3532" s="127" t="s">
        <v>311</v>
      </c>
      <c r="D3532" s="89">
        <f>IF(C3532="ID",1,(IF(C3532="PR",2,(IF(C3532="DE",3,(IF(C3532="RS",4,(IF(C3532="RC",5,0)))))))))</f>
        <v>3</v>
      </c>
      <c r="E3532" s="89" t="s">
        <v>312</v>
      </c>
      <c r="F3532" s="89">
        <f>IF(E3532="AM",1,(IF(E3532="BE",2,(IF(E3532="GV",3,(IF(E3532="RA",4,(IF(E3532="RM",5,(IF(E3532="AC",1,(IF(E3532="AT",2,(IF(E3532="DS",3,(IF(E3532="IP",4,(IF(E3532="MA",5,(IF(E3532="PT",6,(IF(E3532="AE",1,(IF(E3532="CM",2,(IF(E3532="DP",3,(IF(E3532="AN",1,(IF(E3532="CO",2,(IF(E3532="IM",3,(IF(E3532="MI",4,(IF(E3532="RP",5,(IF(E3532="SC",6,0)))))))))))))))))))))))))))))))))))))))</f>
        <v>1</v>
      </c>
      <c r="G3532" s="52">
        <v>2</v>
      </c>
      <c r="H3532" s="89">
        <v>1</v>
      </c>
      <c r="I3532" s="93" t="s">
        <v>60</v>
      </c>
      <c r="J3532" s="88" t="s">
        <v>3155</v>
      </c>
      <c r="K3532" s="51" t="s">
        <v>5268</v>
      </c>
      <c r="L3532" s="117">
        <f>IF(O3532="","",N3532*O3532*M3532)</f>
        <v>0</v>
      </c>
      <c r="M3532" s="108">
        <v>1</v>
      </c>
      <c r="N3532" s="95">
        <v>1</v>
      </c>
      <c r="O3532" s="109">
        <f>IF(Key!D$1="ON",P3532,IF(SUM(Q3532:DL3532)&lt;1,"",SUM(Q3532:DL3532)/COUNTIF(Q3532:DL3532,"&gt;0")))</f>
        <v>0</v>
      </c>
      <c r="P3532" s="109">
        <f>SUMIFS(Q3532:DK3532,Q$1:DK$1,Dashboard!$K$31)</f>
        <v>0</v>
      </c>
      <c r="U3532" s="95">
        <v>33</v>
      </c>
      <c r="AA3532" s="95">
        <v>25</v>
      </c>
      <c r="AH3532" s="95">
        <v>75</v>
      </c>
    </row>
    <row r="3533" spans="1:34" ht="15.6" x14ac:dyDescent="0.3">
      <c r="A3533" s="89" t="str">
        <f>CONCATENATE(D3533,".",F3533,"-",G3533,".",H3533,"")</f>
        <v>3.1-2.1</v>
      </c>
      <c r="B3533" s="89" t="str">
        <f>IF(CONCATENATE(I3533,Key!F$2)=CONCATENATE(INDEX(Dashboard!J:J,MATCH(I3533,Dashboard!J:J,0),1),INDEX(Dashboard!J:K,MATCH(I3533,Dashboard!J:J,0),2)),"ON",IF(Dashboard!K$32="ALL","ON","-"))</f>
        <v>-</v>
      </c>
      <c r="C3533" s="127" t="s">
        <v>311</v>
      </c>
      <c r="D3533" s="89">
        <f>IF(C3533="ID",1,(IF(C3533="PR",2,(IF(C3533="DE",3,(IF(C3533="RS",4,(IF(C3533="RC",5,0)))))))))</f>
        <v>3</v>
      </c>
      <c r="E3533" s="89" t="s">
        <v>312</v>
      </c>
      <c r="F3533" s="89">
        <f>IF(E3533="AM",1,(IF(E3533="BE",2,(IF(E3533="GV",3,(IF(E3533="RA",4,(IF(E3533="RM",5,(IF(E3533="AC",1,(IF(E3533="AT",2,(IF(E3533="DS",3,(IF(E3533="IP",4,(IF(E3533="MA",5,(IF(E3533="PT",6,(IF(E3533="AE",1,(IF(E3533="CM",2,(IF(E3533="DP",3,(IF(E3533="AN",1,(IF(E3533="CO",2,(IF(E3533="IM",3,(IF(E3533="MI",4,(IF(E3533="RP",5,(IF(E3533="SC",6,0)))))))))))))))))))))))))))))))))))))))</f>
        <v>1</v>
      </c>
      <c r="G3533" s="52">
        <v>2</v>
      </c>
      <c r="H3533" s="89">
        <v>1</v>
      </c>
      <c r="I3533" s="93" t="s">
        <v>60</v>
      </c>
      <c r="J3533" s="87" t="s">
        <v>3268</v>
      </c>
      <c r="K3533" s="51" t="s">
        <v>5381</v>
      </c>
      <c r="L3533" s="117">
        <f>IF(O3533="","",N3533*O3533*M3533)</f>
        <v>0</v>
      </c>
      <c r="M3533" s="108">
        <v>1</v>
      </c>
      <c r="N3533" s="95">
        <v>1</v>
      </c>
      <c r="O3533" s="109">
        <f>IF(Key!D$1="ON",P3533,IF(SUM(Q3533:DL3533)&lt;1,"",SUM(Q3533:DL3533)/COUNTIF(Q3533:DL3533,"&gt;0")))</f>
        <v>0</v>
      </c>
      <c r="P3533" s="109">
        <f>SUMIFS(Q3533:DK3533,Q$1:DK$1,Dashboard!$K$31)</f>
        <v>0</v>
      </c>
      <c r="U3533" s="95">
        <v>33</v>
      </c>
      <c r="AA3533" s="95">
        <v>25</v>
      </c>
      <c r="AH3533" s="95">
        <v>75</v>
      </c>
    </row>
    <row r="3534" spans="1:34" ht="15.6" x14ac:dyDescent="0.3">
      <c r="A3534" s="89" t="str">
        <f>CONCATENATE(D3534,".",F3534,"-",G3534,".",H3534,"")</f>
        <v>3.1-2.1</v>
      </c>
      <c r="B3534" s="89" t="str">
        <f>IF(CONCATENATE(I3534,Key!F$2)=CONCATENATE(INDEX(Dashboard!J:J,MATCH(I3534,Dashboard!J:J,0),1),INDEX(Dashboard!J:K,MATCH(I3534,Dashboard!J:J,0),2)),"ON",IF(Dashboard!K$32="ALL","ON","-"))</f>
        <v>-</v>
      </c>
      <c r="C3534" s="127" t="s">
        <v>311</v>
      </c>
      <c r="D3534" s="89">
        <f>IF(C3534="ID",1,(IF(C3534="PR",2,(IF(C3534="DE",3,(IF(C3534="RS",4,(IF(C3534="RC",5,0)))))))))</f>
        <v>3</v>
      </c>
      <c r="E3534" s="89" t="s">
        <v>312</v>
      </c>
      <c r="F3534" s="89">
        <f>IF(E3534="AM",1,(IF(E3534="BE",2,(IF(E3534="GV",3,(IF(E3534="RA",4,(IF(E3534="RM",5,(IF(E3534="AC",1,(IF(E3534="AT",2,(IF(E3534="DS",3,(IF(E3534="IP",4,(IF(E3534="MA",5,(IF(E3534="PT",6,(IF(E3534="AE",1,(IF(E3534="CM",2,(IF(E3534="DP",3,(IF(E3534="AN",1,(IF(E3534="CO",2,(IF(E3534="IM",3,(IF(E3534="MI",4,(IF(E3534="RP",5,(IF(E3534="SC",6,0)))))))))))))))))))))))))))))))))))))))</f>
        <v>1</v>
      </c>
      <c r="G3534" s="52">
        <v>2</v>
      </c>
      <c r="H3534" s="90" t="s">
        <v>115</v>
      </c>
      <c r="I3534" s="93" t="s">
        <v>73</v>
      </c>
      <c r="J3534" s="86" t="s">
        <v>4248</v>
      </c>
      <c r="K3534" s="101" t="s">
        <v>5186</v>
      </c>
      <c r="L3534" s="117">
        <f>IF(O3534="","",N3534*O3534*M3534)</f>
        <v>0</v>
      </c>
      <c r="M3534" s="108">
        <v>1</v>
      </c>
      <c r="N3534" s="95">
        <v>1</v>
      </c>
      <c r="O3534" s="109">
        <f>IF(Key!D$1="ON",P3534,IF(SUM(Q3534:DL3534)&lt;1,"",SUM(Q3534:DL3534)/COUNTIF(Q3534:DL3534,"&gt;0")))</f>
        <v>0</v>
      </c>
      <c r="P3534" s="109">
        <f>SUMIFS(Q3534:DK3534,Q$1:DK$1,Dashboard!$K$31)</f>
        <v>0</v>
      </c>
      <c r="U3534" s="95">
        <v>33</v>
      </c>
      <c r="AA3534" s="95">
        <v>25</v>
      </c>
      <c r="AH3534" s="95">
        <v>75</v>
      </c>
    </row>
    <row r="3535" spans="1:34" ht="15.6" x14ac:dyDescent="0.3">
      <c r="A3535" s="89" t="str">
        <f>CONCATENATE(D3535,".",F3535,"-",G3535,".",H3535,"")</f>
        <v>3.1-2.1</v>
      </c>
      <c r="B3535" s="89" t="str">
        <f>IF(CONCATENATE(I3535,Key!F$2)=CONCATENATE(INDEX(Dashboard!J:J,MATCH(I3535,Dashboard!J:J,0),1),INDEX(Dashboard!J:K,MATCH(I3535,Dashboard!J:J,0),2)),"ON",IF(Dashboard!K$32="ALL","ON","-"))</f>
        <v>-</v>
      </c>
      <c r="C3535" s="127" t="s">
        <v>311</v>
      </c>
      <c r="D3535" s="89">
        <f>IF(C3535="ID",1,(IF(C3535="PR",2,(IF(C3535="DE",3,(IF(C3535="RS",4,(IF(C3535="RC",5,0)))))))))</f>
        <v>3</v>
      </c>
      <c r="E3535" s="89" t="s">
        <v>312</v>
      </c>
      <c r="F3535" s="89">
        <f>IF(E3535="AM",1,(IF(E3535="BE",2,(IF(E3535="GV",3,(IF(E3535="RA",4,(IF(E3535="RM",5,(IF(E3535="AC",1,(IF(E3535="AT",2,(IF(E3535="DS",3,(IF(E3535="IP",4,(IF(E3535="MA",5,(IF(E3535="PT",6,(IF(E3535="AE",1,(IF(E3535="CM",2,(IF(E3535="DP",3,(IF(E3535="AN",1,(IF(E3535="CO",2,(IF(E3535="IM",3,(IF(E3535="MI",4,(IF(E3535="RP",5,(IF(E3535="SC",6,0)))))))))))))))))))))))))))))))))))))))</f>
        <v>1</v>
      </c>
      <c r="G3535" s="52">
        <v>2</v>
      </c>
      <c r="H3535" s="90" t="s">
        <v>115</v>
      </c>
      <c r="I3535" s="93" t="s">
        <v>73</v>
      </c>
      <c r="J3535" s="86" t="s">
        <v>4249</v>
      </c>
      <c r="K3535" s="101" t="s">
        <v>4416</v>
      </c>
      <c r="L3535" s="117">
        <f>IF(O3535="","",N3535*O3535*M3535)</f>
        <v>0</v>
      </c>
      <c r="M3535" s="108">
        <v>1</v>
      </c>
      <c r="N3535" s="95">
        <v>1</v>
      </c>
      <c r="O3535" s="109">
        <f>IF(Key!D$1="ON",P3535,IF(SUM(Q3535:DL3535)&lt;1,"",SUM(Q3535:DL3535)/COUNTIF(Q3535:DL3535,"&gt;0")))</f>
        <v>0</v>
      </c>
      <c r="P3535" s="109">
        <f>SUMIFS(Q3535:DK3535,Q$1:DK$1,Dashboard!$K$31)</f>
        <v>0</v>
      </c>
      <c r="U3535" s="95">
        <v>33</v>
      </c>
      <c r="AA3535" s="95">
        <v>25</v>
      </c>
      <c r="AH3535" s="95">
        <v>75</v>
      </c>
    </row>
    <row r="3536" spans="1:34" ht="15.6" x14ac:dyDescent="0.3">
      <c r="A3536" s="89" t="str">
        <f>CONCATENATE(D3536,".",F3536,"-",G3536,".",H3536,"")</f>
        <v>3.1-2.1</v>
      </c>
      <c r="B3536" s="89" t="str">
        <f>IF(CONCATENATE(I3536,Key!F$2)=CONCATENATE(INDEX(Dashboard!J:J,MATCH(I3536,Dashboard!J:J,0),1),INDEX(Dashboard!J:K,MATCH(I3536,Dashboard!J:J,0),2)),"ON",IF(Dashboard!K$32="ALL","ON","-"))</f>
        <v>-</v>
      </c>
      <c r="C3536" s="127" t="s">
        <v>311</v>
      </c>
      <c r="D3536" s="89">
        <f>IF(C3536="ID",1,(IF(C3536="PR",2,(IF(C3536="DE",3,(IF(C3536="RS",4,(IF(C3536="RC",5,0)))))))))</f>
        <v>3</v>
      </c>
      <c r="E3536" s="89" t="s">
        <v>312</v>
      </c>
      <c r="F3536" s="89">
        <f>IF(E3536="AM",1,(IF(E3536="BE",2,(IF(E3536="GV",3,(IF(E3536="RA",4,(IF(E3536="RM",5,(IF(E3536="AC",1,(IF(E3536="AT",2,(IF(E3536="DS",3,(IF(E3536="IP",4,(IF(E3536="MA",5,(IF(E3536="PT",6,(IF(E3536="AE",1,(IF(E3536="CM",2,(IF(E3536="DP",3,(IF(E3536="AN",1,(IF(E3536="CO",2,(IF(E3536="IM",3,(IF(E3536="MI",4,(IF(E3536="RP",5,(IF(E3536="SC",6,0)))))))))))))))))))))))))))))))))))))))</f>
        <v>1</v>
      </c>
      <c r="G3536" s="52">
        <v>2</v>
      </c>
      <c r="H3536" s="90" t="s">
        <v>115</v>
      </c>
      <c r="I3536" s="93" t="s">
        <v>73</v>
      </c>
      <c r="J3536" s="86" t="s">
        <v>4147</v>
      </c>
      <c r="K3536" s="101" t="s">
        <v>5205</v>
      </c>
      <c r="L3536" s="117">
        <f>IF(O3536="","",N3536*O3536*M3536)</f>
        <v>0</v>
      </c>
      <c r="M3536" s="108">
        <v>1</v>
      </c>
      <c r="N3536" s="95">
        <v>1</v>
      </c>
      <c r="O3536" s="109">
        <f>IF(Key!D$1="ON",P3536,IF(SUM(Q3536:DL3536)&lt;1,"",SUM(Q3536:DL3536)/COUNTIF(Q3536:DL3536,"&gt;0")))</f>
        <v>0</v>
      </c>
      <c r="P3536" s="109">
        <f>SUMIFS(Q3536:DK3536,Q$1:DK$1,Dashboard!$K$31)</f>
        <v>0</v>
      </c>
      <c r="U3536" s="95">
        <v>33</v>
      </c>
      <c r="AA3536" s="95">
        <v>25</v>
      </c>
      <c r="AH3536" s="95">
        <v>75</v>
      </c>
    </row>
    <row r="3537" spans="1:34" ht="15.6" x14ac:dyDescent="0.3">
      <c r="A3537" s="89" t="str">
        <f>CONCATENATE(D3537,".",F3537,"-",G3537,".",H3537,"")</f>
        <v>3.1-2.1</v>
      </c>
      <c r="B3537" s="89" t="str">
        <f>IF(CONCATENATE(I3537,Key!F$2)=CONCATENATE(INDEX(Dashboard!J:J,MATCH(I3537,Dashboard!J:J,0),1),INDEX(Dashboard!J:K,MATCH(I3537,Dashboard!J:J,0),2)),"ON",IF(Dashboard!K$32="ALL","ON","-"))</f>
        <v>-</v>
      </c>
      <c r="C3537" s="127" t="s">
        <v>311</v>
      </c>
      <c r="D3537" s="89">
        <f>IF(C3537="ID",1,(IF(C3537="PR",2,(IF(C3537="DE",3,(IF(C3537="RS",4,(IF(C3537="RC",5,0)))))))))</f>
        <v>3</v>
      </c>
      <c r="E3537" s="89" t="s">
        <v>312</v>
      </c>
      <c r="F3537" s="89">
        <f>IF(E3537="AM",1,(IF(E3537="BE",2,(IF(E3537="GV",3,(IF(E3537="RA",4,(IF(E3537="RM",5,(IF(E3537="AC",1,(IF(E3537="AT",2,(IF(E3537="DS",3,(IF(E3537="IP",4,(IF(E3537="MA",5,(IF(E3537="PT",6,(IF(E3537="AE",1,(IF(E3537="CM",2,(IF(E3537="DP",3,(IF(E3537="AN",1,(IF(E3537="CO",2,(IF(E3537="IM",3,(IF(E3537="MI",4,(IF(E3537="RP",5,(IF(E3537="SC",6,0)))))))))))))))))))))))))))))))))))))))</f>
        <v>1</v>
      </c>
      <c r="G3537" s="52">
        <v>2</v>
      </c>
      <c r="H3537" s="90" t="s">
        <v>115</v>
      </c>
      <c r="I3537" s="93" t="s">
        <v>73</v>
      </c>
      <c r="J3537" s="86" t="s">
        <v>4148</v>
      </c>
      <c r="K3537" s="101" t="s">
        <v>4364</v>
      </c>
      <c r="L3537" s="117">
        <f>IF(O3537="","",N3537*O3537*M3537)</f>
        <v>0</v>
      </c>
      <c r="M3537" s="108">
        <v>1</v>
      </c>
      <c r="N3537" s="95">
        <v>1</v>
      </c>
      <c r="O3537" s="109">
        <f>IF(Key!D$1="ON",P3537,IF(SUM(Q3537:DL3537)&lt;1,"",SUM(Q3537:DL3537)/COUNTIF(Q3537:DL3537,"&gt;0")))</f>
        <v>0</v>
      </c>
      <c r="P3537" s="109">
        <f>SUMIFS(Q3537:DK3537,Q$1:DK$1,Dashboard!$K$31)</f>
        <v>0</v>
      </c>
      <c r="U3537" s="95">
        <v>33</v>
      </c>
      <c r="AA3537" s="95">
        <v>25</v>
      </c>
      <c r="AH3537" s="95">
        <v>75</v>
      </c>
    </row>
    <row r="3538" spans="1:34" x14ac:dyDescent="0.3">
      <c r="A3538" s="89" t="str">
        <f>CONCATENATE(D3538,".",F3538,"-",G3538,".",H3538,"")</f>
        <v>3.1-2.1</v>
      </c>
      <c r="B3538" s="89" t="str">
        <f>IF(CONCATENATE(I3538,Key!F$2)=CONCATENATE(INDEX(Dashboard!J:J,MATCH(I3538,Dashboard!J:J,0),1),INDEX(Dashboard!J:K,MATCH(I3538,Dashboard!J:J,0),2)),"ON",IF(Dashboard!K$32="ALL","ON","-"))</f>
        <v>-</v>
      </c>
      <c r="C3538" s="127" t="s">
        <v>311</v>
      </c>
      <c r="D3538" s="89">
        <f>IF(C3538="ID",1,(IF(C3538="PR",2,(IF(C3538="DE",3,(IF(C3538="RS",4,(IF(C3538="RC",5,0)))))))))</f>
        <v>3</v>
      </c>
      <c r="E3538" s="89" t="s">
        <v>312</v>
      </c>
      <c r="F3538" s="89">
        <f>IF(E3538="AM",1,(IF(E3538="BE",2,(IF(E3538="GV",3,(IF(E3538="RA",4,(IF(E3538="RM",5,(IF(E3538="AC",1,(IF(E3538="AT",2,(IF(E3538="DS",3,(IF(E3538="IP",4,(IF(E3538="MA",5,(IF(E3538="PT",6,(IF(E3538="AE",1,(IF(E3538="CM",2,(IF(E3538="DP",3,(IF(E3538="AN",1,(IF(E3538="CO",2,(IF(E3538="IM",3,(IF(E3538="MI",4,(IF(E3538="RP",5,(IF(E3538="SC",6,0)))))))))))))))))))))))))))))))))))))))</f>
        <v>1</v>
      </c>
      <c r="G3538" s="52">
        <v>2</v>
      </c>
      <c r="H3538" s="90" t="s">
        <v>115</v>
      </c>
      <c r="I3538" s="93" t="s">
        <v>73</v>
      </c>
      <c r="J3538" s="86" t="s">
        <v>4151</v>
      </c>
      <c r="K3538" s="101" t="s">
        <v>5206</v>
      </c>
      <c r="L3538" s="117">
        <f>IF(O3538="","",N3538*O3538*M3538)</f>
        <v>0</v>
      </c>
      <c r="M3538" s="108">
        <v>1</v>
      </c>
      <c r="N3538" s="95">
        <v>1</v>
      </c>
      <c r="O3538" s="109">
        <f>IF(Key!D$1="ON",P3538,IF(SUM(Q3538:DL3538)&lt;1,"",SUM(Q3538:DL3538)/COUNTIF(Q3538:DL3538,"&gt;0")))</f>
        <v>0</v>
      </c>
      <c r="P3538" s="109">
        <f>SUMIFS(Q3538:DK3538,Q$1:DK$1,Dashboard!$K$31)</f>
        <v>0</v>
      </c>
      <c r="U3538" s="95">
        <v>33</v>
      </c>
      <c r="AA3538" s="95">
        <v>25</v>
      </c>
      <c r="AH3538" s="95">
        <v>75</v>
      </c>
    </row>
    <row r="3539" spans="1:34" x14ac:dyDescent="0.3">
      <c r="A3539" s="89" t="str">
        <f>CONCATENATE(D3539,".",F3539,"-",G3539,".",H3539,"")</f>
        <v>3.1-2.1</v>
      </c>
      <c r="B3539" s="89" t="str">
        <f>IF(CONCATENATE(I3539,Key!F$2)=CONCATENATE(INDEX(Dashboard!J:J,MATCH(I3539,Dashboard!J:J,0),1),INDEX(Dashboard!J:K,MATCH(I3539,Dashboard!J:J,0),2)),"ON",IF(Dashboard!K$32="ALL","ON","-"))</f>
        <v>-</v>
      </c>
      <c r="C3539" s="127" t="s">
        <v>311</v>
      </c>
      <c r="D3539" s="89">
        <f>IF(C3539="ID",1,(IF(C3539="PR",2,(IF(C3539="DE",3,(IF(C3539="RS",4,(IF(C3539="RC",5,0)))))))))</f>
        <v>3</v>
      </c>
      <c r="E3539" s="89" t="s">
        <v>312</v>
      </c>
      <c r="F3539" s="89">
        <f>IF(E3539="AM",1,(IF(E3539="BE",2,(IF(E3539="GV",3,(IF(E3539="RA",4,(IF(E3539="RM",5,(IF(E3539="AC",1,(IF(E3539="AT",2,(IF(E3539="DS",3,(IF(E3539="IP",4,(IF(E3539="MA",5,(IF(E3539="PT",6,(IF(E3539="AE",1,(IF(E3539="CM",2,(IF(E3539="DP",3,(IF(E3539="AN",1,(IF(E3539="CO",2,(IF(E3539="IM",3,(IF(E3539="MI",4,(IF(E3539="RP",5,(IF(E3539="SC",6,0)))))))))))))))))))))))))))))))))))))))</f>
        <v>1</v>
      </c>
      <c r="G3539" s="52">
        <v>2</v>
      </c>
      <c r="H3539" s="90" t="s">
        <v>115</v>
      </c>
      <c r="I3539" s="93" t="s">
        <v>73</v>
      </c>
      <c r="J3539" s="86" t="s">
        <v>295</v>
      </c>
      <c r="K3539" s="101" t="s">
        <v>5200</v>
      </c>
      <c r="L3539" s="117">
        <f>IF(O3539="","",N3539*O3539*M3539)</f>
        <v>0</v>
      </c>
      <c r="M3539" s="108">
        <v>1</v>
      </c>
      <c r="N3539" s="95">
        <v>1</v>
      </c>
      <c r="O3539" s="109">
        <f>IF(Key!D$1="ON",P3539,IF(SUM(Q3539:DL3539)&lt;1,"",SUM(Q3539:DL3539)/COUNTIF(Q3539:DL3539,"&gt;0")))</f>
        <v>0</v>
      </c>
      <c r="P3539" s="109">
        <f>SUMIFS(Q3539:DK3539,Q$1:DK$1,Dashboard!$K$31)</f>
        <v>0</v>
      </c>
      <c r="U3539" s="95">
        <v>33</v>
      </c>
      <c r="AA3539" s="95">
        <v>25</v>
      </c>
      <c r="AH3539" s="95">
        <v>75</v>
      </c>
    </row>
    <row r="3540" spans="1:34" x14ac:dyDescent="0.3">
      <c r="A3540" s="89" t="str">
        <f>CONCATENATE(D3540,".",F3540,"-",G3540,".",H3540,"")</f>
        <v>3.1-2.1</v>
      </c>
      <c r="B3540" s="89" t="str">
        <f>IF(CONCATENATE(I3540,Key!F$2)=CONCATENATE(INDEX(Dashboard!J:J,MATCH(I3540,Dashboard!J:J,0),1),INDEX(Dashboard!J:K,MATCH(I3540,Dashboard!J:J,0),2)),"ON",IF(Dashboard!K$32="ALL","ON","-"))</f>
        <v>-</v>
      </c>
      <c r="C3540" s="127" t="s">
        <v>311</v>
      </c>
      <c r="D3540" s="89">
        <f>IF(C3540="ID",1,(IF(C3540="PR",2,(IF(C3540="DE",3,(IF(C3540="RS",4,(IF(C3540="RC",5,0)))))))))</f>
        <v>3</v>
      </c>
      <c r="E3540" s="89" t="s">
        <v>312</v>
      </c>
      <c r="F3540" s="89">
        <f>IF(E3540="AM",1,(IF(E3540="BE",2,(IF(E3540="GV",3,(IF(E3540="RA",4,(IF(E3540="RM",5,(IF(E3540="AC",1,(IF(E3540="AT",2,(IF(E3540="DS",3,(IF(E3540="IP",4,(IF(E3540="MA",5,(IF(E3540="PT",6,(IF(E3540="AE",1,(IF(E3540="CM",2,(IF(E3540="DP",3,(IF(E3540="AN",1,(IF(E3540="CO",2,(IF(E3540="IM",3,(IF(E3540="MI",4,(IF(E3540="RP",5,(IF(E3540="SC",6,0)))))))))))))))))))))))))))))))))))))))</f>
        <v>1</v>
      </c>
      <c r="G3540" s="52">
        <v>2</v>
      </c>
      <c r="H3540" s="90" t="s">
        <v>115</v>
      </c>
      <c r="I3540" s="93" t="s">
        <v>77</v>
      </c>
      <c r="J3540" s="87" t="s">
        <v>1316</v>
      </c>
      <c r="K3540" s="102" t="s">
        <v>2324</v>
      </c>
      <c r="L3540" s="117">
        <f>IF(O3540="","",N3540*O3540*M3540)</f>
        <v>0</v>
      </c>
      <c r="M3540" s="108">
        <v>0.9</v>
      </c>
      <c r="N3540" s="95">
        <v>1</v>
      </c>
      <c r="O3540" s="109">
        <f>IF(Key!D$1="ON",P3540,IF(SUM(Q3540:DL3540)&lt;1,"",SUM(Q3540:DL3540)/COUNTIF(Q3540:DL3540,"&gt;0")))</f>
        <v>0</v>
      </c>
      <c r="P3540" s="109">
        <f>SUMIFS(Q3540:DK3540,Q$1:DK$1,Dashboard!$K$31)</f>
        <v>0</v>
      </c>
      <c r="S3540" s="95">
        <v>99</v>
      </c>
      <c r="T3540" s="95">
        <v>80</v>
      </c>
      <c r="U3540" s="95">
        <v>33</v>
      </c>
      <c r="AA3540" s="95">
        <v>25</v>
      </c>
      <c r="AH3540" s="95">
        <v>75</v>
      </c>
    </row>
    <row r="3541" spans="1:34" ht="15.6" x14ac:dyDescent="0.3">
      <c r="A3541" s="89" t="str">
        <f>CONCATENATE(D3541,".",F3541,"-",G3541,".",H3541,"")</f>
        <v>3.1-2.1</v>
      </c>
      <c r="B3541" s="89" t="str">
        <f>IF(CONCATENATE(I3541,Key!F$2)=CONCATENATE(INDEX(Dashboard!J:J,MATCH(I3541,Dashboard!J:J,0),1),INDEX(Dashboard!J:K,MATCH(I3541,Dashboard!J:J,0),2)),"ON",IF(Dashboard!K$32="ALL","ON","-"))</f>
        <v>-</v>
      </c>
      <c r="C3541" s="132" t="s">
        <v>311</v>
      </c>
      <c r="D3541" s="89">
        <f>IF(C3541="ID",1,(IF(C3541="PR",2,(IF(C3541="DE",3,(IF(C3541="RS",4,(IF(C3541="RC",5,0)))))))))</f>
        <v>3</v>
      </c>
      <c r="E3541" s="89" t="s">
        <v>312</v>
      </c>
      <c r="F3541" s="89">
        <f>IF(E3541="AM",1,(IF(E3541="BE",2,(IF(E3541="GV",3,(IF(E3541="RA",4,(IF(E3541="RM",5,(IF(E3541="AC",1,(IF(E3541="AT",2,(IF(E3541="DS",3,(IF(E3541="IP",4,(IF(E3541="MA",5,(IF(E3541="PT",6,(IF(E3541="AE",1,(IF(E3541="CM",2,(IF(E3541="DP",3,(IF(E3541="AN",1,(IF(E3541="CO",2,(IF(E3541="IM",3,(IF(E3541="MI",4,(IF(E3541="RP",5,(IF(E3541="SC",6,0)))))))))))))))))))))))))))))))))))))))</f>
        <v>1</v>
      </c>
      <c r="G3541" s="52">
        <v>2</v>
      </c>
      <c r="H3541" s="90" t="s">
        <v>115</v>
      </c>
      <c r="I3541" s="93" t="s">
        <v>77</v>
      </c>
      <c r="J3541" s="87" t="s">
        <v>1817</v>
      </c>
      <c r="K3541" s="102" t="s">
        <v>2726</v>
      </c>
      <c r="L3541" s="117">
        <f>IF(O3541="","",N3541*O3541*M3541)</f>
        <v>0</v>
      </c>
      <c r="M3541" s="108">
        <v>0.9</v>
      </c>
      <c r="N3541" s="95">
        <v>1</v>
      </c>
      <c r="O3541" s="109">
        <f>IF(Key!D$1="ON",P3541,IF(SUM(Q3541:DL3541)&lt;1,"",SUM(Q3541:DL3541)/COUNTIF(Q3541:DL3541,"&gt;0")))</f>
        <v>0</v>
      </c>
      <c r="P3541" s="109">
        <f>SUMIFS(Q3541:DK3541,Q$1:DK$1,Dashboard!$K$31)</f>
        <v>0</v>
      </c>
      <c r="S3541" s="95">
        <v>99</v>
      </c>
      <c r="T3541" s="95">
        <v>80</v>
      </c>
      <c r="U3541" s="95">
        <v>33</v>
      </c>
      <c r="AA3541" s="95">
        <v>25</v>
      </c>
      <c r="AH3541" s="95">
        <v>75</v>
      </c>
    </row>
    <row r="3542" spans="1:34" ht="15.6" x14ac:dyDescent="0.3">
      <c r="A3542" s="89" t="str">
        <f>CONCATENATE(D3542,".",F3542,"-",G3542,".",H3542,"")</f>
        <v>3.1-2.1</v>
      </c>
      <c r="B3542" s="89" t="str">
        <f>IF(CONCATENATE(I3542,Key!F$2)=CONCATENATE(INDEX(Dashboard!J:J,MATCH(I3542,Dashboard!J:J,0),1),INDEX(Dashboard!J:K,MATCH(I3542,Dashboard!J:J,0),2)),"ON",IF(Dashboard!K$32="ALL","ON","-"))</f>
        <v>-</v>
      </c>
      <c r="C3542" s="127" t="s">
        <v>311</v>
      </c>
      <c r="D3542" s="89">
        <f>IF(C3542="ID",1,(IF(C3542="PR",2,(IF(C3542="DE",3,(IF(C3542="RS",4,(IF(C3542="RC",5,0)))))))))</f>
        <v>3</v>
      </c>
      <c r="E3542" s="89" t="s">
        <v>312</v>
      </c>
      <c r="F3542" s="89">
        <f>IF(E3542="AM",1,(IF(E3542="BE",2,(IF(E3542="GV",3,(IF(E3542="RA",4,(IF(E3542="RM",5,(IF(E3542="AC",1,(IF(E3542="AT",2,(IF(E3542="DS",3,(IF(E3542="IP",4,(IF(E3542="MA",5,(IF(E3542="PT",6,(IF(E3542="AE",1,(IF(E3542="CM",2,(IF(E3542="DP",3,(IF(E3542="AN",1,(IF(E3542="CO",2,(IF(E3542="IM",3,(IF(E3542="MI",4,(IF(E3542="RP",5,(IF(E3542="SC",6,0)))))))))))))))))))))))))))))))))))))))</f>
        <v>1</v>
      </c>
      <c r="G3542" s="52">
        <v>2</v>
      </c>
      <c r="H3542" s="90" t="s">
        <v>115</v>
      </c>
      <c r="I3542" s="93" t="s">
        <v>77</v>
      </c>
      <c r="J3542" s="87" t="s">
        <v>1819</v>
      </c>
      <c r="K3542" s="102" t="s">
        <v>2727</v>
      </c>
      <c r="L3542" s="117">
        <f>IF(O3542="","",N3542*O3542*M3542)</f>
        <v>0</v>
      </c>
      <c r="M3542" s="108">
        <v>1</v>
      </c>
      <c r="N3542" s="95">
        <v>1</v>
      </c>
      <c r="O3542" s="109">
        <f>IF(Key!D$1="ON",P3542,IF(SUM(Q3542:DL3542)&lt;1,"",SUM(Q3542:DL3542)/COUNTIF(Q3542:DL3542,"&gt;0")))</f>
        <v>0</v>
      </c>
      <c r="P3542" s="109">
        <f>SUMIFS(Q3542:DK3542,Q$1:DK$1,Dashboard!$K$31)</f>
        <v>0</v>
      </c>
      <c r="U3542" s="95">
        <v>33</v>
      </c>
      <c r="AA3542" s="95">
        <v>25</v>
      </c>
      <c r="AH3542" s="95">
        <v>75</v>
      </c>
    </row>
    <row r="3543" spans="1:34" ht="15.6" x14ac:dyDescent="0.3">
      <c r="A3543" s="89" t="str">
        <f>CONCATENATE(D3543,".",F3543,"-",G3543,".",H3543,"")</f>
        <v>3.1-2.1</v>
      </c>
      <c r="B3543" s="89" t="str">
        <f>IF(CONCATENATE(I3543,Key!F$2)=CONCATENATE(INDEX(Dashboard!J:J,MATCH(I3543,Dashboard!J:J,0),1),INDEX(Dashboard!J:K,MATCH(I3543,Dashboard!J:J,0),2)),"ON",IF(Dashboard!K$32="ALL","ON","-"))</f>
        <v>-</v>
      </c>
      <c r="C3543" s="127" t="s">
        <v>311</v>
      </c>
      <c r="D3543" s="89">
        <f>IF(C3543="ID",1,(IF(C3543="PR",2,(IF(C3543="DE",3,(IF(C3543="RS",4,(IF(C3543="RC",5,0)))))))))</f>
        <v>3</v>
      </c>
      <c r="E3543" s="89" t="s">
        <v>312</v>
      </c>
      <c r="F3543" s="89">
        <f>IF(E3543="AM",1,(IF(E3543="BE",2,(IF(E3543="GV",3,(IF(E3543="RA",4,(IF(E3543="RM",5,(IF(E3543="AC",1,(IF(E3543="AT",2,(IF(E3543="DS",3,(IF(E3543="IP",4,(IF(E3543="MA",5,(IF(E3543="PT",6,(IF(E3543="AE",1,(IF(E3543="CM",2,(IF(E3543="DP",3,(IF(E3543="AN",1,(IF(E3543="CO",2,(IF(E3543="IM",3,(IF(E3543="MI",4,(IF(E3543="RP",5,(IF(E3543="SC",6,0)))))))))))))))))))))))))))))))))))))))</f>
        <v>1</v>
      </c>
      <c r="G3543" s="52">
        <v>2</v>
      </c>
      <c r="H3543" s="90" t="s">
        <v>115</v>
      </c>
      <c r="I3543" s="93" t="s">
        <v>77</v>
      </c>
      <c r="J3543" s="87" t="s">
        <v>1820</v>
      </c>
      <c r="K3543" s="102" t="s">
        <v>2728</v>
      </c>
      <c r="L3543" s="117">
        <f>IF(O3543="","",N3543*O3543*M3543)</f>
        <v>0</v>
      </c>
      <c r="M3543" s="108">
        <v>1</v>
      </c>
      <c r="N3543" s="95">
        <v>1</v>
      </c>
      <c r="O3543" s="109">
        <f>IF(Key!D$1="ON",P3543,IF(SUM(Q3543:DL3543)&lt;1,"",SUM(Q3543:DL3543)/COUNTIF(Q3543:DL3543,"&gt;0")))</f>
        <v>0</v>
      </c>
      <c r="P3543" s="109">
        <f>SUMIFS(Q3543:DK3543,Q$1:DK$1,Dashboard!$K$31)</f>
        <v>0</v>
      </c>
      <c r="U3543" s="95">
        <v>33</v>
      </c>
      <c r="AA3543" s="95">
        <v>25</v>
      </c>
      <c r="AH3543" s="95">
        <v>75</v>
      </c>
    </row>
    <row r="3544" spans="1:34" x14ac:dyDescent="0.3">
      <c r="A3544" s="89" t="str">
        <f>CONCATENATE(D3544,".",F3544,"-",G3544,".",H3544,"")</f>
        <v>3.1-2.1</v>
      </c>
      <c r="B3544" s="89" t="str">
        <f>IF(CONCATENATE(I3544,Key!F$2)=CONCATENATE(INDEX(Dashboard!J:J,MATCH(I3544,Dashboard!J:J,0),1),INDEX(Dashboard!J:K,MATCH(I3544,Dashboard!J:J,0),2)),"ON",IF(Dashboard!K$32="ALL","ON","-"))</f>
        <v>-</v>
      </c>
      <c r="C3544" s="127" t="s">
        <v>311</v>
      </c>
      <c r="D3544" s="89">
        <f>IF(C3544="ID",1,(IF(C3544="PR",2,(IF(C3544="DE",3,(IF(C3544="RS",4,(IF(C3544="RC",5,0)))))))))</f>
        <v>3</v>
      </c>
      <c r="E3544" s="89" t="s">
        <v>312</v>
      </c>
      <c r="F3544" s="89">
        <f>IF(E3544="AM",1,(IF(E3544="BE",2,(IF(E3544="GV",3,(IF(E3544="RA",4,(IF(E3544="RM",5,(IF(E3544="AC",1,(IF(E3544="AT",2,(IF(E3544="DS",3,(IF(E3544="IP",4,(IF(E3544="MA",5,(IF(E3544="PT",6,(IF(E3544="AE",1,(IF(E3544="CM",2,(IF(E3544="DP",3,(IF(E3544="AN",1,(IF(E3544="CO",2,(IF(E3544="IM",3,(IF(E3544="MI",4,(IF(E3544="RP",5,(IF(E3544="SC",6,0)))))))))))))))))))))))))))))))))))))))</f>
        <v>1</v>
      </c>
      <c r="G3544" s="52">
        <v>2</v>
      </c>
      <c r="H3544" s="90" t="s">
        <v>115</v>
      </c>
      <c r="I3544" s="93" t="s">
        <v>77</v>
      </c>
      <c r="J3544" s="87" t="s">
        <v>1821</v>
      </c>
      <c r="K3544" s="102" t="s">
        <v>2729</v>
      </c>
      <c r="L3544" s="117">
        <f>IF(O3544="","",N3544*O3544*M3544)</f>
        <v>0</v>
      </c>
      <c r="M3544" s="108">
        <v>1</v>
      </c>
      <c r="N3544" s="95">
        <v>1</v>
      </c>
      <c r="O3544" s="109">
        <f>IF(Key!D$1="ON",P3544,IF(SUM(Q3544:DL3544)&lt;1,"",SUM(Q3544:DL3544)/COUNTIF(Q3544:DL3544,"&gt;0")))</f>
        <v>0</v>
      </c>
      <c r="P3544" s="109">
        <f>SUMIFS(Q3544:DK3544,Q$1:DK$1,Dashboard!$K$31)</f>
        <v>0</v>
      </c>
      <c r="U3544" s="95">
        <v>33</v>
      </c>
      <c r="AA3544" s="95">
        <v>25</v>
      </c>
      <c r="AH3544" s="95">
        <v>75</v>
      </c>
    </row>
    <row r="3545" spans="1:34" ht="15.6" x14ac:dyDescent="0.3">
      <c r="A3545" s="89" t="str">
        <f>CONCATENATE(D3545,".",F3545,"-",G3545,".",H3545,"")</f>
        <v>3.1-2.1</v>
      </c>
      <c r="B3545" s="89" t="str">
        <f>IF(CONCATENATE(I3545,Key!F$2)=CONCATENATE(INDEX(Dashboard!J:J,MATCH(I3545,Dashboard!J:J,0),1),INDEX(Dashboard!J:K,MATCH(I3545,Dashboard!J:J,0),2)),"ON",IF(Dashboard!K$32="ALL","ON","-"))</f>
        <v>-</v>
      </c>
      <c r="C3545" s="127" t="s">
        <v>311</v>
      </c>
      <c r="D3545" s="89">
        <f>IF(C3545="ID",1,(IF(C3545="PR",2,(IF(C3545="DE",3,(IF(C3545="RS",4,(IF(C3545="RC",5,0)))))))))</f>
        <v>3</v>
      </c>
      <c r="E3545" s="89" t="s">
        <v>312</v>
      </c>
      <c r="F3545" s="89">
        <f>IF(E3545="AM",1,(IF(E3545="BE",2,(IF(E3545="GV",3,(IF(E3545="RA",4,(IF(E3545="RM",5,(IF(E3545="AC",1,(IF(E3545="AT",2,(IF(E3545="DS",3,(IF(E3545="IP",4,(IF(E3545="MA",5,(IF(E3545="PT",6,(IF(E3545="AE",1,(IF(E3545="CM",2,(IF(E3545="DP",3,(IF(E3545="AN",1,(IF(E3545="CO",2,(IF(E3545="IM",3,(IF(E3545="MI",4,(IF(E3545="RP",5,(IF(E3545="SC",6,0)))))))))))))))))))))))))))))))))))))))</f>
        <v>1</v>
      </c>
      <c r="G3545" s="52">
        <v>2</v>
      </c>
      <c r="H3545" s="90" t="s">
        <v>115</v>
      </c>
      <c r="I3545" s="93" t="s">
        <v>77</v>
      </c>
      <c r="J3545" s="87" t="s">
        <v>1822</v>
      </c>
      <c r="K3545" s="102" t="s">
        <v>2730</v>
      </c>
      <c r="L3545" s="117">
        <f>IF(O3545="","",N3545*O3545*M3545)</f>
        <v>0</v>
      </c>
      <c r="M3545" s="108">
        <v>1</v>
      </c>
      <c r="N3545" s="95">
        <v>1</v>
      </c>
      <c r="O3545" s="109">
        <f>IF(Key!D$1="ON",P3545,IF(SUM(Q3545:DL3545)&lt;1,"",SUM(Q3545:DL3545)/COUNTIF(Q3545:DL3545,"&gt;0")))</f>
        <v>0</v>
      </c>
      <c r="P3545" s="109">
        <f>SUMIFS(Q3545:DK3545,Q$1:DK$1,Dashboard!$K$31)</f>
        <v>0</v>
      </c>
      <c r="U3545" s="95">
        <v>33</v>
      </c>
      <c r="AA3545" s="95">
        <v>25</v>
      </c>
      <c r="AH3545" s="95">
        <v>75</v>
      </c>
    </row>
    <row r="3546" spans="1:34" x14ac:dyDescent="0.3">
      <c r="A3546" s="89" t="str">
        <f>CONCATENATE(D3546,".",F3546,"-",G3546,".",H3546,"")</f>
        <v>3.1-2.1</v>
      </c>
      <c r="B3546" s="89" t="str">
        <f>IF(CONCATENATE(I3546,Key!F$2)=CONCATENATE(INDEX(Dashboard!J:J,MATCH(I3546,Dashboard!J:J,0),1),INDEX(Dashboard!J:K,MATCH(I3546,Dashboard!J:J,0),2)),"ON",IF(Dashboard!K$32="ALL","ON","-"))</f>
        <v>-</v>
      </c>
      <c r="C3546" s="127" t="s">
        <v>311</v>
      </c>
      <c r="D3546" s="89">
        <f>IF(C3546="ID",1,(IF(C3546="PR",2,(IF(C3546="DE",3,(IF(C3546="RS",4,(IF(C3546="RC",5,0)))))))))</f>
        <v>3</v>
      </c>
      <c r="E3546" s="89" t="s">
        <v>312</v>
      </c>
      <c r="F3546" s="89">
        <f>IF(E3546="AM",1,(IF(E3546="BE",2,(IF(E3546="GV",3,(IF(E3546="RA",4,(IF(E3546="RM",5,(IF(E3546="AC",1,(IF(E3546="AT",2,(IF(E3546="DS",3,(IF(E3546="IP",4,(IF(E3546="MA",5,(IF(E3546="PT",6,(IF(E3546="AE",1,(IF(E3546="CM",2,(IF(E3546="DP",3,(IF(E3546="AN",1,(IF(E3546="CO",2,(IF(E3546="IM",3,(IF(E3546="MI",4,(IF(E3546="RP",5,(IF(E3546="SC",6,0)))))))))))))))))))))))))))))))))))))))</f>
        <v>1</v>
      </c>
      <c r="G3546" s="52">
        <v>2</v>
      </c>
      <c r="H3546" s="90" t="s">
        <v>115</v>
      </c>
      <c r="I3546" s="93" t="s">
        <v>77</v>
      </c>
      <c r="J3546" s="87" t="s">
        <v>1823</v>
      </c>
      <c r="K3546" s="102" t="s">
        <v>2731</v>
      </c>
      <c r="L3546" s="117">
        <f>IF(O3546="","",N3546*O3546*M3546)</f>
        <v>0</v>
      </c>
      <c r="M3546" s="108">
        <v>1</v>
      </c>
      <c r="N3546" s="95">
        <v>1</v>
      </c>
      <c r="O3546" s="109">
        <f>IF(Key!D$1="ON",P3546,IF(SUM(Q3546:DL3546)&lt;1,"",SUM(Q3546:DL3546)/COUNTIF(Q3546:DL3546,"&gt;0")))</f>
        <v>0</v>
      </c>
      <c r="P3546" s="109">
        <f>SUMIFS(Q3546:DK3546,Q$1:DK$1,Dashboard!$K$31)</f>
        <v>0</v>
      </c>
      <c r="U3546" s="95">
        <v>33</v>
      </c>
      <c r="AA3546" s="95">
        <v>25</v>
      </c>
      <c r="AH3546" s="95">
        <v>75</v>
      </c>
    </row>
    <row r="3547" spans="1:34" x14ac:dyDescent="0.3">
      <c r="A3547" s="89" t="str">
        <f>CONCATENATE(D3547,".",F3547,"-",G3547,".",H3547,"")</f>
        <v>3.1-2.1</v>
      </c>
      <c r="B3547" s="89" t="str">
        <f>IF(CONCATENATE(I3547,Key!F$2)=CONCATENATE(INDEX(Dashboard!J:J,MATCH(I3547,Dashboard!J:J,0),1),INDEX(Dashboard!J:K,MATCH(I3547,Dashboard!J:J,0),2)),"ON",IF(Dashboard!K$32="ALL","ON","-"))</f>
        <v>-</v>
      </c>
      <c r="C3547" s="127" t="s">
        <v>311</v>
      </c>
      <c r="D3547" s="89">
        <f>IF(C3547="ID",1,(IF(C3547="PR",2,(IF(C3547="DE",3,(IF(C3547="RS",4,(IF(C3547="RC",5,0)))))))))</f>
        <v>3</v>
      </c>
      <c r="E3547" s="89" t="s">
        <v>312</v>
      </c>
      <c r="F3547" s="89">
        <f>IF(E3547="AM",1,(IF(E3547="BE",2,(IF(E3547="GV",3,(IF(E3547="RA",4,(IF(E3547="RM",5,(IF(E3547="AC",1,(IF(E3547="AT",2,(IF(E3547="DS",3,(IF(E3547="IP",4,(IF(E3547="MA",5,(IF(E3547="PT",6,(IF(E3547="AE",1,(IF(E3547="CM",2,(IF(E3547="DP",3,(IF(E3547="AN",1,(IF(E3547="CO",2,(IF(E3547="IM",3,(IF(E3547="MI",4,(IF(E3547="RP",5,(IF(E3547="SC",6,0)))))))))))))))))))))))))))))))))))))))</f>
        <v>1</v>
      </c>
      <c r="G3547" s="52">
        <v>2</v>
      </c>
      <c r="H3547" s="90" t="s">
        <v>115</v>
      </c>
      <c r="I3547" s="93" t="s">
        <v>77</v>
      </c>
      <c r="J3547" s="87" t="s">
        <v>1824</v>
      </c>
      <c r="K3547" s="102" t="s">
        <v>2732</v>
      </c>
      <c r="L3547" s="117">
        <f>IF(O3547="","",N3547*O3547*M3547)</f>
        <v>0</v>
      </c>
      <c r="M3547" s="108">
        <v>1</v>
      </c>
      <c r="N3547" s="95">
        <v>1</v>
      </c>
      <c r="O3547" s="109">
        <f>IF(Key!D$1="ON",P3547,IF(SUM(Q3547:DL3547)&lt;1,"",SUM(Q3547:DL3547)/COUNTIF(Q3547:DL3547,"&gt;0")))</f>
        <v>0</v>
      </c>
      <c r="P3547" s="109">
        <f>SUMIFS(Q3547:DK3547,Q$1:DK$1,Dashboard!$K$31)</f>
        <v>0</v>
      </c>
      <c r="U3547" s="95">
        <v>33</v>
      </c>
      <c r="AA3547" s="95">
        <v>25</v>
      </c>
      <c r="AH3547" s="95">
        <v>75</v>
      </c>
    </row>
    <row r="3548" spans="1:34" x14ac:dyDescent="0.3">
      <c r="A3548" s="89" t="str">
        <f>CONCATENATE(D3548,".",F3548,"-",G3548,".",H3548,"")</f>
        <v>3.1-2.1</v>
      </c>
      <c r="B3548" s="89" t="str">
        <f>IF(CONCATENATE(I3548,Key!F$2)=CONCATENATE(INDEX(Dashboard!J:J,MATCH(I3548,Dashboard!J:J,0),1),INDEX(Dashboard!J:K,MATCH(I3548,Dashboard!J:J,0),2)),"ON",IF(Dashboard!K$32="ALL","ON","-"))</f>
        <v>-</v>
      </c>
      <c r="C3548" s="127" t="s">
        <v>311</v>
      </c>
      <c r="D3548" s="89">
        <f>IF(C3548="ID",1,(IF(C3548="PR",2,(IF(C3548="DE",3,(IF(C3548="RS",4,(IF(C3548="RC",5,0)))))))))</f>
        <v>3</v>
      </c>
      <c r="E3548" s="89" t="s">
        <v>312</v>
      </c>
      <c r="F3548" s="89">
        <f>IF(E3548="AM",1,(IF(E3548="BE",2,(IF(E3548="GV",3,(IF(E3548="RA",4,(IF(E3548="RM",5,(IF(E3548="AC",1,(IF(E3548="AT",2,(IF(E3548="DS",3,(IF(E3548="IP",4,(IF(E3548="MA",5,(IF(E3548="PT",6,(IF(E3548="AE",1,(IF(E3548="CM",2,(IF(E3548="DP",3,(IF(E3548="AN",1,(IF(E3548="CO",2,(IF(E3548="IM",3,(IF(E3548="MI",4,(IF(E3548="RP",5,(IF(E3548="SC",6,0)))))))))))))))))))))))))))))))))))))))</f>
        <v>1</v>
      </c>
      <c r="G3548" s="52">
        <v>2</v>
      </c>
      <c r="H3548" s="90" t="s">
        <v>115</v>
      </c>
      <c r="I3548" s="93" t="s">
        <v>85</v>
      </c>
      <c r="J3548" s="87" t="s">
        <v>1819</v>
      </c>
      <c r="K3548" s="119" t="s">
        <v>4790</v>
      </c>
      <c r="L3548" s="117">
        <f>IF(O3548="","",N3548*O3548*M3548)</f>
        <v>0</v>
      </c>
      <c r="M3548" s="108">
        <v>1</v>
      </c>
      <c r="N3548" s="95">
        <v>1</v>
      </c>
      <c r="O3548" s="109">
        <f>IF(Key!D$1="ON",P3548,IF(SUM(Q3548:DL3548)&lt;1,"",SUM(Q3548:DL3548)/COUNTIF(Q3548:DL3548,"&gt;0")))</f>
        <v>0</v>
      </c>
      <c r="P3548" s="109">
        <f>SUMIFS(Q3548:DK3548,Q$1:DK$1,Dashboard!$K$31)</f>
        <v>0</v>
      </c>
      <c r="U3548" s="95">
        <v>33</v>
      </c>
      <c r="AA3548" s="95">
        <v>25</v>
      </c>
      <c r="AH3548" s="95">
        <v>75</v>
      </c>
    </row>
    <row r="3549" spans="1:34" ht="15.6" x14ac:dyDescent="0.3">
      <c r="A3549" s="89" t="str">
        <f>CONCATENATE(D3549,".",F3549,"-",G3549,".",H3549,"")</f>
        <v>3.1-2.1</v>
      </c>
      <c r="B3549" s="89" t="str">
        <f>IF(CONCATENATE(I3549,Key!F$2)=CONCATENATE(INDEX(Dashboard!J:J,MATCH(I3549,Dashboard!J:J,0),1),INDEX(Dashboard!J:K,MATCH(I3549,Dashboard!J:J,0),2)),"ON",IF(Dashboard!K$32="ALL","ON","-"))</f>
        <v>-</v>
      </c>
      <c r="C3549" s="127" t="s">
        <v>311</v>
      </c>
      <c r="D3549" s="89">
        <f>IF(C3549="ID",1,(IF(C3549="PR",2,(IF(C3549="DE",3,(IF(C3549="RS",4,(IF(C3549="RC",5,0)))))))))</f>
        <v>3</v>
      </c>
      <c r="E3549" s="89" t="s">
        <v>312</v>
      </c>
      <c r="F3549" s="89">
        <f>IF(E3549="AM",1,(IF(E3549="BE",2,(IF(E3549="GV",3,(IF(E3549="RA",4,(IF(E3549="RM",5,(IF(E3549="AC",1,(IF(E3549="AT",2,(IF(E3549="DS",3,(IF(E3549="IP",4,(IF(E3549="MA",5,(IF(E3549="PT",6,(IF(E3549="AE",1,(IF(E3549="CM",2,(IF(E3549="DP",3,(IF(E3549="AN",1,(IF(E3549="CO",2,(IF(E3549="IM",3,(IF(E3549="MI",4,(IF(E3549="RP",5,(IF(E3549="SC",6,0)))))))))))))))))))))))))))))))))))))))</f>
        <v>1</v>
      </c>
      <c r="G3549" s="52">
        <v>2</v>
      </c>
      <c r="H3549" s="90" t="s">
        <v>115</v>
      </c>
      <c r="I3549" s="93" t="s">
        <v>85</v>
      </c>
      <c r="J3549" s="86" t="s">
        <v>1838</v>
      </c>
      <c r="K3549" s="119" t="s">
        <v>4805</v>
      </c>
      <c r="L3549" s="117">
        <f>IF(O3549="","",N3549*O3549*M3549)</f>
        <v>0</v>
      </c>
      <c r="M3549" s="108">
        <v>1</v>
      </c>
      <c r="N3549" s="95">
        <v>1</v>
      </c>
      <c r="O3549" s="109">
        <f>IF(Key!D$1="ON",P3549,IF(SUM(Q3549:DL3549)&lt;1,"",SUM(Q3549:DL3549)/COUNTIF(Q3549:DL3549,"&gt;0")))</f>
        <v>0</v>
      </c>
      <c r="P3549" s="109">
        <f>SUMIFS(Q3549:DK3549,Q$1:DK$1,Dashboard!$K$31)</f>
        <v>0</v>
      </c>
      <c r="U3549" s="95">
        <v>33</v>
      </c>
      <c r="AA3549" s="95">
        <v>25</v>
      </c>
      <c r="AH3549" s="95">
        <v>75</v>
      </c>
    </row>
    <row r="3550" spans="1:34" ht="15.6" x14ac:dyDescent="0.3">
      <c r="A3550" s="89" t="str">
        <f>CONCATENATE(D3550,".",F3550,"-",G3550,".",H3550,"")</f>
        <v>3.1-2.1</v>
      </c>
      <c r="B3550" s="89" t="str">
        <f>IF(CONCATENATE(I3550,Key!F$2)=CONCATENATE(INDEX(Dashboard!J:J,MATCH(I3550,Dashboard!J:J,0),1),INDEX(Dashboard!J:K,MATCH(I3550,Dashboard!J:J,0),2)),"ON",IF(Dashboard!K$32="ALL","ON","-"))</f>
        <v>-</v>
      </c>
      <c r="C3550" s="127" t="s">
        <v>311</v>
      </c>
      <c r="D3550" s="89">
        <f>IF(C3550="ID",1,(IF(C3550="PR",2,(IF(C3550="DE",3,(IF(C3550="RS",4,(IF(C3550="RC",5,0)))))))))</f>
        <v>3</v>
      </c>
      <c r="E3550" s="89" t="s">
        <v>312</v>
      </c>
      <c r="F3550" s="89">
        <f>IF(E3550="AM",1,(IF(E3550="BE",2,(IF(E3550="GV",3,(IF(E3550="RA",4,(IF(E3550="RM",5,(IF(E3550="AC",1,(IF(E3550="AT",2,(IF(E3550="DS",3,(IF(E3550="IP",4,(IF(E3550="MA",5,(IF(E3550="PT",6,(IF(E3550="AE",1,(IF(E3550="CM",2,(IF(E3550="DP",3,(IF(E3550="AN",1,(IF(E3550="CO",2,(IF(E3550="IM",3,(IF(E3550="MI",4,(IF(E3550="RP",5,(IF(E3550="SC",6,0)))))))))))))))))))))))))))))))))))))))</f>
        <v>1</v>
      </c>
      <c r="G3550" s="52">
        <v>2</v>
      </c>
      <c r="H3550" s="90" t="s">
        <v>115</v>
      </c>
      <c r="I3550" s="93" t="s">
        <v>85</v>
      </c>
      <c r="J3550" s="87" t="s">
        <v>1822</v>
      </c>
      <c r="K3550" s="119" t="s">
        <v>4792</v>
      </c>
      <c r="L3550" s="117">
        <f>IF(O3550="","",N3550*O3550*M3550)</f>
        <v>0</v>
      </c>
      <c r="M3550" s="108">
        <v>1</v>
      </c>
      <c r="N3550" s="95">
        <v>1</v>
      </c>
      <c r="O3550" s="109">
        <f>IF(Key!D$1="ON",P3550,IF(SUM(Q3550:DL3550)&lt;1,"",SUM(Q3550:DL3550)/COUNTIF(Q3550:DL3550,"&gt;0")))</f>
        <v>0</v>
      </c>
      <c r="P3550" s="109">
        <f>SUMIFS(Q3550:DK3550,Q$1:DK$1,Dashboard!$K$31)</f>
        <v>0</v>
      </c>
      <c r="U3550" s="95">
        <v>33</v>
      </c>
      <c r="AA3550" s="95">
        <v>25</v>
      </c>
      <c r="AH3550" s="95">
        <v>75</v>
      </c>
    </row>
    <row r="3551" spans="1:34" x14ac:dyDescent="0.3">
      <c r="A3551" s="89" t="str">
        <f>CONCATENATE(D3551,".",F3551,"-",G3551,".",H3551,"")</f>
        <v>3.1-2.1</v>
      </c>
      <c r="B3551" s="89" t="str">
        <f>IF(CONCATENATE(I3551,Key!F$2)=CONCATENATE(INDEX(Dashboard!J:J,MATCH(I3551,Dashboard!J:J,0),1),INDEX(Dashboard!J:K,MATCH(I3551,Dashboard!J:J,0),2)),"ON",IF(Dashboard!K$32="ALL","ON","-"))</f>
        <v>-</v>
      </c>
      <c r="C3551" s="127" t="s">
        <v>311</v>
      </c>
      <c r="D3551" s="89">
        <f>IF(C3551="ID",1,(IF(C3551="PR",2,(IF(C3551="DE",3,(IF(C3551="RS",4,(IF(C3551="RC",5,0)))))))))</f>
        <v>3</v>
      </c>
      <c r="E3551" s="89" t="s">
        <v>312</v>
      </c>
      <c r="F3551" s="89">
        <f>IF(E3551="AM",1,(IF(E3551="BE",2,(IF(E3551="GV",3,(IF(E3551="RA",4,(IF(E3551="RM",5,(IF(E3551="AC",1,(IF(E3551="AT",2,(IF(E3551="DS",3,(IF(E3551="IP",4,(IF(E3551="MA",5,(IF(E3551="PT",6,(IF(E3551="AE",1,(IF(E3551="CM",2,(IF(E3551="DP",3,(IF(E3551="AN",1,(IF(E3551="CO",2,(IF(E3551="IM",3,(IF(E3551="MI",4,(IF(E3551="RP",5,(IF(E3551="SC",6,0)))))))))))))))))))))))))))))))))))))))</f>
        <v>1</v>
      </c>
      <c r="G3551" s="52">
        <v>2</v>
      </c>
      <c r="H3551" s="90" t="s">
        <v>115</v>
      </c>
      <c r="I3551" s="93" t="s">
        <v>85</v>
      </c>
      <c r="J3551" s="87" t="s">
        <v>1828</v>
      </c>
      <c r="K3551" s="119" t="s">
        <v>5136</v>
      </c>
      <c r="L3551" s="117">
        <f>IF(O3551="","",N3551*O3551*M3551)</f>
        <v>0</v>
      </c>
      <c r="M3551" s="108">
        <v>1</v>
      </c>
      <c r="N3551" s="95">
        <v>1</v>
      </c>
      <c r="O3551" s="109">
        <f>IF(Key!D$1="ON",P3551,IF(SUM(Q3551:DL3551)&lt;1,"",SUM(Q3551:DL3551)/COUNTIF(Q3551:DL3551,"&gt;0")))</f>
        <v>0</v>
      </c>
      <c r="P3551" s="109">
        <f>SUMIFS(Q3551:DK3551,Q$1:DK$1,Dashboard!$K$31)</f>
        <v>0</v>
      </c>
      <c r="U3551" s="95">
        <v>33</v>
      </c>
      <c r="AA3551" s="95">
        <v>25</v>
      </c>
      <c r="AH3551" s="95">
        <v>75</v>
      </c>
    </row>
    <row r="3552" spans="1:34" ht="15.6" x14ac:dyDescent="0.3">
      <c r="A3552" s="89" t="str">
        <f>CONCATENATE(D3552,".",F3552,"-",G3552,".",H3552,"")</f>
        <v>3.1-2.1</v>
      </c>
      <c r="B3552" s="89" t="str">
        <f>IF(CONCATENATE(I3552,Key!F$2)=CONCATENATE(INDEX(Dashboard!J:J,MATCH(I3552,Dashboard!J:J,0),1),INDEX(Dashboard!J:K,MATCH(I3552,Dashboard!J:J,0),2)),"ON",IF(Dashboard!K$32="ALL","ON","-"))</f>
        <v>-</v>
      </c>
      <c r="C3552" s="127" t="s">
        <v>311</v>
      </c>
      <c r="D3552" s="89">
        <f>IF(C3552="ID",1,(IF(C3552="PR",2,(IF(C3552="DE",3,(IF(C3552="RS",4,(IF(C3552="RC",5,0)))))))))</f>
        <v>3</v>
      </c>
      <c r="E3552" s="89" t="s">
        <v>312</v>
      </c>
      <c r="F3552" s="89">
        <f>IF(E3552="AM",1,(IF(E3552="BE",2,(IF(E3552="GV",3,(IF(E3552="RA",4,(IF(E3552="RM",5,(IF(E3552="AC",1,(IF(E3552="AT",2,(IF(E3552="DS",3,(IF(E3552="IP",4,(IF(E3552="MA",5,(IF(E3552="PT",6,(IF(E3552="AE",1,(IF(E3552="CM",2,(IF(E3552="DP",3,(IF(E3552="AN",1,(IF(E3552="CO",2,(IF(E3552="IM",3,(IF(E3552="MI",4,(IF(E3552="RP",5,(IF(E3552="SC",6,0)))))))))))))))))))))))))))))))))))))))</f>
        <v>1</v>
      </c>
      <c r="G3552" s="52">
        <v>2</v>
      </c>
      <c r="H3552" s="90" t="s">
        <v>115</v>
      </c>
      <c r="I3552" s="93" t="s">
        <v>85</v>
      </c>
      <c r="J3552" s="87" t="s">
        <v>1821</v>
      </c>
      <c r="K3552" s="119" t="s">
        <v>4791</v>
      </c>
      <c r="L3552" s="117">
        <f>IF(O3552="","",N3552*O3552*M3552)</f>
        <v>0</v>
      </c>
      <c r="M3552" s="108">
        <v>1</v>
      </c>
      <c r="N3552" s="95">
        <v>1</v>
      </c>
      <c r="O3552" s="109">
        <f>IF(Key!D$1="ON",P3552,IF(SUM(Q3552:DL3552)&lt;1,"",SUM(Q3552:DL3552)/COUNTIF(Q3552:DL3552,"&gt;0")))</f>
        <v>0</v>
      </c>
      <c r="P3552" s="109">
        <f>SUMIFS(Q3552:DK3552,Q$1:DK$1,Dashboard!$K$31)</f>
        <v>0</v>
      </c>
      <c r="U3552" s="95">
        <v>33</v>
      </c>
      <c r="AA3552" s="95">
        <v>25</v>
      </c>
      <c r="AH3552" s="95">
        <v>75</v>
      </c>
    </row>
    <row r="3553" spans="1:34" x14ac:dyDescent="0.3">
      <c r="A3553" s="89" t="str">
        <f>CONCATENATE(D3553,".",F3553,"-",G3553,".",H3553,"")</f>
        <v>3.1-2.1</v>
      </c>
      <c r="B3553" s="89" t="str">
        <f>IF(CONCATENATE(I3553,Key!F$2)=CONCATENATE(INDEX(Dashboard!J:J,MATCH(I3553,Dashboard!J:J,0),1),INDEX(Dashboard!J:K,MATCH(I3553,Dashboard!J:J,0),2)),"ON",IF(Dashboard!K$32="ALL","ON","-"))</f>
        <v>-</v>
      </c>
      <c r="C3553" s="127" t="s">
        <v>311</v>
      </c>
      <c r="D3553" s="89">
        <f>IF(C3553="ID",1,(IF(C3553="PR",2,(IF(C3553="DE",3,(IF(C3553="RS",4,(IF(C3553="RC",5,0)))))))))</f>
        <v>3</v>
      </c>
      <c r="E3553" s="89" t="s">
        <v>312</v>
      </c>
      <c r="F3553" s="89">
        <f>IF(E3553="AM",1,(IF(E3553="BE",2,(IF(E3553="GV",3,(IF(E3553="RA",4,(IF(E3553="RM",5,(IF(E3553="AC",1,(IF(E3553="AT",2,(IF(E3553="DS",3,(IF(E3553="IP",4,(IF(E3553="MA",5,(IF(E3553="PT",6,(IF(E3553="AE",1,(IF(E3553="CM",2,(IF(E3553="DP",3,(IF(E3553="AN",1,(IF(E3553="CO",2,(IF(E3553="IM",3,(IF(E3553="MI",4,(IF(E3553="RP",5,(IF(E3553="SC",6,0)))))))))))))))))))))))))))))))))))))))</f>
        <v>1</v>
      </c>
      <c r="G3553" s="52">
        <v>2</v>
      </c>
      <c r="H3553" s="90" t="s">
        <v>115</v>
      </c>
      <c r="I3553" s="93" t="s">
        <v>85</v>
      </c>
      <c r="J3553" s="87" t="s">
        <v>1823</v>
      </c>
      <c r="K3553" s="119" t="s">
        <v>4798</v>
      </c>
      <c r="L3553" s="117">
        <f>IF(O3553="","",N3553*O3553*M3553)</f>
        <v>0</v>
      </c>
      <c r="M3553" s="108">
        <v>1</v>
      </c>
      <c r="N3553" s="95">
        <v>1</v>
      </c>
      <c r="O3553" s="109">
        <f>IF(Key!D$1="ON",P3553,IF(SUM(Q3553:DL3553)&lt;1,"",SUM(Q3553:DL3553)/COUNTIF(Q3553:DL3553,"&gt;0")))</f>
        <v>0</v>
      </c>
      <c r="P3553" s="109">
        <f>SUMIFS(Q3553:DK3553,Q$1:DK$1,Dashboard!$K$31)</f>
        <v>0</v>
      </c>
      <c r="U3553" s="95">
        <v>33</v>
      </c>
      <c r="AA3553" s="95">
        <v>25</v>
      </c>
      <c r="AH3553" s="95">
        <v>75</v>
      </c>
    </row>
    <row r="3554" spans="1:34" ht="15.6" x14ac:dyDescent="0.3">
      <c r="A3554" s="89" t="str">
        <f>CONCATENATE(D3554,".",F3554,"-",G3554,".",H3554,"")</f>
        <v>3.1-2.1</v>
      </c>
      <c r="B3554" s="89" t="str">
        <f>IF(CONCATENATE(I3554,Key!F$2)=CONCATENATE(INDEX(Dashboard!J:J,MATCH(I3554,Dashboard!J:J,0),1),INDEX(Dashboard!J:K,MATCH(I3554,Dashboard!J:J,0),2)),"ON",IF(Dashboard!K$32="ALL","ON","-"))</f>
        <v>-</v>
      </c>
      <c r="C3554" s="132" t="s">
        <v>311</v>
      </c>
      <c r="D3554" s="89">
        <f>IF(C3554="ID",1,(IF(C3554="PR",2,(IF(C3554="DE",3,(IF(C3554="RS",4,(IF(C3554="RC",5,0)))))))))</f>
        <v>3</v>
      </c>
      <c r="E3554" s="89" t="s">
        <v>312</v>
      </c>
      <c r="F3554" s="89">
        <f>IF(E3554="AM",1,(IF(E3554="BE",2,(IF(E3554="GV",3,(IF(E3554="RA",4,(IF(E3554="RM",5,(IF(E3554="AC",1,(IF(E3554="AT",2,(IF(E3554="DS",3,(IF(E3554="IP",4,(IF(E3554="MA",5,(IF(E3554="PT",6,(IF(E3554="AE",1,(IF(E3554="CM",2,(IF(E3554="DP",3,(IF(E3554="AN",1,(IF(E3554="CO",2,(IF(E3554="IM",3,(IF(E3554="MI",4,(IF(E3554="RP",5,(IF(E3554="SC",6,0)))))))))))))))))))))))))))))))))))))))</f>
        <v>1</v>
      </c>
      <c r="G3554" s="52">
        <v>2</v>
      </c>
      <c r="H3554" s="90" t="s">
        <v>115</v>
      </c>
      <c r="I3554" s="93" t="s">
        <v>85</v>
      </c>
      <c r="J3554" s="87" t="s">
        <v>1817</v>
      </c>
      <c r="K3554" s="119" t="s">
        <v>1818</v>
      </c>
      <c r="L3554" s="117">
        <f>IF(O3554="","",N3554*O3554*M3554)</f>
        <v>0</v>
      </c>
      <c r="M3554" s="108">
        <v>0.9</v>
      </c>
      <c r="N3554" s="95">
        <v>1</v>
      </c>
      <c r="O3554" s="109">
        <f>IF(Key!D$1="ON",P3554,IF(SUM(Q3554:DL3554)&lt;1,"",SUM(Q3554:DL3554)/COUNTIF(Q3554:DL3554,"&gt;0")))</f>
        <v>0</v>
      </c>
      <c r="P3554" s="109">
        <f>SUMIFS(Q3554:DK3554,Q$1:DK$1,Dashboard!$K$31)</f>
        <v>0</v>
      </c>
      <c r="S3554" s="95">
        <v>50</v>
      </c>
      <c r="T3554" s="95">
        <v>80</v>
      </c>
      <c r="U3554" s="95">
        <v>33</v>
      </c>
      <c r="AA3554" s="95">
        <v>25</v>
      </c>
      <c r="AH3554" s="95">
        <v>75</v>
      </c>
    </row>
    <row r="3555" spans="1:34" x14ac:dyDescent="0.3">
      <c r="A3555" s="89" t="str">
        <f>CONCATENATE(D3555,".",F3555,"-",G3555,".",H3555,"")</f>
        <v>3.1-2.1</v>
      </c>
      <c r="B3555" s="89" t="str">
        <f>IF(CONCATENATE(I3555,Key!F$2)=CONCATENATE(INDEX(Dashboard!J:J,MATCH(I3555,Dashboard!J:J,0),1),INDEX(Dashboard!J:K,MATCH(I3555,Dashboard!J:J,0),2)),"ON",IF(Dashboard!K$32="ALL","ON","-"))</f>
        <v>-</v>
      </c>
      <c r="C3555" s="127" t="s">
        <v>311</v>
      </c>
      <c r="D3555" s="89">
        <f>IF(C3555="ID",1,(IF(C3555="PR",2,(IF(C3555="DE",3,(IF(C3555="RS",4,(IF(C3555="RC",5,0)))))))))</f>
        <v>3</v>
      </c>
      <c r="E3555" s="89" t="s">
        <v>312</v>
      </c>
      <c r="F3555" s="89">
        <f>IF(E3555="AM",1,(IF(E3555="BE",2,(IF(E3555="GV",3,(IF(E3555="RA",4,(IF(E3555="RM",5,(IF(E3555="AC",1,(IF(E3555="AT",2,(IF(E3555="DS",3,(IF(E3555="IP",4,(IF(E3555="MA",5,(IF(E3555="PT",6,(IF(E3555="AE",1,(IF(E3555="CM",2,(IF(E3555="DP",3,(IF(E3555="AN",1,(IF(E3555="CO",2,(IF(E3555="IM",3,(IF(E3555="MI",4,(IF(E3555="RP",5,(IF(E3555="SC",6,0)))))))))))))))))))))))))))))))))))))))</f>
        <v>1</v>
      </c>
      <c r="G3555" s="52">
        <v>2</v>
      </c>
      <c r="H3555" s="90" t="s">
        <v>115</v>
      </c>
      <c r="I3555" s="93" t="s">
        <v>85</v>
      </c>
      <c r="J3555" s="86" t="s">
        <v>669</v>
      </c>
      <c r="K3555" s="119" t="s">
        <v>4661</v>
      </c>
      <c r="L3555" s="117">
        <f>IF(O3555="","",N3555*O3555*M3555)</f>
        <v>0</v>
      </c>
      <c r="M3555" s="108">
        <v>1</v>
      </c>
      <c r="N3555" s="95">
        <v>1</v>
      </c>
      <c r="O3555" s="109">
        <f>IF(Key!D$1="ON",P3555,IF(SUM(Q3555:DL3555)&lt;1,"",SUM(Q3555:DL3555)/COUNTIF(Q3555:DL3555,"&gt;0")))</f>
        <v>0</v>
      </c>
      <c r="P3555" s="109">
        <f>SUMIFS(Q3555:DK3555,Q$1:DK$1,Dashboard!$K$31)</f>
        <v>0</v>
      </c>
      <c r="U3555" s="95">
        <v>33</v>
      </c>
      <c r="AA3555" s="95">
        <v>25</v>
      </c>
      <c r="AH3555" s="95">
        <v>75</v>
      </c>
    </row>
    <row r="3556" spans="1:34" x14ac:dyDescent="0.3">
      <c r="A3556" s="89" t="str">
        <f>CONCATENATE(D3556,".",F3556,"-",G3556,".",H3556,"")</f>
        <v>3.1-2.1</v>
      </c>
      <c r="B3556" s="89" t="str">
        <f>IF(CONCATENATE(I3556,Key!F$2)=CONCATENATE(INDEX(Dashboard!J:J,MATCH(I3556,Dashboard!J:J,0),1),INDEX(Dashboard!J:K,MATCH(I3556,Dashboard!J:J,0),2)),"ON",IF(Dashboard!K$32="ALL","ON","-"))</f>
        <v>-</v>
      </c>
      <c r="C3556" s="132" t="s">
        <v>311</v>
      </c>
      <c r="D3556" s="89">
        <f>IF(C3556="ID",1,(IF(C3556="PR",2,(IF(C3556="DE",3,(IF(C3556="RS",4,(IF(C3556="RC",5,0)))))))))</f>
        <v>3</v>
      </c>
      <c r="E3556" s="89" t="s">
        <v>312</v>
      </c>
      <c r="F3556" s="89">
        <f>IF(E3556="AM",1,(IF(E3556="BE",2,(IF(E3556="GV",3,(IF(E3556="RA",4,(IF(E3556="RM",5,(IF(E3556="AC",1,(IF(E3556="AT",2,(IF(E3556="DS",3,(IF(E3556="IP",4,(IF(E3556="MA",5,(IF(E3556="PT",6,(IF(E3556="AE",1,(IF(E3556="CM",2,(IF(E3556="DP",3,(IF(E3556="AN",1,(IF(E3556="CO",2,(IF(E3556="IM",3,(IF(E3556="MI",4,(IF(E3556="RP",5,(IF(E3556="SC",6,0)))))))))))))))))))))))))))))))))))))))</f>
        <v>1</v>
      </c>
      <c r="G3556" s="52">
        <v>2</v>
      </c>
      <c r="H3556" s="90" t="s">
        <v>115</v>
      </c>
      <c r="I3556" s="93" t="s">
        <v>85</v>
      </c>
      <c r="J3556" s="86" t="s">
        <v>650</v>
      </c>
      <c r="K3556" s="119" t="s">
        <v>4598</v>
      </c>
      <c r="L3556" s="117">
        <f>IF(O3556="","",N3556*O3556*M3556)</f>
        <v>0</v>
      </c>
      <c r="M3556" s="108">
        <v>0.9</v>
      </c>
      <c r="N3556" s="95">
        <v>1</v>
      </c>
      <c r="O3556" s="109">
        <f>IF(Key!D$1="ON",P3556,IF(SUM(Q3556:DL3556)&lt;1,"",SUM(Q3556:DL3556)/COUNTIF(Q3556:DL3556,"&gt;0")))</f>
        <v>0</v>
      </c>
      <c r="P3556" s="109">
        <f>SUMIFS(Q3556:DK3556,Q$1:DK$1,Dashboard!$K$31)</f>
        <v>0</v>
      </c>
      <c r="S3556" s="95">
        <v>25</v>
      </c>
      <c r="T3556" s="95">
        <v>80</v>
      </c>
      <c r="U3556" s="95">
        <v>33</v>
      </c>
      <c r="AA3556" s="95">
        <v>25</v>
      </c>
      <c r="AH3556" s="95">
        <v>75</v>
      </c>
    </row>
    <row r="3557" spans="1:34" x14ac:dyDescent="0.3">
      <c r="A3557" s="89" t="str">
        <f>CONCATENATE(D3557,".",F3557,"-",G3557,".",H3557,"")</f>
        <v>3.1-2.1</v>
      </c>
      <c r="B3557" s="89" t="str">
        <f>IF(CONCATENATE(I3557,Key!F$2)=CONCATENATE(INDEX(Dashboard!J:J,MATCH(I3557,Dashboard!J:J,0),1),INDEX(Dashboard!J:K,MATCH(I3557,Dashboard!J:J,0),2)),"ON",IF(Dashboard!K$32="ALL","ON","-"))</f>
        <v>-</v>
      </c>
      <c r="C3557" s="127" t="s">
        <v>311</v>
      </c>
      <c r="D3557" s="89">
        <f>IF(C3557="ID",1,(IF(C3557="PR",2,(IF(C3557="DE",3,(IF(C3557="RS",4,(IF(C3557="RC",5,0)))))))))</f>
        <v>3</v>
      </c>
      <c r="E3557" s="89" t="s">
        <v>312</v>
      </c>
      <c r="F3557" s="89">
        <f>IF(E3557="AM",1,(IF(E3557="BE",2,(IF(E3557="GV",3,(IF(E3557="RA",4,(IF(E3557="RM",5,(IF(E3557="AC",1,(IF(E3557="AT",2,(IF(E3557="DS",3,(IF(E3557="IP",4,(IF(E3557="MA",5,(IF(E3557="PT",6,(IF(E3557="AE",1,(IF(E3557="CM",2,(IF(E3557="DP",3,(IF(E3557="AN",1,(IF(E3557="CO",2,(IF(E3557="IM",3,(IF(E3557="MI",4,(IF(E3557="RP",5,(IF(E3557="SC",6,0)))))))))))))))))))))))))))))))))))))))</f>
        <v>1</v>
      </c>
      <c r="G3557" s="52">
        <v>2</v>
      </c>
      <c r="H3557" s="90" t="s">
        <v>115</v>
      </c>
      <c r="I3557" s="93" t="s">
        <v>85</v>
      </c>
      <c r="J3557" s="87" t="s">
        <v>5218</v>
      </c>
      <c r="K3557" s="119" t="s">
        <v>1826</v>
      </c>
      <c r="L3557" s="117">
        <f>IF(O3557="","",N3557*O3557*M3557)</f>
        <v>0</v>
      </c>
      <c r="M3557" s="108">
        <v>1</v>
      </c>
      <c r="N3557" s="95">
        <v>1</v>
      </c>
      <c r="O3557" s="109">
        <f>IF(Key!D$1="ON",P3557,IF(SUM(Q3557:DL3557)&lt;1,"",SUM(Q3557:DL3557)/COUNTIF(Q3557:DL3557,"&gt;0")))</f>
        <v>0</v>
      </c>
      <c r="P3557" s="109">
        <f>SUMIFS(Q3557:DK3557,Q$1:DK$1,Dashboard!$K$31)</f>
        <v>0</v>
      </c>
      <c r="U3557" s="95">
        <v>33</v>
      </c>
      <c r="AA3557" s="95">
        <v>25</v>
      </c>
      <c r="AH3557" s="95">
        <v>75</v>
      </c>
    </row>
    <row r="3558" spans="1:34" ht="15.6" x14ac:dyDescent="0.3">
      <c r="A3558" s="89" t="str">
        <f>CONCATENATE(D3558,".",F3558,"-",G3558,".",H3558,"")</f>
        <v>3.1-2.1</v>
      </c>
      <c r="B3558" s="89" t="str">
        <f>IF(CONCATENATE(I3558,Key!F$2)=CONCATENATE(INDEX(Dashboard!J:J,MATCH(I3558,Dashboard!J:J,0),1),INDEX(Dashboard!J:K,MATCH(I3558,Dashboard!J:J,0),2)),"ON",IF(Dashboard!K$32="ALL","ON","-"))</f>
        <v>-</v>
      </c>
      <c r="C3558" s="127" t="s">
        <v>311</v>
      </c>
      <c r="D3558" s="89">
        <f>IF(C3558="ID",1,(IF(C3558="PR",2,(IF(C3558="DE",3,(IF(C3558="RS",4,(IF(C3558="RC",5,0)))))))))</f>
        <v>3</v>
      </c>
      <c r="E3558" s="89" t="s">
        <v>312</v>
      </c>
      <c r="F3558" s="89">
        <f>IF(E3558="AM",1,(IF(E3558="BE",2,(IF(E3558="GV",3,(IF(E3558="RA",4,(IF(E3558="RM",5,(IF(E3558="AC",1,(IF(E3558="AT",2,(IF(E3558="DS",3,(IF(E3558="IP",4,(IF(E3558="MA",5,(IF(E3558="PT",6,(IF(E3558="AE",1,(IF(E3558="CM",2,(IF(E3558="DP",3,(IF(E3558="AN",1,(IF(E3558="CO",2,(IF(E3558="IM",3,(IF(E3558="MI",4,(IF(E3558="RP",5,(IF(E3558="SC",6,0)))))))))))))))))))))))))))))))))))))))</f>
        <v>1</v>
      </c>
      <c r="G3558" s="52">
        <v>2</v>
      </c>
      <c r="H3558" s="90" t="s">
        <v>115</v>
      </c>
      <c r="I3558" s="93" t="s">
        <v>85</v>
      </c>
      <c r="J3558" s="87" t="s">
        <v>1820</v>
      </c>
      <c r="K3558" s="119" t="s">
        <v>4799</v>
      </c>
      <c r="L3558" s="117">
        <f>IF(O3558="","",N3558*O3558*M3558)</f>
        <v>0</v>
      </c>
      <c r="M3558" s="108">
        <v>1</v>
      </c>
      <c r="N3558" s="95">
        <v>1</v>
      </c>
      <c r="O3558" s="109">
        <f>IF(Key!D$1="ON",P3558,IF(SUM(Q3558:DL3558)&lt;1,"",SUM(Q3558:DL3558)/COUNTIF(Q3558:DL3558,"&gt;0")))</f>
        <v>0</v>
      </c>
      <c r="P3558" s="109">
        <f>SUMIFS(Q3558:DK3558,Q$1:DK$1,Dashboard!$K$31)</f>
        <v>0</v>
      </c>
      <c r="U3558" s="95">
        <v>33</v>
      </c>
      <c r="AA3558" s="95">
        <v>25</v>
      </c>
      <c r="AH3558" s="95">
        <v>75</v>
      </c>
    </row>
    <row r="3559" spans="1:34" ht="15.6" x14ac:dyDescent="0.3">
      <c r="A3559" s="89" t="str">
        <f>CONCATENATE(D3559,".",F3559,"-",G3559,".",H3559,"")</f>
        <v>3.1-2.1</v>
      </c>
      <c r="B3559" s="89" t="str">
        <f>IF(CONCATENATE(I3559,Key!F$2)=CONCATENATE(INDEX(Dashboard!J:J,MATCH(I3559,Dashboard!J:J,0),1),INDEX(Dashboard!J:K,MATCH(I3559,Dashboard!J:J,0),2)),"ON",IF(Dashboard!K$32="ALL","ON","-"))</f>
        <v>-</v>
      </c>
      <c r="C3559" s="127" t="s">
        <v>311</v>
      </c>
      <c r="D3559" s="89">
        <f>IF(C3559="ID",1,(IF(C3559="PR",2,(IF(C3559="DE",3,(IF(C3559="RS",4,(IF(C3559="RC",5,0)))))))))</f>
        <v>3</v>
      </c>
      <c r="E3559" s="89" t="s">
        <v>312</v>
      </c>
      <c r="F3559" s="89">
        <f>IF(E3559="AM",1,(IF(E3559="BE",2,(IF(E3559="GV",3,(IF(E3559="RA",4,(IF(E3559="RM",5,(IF(E3559="AC",1,(IF(E3559="AT",2,(IF(E3559="DS",3,(IF(E3559="IP",4,(IF(E3559="MA",5,(IF(E3559="PT",6,(IF(E3559="AE",1,(IF(E3559="CM",2,(IF(E3559="DP",3,(IF(E3559="AN",1,(IF(E3559="CO",2,(IF(E3559="IM",3,(IF(E3559="MI",4,(IF(E3559="RP",5,(IF(E3559="SC",6,0)))))))))))))))))))))))))))))))))))))))</f>
        <v>1</v>
      </c>
      <c r="G3559" s="52">
        <v>2</v>
      </c>
      <c r="H3559" s="90" t="s">
        <v>115</v>
      </c>
      <c r="I3559" s="93" t="s">
        <v>85</v>
      </c>
      <c r="J3559" s="87" t="s">
        <v>1824</v>
      </c>
      <c r="K3559" s="119" t="s">
        <v>5105</v>
      </c>
      <c r="L3559" s="117">
        <f>IF(O3559="","",N3559*O3559*M3559)</f>
        <v>0</v>
      </c>
      <c r="M3559" s="108">
        <v>1</v>
      </c>
      <c r="N3559" s="95">
        <v>1</v>
      </c>
      <c r="O3559" s="109">
        <f>IF(Key!D$1="ON",P3559,IF(SUM(Q3559:DL3559)&lt;1,"",SUM(Q3559:DL3559)/COUNTIF(Q3559:DL3559,"&gt;0")))</f>
        <v>0</v>
      </c>
      <c r="P3559" s="109">
        <f>SUMIFS(Q3559:DK3559,Q$1:DK$1,Dashboard!$K$31)</f>
        <v>0</v>
      </c>
      <c r="U3559" s="95">
        <v>33</v>
      </c>
      <c r="AA3559" s="95">
        <v>25</v>
      </c>
      <c r="AH3559" s="95">
        <v>75</v>
      </c>
    </row>
    <row r="3560" spans="1:34" ht="15.6" x14ac:dyDescent="0.3">
      <c r="A3560" s="89" t="str">
        <f>CONCATENATE(D3560,".",F3560,"-",G3560,".",H3560,"")</f>
        <v>3.1-2.1</v>
      </c>
      <c r="B3560" s="89" t="str">
        <f>IF(CONCATENATE(I3560,Key!F$2)=CONCATENATE(INDEX(Dashboard!J:J,MATCH(I3560,Dashboard!J:J,0),1),INDEX(Dashboard!J:K,MATCH(I3560,Dashboard!J:J,0),2)),"ON",IF(Dashboard!K$32="ALL","ON","-"))</f>
        <v>-</v>
      </c>
      <c r="C3560" s="132" t="s">
        <v>311</v>
      </c>
      <c r="D3560" s="89">
        <f>IF(C3560="ID",1,(IF(C3560="PR",2,(IF(C3560="DE",3,(IF(C3560="RS",4,(IF(C3560="RC",5,0)))))))))</f>
        <v>3</v>
      </c>
      <c r="E3560" s="89" t="s">
        <v>312</v>
      </c>
      <c r="F3560" s="89">
        <f>IF(E3560="AM",1,(IF(E3560="BE",2,(IF(E3560="GV",3,(IF(E3560="RA",4,(IF(E3560="RM",5,(IF(E3560="AC",1,(IF(E3560="AT",2,(IF(E3560="DS",3,(IF(E3560="IP",4,(IF(E3560="MA",5,(IF(E3560="PT",6,(IF(E3560="AE",1,(IF(E3560="CM",2,(IF(E3560="DP",3,(IF(E3560="AN",1,(IF(E3560="CO",2,(IF(E3560="IM",3,(IF(E3560="MI",4,(IF(E3560="RP",5,(IF(E3560="SC",6,0)))))))))))))))))))))))))))))))))))))))</f>
        <v>1</v>
      </c>
      <c r="G3560" s="52">
        <v>2</v>
      </c>
      <c r="H3560" s="90" t="s">
        <v>115</v>
      </c>
      <c r="I3560" s="93" t="s">
        <v>89</v>
      </c>
      <c r="J3560" s="88" t="s">
        <v>609</v>
      </c>
      <c r="K3560" s="102" t="s">
        <v>610</v>
      </c>
      <c r="L3560" s="117">
        <f>IF(O3560="","",N3560*O3560*M3560)</f>
        <v>0</v>
      </c>
      <c r="M3560" s="108">
        <v>1</v>
      </c>
      <c r="N3560" s="95">
        <v>1</v>
      </c>
      <c r="O3560" s="109">
        <f>IF(Key!D$1="ON",P3560,IF(SUM(Q3560:DL3560)&lt;1,"",SUM(Q3560:DL3560)/COUNTIF(Q3560:DL3560,"&gt;0")))</f>
        <v>0</v>
      </c>
      <c r="P3560" s="109">
        <f>SUMIFS(Q3560:DK3560,Q$1:DK$1,Dashboard!$K$31)</f>
        <v>0</v>
      </c>
      <c r="U3560" s="95">
        <v>33</v>
      </c>
      <c r="AA3560" s="95">
        <v>25</v>
      </c>
      <c r="AH3560" s="95">
        <v>75</v>
      </c>
    </row>
    <row r="3561" spans="1:34" ht="15.6" x14ac:dyDescent="0.3">
      <c r="A3561" s="89" t="str">
        <f>CONCATENATE(D3561,".",F3561,"-",G3561,".",H3561,"")</f>
        <v>3.1-2.1</v>
      </c>
      <c r="B3561" s="89" t="str">
        <f>IF(CONCATENATE(I3561,Key!F$2)=CONCATENATE(INDEX(Dashboard!J:J,MATCH(I3561,Dashboard!J:J,0),1),INDEX(Dashboard!J:K,MATCH(I3561,Dashboard!J:J,0),2)),"ON",IF(Dashboard!K$32="ALL","ON","-"))</f>
        <v>-</v>
      </c>
      <c r="C3561" s="132" t="s">
        <v>311</v>
      </c>
      <c r="D3561" s="89">
        <f>IF(C3561="ID",1,(IF(C3561="PR",2,(IF(C3561="DE",3,(IF(C3561="RS",4,(IF(C3561="RC",5,0)))))))))</f>
        <v>3</v>
      </c>
      <c r="E3561" s="89" t="s">
        <v>312</v>
      </c>
      <c r="F3561" s="89">
        <f>IF(E3561="AM",1,(IF(E3561="BE",2,(IF(E3561="GV",3,(IF(E3561="RA",4,(IF(E3561="RM",5,(IF(E3561="AC",1,(IF(E3561="AT",2,(IF(E3561="DS",3,(IF(E3561="IP",4,(IF(E3561="MA",5,(IF(E3561="PT",6,(IF(E3561="AE",1,(IF(E3561="CM",2,(IF(E3561="DP",3,(IF(E3561="AN",1,(IF(E3561="CO",2,(IF(E3561="IM",3,(IF(E3561="MI",4,(IF(E3561="RP",5,(IF(E3561="SC",6,0)))))))))))))))))))))))))))))))))))))))</f>
        <v>1</v>
      </c>
      <c r="G3561" s="52">
        <v>2</v>
      </c>
      <c r="H3561" s="90" t="s">
        <v>115</v>
      </c>
      <c r="I3561" s="93" t="s">
        <v>92</v>
      </c>
      <c r="J3561" s="87">
        <v>10.6</v>
      </c>
      <c r="K3561" s="102" t="s">
        <v>5226</v>
      </c>
      <c r="L3561" s="117">
        <f>IF(O3561="","",N3561*O3561*M3561)</f>
        <v>0</v>
      </c>
      <c r="M3561" s="108">
        <v>1</v>
      </c>
      <c r="N3561" s="95">
        <v>1</v>
      </c>
      <c r="O3561" s="109">
        <f>IF(Key!D$1="ON",P3561,IF(SUM(Q3561:DL3561)&lt;1,"",SUM(Q3561:DL3561)/COUNTIF(Q3561:DL3561,"&gt;0")))</f>
        <v>0</v>
      </c>
      <c r="P3561" s="109">
        <f>SUMIFS(Q3561:DK3561,Q$1:DK$1,Dashboard!$K$31)</f>
        <v>0</v>
      </c>
      <c r="U3561" s="95">
        <v>33</v>
      </c>
      <c r="AA3561" s="95">
        <v>25</v>
      </c>
      <c r="AH3561" s="95">
        <v>75</v>
      </c>
    </row>
    <row r="3562" spans="1:34" x14ac:dyDescent="0.3">
      <c r="A3562" s="89" t="str">
        <f>CONCATENATE(D3562,".",F3562,"-",G3562,".",H3562,"")</f>
        <v>3.1-2.1</v>
      </c>
      <c r="B3562" s="89" t="str">
        <f>IF(CONCATENATE(I3562,Key!F$2)=CONCATENATE(INDEX(Dashboard!J:J,MATCH(I3562,Dashboard!J:J,0),1),INDEX(Dashboard!J:K,MATCH(I3562,Dashboard!J:J,0),2)),"ON",IF(Dashboard!K$32="ALL","ON","-"))</f>
        <v>-</v>
      </c>
      <c r="C3562" s="132" t="s">
        <v>311</v>
      </c>
      <c r="D3562" s="89">
        <f>IF(C3562="ID",1,(IF(C3562="PR",2,(IF(C3562="DE",3,(IF(C3562="RS",4,(IF(C3562="RC",5,0)))))))))</f>
        <v>3</v>
      </c>
      <c r="E3562" s="89" t="s">
        <v>312</v>
      </c>
      <c r="F3562" s="89">
        <f>IF(E3562="AM",1,(IF(E3562="BE",2,(IF(E3562="GV",3,(IF(E3562="RA",4,(IF(E3562="RM",5,(IF(E3562="AC",1,(IF(E3562="AT",2,(IF(E3562="DS",3,(IF(E3562="IP",4,(IF(E3562="MA",5,(IF(E3562="PT",6,(IF(E3562="AE",1,(IF(E3562="CM",2,(IF(E3562="DP",3,(IF(E3562="AN",1,(IF(E3562="CO",2,(IF(E3562="IM",3,(IF(E3562="MI",4,(IF(E3562="RP",5,(IF(E3562="SC",6,0)))))))))))))))))))))))))))))))))))))))</f>
        <v>1</v>
      </c>
      <c r="G3562" s="52">
        <v>2</v>
      </c>
      <c r="H3562" s="90" t="s">
        <v>115</v>
      </c>
      <c r="I3562" s="93" t="s">
        <v>92</v>
      </c>
      <c r="J3562" s="87">
        <v>11.4</v>
      </c>
      <c r="K3562" s="102" t="s">
        <v>5226</v>
      </c>
      <c r="L3562" s="117">
        <f>IF(O3562="","",N3562*O3562*M3562)</f>
        <v>0</v>
      </c>
      <c r="M3562" s="108">
        <v>1</v>
      </c>
      <c r="N3562" s="95">
        <v>1</v>
      </c>
      <c r="O3562" s="109">
        <f>IF(Key!D$1="ON",P3562,IF(SUM(Q3562:DL3562)&lt;1,"",SUM(Q3562:DL3562)/COUNTIF(Q3562:DL3562,"&gt;0")))</f>
        <v>0</v>
      </c>
      <c r="P3562" s="109">
        <f>SUMIFS(Q3562:DK3562,Q$1:DK$1,Dashboard!$K$31)</f>
        <v>0</v>
      </c>
      <c r="U3562" s="95">
        <v>33</v>
      </c>
      <c r="AA3562" s="95">
        <v>25</v>
      </c>
      <c r="AH3562" s="95">
        <v>75</v>
      </c>
    </row>
    <row r="3563" spans="1:34" x14ac:dyDescent="0.3">
      <c r="A3563" s="89" t="str">
        <f>CONCATENATE(D3563,".",F3563,"-",G3563,".",H3563,"")</f>
        <v>3.1-2.1</v>
      </c>
      <c r="B3563" s="89" t="str">
        <f>IF(CONCATENATE(I3563,Key!F$2)=CONCATENATE(INDEX(Dashboard!J:J,MATCH(I3563,Dashboard!J:J,0),1),INDEX(Dashboard!J:K,MATCH(I3563,Dashboard!J:J,0),2)),"ON",IF(Dashboard!K$32="ALL","ON","-"))</f>
        <v>-</v>
      </c>
      <c r="C3563" s="132" t="s">
        <v>311</v>
      </c>
      <c r="D3563" s="89">
        <f>IF(C3563="ID",1,(IF(C3563="PR",2,(IF(C3563="DE",3,(IF(C3563="RS",4,(IF(C3563="RC",5,0)))))))))</f>
        <v>3</v>
      </c>
      <c r="E3563" s="89" t="s">
        <v>312</v>
      </c>
      <c r="F3563" s="89">
        <f>IF(E3563="AM",1,(IF(E3563="BE",2,(IF(E3563="GV",3,(IF(E3563="RA",4,(IF(E3563="RM",5,(IF(E3563="AC",1,(IF(E3563="AT",2,(IF(E3563="DS",3,(IF(E3563="IP",4,(IF(E3563="MA",5,(IF(E3563="PT",6,(IF(E3563="AE",1,(IF(E3563="CM",2,(IF(E3563="DP",3,(IF(E3563="AN",1,(IF(E3563="CO",2,(IF(E3563="IM",3,(IF(E3563="MI",4,(IF(E3563="RP",5,(IF(E3563="SC",6,0)))))))))))))))))))))))))))))))))))))))</f>
        <v>1</v>
      </c>
      <c r="G3563" s="52">
        <v>2</v>
      </c>
      <c r="H3563" s="90" t="s">
        <v>115</v>
      </c>
      <c r="I3563" s="93" t="s">
        <v>92</v>
      </c>
      <c r="J3563" s="87">
        <v>11.5</v>
      </c>
      <c r="K3563" s="102" t="s">
        <v>5226</v>
      </c>
      <c r="L3563" s="117">
        <f>IF(O3563="","",N3563*O3563*M3563)</f>
        <v>0</v>
      </c>
      <c r="M3563" s="108">
        <v>1</v>
      </c>
      <c r="N3563" s="95">
        <v>1</v>
      </c>
      <c r="O3563" s="109">
        <f>IF(Key!D$1="ON",P3563,IF(SUM(Q3563:DL3563)&lt;1,"",SUM(Q3563:DL3563)/COUNTIF(Q3563:DL3563,"&gt;0")))</f>
        <v>0</v>
      </c>
      <c r="P3563" s="109">
        <f>SUMIFS(Q3563:DK3563,Q$1:DK$1,Dashboard!$K$31)</f>
        <v>0</v>
      </c>
      <c r="U3563" s="95">
        <v>33</v>
      </c>
      <c r="AA3563" s="95">
        <v>25</v>
      </c>
      <c r="AH3563" s="95">
        <v>75</v>
      </c>
    </row>
    <row r="3564" spans="1:34" x14ac:dyDescent="0.3">
      <c r="A3564" s="89" t="str">
        <f>CONCATENATE(D3564,".",F3564,"-",G3564,".",H3564,"")</f>
        <v>3.1-2.1</v>
      </c>
      <c r="B3564" s="89" t="str">
        <f>IF(CONCATENATE(I3564,Key!F$2)=CONCATENATE(INDEX(Dashboard!J:J,MATCH(I3564,Dashboard!J:J,0),1),INDEX(Dashboard!J:K,MATCH(I3564,Dashboard!J:J,0),2)),"ON",IF(Dashboard!K$32="ALL","ON","-"))</f>
        <v>-</v>
      </c>
      <c r="C3564" s="127" t="s">
        <v>311</v>
      </c>
      <c r="D3564" s="89">
        <f>IF(C3564="ID",1,(IF(C3564="PR",2,(IF(C3564="DE",3,(IF(C3564="RS",4,(IF(C3564="RC",5,0)))))))))</f>
        <v>3</v>
      </c>
      <c r="E3564" s="89" t="s">
        <v>312</v>
      </c>
      <c r="F3564" s="89">
        <f>IF(E3564="AM",1,(IF(E3564="BE",2,(IF(E3564="GV",3,(IF(E3564="RA",4,(IF(E3564="RM",5,(IF(E3564="AC",1,(IF(E3564="AT",2,(IF(E3564="DS",3,(IF(E3564="IP",4,(IF(E3564="MA",5,(IF(E3564="PT",6,(IF(E3564="AE",1,(IF(E3564="CM",2,(IF(E3564="DP",3,(IF(E3564="AN",1,(IF(E3564="CO",2,(IF(E3564="IM",3,(IF(E3564="MI",4,(IF(E3564="RP",5,(IF(E3564="SC",6,0)))))))))))))))))))))))))))))))))))))))</f>
        <v>1</v>
      </c>
      <c r="G3564" s="52">
        <v>2</v>
      </c>
      <c r="H3564" s="90" t="s">
        <v>115</v>
      </c>
      <c r="I3564" s="93" t="s">
        <v>92</v>
      </c>
      <c r="J3564" s="88" t="s">
        <v>313</v>
      </c>
      <c r="K3564" s="102" t="s">
        <v>5226</v>
      </c>
      <c r="L3564" s="117">
        <f>IF(O3564="","",N3564*O3564*M3564)</f>
        <v>0</v>
      </c>
      <c r="M3564" s="108">
        <v>1</v>
      </c>
      <c r="N3564" s="95">
        <v>1</v>
      </c>
      <c r="O3564" s="109">
        <f>IF(Key!D$1="ON",P3564,IF(SUM(Q3564:DL3564)&lt;1,"",SUM(Q3564:DL3564)/COUNTIF(Q3564:DL3564,"&gt;0")))</f>
        <v>0</v>
      </c>
      <c r="P3564" s="109">
        <f>SUMIFS(Q3564:DK3564,Q$1:DK$1,Dashboard!$K$31)</f>
        <v>0</v>
      </c>
      <c r="U3564" s="95">
        <v>33</v>
      </c>
      <c r="AA3564" s="95">
        <v>25</v>
      </c>
      <c r="AH3564" s="95">
        <v>75</v>
      </c>
    </row>
    <row r="3565" spans="1:34" ht="15.6" x14ac:dyDescent="0.3">
      <c r="A3565" s="89" t="str">
        <f>CONCATENATE(D3565,".",F3565,"-",G3565,".",H3565,"")</f>
        <v>3.1-2.1</v>
      </c>
      <c r="B3565" s="89" t="str">
        <f>IF(CONCATENATE(I3565,Key!F$2)=CONCATENATE(INDEX(Dashboard!J:J,MATCH(I3565,Dashboard!J:J,0),1),INDEX(Dashboard!J:K,MATCH(I3565,Dashboard!J:J,0),2)),"ON",IF(Dashboard!K$32="ALL","ON","-"))</f>
        <v>-</v>
      </c>
      <c r="C3565" s="127" t="s">
        <v>311</v>
      </c>
      <c r="D3565" s="89">
        <f>IF(C3565="ID",1,(IF(C3565="PR",2,(IF(C3565="DE",3,(IF(C3565="RS",4,(IF(C3565="RC",5,0)))))))))</f>
        <v>3</v>
      </c>
      <c r="E3565" s="89" t="s">
        <v>312</v>
      </c>
      <c r="F3565" s="89">
        <f>IF(E3565="AM",1,(IF(E3565="BE",2,(IF(E3565="GV",3,(IF(E3565="RA",4,(IF(E3565="RM",5,(IF(E3565="AC",1,(IF(E3565="AT",2,(IF(E3565="DS",3,(IF(E3565="IP",4,(IF(E3565="MA",5,(IF(E3565="PT",6,(IF(E3565="AE",1,(IF(E3565="CM",2,(IF(E3565="DP",3,(IF(E3565="AN",1,(IF(E3565="CO",2,(IF(E3565="IM",3,(IF(E3565="MI",4,(IF(E3565="RP",5,(IF(E3565="SC",6,0)))))))))))))))))))))))))))))))))))))))</f>
        <v>1</v>
      </c>
      <c r="G3565" s="52">
        <v>2</v>
      </c>
      <c r="H3565" s="90" t="s">
        <v>115</v>
      </c>
      <c r="I3565" s="93" t="s">
        <v>92</v>
      </c>
      <c r="J3565" s="87" t="s">
        <v>314</v>
      </c>
      <c r="K3565" s="102" t="s">
        <v>5226</v>
      </c>
      <c r="L3565" s="117">
        <f>IF(O3565="","",N3565*O3565*M3565)</f>
        <v>0</v>
      </c>
      <c r="M3565" s="108">
        <v>1</v>
      </c>
      <c r="N3565" s="95">
        <v>1</v>
      </c>
      <c r="O3565" s="109">
        <f>IF(Key!D$1="ON",P3565,IF(SUM(Q3565:DL3565)&lt;1,"",SUM(Q3565:DL3565)/COUNTIF(Q3565:DL3565,"&gt;0")))</f>
        <v>0</v>
      </c>
      <c r="P3565" s="109">
        <f>SUMIFS(Q3565:DK3565,Q$1:DK$1,Dashboard!$K$31)</f>
        <v>0</v>
      </c>
      <c r="U3565" s="95">
        <v>33</v>
      </c>
      <c r="AA3565" s="95">
        <v>25</v>
      </c>
      <c r="AH3565" s="95">
        <v>75</v>
      </c>
    </row>
    <row r="3566" spans="1:34" ht="15.6" x14ac:dyDescent="0.3">
      <c r="A3566" s="89" t="str">
        <f>CONCATENATE(D3566,".",F3566,"-",G3566,".",H3566,"")</f>
        <v>3.1-2.1</v>
      </c>
      <c r="B3566" s="89" t="str">
        <f>IF(CONCATENATE(I3566,Key!F$2)=CONCATENATE(INDEX(Dashboard!J:J,MATCH(I3566,Dashboard!J:J,0),1),INDEX(Dashboard!J:K,MATCH(I3566,Dashboard!J:J,0),2)),"ON",IF(Dashboard!K$32="ALL","ON","-"))</f>
        <v>-</v>
      </c>
      <c r="C3566" s="132" t="s">
        <v>311</v>
      </c>
      <c r="D3566" s="89">
        <f>IF(C3566="ID",1,(IF(C3566="PR",2,(IF(C3566="DE",3,(IF(C3566="RS",4,(IF(C3566="RC",5,0)))))))))</f>
        <v>3</v>
      </c>
      <c r="E3566" s="89" t="s">
        <v>312</v>
      </c>
      <c r="F3566" s="89">
        <f>IF(E3566="AM",1,(IF(E3566="BE",2,(IF(E3566="GV",3,(IF(E3566="RA",4,(IF(E3566="RM",5,(IF(E3566="AC",1,(IF(E3566="AT",2,(IF(E3566="DS",3,(IF(E3566="IP",4,(IF(E3566="MA",5,(IF(E3566="PT",6,(IF(E3566="AE",1,(IF(E3566="CM",2,(IF(E3566="DP",3,(IF(E3566="AN",1,(IF(E3566="CO",2,(IF(E3566="IM",3,(IF(E3566="MI",4,(IF(E3566="RP",5,(IF(E3566="SC",6,0)))))))))))))))))))))))))))))))))))))))</f>
        <v>1</v>
      </c>
      <c r="G3566" s="52">
        <v>2</v>
      </c>
      <c r="H3566" s="90" t="s">
        <v>115</v>
      </c>
      <c r="I3566" s="93" t="s">
        <v>92</v>
      </c>
      <c r="J3566" s="88" t="s">
        <v>315</v>
      </c>
      <c r="K3566" s="102" t="s">
        <v>5226</v>
      </c>
      <c r="L3566" s="117">
        <f>IF(O3566="","",N3566*O3566*M3566)</f>
        <v>0</v>
      </c>
      <c r="M3566" s="108">
        <v>1</v>
      </c>
      <c r="N3566" s="95">
        <v>1</v>
      </c>
      <c r="O3566" s="109">
        <f>IF(Key!D$1="ON",P3566,IF(SUM(Q3566:DL3566)&lt;1,"",SUM(Q3566:DL3566)/COUNTIF(Q3566:DL3566,"&gt;0")))</f>
        <v>0</v>
      </c>
      <c r="P3566" s="109">
        <f>SUMIFS(Q3566:DK3566,Q$1:DK$1,Dashboard!$K$31)</f>
        <v>0</v>
      </c>
      <c r="U3566" s="95">
        <v>33</v>
      </c>
      <c r="AA3566" s="95">
        <v>25</v>
      </c>
      <c r="AH3566" s="95">
        <v>75</v>
      </c>
    </row>
    <row r="3567" spans="1:34" x14ac:dyDescent="0.3">
      <c r="A3567" s="89" t="str">
        <f>CONCATENATE(D3567,".",F3567,"-",G3567,".",H3567,"")</f>
        <v>3.1-2.5</v>
      </c>
      <c r="B3567" s="89" t="str">
        <f>IF(CONCATENATE(I3567,Key!F$2)=CONCATENATE(INDEX(Dashboard!J:J,MATCH(I3567,Dashboard!J:J,0),1),INDEX(Dashboard!J:K,MATCH(I3567,Dashboard!J:J,0),2)),"ON",IF(Dashboard!K$32="ALL","ON","-"))</f>
        <v>-</v>
      </c>
      <c r="C3567" s="127" t="s">
        <v>311</v>
      </c>
      <c r="D3567" s="89">
        <f>IF(C3567="ID",1,(IF(C3567="PR",2,(IF(C3567="DE",3,(IF(C3567="RS",4,(IF(C3567="RC",5,0)))))))))</f>
        <v>3</v>
      </c>
      <c r="E3567" s="89" t="s">
        <v>312</v>
      </c>
      <c r="F3567" s="89">
        <f>IF(E3567="AM",1,(IF(E3567="BE",2,(IF(E3567="GV",3,(IF(E3567="RA",4,(IF(E3567="RM",5,(IF(E3567="AC",1,(IF(E3567="AT",2,(IF(E3567="DS",3,(IF(E3567="IP",4,(IF(E3567="MA",5,(IF(E3567="PT",6,(IF(E3567="AE",1,(IF(E3567="CM",2,(IF(E3567="DP",3,(IF(E3567="AN",1,(IF(E3567="CO",2,(IF(E3567="IM",3,(IF(E3567="MI",4,(IF(E3567="RP",5,(IF(E3567="SC",6,0)))))))))))))))))))))))))))))))))))))))</f>
        <v>1</v>
      </c>
      <c r="G3567" s="52">
        <v>2</v>
      </c>
      <c r="H3567" s="90" t="s">
        <v>123</v>
      </c>
      <c r="I3567" s="93" t="s">
        <v>77</v>
      </c>
      <c r="J3567" s="87" t="s">
        <v>825</v>
      </c>
      <c r="K3567" s="102" t="s">
        <v>2733</v>
      </c>
      <c r="L3567" s="117">
        <f>IF(O3567="","",N3567*O3567*M3567)</f>
        <v>0</v>
      </c>
      <c r="M3567" s="108">
        <v>1</v>
      </c>
      <c r="N3567" s="95">
        <v>1</v>
      </c>
      <c r="O3567" s="109">
        <f>IF(Key!D$1="ON",P3567,IF(SUM(Q3567:DL3567)&lt;1,"",SUM(Q3567:DL3567)/COUNTIF(Q3567:DL3567,"&gt;0")))</f>
        <v>0</v>
      </c>
      <c r="P3567" s="109">
        <f>SUMIFS(Q3567:DK3567,Q$1:DK$1,Dashboard!$K$31)</f>
        <v>0</v>
      </c>
      <c r="U3567" s="95">
        <v>33</v>
      </c>
      <c r="AA3567" s="95">
        <v>25</v>
      </c>
      <c r="AH3567" s="95">
        <v>75</v>
      </c>
    </row>
    <row r="3568" spans="1:34" x14ac:dyDescent="0.3">
      <c r="A3568" s="89" t="str">
        <f>CONCATENATE(D3568,".",F3568,"-",G3568,".",H3568,"")</f>
        <v>3.1-2.5</v>
      </c>
      <c r="B3568" s="89" t="str">
        <f>IF(CONCATENATE(I3568,Key!F$2)=CONCATENATE(INDEX(Dashboard!J:J,MATCH(I3568,Dashboard!J:J,0),1),INDEX(Dashboard!J:K,MATCH(I3568,Dashboard!J:J,0),2)),"ON",IF(Dashboard!K$32="ALL","ON","-"))</f>
        <v>-</v>
      </c>
      <c r="C3568" s="127" t="s">
        <v>311</v>
      </c>
      <c r="D3568" s="89">
        <f>IF(C3568="ID",1,(IF(C3568="PR",2,(IF(C3568="DE",3,(IF(C3568="RS",4,(IF(C3568="RC",5,0)))))))))</f>
        <v>3</v>
      </c>
      <c r="E3568" s="89" t="s">
        <v>312</v>
      </c>
      <c r="F3568" s="89">
        <f>IF(E3568="AM",1,(IF(E3568="BE",2,(IF(E3568="GV",3,(IF(E3568="RA",4,(IF(E3568="RM",5,(IF(E3568="AC",1,(IF(E3568="AT",2,(IF(E3568="DS",3,(IF(E3568="IP",4,(IF(E3568="MA",5,(IF(E3568="PT",6,(IF(E3568="AE",1,(IF(E3568="CM",2,(IF(E3568="DP",3,(IF(E3568="AN",1,(IF(E3568="CO",2,(IF(E3568="IM",3,(IF(E3568="MI",4,(IF(E3568="RP",5,(IF(E3568="SC",6,0)))))))))))))))))))))))))))))))))))))))</f>
        <v>1</v>
      </c>
      <c r="G3568" s="52">
        <v>2</v>
      </c>
      <c r="H3568" s="90" t="s">
        <v>123</v>
      </c>
      <c r="I3568" s="93" t="s">
        <v>77</v>
      </c>
      <c r="J3568" s="87" t="s">
        <v>1825</v>
      </c>
      <c r="K3568" s="102" t="s">
        <v>2734</v>
      </c>
      <c r="L3568" s="117">
        <f>IF(O3568="","",N3568*O3568*M3568)</f>
        <v>0</v>
      </c>
      <c r="M3568" s="108">
        <v>1</v>
      </c>
      <c r="N3568" s="95">
        <v>1</v>
      </c>
      <c r="O3568" s="109">
        <f>IF(Key!D$1="ON",P3568,IF(SUM(Q3568:DL3568)&lt;1,"",SUM(Q3568:DL3568)/COUNTIF(Q3568:DL3568,"&gt;0")))</f>
        <v>0</v>
      </c>
      <c r="P3568" s="109">
        <f>SUMIFS(Q3568:DK3568,Q$1:DK$1,Dashboard!$K$31)</f>
        <v>0</v>
      </c>
      <c r="U3568" s="95">
        <v>33</v>
      </c>
      <c r="AA3568" s="95">
        <v>25</v>
      </c>
      <c r="AH3568" s="95">
        <v>75</v>
      </c>
    </row>
    <row r="3569" spans="1:34" ht="15.6" x14ac:dyDescent="0.3">
      <c r="A3569" s="89" t="str">
        <f>CONCATENATE(D3569,".",F3569,"-",G3569,".",H3569,"")</f>
        <v>3.1-2.5</v>
      </c>
      <c r="B3569" s="89" t="str">
        <f>IF(CONCATENATE(I3569,Key!F$2)=CONCATENATE(INDEX(Dashboard!J:J,MATCH(I3569,Dashboard!J:J,0),1),INDEX(Dashboard!J:K,MATCH(I3569,Dashboard!J:J,0),2)),"ON",IF(Dashboard!K$32="ALL","ON","-"))</f>
        <v>-</v>
      </c>
      <c r="C3569" s="127" t="s">
        <v>311</v>
      </c>
      <c r="D3569" s="89">
        <f>IF(C3569="ID",1,(IF(C3569="PR",2,(IF(C3569="DE",3,(IF(C3569="RS",4,(IF(C3569="RC",5,0)))))))))</f>
        <v>3</v>
      </c>
      <c r="E3569" s="89" t="s">
        <v>312</v>
      </c>
      <c r="F3569" s="89">
        <f>IF(E3569="AM",1,(IF(E3569="BE",2,(IF(E3569="GV",3,(IF(E3569="RA",4,(IF(E3569="RM",5,(IF(E3569="AC",1,(IF(E3569="AT",2,(IF(E3569="DS",3,(IF(E3569="IP",4,(IF(E3569="MA",5,(IF(E3569="PT",6,(IF(E3569="AE",1,(IF(E3569="CM",2,(IF(E3569="DP",3,(IF(E3569="AN",1,(IF(E3569="CO",2,(IF(E3569="IM",3,(IF(E3569="MI",4,(IF(E3569="RP",5,(IF(E3569="SC",6,0)))))))))))))))))))))))))))))))))))))))</f>
        <v>1</v>
      </c>
      <c r="G3569" s="52">
        <v>2</v>
      </c>
      <c r="H3569" s="90" t="s">
        <v>123</v>
      </c>
      <c r="I3569" s="93" t="s">
        <v>77</v>
      </c>
      <c r="J3569" s="87" t="s">
        <v>1827</v>
      </c>
      <c r="K3569" s="102" t="s">
        <v>2735</v>
      </c>
      <c r="L3569" s="117">
        <f>IF(O3569="","",N3569*O3569*M3569)</f>
        <v>0</v>
      </c>
      <c r="M3569" s="108">
        <v>1</v>
      </c>
      <c r="N3569" s="95">
        <v>1</v>
      </c>
      <c r="O3569" s="109">
        <f>IF(Key!D$1="ON",P3569,IF(SUM(Q3569:DL3569)&lt;1,"",SUM(Q3569:DL3569)/COUNTIF(Q3569:DL3569,"&gt;0")))</f>
        <v>0</v>
      </c>
      <c r="P3569" s="109">
        <f>SUMIFS(Q3569:DK3569,Q$1:DK$1,Dashboard!$K$31)</f>
        <v>0</v>
      </c>
      <c r="U3569" s="95">
        <v>33</v>
      </c>
      <c r="AA3569" s="95">
        <v>25</v>
      </c>
      <c r="AH3569" s="95">
        <v>75</v>
      </c>
    </row>
    <row r="3570" spans="1:34" x14ac:dyDescent="0.3">
      <c r="A3570" s="89" t="str">
        <f>CONCATENATE(D3570,".",F3570,"-",G3570,".",H3570,"")</f>
        <v>3.1-2.5</v>
      </c>
      <c r="B3570" s="89" t="str">
        <f>IF(CONCATENATE(I3570,Key!F$2)=CONCATENATE(INDEX(Dashboard!J:J,MATCH(I3570,Dashboard!J:J,0),1),INDEX(Dashboard!J:K,MATCH(I3570,Dashboard!J:J,0),2)),"ON",IF(Dashboard!K$32="ALL","ON","-"))</f>
        <v>-</v>
      </c>
      <c r="C3570" s="127" t="s">
        <v>311</v>
      </c>
      <c r="D3570" s="89">
        <f>IF(C3570="ID",1,(IF(C3570="PR",2,(IF(C3570="DE",3,(IF(C3570="RS",4,(IF(C3570="RC",5,0)))))))))</f>
        <v>3</v>
      </c>
      <c r="E3570" s="89" t="s">
        <v>312</v>
      </c>
      <c r="F3570" s="89">
        <f>IF(E3570="AM",1,(IF(E3570="BE",2,(IF(E3570="GV",3,(IF(E3570="RA",4,(IF(E3570="RM",5,(IF(E3570="AC",1,(IF(E3570="AT",2,(IF(E3570="DS",3,(IF(E3570="IP",4,(IF(E3570="MA",5,(IF(E3570="PT",6,(IF(E3570="AE",1,(IF(E3570="CM",2,(IF(E3570="DP",3,(IF(E3570="AN",1,(IF(E3570="CO",2,(IF(E3570="IM",3,(IF(E3570="MI",4,(IF(E3570="RP",5,(IF(E3570="SC",6,0)))))))))))))))))))))))))))))))))))))))</f>
        <v>1</v>
      </c>
      <c r="G3570" s="52">
        <v>2</v>
      </c>
      <c r="H3570" s="90" t="s">
        <v>123</v>
      </c>
      <c r="I3570" s="93" t="s">
        <v>77</v>
      </c>
      <c r="J3570" s="87" t="s">
        <v>1828</v>
      </c>
      <c r="K3570" s="102" t="s">
        <v>2736</v>
      </c>
      <c r="L3570" s="117">
        <f>IF(O3570="","",N3570*O3570*M3570)</f>
        <v>0</v>
      </c>
      <c r="M3570" s="108">
        <v>1</v>
      </c>
      <c r="N3570" s="95">
        <v>1</v>
      </c>
      <c r="O3570" s="109">
        <f>IF(Key!D$1="ON",P3570,IF(SUM(Q3570:DL3570)&lt;1,"",SUM(Q3570:DL3570)/COUNTIF(Q3570:DL3570,"&gt;0")))</f>
        <v>0</v>
      </c>
      <c r="P3570" s="109">
        <f>SUMIFS(Q3570:DK3570,Q$1:DK$1,Dashboard!$K$31)</f>
        <v>0</v>
      </c>
      <c r="U3570" s="95">
        <v>33</v>
      </c>
      <c r="AA3570" s="95">
        <v>25</v>
      </c>
      <c r="AH3570" s="95">
        <v>75</v>
      </c>
    </row>
    <row r="3571" spans="1:34" x14ac:dyDescent="0.3">
      <c r="A3571" s="89" t="str">
        <f>CONCATENATE(D3571,".",F3571,"-",G3571,".",H3571,"")</f>
        <v>3.1-3.0</v>
      </c>
      <c r="B3571" s="89" t="str">
        <f>IF(CONCATENATE(I3571,Key!F$2)=CONCATENATE(INDEX(Dashboard!J:J,MATCH(I3571,Dashboard!J:J,0),1),INDEX(Dashboard!J:K,MATCH(I3571,Dashboard!J:J,0),2)),"ON",IF(Dashboard!K$32="ALL","ON","-"))</f>
        <v>-</v>
      </c>
      <c r="C3571" s="132" t="s">
        <v>311</v>
      </c>
      <c r="D3571" s="89">
        <f>IF(C3571="ID",1,(IF(C3571="PR",2,(IF(C3571="DE",3,(IF(C3571="RS",4,(IF(C3571="RC",5,0)))))))))</f>
        <v>3</v>
      </c>
      <c r="E3571" s="89" t="s">
        <v>312</v>
      </c>
      <c r="F3571" s="89">
        <f>IF(E3571="AM",1,(IF(E3571="BE",2,(IF(E3571="GV",3,(IF(E3571="RA",4,(IF(E3571="RM",5,(IF(E3571="AC",1,(IF(E3571="AT",2,(IF(E3571="DS",3,(IF(E3571="IP",4,(IF(E3571="MA",5,(IF(E3571="PT",6,(IF(E3571="AE",1,(IF(E3571="CM",2,(IF(E3571="DP",3,(IF(E3571="AN",1,(IF(E3571="CO",2,(IF(E3571="IM",3,(IF(E3571="MI",4,(IF(E3571="RP",5,(IF(E3571="SC",6,0)))))))))))))))))))))))))))))))))))))))</f>
        <v>1</v>
      </c>
      <c r="G3571" s="52">
        <v>3</v>
      </c>
      <c r="H3571" s="90" t="s">
        <v>347</v>
      </c>
      <c r="I3571" s="93" t="s">
        <v>2835</v>
      </c>
      <c r="J3571" s="53" t="s">
        <v>3013</v>
      </c>
      <c r="K3571" s="58" t="s">
        <v>3014</v>
      </c>
      <c r="L3571" s="117">
        <f>IF(O3571="","",N3571*O3571*M3571)</f>
        <v>0</v>
      </c>
      <c r="M3571" s="108">
        <v>1</v>
      </c>
      <c r="N3571" s="95">
        <v>1</v>
      </c>
      <c r="O3571" s="109">
        <f>IF(Key!D$1="ON",P3571,IF(SUM(Q3571:DL3571)&lt;1,"",SUM(Q3571:DL3571)/COUNTIF(Q3571:DL3571,"&gt;0")))</f>
        <v>0</v>
      </c>
      <c r="P3571" s="109">
        <f>SUMIFS(Q3571:DK3571,Q$1:DK$1,Dashboard!$K$31)</f>
        <v>0</v>
      </c>
      <c r="U3571" s="95">
        <v>33</v>
      </c>
    </row>
    <row r="3572" spans="1:34" ht="15.6" x14ac:dyDescent="0.3">
      <c r="A3572" s="89" t="str">
        <f>CONCATENATE(D3572,".",F3572,"-",G3572,".",H3572,"")</f>
        <v>3.1-3.1</v>
      </c>
      <c r="B3572" s="89" t="str">
        <f>IF(CONCATENATE(I3572,Key!F$2)=CONCATENATE(INDEX(Dashboard!J:J,MATCH(I3572,Dashboard!J:J,0),1),INDEX(Dashboard!J:K,MATCH(I3572,Dashboard!J:J,0),2)),"ON",IF(Dashboard!K$32="ALL","ON","-"))</f>
        <v>ON</v>
      </c>
      <c r="C3572" s="133" t="s">
        <v>311</v>
      </c>
      <c r="D3572" s="89">
        <f>IF(C3572="ID",1,(IF(C3572="PR",2,(IF(C3572="DE",3,(IF(C3572="RS",4,(IF(C3572="RC",5,0)))))))))</f>
        <v>3</v>
      </c>
      <c r="E3572" s="95" t="s">
        <v>312</v>
      </c>
      <c r="F3572" s="89">
        <f>IF(E3572="AM",1,(IF(E3572="BE",2,(IF(E3572="GV",3,(IF(E3572="RA",4,(IF(E3572="RM",5,(IF(E3572="AC",1,(IF(E3572="AT",2,(IF(E3572="DS",3,(IF(E3572="IP",4,(IF(E3572="MA",5,(IF(E3572="PT",6,(IF(E3572="AE",1,(IF(E3572="CM",2,(IF(E3572="DP",3,(IF(E3572="AN",1,(IF(E3572="CO",2,(IF(E3572="IM",3,(IF(E3572="MI",4,(IF(E3572="RP",5,(IF(E3572="SC",6,0)))))))))))))))))))))))))))))))))))))))</f>
        <v>1</v>
      </c>
      <c r="G3572" s="52">
        <v>3</v>
      </c>
      <c r="H3572" s="90" t="s">
        <v>115</v>
      </c>
      <c r="I3572" s="93" t="s">
        <v>4107</v>
      </c>
      <c r="J3572" s="86" t="s">
        <v>3973</v>
      </c>
      <c r="K3572" s="101" t="s">
        <v>4432</v>
      </c>
      <c r="L3572" s="117">
        <f>IF(O3572="","",N3572*O3572*M3572)</f>
        <v>0</v>
      </c>
      <c r="M3572" s="108">
        <v>1</v>
      </c>
      <c r="N3572" s="95">
        <v>1</v>
      </c>
      <c r="O3572" s="109">
        <f>IF(Key!D$1="ON",P3572,IF(SUM(Q3572:DL3572)&lt;1,"",SUM(Q3572:DL3572)/COUNTIF(Q3572:DL3572,"&gt;0")))</f>
        <v>0</v>
      </c>
      <c r="P3572" s="109">
        <f>SUMIFS(Q3572:DK3572,Q$1:DK$1,Dashboard!$K$31)</f>
        <v>0</v>
      </c>
      <c r="U3572" s="95">
        <v>33</v>
      </c>
      <c r="AA3572" s="95">
        <v>25</v>
      </c>
      <c r="AH3572" s="95">
        <v>75</v>
      </c>
    </row>
    <row r="3573" spans="1:34" ht="15.6" x14ac:dyDescent="0.3">
      <c r="A3573" s="89" t="str">
        <f>CONCATENATE(D3573,".",F3573,"-",G3573,".",H3573,"")</f>
        <v>3.1-3.1</v>
      </c>
      <c r="B3573" s="89" t="str">
        <f>IF(CONCATENATE(I3573,Key!F$2)=CONCATENATE(INDEX(Dashboard!J:J,MATCH(I3573,Dashboard!J:J,0),1),INDEX(Dashboard!J:K,MATCH(I3573,Dashboard!J:J,0),2)),"ON",IF(Dashboard!K$32="ALL","ON","-"))</f>
        <v>ON</v>
      </c>
      <c r="C3573" s="133" t="s">
        <v>311</v>
      </c>
      <c r="D3573" s="89">
        <f>IF(C3573="ID",1,(IF(C3573="PR",2,(IF(C3573="DE",3,(IF(C3573="RS",4,(IF(C3573="RC",5,0)))))))))</f>
        <v>3</v>
      </c>
      <c r="E3573" s="95" t="s">
        <v>312</v>
      </c>
      <c r="F3573" s="89">
        <f>IF(E3573="AM",1,(IF(E3573="BE",2,(IF(E3573="GV",3,(IF(E3573="RA",4,(IF(E3573="RM",5,(IF(E3573="AC",1,(IF(E3573="AT",2,(IF(E3573="DS",3,(IF(E3573="IP",4,(IF(E3573="MA",5,(IF(E3573="PT",6,(IF(E3573="AE",1,(IF(E3573="CM",2,(IF(E3573="DP",3,(IF(E3573="AN",1,(IF(E3573="CO",2,(IF(E3573="IM",3,(IF(E3573="MI",4,(IF(E3573="RP",5,(IF(E3573="SC",6,0)))))))))))))))))))))))))))))))))))))))</f>
        <v>1</v>
      </c>
      <c r="G3573" s="52">
        <v>3</v>
      </c>
      <c r="H3573" s="90" t="s">
        <v>115</v>
      </c>
      <c r="I3573" s="93" t="s">
        <v>4107</v>
      </c>
      <c r="J3573" s="86" t="s">
        <v>3975</v>
      </c>
      <c r="K3573" s="101" t="s">
        <v>4434</v>
      </c>
      <c r="L3573" s="117">
        <f>IF(O3573="","",N3573*O3573*M3573)</f>
        <v>0</v>
      </c>
      <c r="M3573" s="108">
        <v>1</v>
      </c>
      <c r="N3573" s="95">
        <v>1</v>
      </c>
      <c r="O3573" s="109">
        <f>IF(Key!D$1="ON",P3573,IF(SUM(Q3573:DL3573)&lt;1,"",SUM(Q3573:DL3573)/COUNTIF(Q3573:DL3573,"&gt;0")))</f>
        <v>0</v>
      </c>
      <c r="P3573" s="109">
        <f>SUMIFS(Q3573:DK3573,Q$1:DK$1,Dashboard!$K$31)</f>
        <v>0</v>
      </c>
      <c r="U3573" s="95">
        <v>33</v>
      </c>
      <c r="AA3573" s="95">
        <v>25</v>
      </c>
      <c r="AH3573" s="95">
        <v>75</v>
      </c>
    </row>
    <row r="3574" spans="1:34" ht="15.6" x14ac:dyDescent="0.3">
      <c r="A3574" s="89" t="str">
        <f>CONCATENATE(D3574,".",F3574,"-",G3574,".",H3574,"")</f>
        <v>3.1-3.1</v>
      </c>
      <c r="B3574" s="89" t="str">
        <f>IF(CONCATENATE(I3574,Key!F$2)=CONCATENATE(INDEX(Dashboard!J:J,MATCH(I3574,Dashboard!J:J,0),1),INDEX(Dashboard!J:K,MATCH(I3574,Dashboard!J:J,0),2)),"ON",IF(Dashboard!K$32="ALL","ON","-"))</f>
        <v>ON</v>
      </c>
      <c r="C3574" s="127" t="s">
        <v>311</v>
      </c>
      <c r="D3574" s="89">
        <f>IF(C3574="ID",1,(IF(C3574="PR",2,(IF(C3574="DE",3,(IF(C3574="RS",4,(IF(C3574="RC",5,0)))))))))</f>
        <v>3</v>
      </c>
      <c r="E3574" s="89" t="s">
        <v>312</v>
      </c>
      <c r="F3574" s="89">
        <f>IF(E3574="AM",1,(IF(E3574="BE",2,(IF(E3574="GV",3,(IF(E3574="RA",4,(IF(E3574="RM",5,(IF(E3574="AC",1,(IF(E3574="AT",2,(IF(E3574="DS",3,(IF(E3574="IP",4,(IF(E3574="MA",5,(IF(E3574="PT",6,(IF(E3574="AE",1,(IF(E3574="CM",2,(IF(E3574="DP",3,(IF(E3574="AN",1,(IF(E3574="CO",2,(IF(E3574="IM",3,(IF(E3574="MI",4,(IF(E3574="RP",5,(IF(E3574="SC",6,0)))))))))))))))))))))))))))))))))))))))</f>
        <v>1</v>
      </c>
      <c r="G3574" s="52">
        <v>3</v>
      </c>
      <c r="H3574" s="89">
        <v>1</v>
      </c>
      <c r="I3574" s="93" t="s">
        <v>4107</v>
      </c>
      <c r="J3574" s="86" t="s">
        <v>4091</v>
      </c>
      <c r="K3574" s="101" t="s">
        <v>4412</v>
      </c>
      <c r="L3574" s="117">
        <f>IF(O3574="","",N3574*O3574*M3574)</f>
        <v>0</v>
      </c>
      <c r="M3574" s="108">
        <v>1</v>
      </c>
      <c r="N3574" s="95">
        <v>1</v>
      </c>
      <c r="O3574" s="109">
        <f>IF(Key!D$1="ON",P3574,IF(SUM(Q3574:DL3574)&lt;1,"",SUM(Q3574:DL3574)/COUNTIF(Q3574:DL3574,"&gt;0")))</f>
        <v>0</v>
      </c>
      <c r="P3574" s="109">
        <f>SUMIFS(Q3574:DK3574,Q$1:DK$1,Dashboard!$K$31)</f>
        <v>0</v>
      </c>
      <c r="U3574" s="95">
        <v>33</v>
      </c>
      <c r="AA3574" s="95">
        <v>25</v>
      </c>
      <c r="AH3574" s="95">
        <v>75</v>
      </c>
    </row>
    <row r="3575" spans="1:34" ht="15.6" x14ac:dyDescent="0.3">
      <c r="A3575" s="89" t="str">
        <f>CONCATENATE(D3575,".",F3575,"-",G3575,".",H3575,"")</f>
        <v>3.1-3.1</v>
      </c>
      <c r="B3575" s="89" t="str">
        <f>IF(CONCATENATE(I3575,Key!F$2)=CONCATENATE(INDEX(Dashboard!J:J,MATCH(I3575,Dashboard!J:J,0),1),INDEX(Dashboard!J:K,MATCH(I3575,Dashboard!J:J,0),2)),"ON",IF(Dashboard!K$32="ALL","ON","-"))</f>
        <v>-</v>
      </c>
      <c r="C3575" s="127" t="s">
        <v>311</v>
      </c>
      <c r="D3575" s="89">
        <f>IF(C3575="ID",1,(IF(C3575="PR",2,(IF(C3575="DE",3,(IF(C3575="RS",4,(IF(C3575="RC",5,0)))))))))</f>
        <v>3</v>
      </c>
      <c r="E3575" s="89" t="s">
        <v>312</v>
      </c>
      <c r="F3575" s="89">
        <f>IF(E3575="AM",1,(IF(E3575="BE",2,(IF(E3575="GV",3,(IF(E3575="RA",4,(IF(E3575="RM",5,(IF(E3575="AC",1,(IF(E3575="AT",2,(IF(E3575="DS",3,(IF(E3575="IP",4,(IF(E3575="MA",5,(IF(E3575="PT",6,(IF(E3575="AE",1,(IF(E3575="CM",2,(IF(E3575="DP",3,(IF(E3575="AN",1,(IF(E3575="CO",2,(IF(E3575="IM",3,(IF(E3575="MI",4,(IF(E3575="RP",5,(IF(E3575="SC",6,0)))))))))))))))))))))))))))))))))))))))</f>
        <v>1</v>
      </c>
      <c r="G3575" s="52">
        <v>3</v>
      </c>
      <c r="H3575" s="99">
        <v>1</v>
      </c>
      <c r="I3575" s="93" t="s">
        <v>37</v>
      </c>
      <c r="J3575" s="86">
        <v>4.2</v>
      </c>
      <c r="K3575" s="102" t="s">
        <v>3815</v>
      </c>
      <c r="L3575" s="117">
        <f>IF(O3575="","",N3575*O3575*M3575)</f>
        <v>0</v>
      </c>
      <c r="M3575" s="108">
        <v>1</v>
      </c>
      <c r="N3575" s="95">
        <v>1</v>
      </c>
      <c r="O3575" s="109">
        <f>IF(Key!D$1="ON",P3575,IF(SUM(Q3575:DL3575)&lt;1,"",SUM(Q3575:DL3575)/COUNTIF(Q3575:DL3575,"&gt;0")))</f>
        <v>0</v>
      </c>
      <c r="P3575" s="109">
        <f>SUMIFS(Q3575:DK3575,Q$1:DK$1,Dashboard!$K$31)</f>
        <v>0</v>
      </c>
      <c r="U3575" s="95">
        <v>33</v>
      </c>
      <c r="AA3575" s="95">
        <v>25</v>
      </c>
      <c r="AH3575" s="95">
        <v>75</v>
      </c>
    </row>
    <row r="3576" spans="1:34" ht="15.6" x14ac:dyDescent="0.3">
      <c r="A3576" s="89" t="str">
        <f>CONCATENATE(D3576,".",F3576,"-",G3576,".",H3576,"")</f>
        <v>3.1-3.1</v>
      </c>
      <c r="B3576" s="89" t="str">
        <f>IF(CONCATENATE(I3576,Key!F$2)=CONCATENATE(INDEX(Dashboard!J:J,MATCH(I3576,Dashboard!J:J,0),1),INDEX(Dashboard!J:K,MATCH(I3576,Dashboard!J:J,0),2)),"ON",IF(Dashboard!K$32="ALL","ON","-"))</f>
        <v>-</v>
      </c>
      <c r="C3576" s="127" t="s">
        <v>311</v>
      </c>
      <c r="D3576" s="89">
        <f>IF(C3576="ID",1,(IF(C3576="PR",2,(IF(C3576="DE",3,(IF(C3576="RS",4,(IF(C3576="RC",5,0)))))))))</f>
        <v>3</v>
      </c>
      <c r="E3576" s="89" t="s">
        <v>312</v>
      </c>
      <c r="F3576" s="89">
        <f>IF(E3576="AM",1,(IF(E3576="BE",2,(IF(E3576="GV",3,(IF(E3576="RA",4,(IF(E3576="RM",5,(IF(E3576="AC",1,(IF(E3576="AT",2,(IF(E3576="DS",3,(IF(E3576="IP",4,(IF(E3576="MA",5,(IF(E3576="PT",6,(IF(E3576="AE",1,(IF(E3576="CM",2,(IF(E3576="DP",3,(IF(E3576="AN",1,(IF(E3576="CO",2,(IF(E3576="IM",3,(IF(E3576="MI",4,(IF(E3576="RP",5,(IF(E3576="SC",6,0)))))))))))))))))))))))))))))))))))))))</f>
        <v>1</v>
      </c>
      <c r="G3576" s="52">
        <v>3</v>
      </c>
      <c r="H3576" s="99">
        <v>1</v>
      </c>
      <c r="I3576" s="93" t="s">
        <v>37</v>
      </c>
      <c r="J3576" s="86">
        <v>6.6</v>
      </c>
      <c r="K3576" s="102" t="s">
        <v>3817</v>
      </c>
      <c r="L3576" s="117">
        <f>IF(O3576="","",N3576*O3576*M3576)</f>
        <v>0</v>
      </c>
      <c r="M3576" s="108">
        <v>1</v>
      </c>
      <c r="N3576" s="95">
        <v>1</v>
      </c>
      <c r="O3576" s="109">
        <f>IF(Key!D$1="ON",P3576,IF(SUM(Q3576:DL3576)&lt;1,"",SUM(Q3576:DL3576)/COUNTIF(Q3576:DL3576,"&gt;0")))</f>
        <v>0</v>
      </c>
      <c r="P3576" s="109">
        <f>SUMIFS(Q3576:DK3576,Q$1:DK$1,Dashboard!$K$31)</f>
        <v>0</v>
      </c>
      <c r="U3576" s="95">
        <v>33</v>
      </c>
      <c r="AA3576" s="95">
        <v>25</v>
      </c>
      <c r="AH3576" s="95">
        <v>75</v>
      </c>
    </row>
    <row r="3577" spans="1:34" x14ac:dyDescent="0.3">
      <c r="A3577" s="89" t="str">
        <f>CONCATENATE(D3577,".",F3577,"-",G3577,".",H3577,"")</f>
        <v>3.1-3.1</v>
      </c>
      <c r="B3577" s="89" t="str">
        <f>IF(CONCATENATE(I3577,Key!F$2)=CONCATENATE(INDEX(Dashboard!J:J,MATCH(I3577,Dashboard!J:J,0),1),INDEX(Dashboard!J:K,MATCH(I3577,Dashboard!J:J,0),2)),"ON",IF(Dashboard!K$32="ALL","ON","-"))</f>
        <v>-</v>
      </c>
      <c r="C3577" s="127" t="s">
        <v>311</v>
      </c>
      <c r="D3577" s="89">
        <f>IF(C3577="ID",1,(IF(C3577="PR",2,(IF(C3577="DE",3,(IF(C3577="RS",4,(IF(C3577="RC",5,0)))))))))</f>
        <v>3</v>
      </c>
      <c r="E3577" s="89" t="s">
        <v>312</v>
      </c>
      <c r="F3577" s="89">
        <f>IF(E3577="AM",1,(IF(E3577="BE",2,(IF(E3577="GV",3,(IF(E3577="RA",4,(IF(E3577="RM",5,(IF(E3577="AC",1,(IF(E3577="AT",2,(IF(E3577="DS",3,(IF(E3577="IP",4,(IF(E3577="MA",5,(IF(E3577="PT",6,(IF(E3577="AE",1,(IF(E3577="CM",2,(IF(E3577="DP",3,(IF(E3577="AN",1,(IF(E3577="CO",2,(IF(E3577="IM",3,(IF(E3577="MI",4,(IF(E3577="RP",5,(IF(E3577="SC",6,0)))))))))))))))))))))))))))))))))))))))</f>
        <v>1</v>
      </c>
      <c r="G3577" s="52">
        <v>3</v>
      </c>
      <c r="H3577" s="99">
        <v>1</v>
      </c>
      <c r="I3577" s="93" t="s">
        <v>37</v>
      </c>
      <c r="J3577" s="86">
        <v>12.2</v>
      </c>
      <c r="K3577" s="102" t="s">
        <v>3808</v>
      </c>
      <c r="L3577" s="117">
        <f>IF(O3577="","",N3577*O3577*M3577)</f>
        <v>0</v>
      </c>
      <c r="M3577" s="108">
        <v>1</v>
      </c>
      <c r="N3577" s="95">
        <v>1</v>
      </c>
      <c r="O3577" s="109">
        <f>IF(Key!D$1="ON",P3577,IF(SUM(Q3577:DL3577)&lt;1,"",SUM(Q3577:DL3577)/COUNTIF(Q3577:DL3577,"&gt;0")))</f>
        <v>0</v>
      </c>
      <c r="P3577" s="109">
        <f>SUMIFS(Q3577:DK3577,Q$1:DK$1,Dashboard!$K$31)</f>
        <v>0</v>
      </c>
      <c r="U3577" s="95">
        <v>33</v>
      </c>
      <c r="AA3577" s="95">
        <v>25</v>
      </c>
      <c r="AH3577" s="95">
        <v>75</v>
      </c>
    </row>
    <row r="3578" spans="1:34" x14ac:dyDescent="0.3">
      <c r="A3578" s="89" t="str">
        <f>CONCATENATE(D3578,".",F3578,"-",G3578,".",H3578,"")</f>
        <v>3.1-3.1</v>
      </c>
      <c r="B3578" s="89" t="str">
        <f>IF(CONCATENATE(I3578,Key!F$2)=CONCATENATE(INDEX(Dashboard!J:J,MATCH(I3578,Dashboard!J:J,0),1),INDEX(Dashboard!J:K,MATCH(I3578,Dashboard!J:J,0),2)),"ON",IF(Dashboard!K$32="ALL","ON","-"))</f>
        <v>-</v>
      </c>
      <c r="C3578" s="127" t="s">
        <v>311</v>
      </c>
      <c r="D3578" s="89">
        <f>IF(C3578="ID",1,(IF(C3578="PR",2,(IF(C3578="DE",3,(IF(C3578="RS",4,(IF(C3578="RC",5,0)))))))))</f>
        <v>3</v>
      </c>
      <c r="E3578" s="89" t="s">
        <v>312</v>
      </c>
      <c r="F3578" s="89">
        <f>IF(E3578="AM",1,(IF(E3578="BE",2,(IF(E3578="GV",3,(IF(E3578="RA",4,(IF(E3578="RM",5,(IF(E3578="AC",1,(IF(E3578="AT",2,(IF(E3578="DS",3,(IF(E3578="IP",4,(IF(E3578="MA",5,(IF(E3578="PT",6,(IF(E3578="AE",1,(IF(E3578="CM",2,(IF(E3578="DP",3,(IF(E3578="AN",1,(IF(E3578="CO",2,(IF(E3578="IM",3,(IF(E3578="MI",4,(IF(E3578="RP",5,(IF(E3578="SC",6,0)))))))))))))))))))))))))))))))))))))))</f>
        <v>1</v>
      </c>
      <c r="G3578" s="52">
        <v>3</v>
      </c>
      <c r="H3578" s="99">
        <v>1</v>
      </c>
      <c r="I3578" s="93" t="s">
        <v>37</v>
      </c>
      <c r="J3578" s="86">
        <v>6.5</v>
      </c>
      <c r="K3578" s="102" t="s">
        <v>3816</v>
      </c>
      <c r="L3578" s="117">
        <f>IF(O3578="","",N3578*O3578*M3578)</f>
        <v>0</v>
      </c>
      <c r="M3578" s="108">
        <v>1</v>
      </c>
      <c r="N3578" s="95">
        <v>1</v>
      </c>
      <c r="O3578" s="109">
        <f>IF(Key!D$1="ON",P3578,IF(SUM(Q3578:DL3578)&lt;1,"",SUM(Q3578:DL3578)/COUNTIF(Q3578:DL3578,"&gt;0")))</f>
        <v>0</v>
      </c>
      <c r="P3578" s="109">
        <f>SUMIFS(Q3578:DK3578,Q$1:DK$1,Dashboard!$K$31)</f>
        <v>0</v>
      </c>
      <c r="U3578" s="95">
        <v>33</v>
      </c>
      <c r="AA3578" s="95">
        <v>25</v>
      </c>
      <c r="AH3578" s="95">
        <v>75</v>
      </c>
    </row>
    <row r="3579" spans="1:34" ht="15.6" x14ac:dyDescent="0.3">
      <c r="A3579" s="89" t="str">
        <f>CONCATENATE(D3579,".",F3579,"-",G3579,".",H3579,"")</f>
        <v>3.1-3.1</v>
      </c>
      <c r="B3579" s="89" t="str">
        <f>IF(CONCATENATE(I3579,Key!F$2)=CONCATENATE(INDEX(Dashboard!J:J,MATCH(I3579,Dashboard!J:J,0),1),INDEX(Dashboard!J:K,MATCH(I3579,Dashboard!J:J,0),2)),"ON",IF(Dashboard!K$32="ALL","ON","-"))</f>
        <v>-</v>
      </c>
      <c r="C3579" s="127" t="s">
        <v>311</v>
      </c>
      <c r="D3579" s="89">
        <f>IF(C3579="ID",1,(IF(C3579="PR",2,(IF(C3579="DE",3,(IF(C3579="RS",4,(IF(C3579="RC",5,0)))))))))</f>
        <v>3</v>
      </c>
      <c r="E3579" s="89" t="s">
        <v>312</v>
      </c>
      <c r="F3579" s="89">
        <f>IF(E3579="AM",1,(IF(E3579="BE",2,(IF(E3579="GV",3,(IF(E3579="RA",4,(IF(E3579="RM",5,(IF(E3579="AC",1,(IF(E3579="AT",2,(IF(E3579="DS",3,(IF(E3579="IP",4,(IF(E3579="MA",5,(IF(E3579="PT",6,(IF(E3579="AE",1,(IF(E3579="CM",2,(IF(E3579="DP",3,(IF(E3579="AN",1,(IF(E3579="CO",2,(IF(E3579="IM",3,(IF(E3579="MI",4,(IF(E3579="RP",5,(IF(E3579="SC",6,0)))))))))))))))))))))))))))))))))))))))</f>
        <v>1</v>
      </c>
      <c r="G3579" s="52">
        <v>3</v>
      </c>
      <c r="H3579" s="99">
        <v>1</v>
      </c>
      <c r="I3579" s="93" t="s">
        <v>37</v>
      </c>
      <c r="J3579" s="86">
        <v>8.1</v>
      </c>
      <c r="K3579" s="102" t="s">
        <v>3818</v>
      </c>
      <c r="L3579" s="117">
        <f>IF(O3579="","",N3579*O3579*M3579)</f>
        <v>0</v>
      </c>
      <c r="M3579" s="108">
        <v>1</v>
      </c>
      <c r="N3579" s="95">
        <v>1</v>
      </c>
      <c r="O3579" s="109">
        <f>IF(Key!D$1="ON",P3579,IF(SUM(Q3579:DL3579)&lt;1,"",SUM(Q3579:DL3579)/COUNTIF(Q3579:DL3579,"&gt;0")))</f>
        <v>0</v>
      </c>
      <c r="P3579" s="109">
        <f>SUMIFS(Q3579:DK3579,Q$1:DK$1,Dashboard!$K$31)</f>
        <v>0</v>
      </c>
      <c r="U3579" s="95">
        <v>33</v>
      </c>
      <c r="AA3579" s="95">
        <v>25</v>
      </c>
      <c r="AH3579" s="95">
        <v>75</v>
      </c>
    </row>
    <row r="3580" spans="1:34" ht="15.6" x14ac:dyDescent="0.3">
      <c r="A3580" s="89" t="str">
        <f>CONCATENATE(D3580,".",F3580,"-",G3580,".",H3580,"")</f>
        <v>3.1-3.1</v>
      </c>
      <c r="B3580" s="89" t="str">
        <f>IF(CONCATENATE(I3580,Key!F$2)=CONCATENATE(INDEX(Dashboard!J:J,MATCH(I3580,Dashboard!J:J,0),1),INDEX(Dashboard!J:K,MATCH(I3580,Dashboard!J:J,0),2)),"ON",IF(Dashboard!K$32="ALL","ON","-"))</f>
        <v>-</v>
      </c>
      <c r="C3580" s="127" t="s">
        <v>311</v>
      </c>
      <c r="D3580" s="89">
        <f>IF(C3580="ID",1,(IF(C3580="PR",2,(IF(C3580="DE",3,(IF(C3580="RS",4,(IF(C3580="RC",5,0)))))))))</f>
        <v>3</v>
      </c>
      <c r="E3580" s="89" t="s">
        <v>312</v>
      </c>
      <c r="F3580" s="89">
        <f>IF(E3580="AM",1,(IF(E3580="BE",2,(IF(E3580="GV",3,(IF(E3580="RA",4,(IF(E3580="RM",5,(IF(E3580="AC",1,(IF(E3580="AT",2,(IF(E3580="DS",3,(IF(E3580="IP",4,(IF(E3580="MA",5,(IF(E3580="PT",6,(IF(E3580="AE",1,(IF(E3580="CM",2,(IF(E3580="DP",3,(IF(E3580="AN",1,(IF(E3580="CO",2,(IF(E3580="IM",3,(IF(E3580="MI",4,(IF(E3580="RP",5,(IF(E3580="SC",6,0)))))))))))))))))))))))))))))))))))))))</f>
        <v>1</v>
      </c>
      <c r="G3580" s="52">
        <v>3</v>
      </c>
      <c r="H3580" s="99">
        <v>1</v>
      </c>
      <c r="I3580" s="93" t="s">
        <v>41</v>
      </c>
      <c r="J3580" s="86">
        <v>6.5</v>
      </c>
      <c r="K3580" s="103" t="s">
        <v>3497</v>
      </c>
      <c r="L3580" s="117">
        <f>IF(O3580="","",N3580*O3580*M3580)</f>
        <v>0</v>
      </c>
      <c r="M3580" s="108">
        <v>1</v>
      </c>
      <c r="N3580" s="95">
        <v>1</v>
      </c>
      <c r="O3580" s="109">
        <f>IF(Key!D$1="ON",P3580,IF(SUM(Q3580:DL3580)&lt;1,"",SUM(Q3580:DL3580)/COUNTIF(Q3580:DL3580,"&gt;0")))</f>
        <v>0</v>
      </c>
      <c r="P3580" s="109">
        <f>SUMIFS(Q3580:DK3580,Q$1:DK$1,Dashboard!$K$31)</f>
        <v>0</v>
      </c>
      <c r="U3580" s="95">
        <v>33</v>
      </c>
    </row>
    <row r="3581" spans="1:34" x14ac:dyDescent="0.3">
      <c r="A3581" s="89" t="str">
        <f>CONCATENATE(D3581,".",F3581,"-",G3581,".",H3581,"")</f>
        <v>3.1-3.1</v>
      </c>
      <c r="B3581" s="89" t="str">
        <f>IF(CONCATENATE(I3581,Key!F$2)=CONCATENATE(INDEX(Dashboard!J:J,MATCH(I3581,Dashboard!J:J,0),1),INDEX(Dashboard!J:K,MATCH(I3581,Dashboard!J:J,0),2)),"ON",IF(Dashboard!K$32="ALL","ON","-"))</f>
        <v>-</v>
      </c>
      <c r="C3581" s="127" t="s">
        <v>311</v>
      </c>
      <c r="D3581" s="89">
        <f>IF(C3581="ID",1,(IF(C3581="PR",2,(IF(C3581="DE",3,(IF(C3581="RS",4,(IF(C3581="RC",5,0)))))))))</f>
        <v>3</v>
      </c>
      <c r="E3581" s="89" t="s">
        <v>312</v>
      </c>
      <c r="F3581" s="89">
        <f>IF(E3581="AM",1,(IF(E3581="BE",2,(IF(E3581="GV",3,(IF(E3581="RA",4,(IF(E3581="RM",5,(IF(E3581="AC",1,(IF(E3581="AT",2,(IF(E3581="DS",3,(IF(E3581="IP",4,(IF(E3581="MA",5,(IF(E3581="PT",6,(IF(E3581="AE",1,(IF(E3581="CM",2,(IF(E3581="DP",3,(IF(E3581="AN",1,(IF(E3581="CO",2,(IF(E3581="IM",3,(IF(E3581="MI",4,(IF(E3581="RP",5,(IF(E3581="SC",6,0)))))))))))))))))))))))))))))))))))))))</f>
        <v>1</v>
      </c>
      <c r="G3581" s="52">
        <v>3</v>
      </c>
      <c r="H3581" s="99">
        <v>1</v>
      </c>
      <c r="I3581" s="93" t="s">
        <v>41</v>
      </c>
      <c r="J3581" s="86">
        <v>6.6</v>
      </c>
      <c r="K3581" s="103" t="s">
        <v>3498</v>
      </c>
      <c r="L3581" s="117">
        <f>IF(O3581="","",N3581*O3581*M3581)</f>
        <v>0</v>
      </c>
      <c r="M3581" s="108">
        <v>1</v>
      </c>
      <c r="N3581" s="95">
        <v>1</v>
      </c>
      <c r="O3581" s="109">
        <f>IF(Key!D$1="ON",P3581,IF(SUM(Q3581:DL3581)&lt;1,"",SUM(Q3581:DL3581)/COUNTIF(Q3581:DL3581,"&gt;0")))</f>
        <v>0</v>
      </c>
      <c r="P3581" s="109">
        <f>SUMIFS(Q3581:DK3581,Q$1:DK$1,Dashboard!$K$31)</f>
        <v>0</v>
      </c>
      <c r="U3581" s="95">
        <v>33</v>
      </c>
    </row>
    <row r="3582" spans="1:34" ht="15.6" x14ac:dyDescent="0.3">
      <c r="A3582" s="89" t="str">
        <f>CONCATENATE(D3582,".",F3582,"-",G3582,".",H3582,"")</f>
        <v>3.1-3.1</v>
      </c>
      <c r="B3582" s="89" t="str">
        <f>IF(CONCATENATE(I3582,Key!F$2)=CONCATENATE(INDEX(Dashboard!J:J,MATCH(I3582,Dashboard!J:J,0),1),INDEX(Dashboard!J:K,MATCH(I3582,Dashboard!J:J,0),2)),"ON",IF(Dashboard!K$32="ALL","ON","-"))</f>
        <v>-</v>
      </c>
      <c r="C3582" s="127" t="s">
        <v>311</v>
      </c>
      <c r="D3582" s="89">
        <f>IF(C3582="ID",1,(IF(C3582="PR",2,(IF(C3582="DE",3,(IF(C3582="RS",4,(IF(C3582="RC",5,0)))))))))</f>
        <v>3</v>
      </c>
      <c r="E3582" s="89" t="s">
        <v>312</v>
      </c>
      <c r="F3582" s="89">
        <f>IF(E3582="AM",1,(IF(E3582="BE",2,(IF(E3582="GV",3,(IF(E3582="RA",4,(IF(E3582="RM",5,(IF(E3582="AC",1,(IF(E3582="AT",2,(IF(E3582="DS",3,(IF(E3582="IP",4,(IF(E3582="MA",5,(IF(E3582="PT",6,(IF(E3582="AE",1,(IF(E3582="CM",2,(IF(E3582="DP",3,(IF(E3582="AN",1,(IF(E3582="CO",2,(IF(E3582="IM",3,(IF(E3582="MI",4,(IF(E3582="RP",5,(IF(E3582="SC",6,0)))))))))))))))))))))))))))))))))))))))</f>
        <v>1</v>
      </c>
      <c r="G3582" s="52">
        <v>3</v>
      </c>
      <c r="H3582" s="99">
        <v>1</v>
      </c>
      <c r="I3582" s="93" t="s">
        <v>41</v>
      </c>
      <c r="J3582" s="86">
        <v>12.2</v>
      </c>
      <c r="K3582" s="103" t="s">
        <v>3544</v>
      </c>
      <c r="L3582" s="117">
        <f>IF(O3582="","",N3582*O3582*M3582)</f>
        <v>0</v>
      </c>
      <c r="M3582" s="108">
        <v>1</v>
      </c>
      <c r="N3582" s="95">
        <v>1</v>
      </c>
      <c r="O3582" s="109">
        <f>IF(Key!D$1="ON",P3582,IF(SUM(Q3582:DL3582)&lt;1,"",SUM(Q3582:DL3582)/COUNTIF(Q3582:DL3582,"&gt;0")))</f>
        <v>0</v>
      </c>
      <c r="P3582" s="109">
        <f>SUMIFS(Q3582:DK3582,Q$1:DK$1,Dashboard!$K$31)</f>
        <v>0</v>
      </c>
      <c r="U3582" s="95">
        <v>33</v>
      </c>
    </row>
    <row r="3583" spans="1:34" x14ac:dyDescent="0.3">
      <c r="A3583" s="89" t="str">
        <f>CONCATENATE(D3583,".",F3583,"-",G3583,".",H3583,"")</f>
        <v>3.1-3.1</v>
      </c>
      <c r="B3583" s="89" t="str">
        <f>IF(CONCATENATE(I3583,Key!F$2)=CONCATENATE(INDEX(Dashboard!J:J,MATCH(I3583,Dashboard!J:J,0),1),INDEX(Dashboard!J:K,MATCH(I3583,Dashboard!J:J,0),2)),"ON",IF(Dashboard!K$32="ALL","ON","-"))</f>
        <v>-</v>
      </c>
      <c r="C3583" s="132" t="s">
        <v>311</v>
      </c>
      <c r="D3583" s="89">
        <f>IF(C3583="ID",1,(IF(C3583="PR",2,(IF(C3583="DE",3,(IF(C3583="RS",4,(IF(C3583="RC",5,0)))))))))</f>
        <v>3</v>
      </c>
      <c r="E3583" s="89" t="s">
        <v>312</v>
      </c>
      <c r="F3583" s="89">
        <f>IF(E3583="AM",1,(IF(E3583="BE",2,(IF(E3583="GV",3,(IF(E3583="RA",4,(IF(E3583="RM",5,(IF(E3583="AC",1,(IF(E3583="AT",2,(IF(E3583="DS",3,(IF(E3583="IP",4,(IF(E3583="MA",5,(IF(E3583="PT",6,(IF(E3583="AE",1,(IF(E3583="CM",2,(IF(E3583="DP",3,(IF(E3583="AN",1,(IF(E3583="CO",2,(IF(E3583="IM",3,(IF(E3583="MI",4,(IF(E3583="RP",5,(IF(E3583="SC",6,0)))))))))))))))))))))))))))))))))))))))</f>
        <v>1</v>
      </c>
      <c r="G3583" s="52">
        <v>3</v>
      </c>
      <c r="H3583" s="99">
        <v>1</v>
      </c>
      <c r="I3583" s="93" t="s">
        <v>41</v>
      </c>
      <c r="J3583" s="86" t="s">
        <v>3673</v>
      </c>
      <c r="K3583" s="103" t="s">
        <v>3674</v>
      </c>
      <c r="L3583" s="117">
        <f>IF(O3583="","",N3583*O3583*M3583)</f>
        <v>0</v>
      </c>
      <c r="M3583" s="108">
        <v>1</v>
      </c>
      <c r="N3583" s="95">
        <v>1</v>
      </c>
      <c r="O3583" s="109">
        <f>IF(Key!D$1="ON",P3583,IF(SUM(Q3583:DL3583)&lt;1,"",SUM(Q3583:DL3583)/COUNTIF(Q3583:DL3583,"&gt;0")))</f>
        <v>0</v>
      </c>
      <c r="P3583" s="109">
        <f>SUMIFS(Q3583:DK3583,Q$1:DK$1,Dashboard!$K$31)</f>
        <v>0</v>
      </c>
      <c r="U3583" s="95">
        <v>33</v>
      </c>
    </row>
    <row r="3584" spans="1:34" ht="15.6" x14ac:dyDescent="0.3">
      <c r="A3584" s="89" t="str">
        <f>CONCATENATE(D3584,".",F3584,"-",G3584,".",H3584,"")</f>
        <v>3.1-3.1</v>
      </c>
      <c r="B3584" s="89" t="str">
        <f>IF(CONCATENATE(I3584,Key!F$2)=CONCATENATE(INDEX(Dashboard!J:J,MATCH(I3584,Dashboard!J:J,0),1),INDEX(Dashboard!J:K,MATCH(I3584,Dashboard!J:J,0),2)),"ON",IF(Dashboard!K$32="ALL","ON","-"))</f>
        <v>-</v>
      </c>
      <c r="C3584" s="132" t="s">
        <v>311</v>
      </c>
      <c r="D3584" s="89">
        <f>IF(C3584="ID",1,(IF(C3584="PR",2,(IF(C3584="DE",3,(IF(C3584="RS",4,(IF(C3584="RC",5,0)))))))))</f>
        <v>3</v>
      </c>
      <c r="E3584" s="89" t="s">
        <v>312</v>
      </c>
      <c r="F3584" s="89">
        <f>IF(E3584="AM",1,(IF(E3584="BE",2,(IF(E3584="GV",3,(IF(E3584="RA",4,(IF(E3584="RM",5,(IF(E3584="AC",1,(IF(E3584="AT",2,(IF(E3584="DS",3,(IF(E3584="IP",4,(IF(E3584="MA",5,(IF(E3584="PT",6,(IF(E3584="AE",1,(IF(E3584="CM",2,(IF(E3584="DP",3,(IF(E3584="AN",1,(IF(E3584="CO",2,(IF(E3584="IM",3,(IF(E3584="MI",4,(IF(E3584="RP",5,(IF(E3584="SC",6,0)))))))))))))))))))))))))))))))))))))))</f>
        <v>1</v>
      </c>
      <c r="G3584" s="52">
        <v>3</v>
      </c>
      <c r="H3584" s="90" t="s">
        <v>115</v>
      </c>
      <c r="I3584" s="93" t="s">
        <v>52</v>
      </c>
      <c r="J3584" s="88" t="s">
        <v>3305</v>
      </c>
      <c r="K3584" s="103" t="s">
        <v>3306</v>
      </c>
      <c r="L3584" s="117">
        <f>IF(O3584="","",N3584*O3584*M3584)</f>
        <v>0</v>
      </c>
      <c r="M3584" s="108">
        <v>1</v>
      </c>
      <c r="N3584" s="95">
        <v>1</v>
      </c>
      <c r="O3584" s="109">
        <f>IF(Key!D$1="ON",P3584,IF(SUM(Q3584:DL3584)&lt;1,"",SUM(Q3584:DL3584)/COUNTIF(Q3584:DL3584,"&gt;0")))</f>
        <v>0</v>
      </c>
      <c r="P3584" s="109">
        <f>SUMIFS(Q3584:DK3584,Q$1:DK$1,Dashboard!$K$31)</f>
        <v>0</v>
      </c>
      <c r="U3584" s="95">
        <v>33</v>
      </c>
      <c r="AA3584" s="95">
        <v>25</v>
      </c>
      <c r="AH3584" s="95">
        <v>75</v>
      </c>
    </row>
    <row r="3585" spans="1:34" ht="15.6" x14ac:dyDescent="0.3">
      <c r="A3585" s="89" t="str">
        <f>CONCATENATE(D3585,".",F3585,"-",G3585,".",H3585,"")</f>
        <v>3.1-3.1</v>
      </c>
      <c r="B3585" s="89" t="str">
        <f>IF(CONCATENATE(I3585,Key!F$2)=CONCATENATE(INDEX(Dashboard!J:J,MATCH(I3585,Dashboard!J:J,0),1),INDEX(Dashboard!J:K,MATCH(I3585,Dashboard!J:J,0),2)),"ON",IF(Dashboard!K$32="ALL","ON","-"))</f>
        <v>-</v>
      </c>
      <c r="C3585" s="132" t="s">
        <v>311</v>
      </c>
      <c r="D3585" s="89">
        <f>IF(C3585="ID",1,(IF(C3585="PR",2,(IF(C3585="DE",3,(IF(C3585="RS",4,(IF(C3585="RC",5,0)))))))))</f>
        <v>3</v>
      </c>
      <c r="E3585" s="89" t="s">
        <v>312</v>
      </c>
      <c r="F3585" s="89">
        <f>IF(E3585="AM",1,(IF(E3585="BE",2,(IF(E3585="GV",3,(IF(E3585="RA",4,(IF(E3585="RM",5,(IF(E3585="AC",1,(IF(E3585="AT",2,(IF(E3585="DS",3,(IF(E3585="IP",4,(IF(E3585="MA",5,(IF(E3585="PT",6,(IF(E3585="AE",1,(IF(E3585="CM",2,(IF(E3585="DP",3,(IF(E3585="AN",1,(IF(E3585="CO",2,(IF(E3585="IM",3,(IF(E3585="MI",4,(IF(E3585="RP",5,(IF(E3585="SC",6,0)))))))))))))))))))))))))))))))))))))))</f>
        <v>1</v>
      </c>
      <c r="G3585" s="52">
        <v>3</v>
      </c>
      <c r="H3585" s="90" t="s">
        <v>115</v>
      </c>
      <c r="I3585" s="93" t="s">
        <v>52</v>
      </c>
      <c r="J3585" s="88" t="s">
        <v>3292</v>
      </c>
      <c r="K3585" s="103" t="s">
        <v>3293</v>
      </c>
      <c r="L3585" s="117">
        <f>IF(O3585="","",N3585*O3585*M3585)</f>
        <v>0</v>
      </c>
      <c r="M3585" s="108">
        <v>1</v>
      </c>
      <c r="N3585" s="95">
        <v>1</v>
      </c>
      <c r="O3585" s="109">
        <f>IF(Key!D$1="ON",P3585,IF(SUM(Q3585:DL3585)&lt;1,"",SUM(Q3585:DL3585)/COUNTIF(Q3585:DL3585,"&gt;0")))</f>
        <v>0</v>
      </c>
      <c r="P3585" s="109">
        <f>SUMIFS(Q3585:DK3585,Q$1:DK$1,Dashboard!$K$31)</f>
        <v>0</v>
      </c>
      <c r="U3585" s="95">
        <v>33</v>
      </c>
      <c r="AA3585" s="95">
        <v>25</v>
      </c>
      <c r="AH3585" s="95">
        <v>75</v>
      </c>
    </row>
    <row r="3586" spans="1:34" x14ac:dyDescent="0.3">
      <c r="A3586" s="89" t="str">
        <f>CONCATENATE(D3586,".",F3586,"-",G3586,".",H3586,"")</f>
        <v>3.1-3.1</v>
      </c>
      <c r="B3586" s="89" t="str">
        <f>IF(CONCATENATE(I3586,Key!F$2)=CONCATENATE(INDEX(Dashboard!J:J,MATCH(I3586,Dashboard!J:J,0),1),INDEX(Dashboard!J:K,MATCH(I3586,Dashboard!J:J,0),2)),"ON",IF(Dashboard!K$32="ALL","ON","-"))</f>
        <v>-</v>
      </c>
      <c r="C3586" s="132" t="s">
        <v>311</v>
      </c>
      <c r="D3586" s="89">
        <f>IF(C3586="ID",1,(IF(C3586="PR",2,(IF(C3586="DE",3,(IF(C3586="RS",4,(IF(C3586="RC",5,0)))))))))</f>
        <v>3</v>
      </c>
      <c r="E3586" s="89" t="s">
        <v>312</v>
      </c>
      <c r="F3586" s="89">
        <f>IF(E3586="AM",1,(IF(E3586="BE",2,(IF(E3586="GV",3,(IF(E3586="RA",4,(IF(E3586="RM",5,(IF(E3586="AC",1,(IF(E3586="AT",2,(IF(E3586="DS",3,(IF(E3586="IP",4,(IF(E3586="MA",5,(IF(E3586="PT",6,(IF(E3586="AE",1,(IF(E3586="CM",2,(IF(E3586="DP",3,(IF(E3586="AN",1,(IF(E3586="CO",2,(IF(E3586="IM",3,(IF(E3586="MI",4,(IF(E3586="RP",5,(IF(E3586="SC",6,0)))))))))))))))))))))))))))))))))))))))</f>
        <v>1</v>
      </c>
      <c r="G3586" s="52">
        <v>3</v>
      </c>
      <c r="H3586" s="90" t="s">
        <v>115</v>
      </c>
      <c r="I3586" s="93" t="s">
        <v>52</v>
      </c>
      <c r="J3586" s="88" t="s">
        <v>3441</v>
      </c>
      <c r="K3586" s="103" t="s">
        <v>3442</v>
      </c>
      <c r="L3586" s="117">
        <f>IF(O3586="","",N3586*O3586*M3586)</f>
        <v>0</v>
      </c>
      <c r="M3586" s="108">
        <v>1</v>
      </c>
      <c r="N3586" s="95">
        <v>1</v>
      </c>
      <c r="O3586" s="109">
        <f>IF(Key!D$1="ON",P3586,IF(SUM(Q3586:DL3586)&lt;1,"",SUM(Q3586:DL3586)/COUNTIF(Q3586:DL3586,"&gt;0")))</f>
        <v>0</v>
      </c>
      <c r="P3586" s="109">
        <f>SUMIFS(Q3586:DK3586,Q$1:DK$1,Dashboard!$K$31)</f>
        <v>0</v>
      </c>
      <c r="U3586" s="95">
        <v>33</v>
      </c>
      <c r="AA3586" s="95">
        <v>25</v>
      </c>
      <c r="AH3586" s="95">
        <v>75</v>
      </c>
    </row>
    <row r="3587" spans="1:34" ht="15.6" x14ac:dyDescent="0.3">
      <c r="A3587" s="89" t="str">
        <f>CONCATENATE(D3587,".",F3587,"-",G3587,".",H3587,"")</f>
        <v>3.1-3.1</v>
      </c>
      <c r="B3587" s="89" t="str">
        <f>IF(CONCATENATE(I3587,Key!F$2)=CONCATENATE(INDEX(Dashboard!J:J,MATCH(I3587,Dashboard!J:J,0),1),INDEX(Dashboard!J:K,MATCH(I3587,Dashboard!J:J,0),2)),"ON",IF(Dashboard!K$32="ALL","ON","-"))</f>
        <v>-</v>
      </c>
      <c r="C3587" s="127" t="s">
        <v>311</v>
      </c>
      <c r="D3587" s="89">
        <f>IF(C3587="ID",1,(IF(C3587="PR",2,(IF(C3587="DE",3,(IF(C3587="RS",4,(IF(C3587="RC",5,0)))))))))</f>
        <v>3</v>
      </c>
      <c r="E3587" s="89" t="s">
        <v>312</v>
      </c>
      <c r="F3587" s="89">
        <f>IF(E3587="AM",1,(IF(E3587="BE",2,(IF(E3587="GV",3,(IF(E3587="RA",4,(IF(E3587="RM",5,(IF(E3587="AC",1,(IF(E3587="AT",2,(IF(E3587="DS",3,(IF(E3587="IP",4,(IF(E3587="MA",5,(IF(E3587="PT",6,(IF(E3587="AE",1,(IF(E3587="CM",2,(IF(E3587="DP",3,(IF(E3587="AN",1,(IF(E3587="CO",2,(IF(E3587="IM",3,(IF(E3587="MI",4,(IF(E3587="RP",5,(IF(E3587="SC",6,0)))))))))))))))))))))))))))))))))))))))</f>
        <v>1</v>
      </c>
      <c r="G3587" s="52">
        <v>3</v>
      </c>
      <c r="H3587" s="90" t="s">
        <v>115</v>
      </c>
      <c r="I3587" s="93" t="s">
        <v>60</v>
      </c>
      <c r="J3587" s="87" t="s">
        <v>3258</v>
      </c>
      <c r="K3587" s="51" t="s">
        <v>5371</v>
      </c>
      <c r="L3587" s="117">
        <f>IF(O3587="","",N3587*O3587*M3587)</f>
        <v>0</v>
      </c>
      <c r="M3587" s="108">
        <v>1</v>
      </c>
      <c r="N3587" s="95">
        <v>1</v>
      </c>
      <c r="O3587" s="109">
        <f>IF(Key!D$1="ON",P3587,IF(SUM(Q3587:DL3587)&lt;1,"",SUM(Q3587:DL3587)/COUNTIF(Q3587:DL3587,"&gt;0")))</f>
        <v>0</v>
      </c>
      <c r="P3587" s="109">
        <f>SUMIFS(Q3587:DK3587,Q$1:DK$1,Dashboard!$K$31)</f>
        <v>0</v>
      </c>
      <c r="U3587" s="95">
        <v>33</v>
      </c>
      <c r="AA3587" s="95">
        <v>25</v>
      </c>
      <c r="AH3587" s="95">
        <v>75</v>
      </c>
    </row>
    <row r="3588" spans="1:34" x14ac:dyDescent="0.3">
      <c r="A3588" s="89" t="str">
        <f>CONCATENATE(D3588,".",F3588,"-",G3588,".",H3588,"")</f>
        <v>3.1-3.1</v>
      </c>
      <c r="B3588" s="89" t="str">
        <f>IF(CONCATENATE(I3588,Key!F$2)=CONCATENATE(INDEX(Dashboard!J:J,MATCH(I3588,Dashboard!J:J,0),1),INDEX(Dashboard!J:K,MATCH(I3588,Dashboard!J:J,0),2)),"ON",IF(Dashboard!K$32="ALL","ON","-"))</f>
        <v>-</v>
      </c>
      <c r="C3588" s="127" t="s">
        <v>311</v>
      </c>
      <c r="D3588" s="89">
        <f>IF(C3588="ID",1,(IF(C3588="PR",2,(IF(C3588="DE",3,(IF(C3588="RS",4,(IF(C3588="RC",5,0)))))))))</f>
        <v>3</v>
      </c>
      <c r="E3588" s="89" t="s">
        <v>312</v>
      </c>
      <c r="F3588" s="89">
        <f>IF(E3588="AM",1,(IF(E3588="BE",2,(IF(E3588="GV",3,(IF(E3588="RA",4,(IF(E3588="RM",5,(IF(E3588="AC",1,(IF(E3588="AT",2,(IF(E3588="DS",3,(IF(E3588="IP",4,(IF(E3588="MA",5,(IF(E3588="PT",6,(IF(E3588="AE",1,(IF(E3588="CM",2,(IF(E3588="DP",3,(IF(E3588="AN",1,(IF(E3588="CO",2,(IF(E3588="IM",3,(IF(E3588="MI",4,(IF(E3588="RP",5,(IF(E3588="SC",6,0)))))))))))))))))))))))))))))))))))))))</f>
        <v>1</v>
      </c>
      <c r="G3588" s="52">
        <v>3</v>
      </c>
      <c r="H3588" s="89">
        <v>1</v>
      </c>
      <c r="I3588" s="93" t="s">
        <v>60</v>
      </c>
      <c r="J3588" s="88" t="s">
        <v>3269</v>
      </c>
      <c r="K3588" s="51" t="s">
        <v>5382</v>
      </c>
      <c r="L3588" s="117">
        <f>IF(O3588="","",N3588*O3588*M3588)</f>
        <v>0</v>
      </c>
      <c r="M3588" s="108">
        <v>1</v>
      </c>
      <c r="N3588" s="95">
        <v>1</v>
      </c>
      <c r="O3588" s="109">
        <f>IF(Key!D$1="ON",P3588,IF(SUM(Q3588:DL3588)&lt;1,"",SUM(Q3588:DL3588)/COUNTIF(Q3588:DL3588,"&gt;0")))</f>
        <v>0</v>
      </c>
      <c r="P3588" s="109">
        <f>SUMIFS(Q3588:DK3588,Q$1:DK$1,Dashboard!$K$31)</f>
        <v>0</v>
      </c>
      <c r="U3588" s="95">
        <v>33</v>
      </c>
      <c r="AA3588" s="95">
        <v>25</v>
      </c>
      <c r="AH3588" s="95">
        <v>75</v>
      </c>
    </row>
    <row r="3589" spans="1:34" x14ac:dyDescent="0.3">
      <c r="A3589" s="89" t="str">
        <f>CONCATENATE(D3589,".",F3589,"-",G3589,".",H3589,"")</f>
        <v>3.1-3.1</v>
      </c>
      <c r="B3589" s="89" t="str">
        <f>IF(CONCATENATE(I3589,Key!F$2)=CONCATENATE(INDEX(Dashboard!J:J,MATCH(I3589,Dashboard!J:J,0),1),INDEX(Dashboard!J:K,MATCH(I3589,Dashboard!J:J,0),2)),"ON",IF(Dashboard!K$32="ALL","ON","-"))</f>
        <v>-</v>
      </c>
      <c r="C3589" s="127" t="s">
        <v>311</v>
      </c>
      <c r="D3589" s="89">
        <f>IF(C3589="ID",1,(IF(C3589="PR",2,(IF(C3589="DE",3,(IF(C3589="RS",4,(IF(C3589="RC",5,0)))))))))</f>
        <v>3</v>
      </c>
      <c r="E3589" s="89" t="s">
        <v>312</v>
      </c>
      <c r="F3589" s="89">
        <f>IF(E3589="AM",1,(IF(E3589="BE",2,(IF(E3589="GV",3,(IF(E3589="RA",4,(IF(E3589="RM",5,(IF(E3589="AC",1,(IF(E3589="AT",2,(IF(E3589="DS",3,(IF(E3589="IP",4,(IF(E3589="MA",5,(IF(E3589="PT",6,(IF(E3589="AE",1,(IF(E3589="CM",2,(IF(E3589="DP",3,(IF(E3589="AN",1,(IF(E3589="CO",2,(IF(E3589="IM",3,(IF(E3589="MI",4,(IF(E3589="RP",5,(IF(E3589="SC",6,0)))))))))))))))))))))))))))))))))))))))</f>
        <v>1</v>
      </c>
      <c r="G3589" s="52">
        <v>3</v>
      </c>
      <c r="H3589" s="90" t="s">
        <v>115</v>
      </c>
      <c r="I3589" s="93" t="s">
        <v>64</v>
      </c>
      <c r="J3589" s="87" t="s">
        <v>1830</v>
      </c>
      <c r="K3589" s="102" t="s">
        <v>2738</v>
      </c>
      <c r="L3589" s="117">
        <f>IF(O3589="","",N3589*O3589*M3589)</f>
        <v>0</v>
      </c>
      <c r="M3589" s="108">
        <v>1</v>
      </c>
      <c r="N3589" s="95">
        <v>1</v>
      </c>
      <c r="O3589" s="109">
        <f>IF(Key!D$1="ON",P3589,IF(SUM(Q3589:DL3589)&lt;1,"",SUM(Q3589:DL3589)/COUNTIF(Q3589:DL3589,"&gt;0")))</f>
        <v>0</v>
      </c>
      <c r="P3589" s="109">
        <f>SUMIFS(Q3589:DK3589,Q$1:DK$1,Dashboard!$K$31)</f>
        <v>0</v>
      </c>
      <c r="U3589" s="95">
        <v>33</v>
      </c>
      <c r="AA3589" s="95">
        <v>25</v>
      </c>
      <c r="AH3589" s="95">
        <v>75</v>
      </c>
    </row>
    <row r="3590" spans="1:34" ht="15.6" x14ac:dyDescent="0.3">
      <c r="A3590" s="89" t="str">
        <f>CONCATENATE(D3590,".",F3590,"-",G3590,".",H3590,"")</f>
        <v>3.1-3.1</v>
      </c>
      <c r="B3590" s="89" t="str">
        <f>IF(CONCATENATE(I3590,Key!F$2)=CONCATENATE(INDEX(Dashboard!J:J,MATCH(I3590,Dashboard!J:J,0),1),INDEX(Dashboard!J:K,MATCH(I3590,Dashboard!J:J,0),2)),"ON",IF(Dashboard!K$32="ALL","ON","-"))</f>
        <v>-</v>
      </c>
      <c r="C3590" s="127" t="s">
        <v>311</v>
      </c>
      <c r="D3590" s="89">
        <f>IF(C3590="ID",1,(IF(C3590="PR",2,(IF(C3590="DE",3,(IF(C3590="RS",4,(IF(C3590="RC",5,0)))))))))</f>
        <v>3</v>
      </c>
      <c r="E3590" s="89" t="s">
        <v>312</v>
      </c>
      <c r="F3590" s="89">
        <f>IF(E3590="AM",1,(IF(E3590="BE",2,(IF(E3590="GV",3,(IF(E3590="RA",4,(IF(E3590="RM",5,(IF(E3590="AC",1,(IF(E3590="AT",2,(IF(E3590="DS",3,(IF(E3590="IP",4,(IF(E3590="MA",5,(IF(E3590="PT",6,(IF(E3590="AE",1,(IF(E3590="CM",2,(IF(E3590="DP",3,(IF(E3590="AN",1,(IF(E3590="CO",2,(IF(E3590="IM",3,(IF(E3590="MI",4,(IF(E3590="RP",5,(IF(E3590="SC",6,0)))))))))))))))))))))))))))))))))))))))</f>
        <v>1</v>
      </c>
      <c r="G3590" s="52">
        <v>3</v>
      </c>
      <c r="H3590" s="90" t="s">
        <v>115</v>
      </c>
      <c r="I3590" s="93" t="s">
        <v>73</v>
      </c>
      <c r="J3590" s="86" t="s">
        <v>4151</v>
      </c>
      <c r="K3590" s="101" t="s">
        <v>5206</v>
      </c>
      <c r="L3590" s="117">
        <f>IF(O3590="","",N3590*O3590*M3590)</f>
        <v>0</v>
      </c>
      <c r="M3590" s="108">
        <v>1</v>
      </c>
      <c r="N3590" s="95">
        <v>1</v>
      </c>
      <c r="O3590" s="109">
        <f>IF(Key!D$1="ON",P3590,IF(SUM(Q3590:DL3590)&lt;1,"",SUM(Q3590:DL3590)/COUNTIF(Q3590:DL3590,"&gt;0")))</f>
        <v>0</v>
      </c>
      <c r="P3590" s="109">
        <f>SUMIFS(Q3590:DK3590,Q$1:DK$1,Dashboard!$K$31)</f>
        <v>0</v>
      </c>
      <c r="U3590" s="95">
        <v>33</v>
      </c>
      <c r="AA3590" s="95">
        <v>25</v>
      </c>
      <c r="AH3590" s="95">
        <v>75</v>
      </c>
    </row>
    <row r="3591" spans="1:34" x14ac:dyDescent="0.3">
      <c r="A3591" s="89" t="str">
        <f>CONCATENATE(D3591,".",F3591,"-",G3591,".",H3591,"")</f>
        <v>3.1-3.1</v>
      </c>
      <c r="B3591" s="89" t="str">
        <f>IF(CONCATENATE(I3591,Key!F$2)=CONCATENATE(INDEX(Dashboard!J:J,MATCH(I3591,Dashboard!J:J,0),1),INDEX(Dashboard!J:K,MATCH(I3591,Dashboard!J:J,0),2)),"ON",IF(Dashboard!K$32="ALL","ON","-"))</f>
        <v>-</v>
      </c>
      <c r="C3591" s="127" t="s">
        <v>311</v>
      </c>
      <c r="D3591" s="89">
        <f>IF(C3591="ID",1,(IF(C3591="PR",2,(IF(C3591="DE",3,(IF(C3591="RS",4,(IF(C3591="RC",5,0)))))))))</f>
        <v>3</v>
      </c>
      <c r="E3591" s="89" t="s">
        <v>312</v>
      </c>
      <c r="F3591" s="89">
        <f>IF(E3591="AM",1,(IF(E3591="BE",2,(IF(E3591="GV",3,(IF(E3591="RA",4,(IF(E3591="RM",5,(IF(E3591="AC",1,(IF(E3591="AT",2,(IF(E3591="DS",3,(IF(E3591="IP",4,(IF(E3591="MA",5,(IF(E3591="PT",6,(IF(E3591="AE",1,(IF(E3591="CM",2,(IF(E3591="DP",3,(IF(E3591="AN",1,(IF(E3591="CO",2,(IF(E3591="IM",3,(IF(E3591="MI",4,(IF(E3591="RP",5,(IF(E3591="SC",6,0)))))))))))))))))))))))))))))))))))))))</f>
        <v>1</v>
      </c>
      <c r="G3591" s="52">
        <v>3</v>
      </c>
      <c r="H3591" s="90" t="s">
        <v>115</v>
      </c>
      <c r="I3591" s="93" t="s">
        <v>77</v>
      </c>
      <c r="J3591" s="87" t="s">
        <v>1829</v>
      </c>
      <c r="K3591" s="103" t="s">
        <v>2737</v>
      </c>
      <c r="L3591" s="117">
        <f>IF(O3591="","",N3591*O3591*M3591)</f>
        <v>0</v>
      </c>
      <c r="M3591" s="108">
        <v>1</v>
      </c>
      <c r="N3591" s="95">
        <v>1</v>
      </c>
      <c r="O3591" s="109">
        <f>IF(Key!D$1="ON",P3591,IF(SUM(Q3591:DL3591)&lt;1,"",SUM(Q3591:DL3591)/COUNTIF(Q3591:DL3591,"&gt;0")))</f>
        <v>0</v>
      </c>
      <c r="P3591" s="109">
        <f>SUMIFS(Q3591:DK3591,Q$1:DK$1,Dashboard!$K$31)</f>
        <v>0</v>
      </c>
      <c r="U3591" s="95">
        <v>33</v>
      </c>
      <c r="AA3591" s="95">
        <v>25</v>
      </c>
      <c r="AH3591" s="95">
        <v>75</v>
      </c>
    </row>
    <row r="3592" spans="1:34" ht="15.6" x14ac:dyDescent="0.3">
      <c r="A3592" s="89" t="str">
        <f>CONCATENATE(D3592,".",F3592,"-",G3592,".",H3592,"")</f>
        <v>3.1-3.1</v>
      </c>
      <c r="B3592" s="89" t="str">
        <f>IF(CONCATENATE(I3592,Key!F$2)=CONCATENATE(INDEX(Dashboard!J:J,MATCH(I3592,Dashboard!J:J,0),1),INDEX(Dashboard!J:K,MATCH(I3592,Dashboard!J:J,0),2)),"ON",IF(Dashboard!K$32="ALL","ON","-"))</f>
        <v>-</v>
      </c>
      <c r="C3592" s="127" t="s">
        <v>311</v>
      </c>
      <c r="D3592" s="89">
        <f>IF(C3592="ID",1,(IF(C3592="PR",2,(IF(C3592="DE",3,(IF(C3592="RS",4,(IF(C3592="RC",5,0)))))))))</f>
        <v>3</v>
      </c>
      <c r="E3592" s="89" t="s">
        <v>312</v>
      </c>
      <c r="F3592" s="89">
        <f>IF(E3592="AM",1,(IF(E3592="BE",2,(IF(E3592="GV",3,(IF(E3592="RA",4,(IF(E3592="RM",5,(IF(E3592="AC",1,(IF(E3592="AT",2,(IF(E3592="DS",3,(IF(E3592="IP",4,(IF(E3592="MA",5,(IF(E3592="PT",6,(IF(E3592="AE",1,(IF(E3592="CM",2,(IF(E3592="DP",3,(IF(E3592="AN",1,(IF(E3592="CO",2,(IF(E3592="IM",3,(IF(E3592="MI",4,(IF(E3592="RP",5,(IF(E3592="SC",6,0)))))))))))))))))))))))))))))))))))))))</f>
        <v>1</v>
      </c>
      <c r="G3592" s="52">
        <v>3</v>
      </c>
      <c r="H3592" s="90" t="s">
        <v>115</v>
      </c>
      <c r="I3592" s="93" t="s">
        <v>77</v>
      </c>
      <c r="J3592" s="87" t="s">
        <v>1830</v>
      </c>
      <c r="K3592" s="102" t="s">
        <v>2738</v>
      </c>
      <c r="L3592" s="117">
        <f>IF(O3592="","",N3592*O3592*M3592)</f>
        <v>0</v>
      </c>
      <c r="M3592" s="108">
        <v>1</v>
      </c>
      <c r="N3592" s="95">
        <v>1</v>
      </c>
      <c r="O3592" s="109">
        <f>IF(Key!D$1="ON",P3592,IF(SUM(Q3592:DL3592)&lt;1,"",SUM(Q3592:DL3592)/COUNTIF(Q3592:DL3592,"&gt;0")))</f>
        <v>0</v>
      </c>
      <c r="P3592" s="109">
        <f>SUMIFS(Q3592:DK3592,Q$1:DK$1,Dashboard!$K$31)</f>
        <v>0</v>
      </c>
      <c r="U3592" s="95">
        <v>33</v>
      </c>
      <c r="AA3592" s="95">
        <v>25</v>
      </c>
      <c r="AH3592" s="95">
        <v>75</v>
      </c>
    </row>
    <row r="3593" spans="1:34" ht="15.6" x14ac:dyDescent="0.3">
      <c r="A3593" s="89" t="str">
        <f>CONCATENATE(D3593,".",F3593,"-",G3593,".",H3593,"")</f>
        <v>3.1-3.1</v>
      </c>
      <c r="B3593" s="89" t="str">
        <f>IF(CONCATENATE(I3593,Key!F$2)=CONCATENATE(INDEX(Dashboard!J:J,MATCH(I3593,Dashboard!J:J,0),1),INDEX(Dashboard!J:K,MATCH(I3593,Dashboard!J:J,0),2)),"ON",IF(Dashboard!K$32="ALL","ON","-"))</f>
        <v>-</v>
      </c>
      <c r="C3593" s="127" t="s">
        <v>311</v>
      </c>
      <c r="D3593" s="89">
        <f>IF(C3593="ID",1,(IF(C3593="PR",2,(IF(C3593="DE",3,(IF(C3593="RS",4,(IF(C3593="RC",5,0)))))))))</f>
        <v>3</v>
      </c>
      <c r="E3593" s="89" t="s">
        <v>312</v>
      </c>
      <c r="F3593" s="89">
        <f>IF(E3593="AM",1,(IF(E3593="BE",2,(IF(E3593="GV",3,(IF(E3593="RA",4,(IF(E3593="RM",5,(IF(E3593="AC",1,(IF(E3593="AT",2,(IF(E3593="DS",3,(IF(E3593="IP",4,(IF(E3593="MA",5,(IF(E3593="PT",6,(IF(E3593="AE",1,(IF(E3593="CM",2,(IF(E3593="DP",3,(IF(E3593="AN",1,(IF(E3593="CO",2,(IF(E3593="IM",3,(IF(E3593="MI",4,(IF(E3593="RP",5,(IF(E3593="SC",6,0)))))))))))))))))))))))))))))))))))))))</f>
        <v>1</v>
      </c>
      <c r="G3593" s="52">
        <v>3</v>
      </c>
      <c r="H3593" s="90" t="s">
        <v>115</v>
      </c>
      <c r="I3593" s="93" t="s">
        <v>77</v>
      </c>
      <c r="J3593" s="87" t="s">
        <v>1831</v>
      </c>
      <c r="K3593" s="102" t="s">
        <v>2739</v>
      </c>
      <c r="L3593" s="117">
        <f>IF(O3593="","",N3593*O3593*M3593)</f>
        <v>0</v>
      </c>
      <c r="M3593" s="108">
        <v>1</v>
      </c>
      <c r="N3593" s="95">
        <v>1</v>
      </c>
      <c r="O3593" s="109">
        <f>IF(Key!D$1="ON",P3593,IF(SUM(Q3593:DL3593)&lt;1,"",SUM(Q3593:DL3593)/COUNTIF(Q3593:DL3593,"&gt;0")))</f>
        <v>0</v>
      </c>
      <c r="P3593" s="109">
        <f>SUMIFS(Q3593:DK3593,Q$1:DK$1,Dashboard!$K$31)</f>
        <v>0</v>
      </c>
      <c r="U3593" s="95">
        <v>33</v>
      </c>
      <c r="AA3593" s="95">
        <v>25</v>
      </c>
      <c r="AH3593" s="95">
        <v>75</v>
      </c>
    </row>
    <row r="3594" spans="1:34" x14ac:dyDescent="0.3">
      <c r="A3594" s="89" t="str">
        <f>CONCATENATE(D3594,".",F3594,"-",G3594,".",H3594,"")</f>
        <v>3.1-3.1</v>
      </c>
      <c r="B3594" s="89" t="str">
        <f>IF(CONCATENATE(I3594,Key!F$2)=CONCATENATE(INDEX(Dashboard!J:J,MATCH(I3594,Dashboard!J:J,0),1),INDEX(Dashboard!J:K,MATCH(I3594,Dashboard!J:J,0),2)),"ON",IF(Dashboard!K$32="ALL","ON","-"))</f>
        <v>-</v>
      </c>
      <c r="C3594" s="127" t="s">
        <v>311</v>
      </c>
      <c r="D3594" s="89">
        <f>IF(C3594="ID",1,(IF(C3594="PR",2,(IF(C3594="DE",3,(IF(C3594="RS",4,(IF(C3594="RC",5,0)))))))))</f>
        <v>3</v>
      </c>
      <c r="E3594" s="89" t="s">
        <v>312</v>
      </c>
      <c r="F3594" s="89">
        <f>IF(E3594="AM",1,(IF(E3594="BE",2,(IF(E3594="GV",3,(IF(E3594="RA",4,(IF(E3594="RM",5,(IF(E3594="AC",1,(IF(E3594="AT",2,(IF(E3594="DS",3,(IF(E3594="IP",4,(IF(E3594="MA",5,(IF(E3594="PT",6,(IF(E3594="AE",1,(IF(E3594="CM",2,(IF(E3594="DP",3,(IF(E3594="AN",1,(IF(E3594="CO",2,(IF(E3594="IM",3,(IF(E3594="MI",4,(IF(E3594="RP",5,(IF(E3594="SC",6,0)))))))))))))))))))))))))))))))))))))))</f>
        <v>1</v>
      </c>
      <c r="G3594" s="52">
        <v>3</v>
      </c>
      <c r="H3594" s="90" t="s">
        <v>115</v>
      </c>
      <c r="I3594" s="93" t="s">
        <v>77</v>
      </c>
      <c r="J3594" s="87" t="s">
        <v>1832</v>
      </c>
      <c r="K3594" s="102" t="s">
        <v>2740</v>
      </c>
      <c r="L3594" s="117">
        <f>IF(O3594="","",N3594*O3594*M3594)</f>
        <v>0</v>
      </c>
      <c r="M3594" s="108">
        <v>1</v>
      </c>
      <c r="N3594" s="95">
        <v>1</v>
      </c>
      <c r="O3594" s="109">
        <f>IF(Key!D$1="ON",P3594,IF(SUM(Q3594:DL3594)&lt;1,"",SUM(Q3594:DL3594)/COUNTIF(Q3594:DL3594,"&gt;0")))</f>
        <v>0</v>
      </c>
      <c r="P3594" s="109">
        <f>SUMIFS(Q3594:DK3594,Q$1:DK$1,Dashboard!$K$31)</f>
        <v>0</v>
      </c>
      <c r="U3594" s="95">
        <v>33</v>
      </c>
      <c r="AA3594" s="95">
        <v>25</v>
      </c>
      <c r="AH3594" s="95">
        <v>75</v>
      </c>
    </row>
    <row r="3595" spans="1:34" ht="15.6" x14ac:dyDescent="0.3">
      <c r="A3595" s="89" t="str">
        <f>CONCATENATE(D3595,".",F3595,"-",G3595,".",H3595,"")</f>
        <v>3.1-3.1</v>
      </c>
      <c r="B3595" s="89" t="str">
        <f>IF(CONCATENATE(I3595,Key!F$2)=CONCATENATE(INDEX(Dashboard!J:J,MATCH(I3595,Dashboard!J:J,0),1),INDEX(Dashboard!J:K,MATCH(I3595,Dashboard!J:J,0),2)),"ON",IF(Dashboard!K$32="ALL","ON","-"))</f>
        <v>-</v>
      </c>
      <c r="C3595" s="127" t="s">
        <v>311</v>
      </c>
      <c r="D3595" s="89">
        <f>IF(C3595="ID",1,(IF(C3595="PR",2,(IF(C3595="DE",3,(IF(C3595="RS",4,(IF(C3595="RC",5,0)))))))))</f>
        <v>3</v>
      </c>
      <c r="E3595" s="89" t="s">
        <v>312</v>
      </c>
      <c r="F3595" s="89">
        <f>IF(E3595="AM",1,(IF(E3595="BE",2,(IF(E3595="GV",3,(IF(E3595="RA",4,(IF(E3595="RM",5,(IF(E3595="AC",1,(IF(E3595="AT",2,(IF(E3595="DS",3,(IF(E3595="IP",4,(IF(E3595="MA",5,(IF(E3595="PT",6,(IF(E3595="AE",1,(IF(E3595="CM",2,(IF(E3595="DP",3,(IF(E3595="AN",1,(IF(E3595="CO",2,(IF(E3595="IM",3,(IF(E3595="MI",4,(IF(E3595="RP",5,(IF(E3595="SC",6,0)))))))))))))))))))))))))))))))))))))))</f>
        <v>1</v>
      </c>
      <c r="G3595" s="52">
        <v>3</v>
      </c>
      <c r="H3595" s="90" t="s">
        <v>115</v>
      </c>
      <c r="I3595" s="93" t="s">
        <v>77</v>
      </c>
      <c r="J3595" s="87" t="s">
        <v>1833</v>
      </c>
      <c r="K3595" s="102" t="s">
        <v>2741</v>
      </c>
      <c r="L3595" s="117">
        <f>IF(O3595="","",N3595*O3595*M3595)</f>
        <v>0</v>
      </c>
      <c r="M3595" s="108">
        <v>1</v>
      </c>
      <c r="N3595" s="95">
        <v>1</v>
      </c>
      <c r="O3595" s="109">
        <f>IF(Key!D$1="ON",P3595,IF(SUM(Q3595:DL3595)&lt;1,"",SUM(Q3595:DL3595)/COUNTIF(Q3595:DL3595,"&gt;0")))</f>
        <v>0</v>
      </c>
      <c r="P3595" s="109">
        <f>SUMIFS(Q3595:DK3595,Q$1:DK$1,Dashboard!$K$31)</f>
        <v>0</v>
      </c>
      <c r="U3595" s="95">
        <v>33</v>
      </c>
      <c r="AA3595" s="95">
        <v>25</v>
      </c>
      <c r="AH3595" s="95">
        <v>75</v>
      </c>
    </row>
    <row r="3596" spans="1:34" ht="15.6" x14ac:dyDescent="0.3">
      <c r="A3596" s="89" t="str">
        <f>CONCATENATE(D3596,".",F3596,"-",G3596,".",H3596,"")</f>
        <v>3.1-3.1</v>
      </c>
      <c r="B3596" s="89" t="str">
        <f>IF(CONCATENATE(I3596,Key!F$2)=CONCATENATE(INDEX(Dashboard!J:J,MATCH(I3596,Dashboard!J:J,0),1),INDEX(Dashboard!J:K,MATCH(I3596,Dashboard!J:J,0),2)),"ON",IF(Dashboard!K$32="ALL","ON","-"))</f>
        <v>-</v>
      </c>
      <c r="C3596" s="132" t="s">
        <v>311</v>
      </c>
      <c r="D3596" s="89">
        <f>IF(C3596="ID",1,(IF(C3596="PR",2,(IF(C3596="DE",3,(IF(C3596="RS",4,(IF(C3596="RC",5,0)))))))))</f>
        <v>3</v>
      </c>
      <c r="E3596" s="89" t="s">
        <v>312</v>
      </c>
      <c r="F3596" s="89">
        <f>IF(E3596="AM",1,(IF(E3596="BE",2,(IF(E3596="GV",3,(IF(E3596="RA",4,(IF(E3596="RM",5,(IF(E3596="AC",1,(IF(E3596="AT",2,(IF(E3596="DS",3,(IF(E3596="IP",4,(IF(E3596="MA",5,(IF(E3596="PT",6,(IF(E3596="AE",1,(IF(E3596="CM",2,(IF(E3596="DP",3,(IF(E3596="AN",1,(IF(E3596="CO",2,(IF(E3596="IM",3,(IF(E3596="MI",4,(IF(E3596="RP",5,(IF(E3596="SC",6,0)))))))))))))))))))))))))))))))))))))))</f>
        <v>1</v>
      </c>
      <c r="G3596" s="52">
        <v>3</v>
      </c>
      <c r="H3596" s="90" t="s">
        <v>115</v>
      </c>
      <c r="I3596" s="93" t="s">
        <v>77</v>
      </c>
      <c r="J3596" s="87" t="s">
        <v>1834</v>
      </c>
      <c r="K3596" s="102" t="s">
        <v>2742</v>
      </c>
      <c r="L3596" s="117">
        <f>IF(O3596="","",N3596*O3596*M3596)</f>
        <v>0</v>
      </c>
      <c r="M3596" s="108">
        <v>1</v>
      </c>
      <c r="N3596" s="95">
        <v>1</v>
      </c>
      <c r="O3596" s="109">
        <f>IF(Key!D$1="ON",P3596,IF(SUM(Q3596:DL3596)&lt;1,"",SUM(Q3596:DL3596)/COUNTIF(Q3596:DL3596,"&gt;0")))</f>
        <v>0</v>
      </c>
      <c r="P3596" s="109">
        <f>SUMIFS(Q3596:DK3596,Q$1:DK$1,Dashboard!$K$31)</f>
        <v>0</v>
      </c>
      <c r="U3596" s="95">
        <v>33</v>
      </c>
      <c r="AA3596" s="95">
        <v>25</v>
      </c>
      <c r="AH3596" s="95">
        <v>75</v>
      </c>
    </row>
    <row r="3597" spans="1:34" x14ac:dyDescent="0.3">
      <c r="A3597" s="89" t="str">
        <f>CONCATENATE(D3597,".",F3597,"-",G3597,".",H3597,"")</f>
        <v>3.1-3.1</v>
      </c>
      <c r="B3597" s="89" t="str">
        <f>IF(CONCATENATE(I3597,Key!F$2)=CONCATENATE(INDEX(Dashboard!J:J,MATCH(I3597,Dashboard!J:J,0),1),INDEX(Dashboard!J:K,MATCH(I3597,Dashboard!J:J,0),2)),"ON",IF(Dashboard!K$32="ALL","ON","-"))</f>
        <v>-</v>
      </c>
      <c r="C3597" s="127" t="s">
        <v>311</v>
      </c>
      <c r="D3597" s="89">
        <f>IF(C3597="ID",1,(IF(C3597="PR",2,(IF(C3597="DE",3,(IF(C3597="RS",4,(IF(C3597="RC",5,0)))))))))</f>
        <v>3</v>
      </c>
      <c r="E3597" s="89" t="s">
        <v>312</v>
      </c>
      <c r="F3597" s="89">
        <f>IF(E3597="AM",1,(IF(E3597="BE",2,(IF(E3597="GV",3,(IF(E3597="RA",4,(IF(E3597="RM",5,(IF(E3597="AC",1,(IF(E3597="AT",2,(IF(E3597="DS",3,(IF(E3597="IP",4,(IF(E3597="MA",5,(IF(E3597="PT",6,(IF(E3597="AE",1,(IF(E3597="CM",2,(IF(E3597="DP",3,(IF(E3597="AN",1,(IF(E3597="CO",2,(IF(E3597="IM",3,(IF(E3597="MI",4,(IF(E3597="RP",5,(IF(E3597="SC",6,0)))))))))))))))))))))))))))))))))))))))</f>
        <v>1</v>
      </c>
      <c r="G3597" s="52">
        <v>3</v>
      </c>
      <c r="H3597" s="90" t="s">
        <v>115</v>
      </c>
      <c r="I3597" s="93" t="s">
        <v>85</v>
      </c>
      <c r="J3597" s="87" t="s">
        <v>1831</v>
      </c>
      <c r="K3597" s="119" t="s">
        <v>4794</v>
      </c>
      <c r="L3597" s="117">
        <f>IF(O3597="","",N3597*O3597*M3597)</f>
        <v>0</v>
      </c>
      <c r="M3597" s="108">
        <v>1</v>
      </c>
      <c r="N3597" s="95">
        <v>1</v>
      </c>
      <c r="O3597" s="109">
        <f>IF(Key!D$1="ON",P3597,IF(SUM(Q3597:DL3597)&lt;1,"",SUM(Q3597:DL3597)/COUNTIF(Q3597:DL3597,"&gt;0")))</f>
        <v>0</v>
      </c>
      <c r="P3597" s="109">
        <f>SUMIFS(Q3597:DK3597,Q$1:DK$1,Dashboard!$K$31)</f>
        <v>0</v>
      </c>
      <c r="U3597" s="95">
        <v>33</v>
      </c>
      <c r="AA3597" s="95">
        <v>25</v>
      </c>
      <c r="AH3597" s="95">
        <v>75</v>
      </c>
    </row>
    <row r="3598" spans="1:34" x14ac:dyDescent="0.3">
      <c r="A3598" s="89" t="str">
        <f>CONCATENATE(D3598,".",F3598,"-",G3598,".",H3598,"")</f>
        <v>3.1-3.1</v>
      </c>
      <c r="B3598" s="89" t="str">
        <f>IF(CONCATENATE(I3598,Key!F$2)=CONCATENATE(INDEX(Dashboard!J:J,MATCH(I3598,Dashboard!J:J,0),1),INDEX(Dashboard!J:K,MATCH(I3598,Dashboard!J:J,0),2)),"ON",IF(Dashboard!K$32="ALL","ON","-"))</f>
        <v>-</v>
      </c>
      <c r="C3598" s="127" t="s">
        <v>311</v>
      </c>
      <c r="D3598" s="89">
        <f>IF(C3598="ID",1,(IF(C3598="PR",2,(IF(C3598="DE",3,(IF(C3598="RS",4,(IF(C3598="RC",5,0)))))))))</f>
        <v>3</v>
      </c>
      <c r="E3598" s="89" t="s">
        <v>312</v>
      </c>
      <c r="F3598" s="89">
        <f>IF(E3598="AM",1,(IF(E3598="BE",2,(IF(E3598="GV",3,(IF(E3598="RA",4,(IF(E3598="RM",5,(IF(E3598="AC",1,(IF(E3598="AT",2,(IF(E3598="DS",3,(IF(E3598="IP",4,(IF(E3598="MA",5,(IF(E3598="PT",6,(IF(E3598="AE",1,(IF(E3598="CM",2,(IF(E3598="DP",3,(IF(E3598="AN",1,(IF(E3598="CO",2,(IF(E3598="IM",3,(IF(E3598="MI",4,(IF(E3598="RP",5,(IF(E3598="SC",6,0)))))))))))))))))))))))))))))))))))))))</f>
        <v>1</v>
      </c>
      <c r="G3598" s="52">
        <v>3</v>
      </c>
      <c r="H3598" s="90" t="s">
        <v>115</v>
      </c>
      <c r="I3598" s="93" t="s">
        <v>85</v>
      </c>
      <c r="J3598" s="86" t="s">
        <v>660</v>
      </c>
      <c r="K3598" s="119" t="s">
        <v>4616</v>
      </c>
      <c r="L3598" s="117">
        <f>IF(O3598="","",N3598*O3598*M3598)</f>
        <v>0</v>
      </c>
      <c r="M3598" s="108">
        <v>1</v>
      </c>
      <c r="N3598" s="95">
        <v>1</v>
      </c>
      <c r="O3598" s="109">
        <f>IF(Key!D$1="ON",P3598,IF(SUM(Q3598:DL3598)&lt;1,"",SUM(Q3598:DL3598)/COUNTIF(Q3598:DL3598,"&gt;0")))</f>
        <v>0</v>
      </c>
      <c r="P3598" s="109">
        <f>SUMIFS(Q3598:DK3598,Q$1:DK$1,Dashboard!$K$31)</f>
        <v>0</v>
      </c>
      <c r="U3598" s="95">
        <v>33</v>
      </c>
      <c r="AA3598" s="95">
        <v>25</v>
      </c>
      <c r="AH3598" s="95">
        <v>75</v>
      </c>
    </row>
    <row r="3599" spans="1:34" x14ac:dyDescent="0.3">
      <c r="A3599" s="89" t="str">
        <f>CONCATENATE(D3599,".",F3599,"-",G3599,".",H3599,"")</f>
        <v>3.1-3.1</v>
      </c>
      <c r="B3599" s="89" t="str">
        <f>IF(CONCATENATE(I3599,Key!F$2)=CONCATENATE(INDEX(Dashboard!J:J,MATCH(I3599,Dashboard!J:J,0),1),INDEX(Dashboard!J:K,MATCH(I3599,Dashboard!J:J,0),2)),"ON",IF(Dashboard!K$32="ALL","ON","-"))</f>
        <v>-</v>
      </c>
      <c r="C3599" s="127" t="s">
        <v>311</v>
      </c>
      <c r="D3599" s="89">
        <f>IF(C3599="ID",1,(IF(C3599="PR",2,(IF(C3599="DE",3,(IF(C3599="RS",4,(IF(C3599="RC",5,0)))))))))</f>
        <v>3</v>
      </c>
      <c r="E3599" s="89" t="s">
        <v>312</v>
      </c>
      <c r="F3599" s="89">
        <f>IF(E3599="AM",1,(IF(E3599="BE",2,(IF(E3599="GV",3,(IF(E3599="RA",4,(IF(E3599="RM",5,(IF(E3599="AC",1,(IF(E3599="AT",2,(IF(E3599="DS",3,(IF(E3599="IP",4,(IF(E3599="MA",5,(IF(E3599="PT",6,(IF(E3599="AE",1,(IF(E3599="CM",2,(IF(E3599="DP",3,(IF(E3599="AN",1,(IF(E3599="CO",2,(IF(E3599="IM",3,(IF(E3599="MI",4,(IF(E3599="RP",5,(IF(E3599="SC",6,0)))))))))))))))))))))))))))))))))))))))</f>
        <v>1</v>
      </c>
      <c r="G3599" s="52">
        <v>3</v>
      </c>
      <c r="H3599" s="90" t="s">
        <v>115</v>
      </c>
      <c r="I3599" s="93" t="s">
        <v>85</v>
      </c>
      <c r="J3599" s="87" t="s">
        <v>1833</v>
      </c>
      <c r="K3599" s="119" t="s">
        <v>4797</v>
      </c>
      <c r="L3599" s="117">
        <f>IF(O3599="","",N3599*O3599*M3599)</f>
        <v>0</v>
      </c>
      <c r="M3599" s="108">
        <v>1</v>
      </c>
      <c r="N3599" s="95">
        <v>1</v>
      </c>
      <c r="O3599" s="109">
        <f>IF(Key!D$1="ON",P3599,IF(SUM(Q3599:DL3599)&lt;1,"",SUM(Q3599:DL3599)/COUNTIF(Q3599:DL3599,"&gt;0")))</f>
        <v>0</v>
      </c>
      <c r="P3599" s="109">
        <f>SUMIFS(Q3599:DK3599,Q$1:DK$1,Dashboard!$K$31)</f>
        <v>0</v>
      </c>
      <c r="U3599" s="95">
        <v>33</v>
      </c>
      <c r="AA3599" s="95">
        <v>25</v>
      </c>
      <c r="AH3599" s="95">
        <v>75</v>
      </c>
    </row>
    <row r="3600" spans="1:34" x14ac:dyDescent="0.3">
      <c r="A3600" s="89" t="str">
        <f>CONCATENATE(D3600,".",F3600,"-",G3600,".",H3600,"")</f>
        <v>3.1-3.1</v>
      </c>
      <c r="B3600" s="89" t="str">
        <f>IF(CONCATENATE(I3600,Key!F$2)=CONCATENATE(INDEX(Dashboard!J:J,MATCH(I3600,Dashboard!J:J,0),1),INDEX(Dashboard!J:K,MATCH(I3600,Dashboard!J:J,0),2)),"ON",IF(Dashboard!K$32="ALL","ON","-"))</f>
        <v>-</v>
      </c>
      <c r="C3600" s="132" t="s">
        <v>311</v>
      </c>
      <c r="D3600" s="89">
        <f>IF(C3600="ID",1,(IF(C3600="PR",2,(IF(C3600="DE",3,(IF(C3600="RS",4,(IF(C3600="RC",5,0)))))))))</f>
        <v>3</v>
      </c>
      <c r="E3600" s="89" t="s">
        <v>312</v>
      </c>
      <c r="F3600" s="89">
        <f>IF(E3600="AM",1,(IF(E3600="BE",2,(IF(E3600="GV",3,(IF(E3600="RA",4,(IF(E3600="RM",5,(IF(E3600="AC",1,(IF(E3600="AT",2,(IF(E3600="DS",3,(IF(E3600="IP",4,(IF(E3600="MA",5,(IF(E3600="PT",6,(IF(E3600="AE",1,(IF(E3600="CM",2,(IF(E3600="DP",3,(IF(E3600="AN",1,(IF(E3600="CO",2,(IF(E3600="IM",3,(IF(E3600="MI",4,(IF(E3600="RP",5,(IF(E3600="SC",6,0)))))))))))))))))))))))))))))))))))))))</f>
        <v>1</v>
      </c>
      <c r="G3600" s="52">
        <v>3</v>
      </c>
      <c r="H3600" s="90" t="s">
        <v>115</v>
      </c>
      <c r="I3600" s="93" t="s">
        <v>85</v>
      </c>
      <c r="J3600" s="87" t="s">
        <v>1834</v>
      </c>
      <c r="K3600" s="119" t="s">
        <v>1835</v>
      </c>
      <c r="L3600" s="117">
        <f>IF(O3600="","",N3600*O3600*M3600)</f>
        <v>0</v>
      </c>
      <c r="M3600" s="108">
        <v>1</v>
      </c>
      <c r="N3600" s="95">
        <v>1</v>
      </c>
      <c r="O3600" s="109">
        <f>IF(Key!D$1="ON",P3600,IF(SUM(Q3600:DL3600)&lt;1,"",SUM(Q3600:DL3600)/COUNTIF(Q3600:DL3600,"&gt;0")))</f>
        <v>0</v>
      </c>
      <c r="P3600" s="109">
        <f>SUMIFS(Q3600:DK3600,Q$1:DK$1,Dashboard!$K$31)</f>
        <v>0</v>
      </c>
      <c r="U3600" s="95">
        <v>33</v>
      </c>
      <c r="AA3600" s="95">
        <v>25</v>
      </c>
      <c r="AH3600" s="95">
        <v>75</v>
      </c>
    </row>
    <row r="3601" spans="1:34" x14ac:dyDescent="0.3">
      <c r="A3601" s="89" t="str">
        <f>CONCATENATE(D3601,".",F3601,"-",G3601,".",H3601,"")</f>
        <v>3.1-3.1</v>
      </c>
      <c r="B3601" s="89" t="str">
        <f>IF(CONCATENATE(I3601,Key!F$2)=CONCATENATE(INDEX(Dashboard!J:J,MATCH(I3601,Dashboard!J:J,0),1),INDEX(Dashboard!J:K,MATCH(I3601,Dashboard!J:J,0),2)),"ON",IF(Dashboard!K$32="ALL","ON","-"))</f>
        <v>-</v>
      </c>
      <c r="C3601" s="127" t="s">
        <v>311</v>
      </c>
      <c r="D3601" s="89">
        <f>IF(C3601="ID",1,(IF(C3601="PR",2,(IF(C3601="DE",3,(IF(C3601="RS",4,(IF(C3601="RC",5,0)))))))))</f>
        <v>3</v>
      </c>
      <c r="E3601" s="89" t="s">
        <v>312</v>
      </c>
      <c r="F3601" s="89">
        <f>IF(E3601="AM",1,(IF(E3601="BE",2,(IF(E3601="GV",3,(IF(E3601="RA",4,(IF(E3601="RM",5,(IF(E3601="AC",1,(IF(E3601="AT",2,(IF(E3601="DS",3,(IF(E3601="IP",4,(IF(E3601="MA",5,(IF(E3601="PT",6,(IF(E3601="AE",1,(IF(E3601="CM",2,(IF(E3601="DP",3,(IF(E3601="AN",1,(IF(E3601="CO",2,(IF(E3601="IM",3,(IF(E3601="MI",4,(IF(E3601="RP",5,(IF(E3601="SC",6,0)))))))))))))))))))))))))))))))))))))))</f>
        <v>1</v>
      </c>
      <c r="G3601" s="52">
        <v>3</v>
      </c>
      <c r="H3601" s="90" t="s">
        <v>115</v>
      </c>
      <c r="I3601" s="93" t="s">
        <v>85</v>
      </c>
      <c r="J3601" s="87" t="s">
        <v>1832</v>
      </c>
      <c r="K3601" s="119" t="s">
        <v>4796</v>
      </c>
      <c r="L3601" s="117">
        <f>IF(O3601="","",N3601*O3601*M3601)</f>
        <v>0</v>
      </c>
      <c r="M3601" s="108">
        <v>1</v>
      </c>
      <c r="N3601" s="95">
        <v>1</v>
      </c>
      <c r="O3601" s="109">
        <f>IF(Key!D$1="ON",P3601,IF(SUM(Q3601:DL3601)&lt;1,"",SUM(Q3601:DL3601)/COUNTIF(Q3601:DL3601,"&gt;0")))</f>
        <v>0</v>
      </c>
      <c r="P3601" s="109">
        <f>SUMIFS(Q3601:DK3601,Q$1:DK$1,Dashboard!$K$31)</f>
        <v>0</v>
      </c>
      <c r="U3601" s="95">
        <v>33</v>
      </c>
      <c r="AA3601" s="95">
        <v>25</v>
      </c>
      <c r="AH3601" s="95">
        <v>75</v>
      </c>
    </row>
    <row r="3602" spans="1:34" x14ac:dyDescent="0.3">
      <c r="A3602" s="89" t="str">
        <f>CONCATENATE(D3602,".",F3602,"-",G3602,".",H3602,"")</f>
        <v>3.1-3.1</v>
      </c>
      <c r="B3602" s="89" t="str">
        <f>IF(CONCATENATE(I3602,Key!F$2)=CONCATENATE(INDEX(Dashboard!J:J,MATCH(I3602,Dashboard!J:J,0),1),INDEX(Dashboard!J:K,MATCH(I3602,Dashboard!J:J,0),2)),"ON",IF(Dashboard!K$32="ALL","ON","-"))</f>
        <v>-</v>
      </c>
      <c r="C3602" s="127" t="s">
        <v>311</v>
      </c>
      <c r="D3602" s="89">
        <f>IF(C3602="ID",1,(IF(C3602="PR",2,(IF(C3602="DE",3,(IF(C3602="RS",4,(IF(C3602="RC",5,0)))))))))</f>
        <v>3</v>
      </c>
      <c r="E3602" s="89" t="s">
        <v>312</v>
      </c>
      <c r="F3602" s="89">
        <f>IF(E3602="AM",1,(IF(E3602="BE",2,(IF(E3602="GV",3,(IF(E3602="RA",4,(IF(E3602="RM",5,(IF(E3602="AC",1,(IF(E3602="AT",2,(IF(E3602="DS",3,(IF(E3602="IP",4,(IF(E3602="MA",5,(IF(E3602="PT",6,(IF(E3602="AE",1,(IF(E3602="CM",2,(IF(E3602="DP",3,(IF(E3602="AN",1,(IF(E3602="CO",2,(IF(E3602="IM",3,(IF(E3602="MI",4,(IF(E3602="RP",5,(IF(E3602="SC",6,0)))))))))))))))))))))))))))))))))))))))</f>
        <v>1</v>
      </c>
      <c r="G3602" s="52">
        <v>3</v>
      </c>
      <c r="H3602" s="90" t="s">
        <v>115</v>
      </c>
      <c r="I3602" s="93" t="s">
        <v>85</v>
      </c>
      <c r="J3602" s="87" t="s">
        <v>1829</v>
      </c>
      <c r="K3602" s="119" t="s">
        <v>4636</v>
      </c>
      <c r="L3602" s="117">
        <f>IF(O3602="","",N3602*O3602*M3602)</f>
        <v>0</v>
      </c>
      <c r="M3602" s="108">
        <v>1</v>
      </c>
      <c r="N3602" s="95">
        <v>1</v>
      </c>
      <c r="O3602" s="109">
        <f>IF(Key!D$1="ON",P3602,IF(SUM(Q3602:DL3602)&lt;1,"",SUM(Q3602:DL3602)/COUNTIF(Q3602:DL3602,"&gt;0")))</f>
        <v>0</v>
      </c>
      <c r="P3602" s="109">
        <f>SUMIFS(Q3602:DK3602,Q$1:DK$1,Dashboard!$K$31)</f>
        <v>0</v>
      </c>
      <c r="U3602" s="95">
        <v>33</v>
      </c>
      <c r="AA3602" s="95">
        <v>25</v>
      </c>
      <c r="AH3602" s="95">
        <v>75</v>
      </c>
    </row>
    <row r="3603" spans="1:34" ht="15.6" x14ac:dyDescent="0.3">
      <c r="A3603" s="89" t="str">
        <f>CONCATENATE(D3603,".",F3603,"-",G3603,".",H3603,"")</f>
        <v>3.1-3.1</v>
      </c>
      <c r="B3603" s="89" t="str">
        <f>IF(CONCATENATE(I3603,Key!F$2)=CONCATENATE(INDEX(Dashboard!J:J,MATCH(I3603,Dashboard!J:J,0),1),INDEX(Dashboard!J:K,MATCH(I3603,Dashboard!J:J,0),2)),"ON",IF(Dashboard!K$32="ALL","ON","-"))</f>
        <v>-</v>
      </c>
      <c r="C3603" s="132" t="s">
        <v>311</v>
      </c>
      <c r="D3603" s="89">
        <f>IF(C3603="ID",1,(IF(C3603="PR",2,(IF(C3603="DE",3,(IF(C3603="RS",4,(IF(C3603="RC",5,0)))))))))</f>
        <v>3</v>
      </c>
      <c r="E3603" s="89" t="s">
        <v>312</v>
      </c>
      <c r="F3603" s="89">
        <f>IF(E3603="AM",1,(IF(E3603="BE",2,(IF(E3603="GV",3,(IF(E3603="RA",4,(IF(E3603="RM",5,(IF(E3603="AC",1,(IF(E3603="AT",2,(IF(E3603="DS",3,(IF(E3603="IP",4,(IF(E3603="MA",5,(IF(E3603="PT",6,(IF(E3603="AE",1,(IF(E3603="CM",2,(IF(E3603="DP",3,(IF(E3603="AN",1,(IF(E3603="CO",2,(IF(E3603="IM",3,(IF(E3603="MI",4,(IF(E3603="RP",5,(IF(E3603="SC",6,0)))))))))))))))))))))))))))))))))))))))</f>
        <v>1</v>
      </c>
      <c r="G3603" s="52">
        <v>3</v>
      </c>
      <c r="H3603" s="90" t="s">
        <v>115</v>
      </c>
      <c r="I3603" s="93" t="s">
        <v>92</v>
      </c>
      <c r="J3603" s="87">
        <v>10.6</v>
      </c>
      <c r="K3603" s="102" t="s">
        <v>5226</v>
      </c>
      <c r="L3603" s="117">
        <f>IF(O3603="","",N3603*O3603*M3603)</f>
        <v>0</v>
      </c>
      <c r="M3603" s="108">
        <v>1</v>
      </c>
      <c r="N3603" s="95">
        <v>1</v>
      </c>
      <c r="O3603" s="109">
        <f>IF(Key!D$1="ON",P3603,IF(SUM(Q3603:DL3603)&lt;1,"",SUM(Q3603:DL3603)/COUNTIF(Q3603:DL3603,"&gt;0")))</f>
        <v>0</v>
      </c>
      <c r="P3603" s="109">
        <f>SUMIFS(Q3603:DK3603,Q$1:DK$1,Dashboard!$K$31)</f>
        <v>0</v>
      </c>
      <c r="U3603" s="95">
        <v>33</v>
      </c>
      <c r="AA3603" s="95">
        <v>25</v>
      </c>
      <c r="AH3603" s="95">
        <v>75</v>
      </c>
    </row>
    <row r="3604" spans="1:34" ht="15.6" x14ac:dyDescent="0.3">
      <c r="A3604" s="89" t="str">
        <f>CONCATENATE(D3604,".",F3604,"-",G3604,".",H3604,"")</f>
        <v>3.1-3.1</v>
      </c>
      <c r="B3604" s="89" t="str">
        <f>IF(CONCATENATE(I3604,Key!F$2)=CONCATENATE(INDEX(Dashboard!J:J,MATCH(I3604,Dashboard!J:J,0),1),INDEX(Dashboard!J:K,MATCH(I3604,Dashboard!J:J,0),2)),"ON",IF(Dashboard!K$32="ALL","ON","-"))</f>
        <v>-</v>
      </c>
      <c r="C3604" s="132" t="s">
        <v>311</v>
      </c>
      <c r="D3604" s="89">
        <f>IF(C3604="ID",1,(IF(C3604="PR",2,(IF(C3604="DE",3,(IF(C3604="RS",4,(IF(C3604="RC",5,0)))))))))</f>
        <v>3</v>
      </c>
      <c r="E3604" s="89" t="s">
        <v>312</v>
      </c>
      <c r="F3604" s="89">
        <f>IF(E3604="AM",1,(IF(E3604="BE",2,(IF(E3604="GV",3,(IF(E3604="RA",4,(IF(E3604="RM",5,(IF(E3604="AC",1,(IF(E3604="AT",2,(IF(E3604="DS",3,(IF(E3604="IP",4,(IF(E3604="MA",5,(IF(E3604="PT",6,(IF(E3604="AE",1,(IF(E3604="CM",2,(IF(E3604="DP",3,(IF(E3604="AN",1,(IF(E3604="CO",2,(IF(E3604="IM",3,(IF(E3604="MI",4,(IF(E3604="RP",5,(IF(E3604="SC",6,0)))))))))))))))))))))))))))))))))))))))</f>
        <v>1</v>
      </c>
      <c r="G3604" s="52">
        <v>3</v>
      </c>
      <c r="H3604" s="90" t="s">
        <v>115</v>
      </c>
      <c r="I3604" s="93" t="s">
        <v>92</v>
      </c>
      <c r="J3604" s="87">
        <v>11.4</v>
      </c>
      <c r="K3604" s="102" t="s">
        <v>5226</v>
      </c>
      <c r="L3604" s="117">
        <f>IF(O3604="","",N3604*O3604*M3604)</f>
        <v>0</v>
      </c>
      <c r="M3604" s="108">
        <v>1</v>
      </c>
      <c r="N3604" s="95">
        <v>1</v>
      </c>
      <c r="O3604" s="109">
        <f>IF(Key!D$1="ON",P3604,IF(SUM(Q3604:DL3604)&lt;1,"",SUM(Q3604:DL3604)/COUNTIF(Q3604:DL3604,"&gt;0")))</f>
        <v>0</v>
      </c>
      <c r="P3604" s="109">
        <f>SUMIFS(Q3604:DK3604,Q$1:DK$1,Dashboard!$K$31)</f>
        <v>0</v>
      </c>
      <c r="U3604" s="95">
        <v>33</v>
      </c>
      <c r="AA3604" s="95">
        <v>25</v>
      </c>
      <c r="AH3604" s="95">
        <v>75</v>
      </c>
    </row>
    <row r="3605" spans="1:34" ht="15.6" x14ac:dyDescent="0.3">
      <c r="A3605" s="89" t="str">
        <f>CONCATENATE(D3605,".",F3605,"-",G3605,".",H3605,"")</f>
        <v>3.1-3.1</v>
      </c>
      <c r="B3605" s="89" t="str">
        <f>IF(CONCATENATE(I3605,Key!F$2)=CONCATENATE(INDEX(Dashboard!J:J,MATCH(I3605,Dashboard!J:J,0),1),INDEX(Dashboard!J:K,MATCH(I3605,Dashboard!J:J,0),2)),"ON",IF(Dashboard!K$32="ALL","ON","-"))</f>
        <v>-</v>
      </c>
      <c r="C3605" s="132" t="s">
        <v>311</v>
      </c>
      <c r="D3605" s="89">
        <f>IF(C3605="ID",1,(IF(C3605="PR",2,(IF(C3605="DE",3,(IF(C3605="RS",4,(IF(C3605="RC",5,0)))))))))</f>
        <v>3</v>
      </c>
      <c r="E3605" s="89" t="s">
        <v>312</v>
      </c>
      <c r="F3605" s="89">
        <f>IF(E3605="AM",1,(IF(E3605="BE",2,(IF(E3605="GV",3,(IF(E3605="RA",4,(IF(E3605="RM",5,(IF(E3605="AC",1,(IF(E3605="AT",2,(IF(E3605="DS",3,(IF(E3605="IP",4,(IF(E3605="MA",5,(IF(E3605="PT",6,(IF(E3605="AE",1,(IF(E3605="CM",2,(IF(E3605="DP",3,(IF(E3605="AN",1,(IF(E3605="CO",2,(IF(E3605="IM",3,(IF(E3605="MI",4,(IF(E3605="RP",5,(IF(E3605="SC",6,0)))))))))))))))))))))))))))))))))))))))</f>
        <v>1</v>
      </c>
      <c r="G3605" s="52">
        <v>3</v>
      </c>
      <c r="H3605" s="90" t="s">
        <v>115</v>
      </c>
      <c r="I3605" s="93" t="s">
        <v>92</v>
      </c>
      <c r="J3605" s="87" t="s">
        <v>314</v>
      </c>
      <c r="K3605" s="102" t="s">
        <v>5226</v>
      </c>
      <c r="L3605" s="117">
        <f>IF(O3605="","",N3605*O3605*M3605)</f>
        <v>0</v>
      </c>
      <c r="M3605" s="108">
        <v>1</v>
      </c>
      <c r="N3605" s="95">
        <v>1</v>
      </c>
      <c r="O3605" s="109">
        <f>IF(Key!D$1="ON",P3605,IF(SUM(Q3605:DL3605)&lt;1,"",SUM(Q3605:DL3605)/COUNTIF(Q3605:DL3605,"&gt;0")))</f>
        <v>0</v>
      </c>
      <c r="P3605" s="109">
        <f>SUMIFS(Q3605:DK3605,Q$1:DK$1,Dashboard!$K$31)</f>
        <v>0</v>
      </c>
      <c r="U3605" s="95">
        <v>33</v>
      </c>
      <c r="AA3605" s="95">
        <v>25</v>
      </c>
      <c r="AH3605" s="95">
        <v>75</v>
      </c>
    </row>
    <row r="3606" spans="1:34" x14ac:dyDescent="0.3">
      <c r="A3606" s="89" t="str">
        <f>CONCATENATE(D3606,".",F3606,"-",G3606,".",H3606,"")</f>
        <v>3.1-3.5</v>
      </c>
      <c r="B3606" s="89" t="str">
        <f>IF(CONCATENATE(I3606,Key!F$2)=CONCATENATE(INDEX(Dashboard!J:J,MATCH(I3606,Dashboard!J:J,0),1),INDEX(Dashboard!J:K,MATCH(I3606,Dashboard!J:J,0),2)),"ON",IF(Dashboard!K$32="ALL","ON","-"))</f>
        <v>-</v>
      </c>
      <c r="C3606" s="127" t="s">
        <v>311</v>
      </c>
      <c r="D3606" s="89">
        <f>IF(C3606="ID",1,(IF(C3606="PR",2,(IF(C3606="DE",3,(IF(C3606="RS",4,(IF(C3606="RC",5,0)))))))))</f>
        <v>3</v>
      </c>
      <c r="E3606" s="89" t="s">
        <v>312</v>
      </c>
      <c r="F3606" s="89">
        <f>IF(E3606="AM",1,(IF(E3606="BE",2,(IF(E3606="GV",3,(IF(E3606="RA",4,(IF(E3606="RM",5,(IF(E3606="AC",1,(IF(E3606="AT",2,(IF(E3606="DS",3,(IF(E3606="IP",4,(IF(E3606="MA",5,(IF(E3606="PT",6,(IF(E3606="AE",1,(IF(E3606="CM",2,(IF(E3606="DP",3,(IF(E3606="AN",1,(IF(E3606="CO",2,(IF(E3606="IM",3,(IF(E3606="MI",4,(IF(E3606="RP",5,(IF(E3606="SC",6,0)))))))))))))))))))))))))))))))))))))))</f>
        <v>1</v>
      </c>
      <c r="G3606" s="52">
        <v>3</v>
      </c>
      <c r="H3606" s="90" t="s">
        <v>123</v>
      </c>
      <c r="I3606" s="93" t="s">
        <v>77</v>
      </c>
      <c r="J3606" s="87" t="s">
        <v>1836</v>
      </c>
      <c r="K3606" s="102" t="s">
        <v>2743</v>
      </c>
      <c r="L3606" s="117">
        <f>IF(O3606="","",N3606*O3606*M3606)</f>
        <v>0</v>
      </c>
      <c r="M3606" s="108">
        <v>1</v>
      </c>
      <c r="N3606" s="95">
        <v>1</v>
      </c>
      <c r="O3606" s="109">
        <f>IF(Key!D$1="ON",P3606,IF(SUM(Q3606:DL3606)&lt;1,"",SUM(Q3606:DL3606)/COUNTIF(Q3606:DL3606,"&gt;0")))</f>
        <v>0</v>
      </c>
      <c r="P3606" s="109">
        <f>SUMIFS(Q3606:DK3606,Q$1:DK$1,Dashboard!$K$31)</f>
        <v>0</v>
      </c>
      <c r="U3606" s="95">
        <v>33</v>
      </c>
      <c r="AA3606" s="95">
        <v>25</v>
      </c>
      <c r="AH3606" s="95">
        <v>75</v>
      </c>
    </row>
    <row r="3607" spans="1:34" ht="15.6" x14ac:dyDescent="0.3">
      <c r="A3607" s="89" t="str">
        <f>CONCATENATE(D3607,".",F3607,"-",G3607,".",H3607,"")</f>
        <v>3.1-4.0</v>
      </c>
      <c r="B3607" s="89" t="str">
        <f>IF(CONCATENATE(I3607,Key!F$2)=CONCATENATE(INDEX(Dashboard!J:J,MATCH(I3607,Dashboard!J:J,0),1),INDEX(Dashboard!J:K,MATCH(I3607,Dashboard!J:J,0),2)),"ON",IF(Dashboard!K$32="ALL","ON","-"))</f>
        <v>-</v>
      </c>
      <c r="C3607" s="132" t="s">
        <v>311</v>
      </c>
      <c r="D3607" s="89">
        <f>IF(C3607="ID",1,(IF(C3607="PR",2,(IF(C3607="DE",3,(IF(C3607="RS",4,(IF(C3607="RC",5,0)))))))))</f>
        <v>3</v>
      </c>
      <c r="E3607" s="89" t="s">
        <v>312</v>
      </c>
      <c r="F3607" s="89">
        <f>IF(E3607="AM",1,(IF(E3607="BE",2,(IF(E3607="GV",3,(IF(E3607="RA",4,(IF(E3607="RM",5,(IF(E3607="AC",1,(IF(E3607="AT",2,(IF(E3607="DS",3,(IF(E3607="IP",4,(IF(E3607="MA",5,(IF(E3607="PT",6,(IF(E3607="AE",1,(IF(E3607="CM",2,(IF(E3607="DP",3,(IF(E3607="AN",1,(IF(E3607="CO",2,(IF(E3607="IM",3,(IF(E3607="MI",4,(IF(E3607="RP",5,(IF(E3607="SC",6,0)))))))))))))))))))))))))))))))))))))))</f>
        <v>1</v>
      </c>
      <c r="G3607" s="52">
        <v>4</v>
      </c>
      <c r="H3607" s="90" t="s">
        <v>347</v>
      </c>
      <c r="I3607" s="93" t="s">
        <v>2835</v>
      </c>
      <c r="J3607" s="53" t="s">
        <v>3015</v>
      </c>
      <c r="K3607" s="58" t="s">
        <v>3016</v>
      </c>
      <c r="L3607" s="117">
        <f>IF(O3607="","",N3607*O3607*M3607)</f>
        <v>0</v>
      </c>
      <c r="M3607" s="108">
        <v>1</v>
      </c>
      <c r="N3607" s="95">
        <v>1</v>
      </c>
      <c r="O3607" s="109">
        <f>IF(Key!D$1="ON",P3607,IF(SUM(Q3607:DL3607)&lt;1,"",SUM(Q3607:DL3607)/COUNTIF(Q3607:DL3607,"&gt;0")))</f>
        <v>0</v>
      </c>
      <c r="P3607" s="109">
        <f>SUMIFS(Q3607:DK3607,Q$1:DK$1,Dashboard!$K$31)</f>
        <v>0</v>
      </c>
      <c r="U3607" s="95">
        <v>33</v>
      </c>
    </row>
    <row r="3608" spans="1:34" x14ac:dyDescent="0.3">
      <c r="A3608" s="89" t="str">
        <f>CONCATENATE(D3608,".",F3608,"-",G3608,".",H3608,"")</f>
        <v>3.1-4.1</v>
      </c>
      <c r="B3608" s="89" t="str">
        <f>IF(CONCATENATE(I3608,Key!F$2)=CONCATENATE(INDEX(Dashboard!J:J,MATCH(I3608,Dashboard!J:J,0),1),INDEX(Dashboard!J:K,MATCH(I3608,Dashboard!J:J,0),2)),"ON",IF(Dashboard!K$32="ALL","ON","-"))</f>
        <v>ON</v>
      </c>
      <c r="C3608" s="127" t="s">
        <v>311</v>
      </c>
      <c r="D3608" s="89">
        <f>IF(C3608="ID",1,(IF(C3608="PR",2,(IF(C3608="DE",3,(IF(C3608="RS",4,(IF(C3608="RC",5,0)))))))))</f>
        <v>3</v>
      </c>
      <c r="E3608" s="89" t="s">
        <v>312</v>
      </c>
      <c r="F3608" s="89">
        <f>IF(E3608="AM",1,(IF(E3608="BE",2,(IF(E3608="GV",3,(IF(E3608="RA",4,(IF(E3608="RM",5,(IF(E3608="AC",1,(IF(E3608="AT",2,(IF(E3608="DS",3,(IF(E3608="IP",4,(IF(E3608="MA",5,(IF(E3608="PT",6,(IF(E3608="AE",1,(IF(E3608="CM",2,(IF(E3608="DP",3,(IF(E3608="AN",1,(IF(E3608="CO",2,(IF(E3608="IM",3,(IF(E3608="MI",4,(IF(E3608="RP",5,(IF(E3608="SC",6,0)))))))))))))))))))))))))))))))))))))))</f>
        <v>1</v>
      </c>
      <c r="G3608" s="52">
        <v>4</v>
      </c>
      <c r="H3608" s="90" t="s">
        <v>115</v>
      </c>
      <c r="I3608" s="93" t="s">
        <v>4107</v>
      </c>
      <c r="J3608" s="86" t="s">
        <v>3982</v>
      </c>
      <c r="K3608" s="101" t="s">
        <v>4371</v>
      </c>
      <c r="L3608" s="117">
        <f>IF(O3608="","",N3608*O3608*M3608)</f>
        <v>0</v>
      </c>
      <c r="M3608" s="108">
        <v>1</v>
      </c>
      <c r="N3608" s="95">
        <v>1</v>
      </c>
      <c r="O3608" s="109">
        <f>IF(Key!D$1="ON",P3608,IF(SUM(Q3608:DL3608)&lt;1,"",SUM(Q3608:DL3608)/COUNTIF(Q3608:DL3608,"&gt;0")))</f>
        <v>0</v>
      </c>
      <c r="P3608" s="109">
        <f>SUMIFS(Q3608:DK3608,Q$1:DK$1,Dashboard!$K$31)</f>
        <v>0</v>
      </c>
      <c r="U3608" s="95">
        <v>33</v>
      </c>
      <c r="AA3608" s="95">
        <v>25</v>
      </c>
      <c r="AH3608" s="95">
        <v>75</v>
      </c>
    </row>
    <row r="3609" spans="1:34" x14ac:dyDescent="0.3">
      <c r="A3609" s="89" t="str">
        <f>CONCATENATE(D3609,".",F3609,"-",G3609,".",H3609,"")</f>
        <v>3.1-4.1</v>
      </c>
      <c r="B3609" s="89" t="str">
        <f>IF(CONCATENATE(I3609,Key!F$2)=CONCATENATE(INDEX(Dashboard!J:J,MATCH(I3609,Dashboard!J:J,0),1),INDEX(Dashboard!J:K,MATCH(I3609,Dashboard!J:J,0),2)),"ON",IF(Dashboard!K$32="ALL","ON","-"))</f>
        <v>ON</v>
      </c>
      <c r="C3609" s="133" t="s">
        <v>311</v>
      </c>
      <c r="D3609" s="89">
        <f>IF(C3609="ID",1,(IF(C3609="PR",2,(IF(C3609="DE",3,(IF(C3609="RS",4,(IF(C3609="RC",5,0)))))))))</f>
        <v>3</v>
      </c>
      <c r="E3609" s="95" t="s">
        <v>312</v>
      </c>
      <c r="F3609" s="89">
        <f>IF(E3609="AM",1,(IF(E3609="BE",2,(IF(E3609="GV",3,(IF(E3609="RA",4,(IF(E3609="RM",5,(IF(E3609="AC",1,(IF(E3609="AT",2,(IF(E3609="DS",3,(IF(E3609="IP",4,(IF(E3609="MA",5,(IF(E3609="PT",6,(IF(E3609="AE",1,(IF(E3609="CM",2,(IF(E3609="DP",3,(IF(E3609="AN",1,(IF(E3609="CO",2,(IF(E3609="IM",3,(IF(E3609="MI",4,(IF(E3609="RP",5,(IF(E3609="SC",6,0)))))))))))))))))))))))))))))))))))))))</f>
        <v>1</v>
      </c>
      <c r="G3609" s="52">
        <v>4</v>
      </c>
      <c r="H3609" s="90" t="s">
        <v>115</v>
      </c>
      <c r="I3609" s="93" t="s">
        <v>4107</v>
      </c>
      <c r="J3609" s="86" t="s">
        <v>4044</v>
      </c>
      <c r="K3609" s="101" t="s">
        <v>4460</v>
      </c>
      <c r="L3609" s="117">
        <f>IF(O3609="","",N3609*O3609*M3609)</f>
        <v>0</v>
      </c>
      <c r="M3609" s="108">
        <v>1</v>
      </c>
      <c r="N3609" s="95">
        <v>1</v>
      </c>
      <c r="O3609" s="109">
        <f>IF(Key!D$1="ON",P3609,IF(SUM(Q3609:DL3609)&lt;1,"",SUM(Q3609:DL3609)/COUNTIF(Q3609:DL3609,"&gt;0")))</f>
        <v>0</v>
      </c>
      <c r="P3609" s="109">
        <f>SUMIFS(Q3609:DK3609,Q$1:DK$1,Dashboard!$K$31)</f>
        <v>0</v>
      </c>
      <c r="U3609" s="95">
        <v>33</v>
      </c>
      <c r="AA3609" s="95">
        <v>25</v>
      </c>
      <c r="AH3609" s="95">
        <v>75</v>
      </c>
    </row>
    <row r="3610" spans="1:34" ht="15.6" x14ac:dyDescent="0.3">
      <c r="A3610" s="89" t="str">
        <f>CONCATENATE(D3610,".",F3610,"-",G3610,".",H3610,"")</f>
        <v>3.1-4.1</v>
      </c>
      <c r="B3610" s="89" t="str">
        <f>IF(CONCATENATE(I3610,Key!F$2)=CONCATENATE(INDEX(Dashboard!J:J,MATCH(I3610,Dashboard!J:J,0),1),INDEX(Dashboard!J:K,MATCH(I3610,Dashboard!J:J,0),2)),"ON",IF(Dashboard!K$32="ALL","ON","-"))</f>
        <v>-</v>
      </c>
      <c r="C3610" s="132" t="s">
        <v>311</v>
      </c>
      <c r="D3610" s="89">
        <f>IF(C3610="ID",1,(IF(C3610="PR",2,(IF(C3610="DE",3,(IF(C3610="RS",4,(IF(C3610="RC",5,0)))))))))</f>
        <v>3</v>
      </c>
      <c r="E3610" s="89" t="s">
        <v>312</v>
      </c>
      <c r="F3610" s="89">
        <f>IF(E3610="AM",1,(IF(E3610="BE",2,(IF(E3610="GV",3,(IF(E3610="RA",4,(IF(E3610="RM",5,(IF(E3610="AC",1,(IF(E3610="AT",2,(IF(E3610="DS",3,(IF(E3610="IP",4,(IF(E3610="MA",5,(IF(E3610="PT",6,(IF(E3610="AE",1,(IF(E3610="CM",2,(IF(E3610="DP",3,(IF(E3610="AN",1,(IF(E3610="CO",2,(IF(E3610="IM",3,(IF(E3610="MI",4,(IF(E3610="RP",5,(IF(E3610="SC",6,0)))))))))))))))))))))))))))))))))))))))</f>
        <v>1</v>
      </c>
      <c r="G3610" s="52">
        <v>4</v>
      </c>
      <c r="H3610" s="90" t="s">
        <v>115</v>
      </c>
      <c r="I3610" s="93" t="s">
        <v>52</v>
      </c>
      <c r="J3610" s="88" t="s">
        <v>3305</v>
      </c>
      <c r="K3610" s="103" t="s">
        <v>3306</v>
      </c>
      <c r="L3610" s="117">
        <f>IF(O3610="","",N3610*O3610*M3610)</f>
        <v>0</v>
      </c>
      <c r="M3610" s="108">
        <v>1</v>
      </c>
      <c r="N3610" s="95">
        <v>1</v>
      </c>
      <c r="O3610" s="109">
        <f>IF(Key!D$1="ON",P3610,IF(SUM(Q3610:DL3610)&lt;1,"",SUM(Q3610:DL3610)/COUNTIF(Q3610:DL3610,"&gt;0")))</f>
        <v>0</v>
      </c>
      <c r="P3610" s="109">
        <f>SUMIFS(Q3610:DK3610,Q$1:DK$1,Dashboard!$K$31)</f>
        <v>0</v>
      </c>
      <c r="U3610" s="95">
        <v>33</v>
      </c>
      <c r="AA3610" s="95">
        <v>25</v>
      </c>
      <c r="AH3610" s="95">
        <v>75</v>
      </c>
    </row>
    <row r="3611" spans="1:34" x14ac:dyDescent="0.3">
      <c r="A3611" s="89" t="str">
        <f>CONCATENATE(D3611,".",F3611,"-",G3611,".",H3611,"")</f>
        <v>3.1-4.1</v>
      </c>
      <c r="B3611" s="89" t="str">
        <f>IF(CONCATENATE(I3611,Key!F$2)=CONCATENATE(INDEX(Dashboard!J:J,MATCH(I3611,Dashboard!J:J,0),1),INDEX(Dashboard!J:K,MATCH(I3611,Dashboard!J:J,0),2)),"ON",IF(Dashboard!K$32="ALL","ON","-"))</f>
        <v>-</v>
      </c>
      <c r="C3611" s="127" t="s">
        <v>311</v>
      </c>
      <c r="D3611" s="89">
        <f>IF(C3611="ID",1,(IF(C3611="PR",2,(IF(C3611="DE",3,(IF(C3611="RS",4,(IF(C3611="RC",5,0)))))))))</f>
        <v>3</v>
      </c>
      <c r="E3611" s="89" t="s">
        <v>312</v>
      </c>
      <c r="F3611" s="89">
        <f>IF(E3611="AM",1,(IF(E3611="BE",2,(IF(E3611="GV",3,(IF(E3611="RA",4,(IF(E3611="RM",5,(IF(E3611="AC",1,(IF(E3611="AT",2,(IF(E3611="DS",3,(IF(E3611="IP",4,(IF(E3611="MA",5,(IF(E3611="PT",6,(IF(E3611="AE",1,(IF(E3611="CM",2,(IF(E3611="DP",3,(IF(E3611="AN",1,(IF(E3611="CO",2,(IF(E3611="IM",3,(IF(E3611="MI",4,(IF(E3611="RP",5,(IF(E3611="SC",6,0)))))))))))))))))))))))))))))))))))))))</f>
        <v>1</v>
      </c>
      <c r="G3611" s="52">
        <v>4</v>
      </c>
      <c r="H3611" s="90" t="s">
        <v>115</v>
      </c>
      <c r="I3611" s="93" t="s">
        <v>60</v>
      </c>
      <c r="J3611" s="87" t="s">
        <v>3157</v>
      </c>
      <c r="K3611" s="51" t="s">
        <v>5270</v>
      </c>
      <c r="L3611" s="117">
        <f>IF(O3611="","",N3611*O3611*M3611)</f>
        <v>0</v>
      </c>
      <c r="M3611" s="108">
        <v>1</v>
      </c>
      <c r="N3611" s="95">
        <v>1</v>
      </c>
      <c r="O3611" s="109">
        <f>IF(Key!D$1="ON",P3611,IF(SUM(Q3611:DL3611)&lt;1,"",SUM(Q3611:DL3611)/COUNTIF(Q3611:DL3611,"&gt;0")))</f>
        <v>0</v>
      </c>
      <c r="P3611" s="109">
        <f>SUMIFS(Q3611:DK3611,Q$1:DK$1,Dashboard!$K$31)</f>
        <v>0</v>
      </c>
      <c r="U3611" s="95">
        <v>33</v>
      </c>
      <c r="AA3611" s="95">
        <v>25</v>
      </c>
      <c r="AH3611" s="95">
        <v>75</v>
      </c>
    </row>
    <row r="3612" spans="1:34" ht="15.6" x14ac:dyDescent="0.3">
      <c r="A3612" s="89" t="str">
        <f>CONCATENATE(D3612,".",F3612,"-",G3612,".",H3612,"")</f>
        <v>3.1-4.1</v>
      </c>
      <c r="B3612" s="89" t="str">
        <f>IF(CONCATENATE(I3612,Key!F$2)=CONCATENATE(INDEX(Dashboard!J:J,MATCH(I3612,Dashboard!J:J,0),1),INDEX(Dashboard!J:K,MATCH(I3612,Dashboard!J:J,0),2)),"ON",IF(Dashboard!K$32="ALL","ON","-"))</f>
        <v>-</v>
      </c>
      <c r="C3612" s="127" t="s">
        <v>311</v>
      </c>
      <c r="D3612" s="89">
        <f>IF(C3612="ID",1,(IF(C3612="PR",2,(IF(C3612="DE",3,(IF(C3612="RS",4,(IF(C3612="RC",5,0)))))))))</f>
        <v>3</v>
      </c>
      <c r="E3612" s="89" t="s">
        <v>312</v>
      </c>
      <c r="F3612" s="89">
        <f>IF(E3612="AM",1,(IF(E3612="BE",2,(IF(E3612="GV",3,(IF(E3612="RA",4,(IF(E3612="RM",5,(IF(E3612="AC",1,(IF(E3612="AT",2,(IF(E3612="DS",3,(IF(E3612="IP",4,(IF(E3612="MA",5,(IF(E3612="PT",6,(IF(E3612="AE",1,(IF(E3612="CM",2,(IF(E3612="DP",3,(IF(E3612="AN",1,(IF(E3612="CO",2,(IF(E3612="IM",3,(IF(E3612="MI",4,(IF(E3612="RP",5,(IF(E3612="SC",6,0)))))))))))))))))))))))))))))))))))))))</f>
        <v>1</v>
      </c>
      <c r="G3612" s="52">
        <v>4</v>
      </c>
      <c r="H3612" s="90" t="s">
        <v>115</v>
      </c>
      <c r="I3612" s="93" t="s">
        <v>64</v>
      </c>
      <c r="J3612" s="87" t="s">
        <v>1312</v>
      </c>
      <c r="K3612" s="102" t="s">
        <v>2322</v>
      </c>
      <c r="L3612" s="117">
        <f>IF(O3612="","",N3612*O3612*M3612)</f>
        <v>0</v>
      </c>
      <c r="M3612" s="108">
        <v>0.9</v>
      </c>
      <c r="N3612" s="95">
        <v>1</v>
      </c>
      <c r="O3612" s="109">
        <f>IF(Key!D$1="ON",P3612,IF(SUM(Q3612:DL3612)&lt;1,"",SUM(Q3612:DL3612)/COUNTIF(Q3612:DL3612,"&gt;0")))</f>
        <v>0</v>
      </c>
      <c r="P3612" s="109">
        <f>SUMIFS(Q3612:DK3612,Q$1:DK$1,Dashboard!$K$31)</f>
        <v>0</v>
      </c>
      <c r="S3612" s="95">
        <v>99</v>
      </c>
      <c r="T3612" s="95">
        <v>80</v>
      </c>
      <c r="U3612" s="95">
        <v>33</v>
      </c>
      <c r="AA3612" s="95">
        <v>25</v>
      </c>
      <c r="AH3612" s="95">
        <v>75</v>
      </c>
    </row>
    <row r="3613" spans="1:34" ht="15.6" x14ac:dyDescent="0.3">
      <c r="A3613" s="89" t="str">
        <f>CONCATENATE(D3613,".",F3613,"-",G3613,".",H3613,"")</f>
        <v>3.1-4.1</v>
      </c>
      <c r="B3613" s="89" t="str">
        <f>IF(CONCATENATE(I3613,Key!F$2)=CONCATENATE(INDEX(Dashboard!J:J,MATCH(I3613,Dashboard!J:J,0),1),INDEX(Dashboard!J:K,MATCH(I3613,Dashboard!J:J,0),2)),"ON",IF(Dashboard!K$32="ALL","ON","-"))</f>
        <v>-</v>
      </c>
      <c r="C3613" s="127" t="s">
        <v>311</v>
      </c>
      <c r="D3613" s="89">
        <f>IF(C3613="ID",1,(IF(C3613="PR",2,(IF(C3613="DE",3,(IF(C3613="RS",4,(IF(C3613="RC",5,0)))))))))</f>
        <v>3</v>
      </c>
      <c r="E3613" s="89" t="s">
        <v>312</v>
      </c>
      <c r="F3613" s="89">
        <f>IF(E3613="AM",1,(IF(E3613="BE",2,(IF(E3613="GV",3,(IF(E3613="RA",4,(IF(E3613="RM",5,(IF(E3613="AC",1,(IF(E3613="AT",2,(IF(E3613="DS",3,(IF(E3613="IP",4,(IF(E3613="MA",5,(IF(E3613="PT",6,(IF(E3613="AE",1,(IF(E3613="CM",2,(IF(E3613="DP",3,(IF(E3613="AN",1,(IF(E3613="CO",2,(IF(E3613="IM",3,(IF(E3613="MI",4,(IF(E3613="RP",5,(IF(E3613="SC",6,0)))))))))))))))))))))))))))))))))))))))</f>
        <v>1</v>
      </c>
      <c r="G3613" s="52">
        <v>4</v>
      </c>
      <c r="H3613" s="90" t="s">
        <v>115</v>
      </c>
      <c r="I3613" s="93" t="s">
        <v>73</v>
      </c>
      <c r="J3613" s="86" t="s">
        <v>4210</v>
      </c>
      <c r="K3613" s="101" t="s">
        <v>5182</v>
      </c>
      <c r="L3613" s="117">
        <f>IF(O3613="","",N3613*O3613*M3613)</f>
        <v>0</v>
      </c>
      <c r="M3613" s="108">
        <v>1</v>
      </c>
      <c r="N3613" s="95">
        <v>1</v>
      </c>
      <c r="O3613" s="109">
        <f>IF(Key!D$1="ON",P3613,IF(SUM(Q3613:DL3613)&lt;1,"",SUM(Q3613:DL3613)/COUNTIF(Q3613:DL3613,"&gt;0")))</f>
        <v>0</v>
      </c>
      <c r="P3613" s="109">
        <f>SUMIFS(Q3613:DK3613,Q$1:DK$1,Dashboard!$K$31)</f>
        <v>0</v>
      </c>
      <c r="U3613" s="95">
        <v>33</v>
      </c>
      <c r="AA3613" s="95">
        <v>25</v>
      </c>
      <c r="AH3613" s="95">
        <v>75</v>
      </c>
    </row>
    <row r="3614" spans="1:34" ht="15.6" x14ac:dyDescent="0.3">
      <c r="A3614" s="89" t="str">
        <f>CONCATENATE(D3614,".",F3614,"-",G3614,".",H3614,"")</f>
        <v>3.1-4.1</v>
      </c>
      <c r="B3614" s="89" t="str">
        <f>IF(CONCATENATE(I3614,Key!F$2)=CONCATENATE(INDEX(Dashboard!J:J,MATCH(I3614,Dashboard!J:J,0),1),INDEX(Dashboard!J:K,MATCH(I3614,Dashboard!J:J,0),2)),"ON",IF(Dashboard!K$32="ALL","ON","-"))</f>
        <v>-</v>
      </c>
      <c r="C3614" s="127" t="s">
        <v>311</v>
      </c>
      <c r="D3614" s="89">
        <f>IF(C3614="ID",1,(IF(C3614="PR",2,(IF(C3614="DE",3,(IF(C3614="RS",4,(IF(C3614="RC",5,0)))))))))</f>
        <v>3</v>
      </c>
      <c r="E3614" s="89" t="s">
        <v>312</v>
      </c>
      <c r="F3614" s="89">
        <f>IF(E3614="AM",1,(IF(E3614="BE",2,(IF(E3614="GV",3,(IF(E3614="RA",4,(IF(E3614="RM",5,(IF(E3614="AC",1,(IF(E3614="AT",2,(IF(E3614="DS",3,(IF(E3614="IP",4,(IF(E3614="MA",5,(IF(E3614="PT",6,(IF(E3614="AE",1,(IF(E3614="CM",2,(IF(E3614="DP",3,(IF(E3614="AN",1,(IF(E3614="CO",2,(IF(E3614="IM",3,(IF(E3614="MI",4,(IF(E3614="RP",5,(IF(E3614="SC",6,0)))))))))))))))))))))))))))))))))))))))</f>
        <v>1</v>
      </c>
      <c r="G3614" s="52">
        <v>4</v>
      </c>
      <c r="H3614" s="90" t="s">
        <v>115</v>
      </c>
      <c r="I3614" s="93" t="s">
        <v>77</v>
      </c>
      <c r="J3614" s="87" t="s">
        <v>1312</v>
      </c>
      <c r="K3614" s="102" t="s">
        <v>2322</v>
      </c>
      <c r="L3614" s="117">
        <f>IF(O3614="","",N3614*O3614*M3614)</f>
        <v>0</v>
      </c>
      <c r="M3614" s="108">
        <v>0.9</v>
      </c>
      <c r="N3614" s="95">
        <v>1</v>
      </c>
      <c r="O3614" s="109">
        <f>IF(Key!D$1="ON",P3614,IF(SUM(Q3614:DL3614)&lt;1,"",SUM(Q3614:DL3614)/COUNTIF(Q3614:DL3614,"&gt;0")))</f>
        <v>0</v>
      </c>
      <c r="P3614" s="109">
        <f>SUMIFS(Q3614:DK3614,Q$1:DK$1,Dashboard!$K$31)</f>
        <v>0</v>
      </c>
      <c r="S3614" s="95">
        <v>99</v>
      </c>
      <c r="T3614" s="95">
        <v>80</v>
      </c>
      <c r="U3614" s="95">
        <v>33</v>
      </c>
      <c r="AA3614" s="95">
        <v>25</v>
      </c>
      <c r="AH3614" s="95">
        <v>75</v>
      </c>
    </row>
    <row r="3615" spans="1:34" ht="15.6" x14ac:dyDescent="0.3">
      <c r="A3615" s="89" t="str">
        <f>CONCATENATE(D3615,".",F3615,"-",G3615,".",H3615,"")</f>
        <v>3.1-4.1</v>
      </c>
      <c r="B3615" s="89" t="str">
        <f>IF(CONCATENATE(I3615,Key!F$2)=CONCATENATE(INDEX(Dashboard!J:J,MATCH(I3615,Dashboard!J:J,0),1),INDEX(Dashboard!J:K,MATCH(I3615,Dashboard!J:J,0),2)),"ON",IF(Dashboard!K$32="ALL","ON","-"))</f>
        <v>-</v>
      </c>
      <c r="C3615" s="127" t="s">
        <v>311</v>
      </c>
      <c r="D3615" s="89">
        <f>IF(C3615="ID",1,(IF(C3615="PR",2,(IF(C3615="DE",3,(IF(C3615="RS",4,(IF(C3615="RC",5,0)))))))))</f>
        <v>3</v>
      </c>
      <c r="E3615" s="89" t="s">
        <v>312</v>
      </c>
      <c r="F3615" s="89">
        <f>IF(E3615="AM",1,(IF(E3615="BE",2,(IF(E3615="GV",3,(IF(E3615="RA",4,(IF(E3615="RM",5,(IF(E3615="AC",1,(IF(E3615="AT",2,(IF(E3615="DS",3,(IF(E3615="IP",4,(IF(E3615="MA",5,(IF(E3615="PT",6,(IF(E3615="AE",1,(IF(E3615="CM",2,(IF(E3615="DP",3,(IF(E3615="AN",1,(IF(E3615="CO",2,(IF(E3615="IM",3,(IF(E3615="MI",4,(IF(E3615="RP",5,(IF(E3615="SC",6,0)))))))))))))))))))))))))))))))))))))))</f>
        <v>1</v>
      </c>
      <c r="G3615" s="52">
        <v>4</v>
      </c>
      <c r="H3615" s="90" t="s">
        <v>115</v>
      </c>
      <c r="I3615" s="93" t="s">
        <v>77</v>
      </c>
      <c r="J3615" s="87" t="s">
        <v>1329</v>
      </c>
      <c r="K3615" s="102" t="s">
        <v>2333</v>
      </c>
      <c r="L3615" s="117">
        <f>IF(O3615="","",N3615*O3615*M3615)</f>
        <v>0</v>
      </c>
      <c r="M3615" s="108">
        <v>0.9</v>
      </c>
      <c r="N3615" s="95">
        <v>1</v>
      </c>
      <c r="O3615" s="109">
        <f>IF(Key!D$1="ON",P3615,IF(SUM(Q3615:DL3615)&lt;1,"",SUM(Q3615:DL3615)/COUNTIF(Q3615:DL3615,"&gt;0")))</f>
        <v>0</v>
      </c>
      <c r="P3615" s="109">
        <f>SUMIFS(Q3615:DK3615,Q$1:DK$1,Dashboard!$K$31)</f>
        <v>0</v>
      </c>
      <c r="S3615" s="95">
        <v>50</v>
      </c>
      <c r="T3615" s="95">
        <v>80</v>
      </c>
      <c r="U3615" s="95">
        <v>33</v>
      </c>
      <c r="AA3615" s="95">
        <v>25</v>
      </c>
      <c r="AH3615" s="95">
        <v>75</v>
      </c>
    </row>
    <row r="3616" spans="1:34" x14ac:dyDescent="0.3">
      <c r="A3616" s="89" t="str">
        <f>CONCATENATE(D3616,".",F3616,"-",G3616,".",H3616,"")</f>
        <v>3.1-4.1</v>
      </c>
      <c r="B3616" s="89" t="str">
        <f>IF(CONCATENATE(I3616,Key!F$2)=CONCATENATE(INDEX(Dashboard!J:J,MATCH(I3616,Dashboard!J:J,0),1),INDEX(Dashboard!J:K,MATCH(I3616,Dashboard!J:J,0),2)),"ON",IF(Dashboard!K$32="ALL","ON","-"))</f>
        <v>-</v>
      </c>
      <c r="C3616" s="127" t="s">
        <v>311</v>
      </c>
      <c r="D3616" s="89">
        <f>IF(C3616="ID",1,(IF(C3616="PR",2,(IF(C3616="DE",3,(IF(C3616="RS",4,(IF(C3616="RC",5,0)))))))))</f>
        <v>3</v>
      </c>
      <c r="E3616" s="89" t="s">
        <v>312</v>
      </c>
      <c r="F3616" s="89">
        <f>IF(E3616="AM",1,(IF(E3616="BE",2,(IF(E3616="GV",3,(IF(E3616="RA",4,(IF(E3616="RM",5,(IF(E3616="AC",1,(IF(E3616="AT",2,(IF(E3616="DS",3,(IF(E3616="IP",4,(IF(E3616="MA",5,(IF(E3616="PT",6,(IF(E3616="AE",1,(IF(E3616="CM",2,(IF(E3616="DP",3,(IF(E3616="AN",1,(IF(E3616="CO",2,(IF(E3616="IM",3,(IF(E3616="MI",4,(IF(E3616="RP",5,(IF(E3616="SC",6,0)))))))))))))))))))))))))))))))))))))))</f>
        <v>1</v>
      </c>
      <c r="G3616" s="52">
        <v>4</v>
      </c>
      <c r="H3616" s="90" t="s">
        <v>115</v>
      </c>
      <c r="I3616" s="93" t="s">
        <v>77</v>
      </c>
      <c r="J3616" s="87" t="s">
        <v>1837</v>
      </c>
      <c r="K3616" s="102" t="s">
        <v>2744</v>
      </c>
      <c r="L3616" s="117">
        <f>IF(O3616="","",N3616*O3616*M3616)</f>
        <v>0</v>
      </c>
      <c r="M3616" s="108">
        <v>1</v>
      </c>
      <c r="N3616" s="95">
        <v>1</v>
      </c>
      <c r="O3616" s="109">
        <f>IF(Key!D$1="ON",P3616,IF(SUM(Q3616:DL3616)&lt;1,"",SUM(Q3616:DL3616)/COUNTIF(Q3616:DL3616,"&gt;0")))</f>
        <v>0</v>
      </c>
      <c r="P3616" s="109">
        <f>SUMIFS(Q3616:DK3616,Q$1:DK$1,Dashboard!$K$31)</f>
        <v>0</v>
      </c>
      <c r="U3616" s="95">
        <v>33</v>
      </c>
      <c r="AA3616" s="95">
        <v>25</v>
      </c>
      <c r="AH3616" s="95">
        <v>75</v>
      </c>
    </row>
    <row r="3617" spans="1:34" ht="15.6" x14ac:dyDescent="0.3">
      <c r="A3617" s="89" t="str">
        <f>CONCATENATE(D3617,".",F3617,"-",G3617,".",H3617,"")</f>
        <v>3.1-4.1</v>
      </c>
      <c r="B3617" s="89" t="str">
        <f>IF(CONCATENATE(I3617,Key!F$2)=CONCATENATE(INDEX(Dashboard!J:J,MATCH(I3617,Dashboard!J:J,0),1),INDEX(Dashboard!J:K,MATCH(I3617,Dashboard!J:J,0),2)),"ON",IF(Dashboard!K$32="ALL","ON","-"))</f>
        <v>-</v>
      </c>
      <c r="C3617" s="127" t="s">
        <v>311</v>
      </c>
      <c r="D3617" s="89">
        <f>IF(C3617="ID",1,(IF(C3617="PR",2,(IF(C3617="DE",3,(IF(C3617="RS",4,(IF(C3617="RC",5,0)))))))))</f>
        <v>3</v>
      </c>
      <c r="E3617" s="89" t="s">
        <v>312</v>
      </c>
      <c r="F3617" s="89">
        <f>IF(E3617="AM",1,(IF(E3617="BE",2,(IF(E3617="GV",3,(IF(E3617="RA",4,(IF(E3617="RM",5,(IF(E3617="AC",1,(IF(E3617="AT",2,(IF(E3617="DS",3,(IF(E3617="IP",4,(IF(E3617="MA",5,(IF(E3617="PT",6,(IF(E3617="AE",1,(IF(E3617="CM",2,(IF(E3617="DP",3,(IF(E3617="AN",1,(IF(E3617="CO",2,(IF(E3617="IM",3,(IF(E3617="MI",4,(IF(E3617="RP",5,(IF(E3617="SC",6,0)))))))))))))))))))))))))))))))))))))))</f>
        <v>1</v>
      </c>
      <c r="G3617" s="52">
        <v>4</v>
      </c>
      <c r="H3617" s="90" t="s">
        <v>115</v>
      </c>
      <c r="I3617" s="93" t="s">
        <v>85</v>
      </c>
      <c r="J3617" s="87" t="s">
        <v>1837</v>
      </c>
      <c r="K3617" s="119" t="s">
        <v>4795</v>
      </c>
      <c r="L3617" s="117">
        <f>IF(O3617="","",N3617*O3617*M3617)</f>
        <v>0</v>
      </c>
      <c r="M3617" s="108">
        <v>1</v>
      </c>
      <c r="N3617" s="95">
        <v>1</v>
      </c>
      <c r="O3617" s="109">
        <f>IF(Key!D$1="ON",P3617,IF(SUM(Q3617:DL3617)&lt;1,"",SUM(Q3617:DL3617)/COUNTIF(Q3617:DL3617,"&gt;0")))</f>
        <v>0</v>
      </c>
      <c r="P3617" s="109">
        <f>SUMIFS(Q3617:DK3617,Q$1:DK$1,Dashboard!$K$31)</f>
        <v>0</v>
      </c>
      <c r="U3617" s="95">
        <v>33</v>
      </c>
      <c r="AA3617" s="95">
        <v>25</v>
      </c>
      <c r="AH3617" s="95">
        <v>75</v>
      </c>
    </row>
    <row r="3618" spans="1:34" x14ac:dyDescent="0.3">
      <c r="A3618" s="89" t="str">
        <f>CONCATENATE(D3618,".",F3618,"-",G3618,".",H3618,"")</f>
        <v>3.1-4.1</v>
      </c>
      <c r="B3618" s="89" t="str">
        <f>IF(CONCATENATE(I3618,Key!F$2)=CONCATENATE(INDEX(Dashboard!J:J,MATCH(I3618,Dashboard!J:J,0),1),INDEX(Dashboard!J:K,MATCH(I3618,Dashboard!J:J,0),2)),"ON",IF(Dashboard!K$32="ALL","ON","-"))</f>
        <v>-</v>
      </c>
      <c r="C3618" s="127" t="s">
        <v>311</v>
      </c>
      <c r="D3618" s="89">
        <f>IF(C3618="ID",1,(IF(C3618="PR",2,(IF(C3618="DE",3,(IF(C3618="RS",4,(IF(C3618="RC",5,0)))))))))</f>
        <v>3</v>
      </c>
      <c r="E3618" s="89" t="s">
        <v>312</v>
      </c>
      <c r="F3618" s="89">
        <f>IF(E3618="AM",1,(IF(E3618="BE",2,(IF(E3618="GV",3,(IF(E3618="RA",4,(IF(E3618="RM",5,(IF(E3618="AC",1,(IF(E3618="AT",2,(IF(E3618="DS",3,(IF(E3618="IP",4,(IF(E3618="MA",5,(IF(E3618="PT",6,(IF(E3618="AE",1,(IF(E3618="CM",2,(IF(E3618="DP",3,(IF(E3618="AN",1,(IF(E3618="CO",2,(IF(E3618="IM",3,(IF(E3618="MI",4,(IF(E3618="RP",5,(IF(E3618="SC",6,0)))))))))))))))))))))))))))))))))))))))</f>
        <v>1</v>
      </c>
      <c r="G3618" s="52">
        <v>4</v>
      </c>
      <c r="H3618" s="90" t="s">
        <v>115</v>
      </c>
      <c r="I3618" s="93" t="s">
        <v>85</v>
      </c>
      <c r="J3618" s="87" t="s">
        <v>1312</v>
      </c>
      <c r="K3618" s="119" t="s">
        <v>4596</v>
      </c>
      <c r="L3618" s="117">
        <f>IF(O3618="","",N3618*O3618*M3618)</f>
        <v>0</v>
      </c>
      <c r="M3618" s="108">
        <v>0.9</v>
      </c>
      <c r="N3618" s="95">
        <v>1</v>
      </c>
      <c r="O3618" s="109">
        <f>IF(Key!D$1="ON",P3618,IF(SUM(Q3618:DL3618)&lt;1,"",SUM(Q3618:DL3618)/COUNTIF(Q3618:DL3618,"&gt;0")))</f>
        <v>0</v>
      </c>
      <c r="P3618" s="109">
        <f>SUMIFS(Q3618:DK3618,Q$1:DK$1,Dashboard!$K$31)</f>
        <v>0</v>
      </c>
      <c r="S3618" s="95">
        <v>25</v>
      </c>
      <c r="T3618" s="95">
        <v>80</v>
      </c>
      <c r="U3618" s="95">
        <v>33</v>
      </c>
      <c r="AA3618" s="95">
        <v>25</v>
      </c>
      <c r="AH3618" s="95">
        <v>75</v>
      </c>
    </row>
    <row r="3619" spans="1:34" ht="15.6" x14ac:dyDescent="0.3">
      <c r="A3619" s="89" t="str">
        <f>CONCATENATE(D3619,".",F3619,"-",G3619,".",H3619,"")</f>
        <v>3.1-4.1</v>
      </c>
      <c r="B3619" s="89" t="str">
        <f>IF(CONCATENATE(I3619,Key!F$2)=CONCATENATE(INDEX(Dashboard!J:J,MATCH(I3619,Dashboard!J:J,0),1),INDEX(Dashboard!J:K,MATCH(I3619,Dashboard!J:J,0),2)),"ON",IF(Dashboard!K$32="ALL","ON","-"))</f>
        <v>-</v>
      </c>
      <c r="C3619" s="127" t="s">
        <v>311</v>
      </c>
      <c r="D3619" s="89">
        <f>IF(C3619="ID",1,(IF(C3619="PR",2,(IF(C3619="DE",3,(IF(C3619="RS",4,(IF(C3619="RC",5,0)))))))))</f>
        <v>3</v>
      </c>
      <c r="E3619" s="89" t="s">
        <v>312</v>
      </c>
      <c r="F3619" s="89">
        <f>IF(E3619="AM",1,(IF(E3619="BE",2,(IF(E3619="GV",3,(IF(E3619="RA",4,(IF(E3619="RM",5,(IF(E3619="AC",1,(IF(E3619="AT",2,(IF(E3619="DS",3,(IF(E3619="IP",4,(IF(E3619="MA",5,(IF(E3619="PT",6,(IF(E3619="AE",1,(IF(E3619="CM",2,(IF(E3619="DP",3,(IF(E3619="AN",1,(IF(E3619="CO",2,(IF(E3619="IM",3,(IF(E3619="MI",4,(IF(E3619="RP",5,(IF(E3619="SC",6,0)))))))))))))))))))))))))))))))))))))))</f>
        <v>1</v>
      </c>
      <c r="G3619" s="52">
        <v>4</v>
      </c>
      <c r="H3619" s="90" t="s">
        <v>115</v>
      </c>
      <c r="I3619" s="93" t="s">
        <v>85</v>
      </c>
      <c r="J3619" s="87" t="s">
        <v>1329</v>
      </c>
      <c r="K3619" s="119" t="s">
        <v>4596</v>
      </c>
      <c r="L3619" s="117">
        <f>IF(O3619="","",N3619*O3619*M3619)</f>
        <v>0</v>
      </c>
      <c r="M3619" s="108">
        <v>0.9</v>
      </c>
      <c r="N3619" s="95">
        <v>1</v>
      </c>
      <c r="O3619" s="109">
        <f>IF(Key!D$1="ON",P3619,IF(SUM(Q3619:DL3619)&lt;1,"",SUM(Q3619:DL3619)/COUNTIF(Q3619:DL3619,"&gt;0")))</f>
        <v>0</v>
      </c>
      <c r="P3619" s="109">
        <f>SUMIFS(Q3619:DK3619,Q$1:DK$1,Dashboard!$K$31)</f>
        <v>0</v>
      </c>
      <c r="S3619" s="95">
        <v>33</v>
      </c>
      <c r="T3619" s="95">
        <v>80</v>
      </c>
      <c r="U3619" s="95">
        <v>33</v>
      </c>
      <c r="AA3619" s="95">
        <v>25</v>
      </c>
      <c r="AH3619" s="95">
        <v>75</v>
      </c>
    </row>
    <row r="3620" spans="1:34" x14ac:dyDescent="0.3">
      <c r="A3620" s="89" t="str">
        <f>CONCATENATE(D3620,".",F3620,"-",G3620,".",H3620,"")</f>
        <v>3.1-4.1</v>
      </c>
      <c r="B3620" s="89" t="str">
        <f>IF(CONCATENATE(I3620,Key!F$2)=CONCATENATE(INDEX(Dashboard!J:J,MATCH(I3620,Dashboard!J:J,0),1),INDEX(Dashboard!J:K,MATCH(I3620,Dashboard!J:J,0),2)),"ON",IF(Dashboard!K$32="ALL","ON","-"))</f>
        <v>-</v>
      </c>
      <c r="C3620" s="132" t="s">
        <v>311</v>
      </c>
      <c r="D3620" s="89">
        <f>IF(C3620="ID",1,(IF(C3620="PR",2,(IF(C3620="DE",3,(IF(C3620="RS",4,(IF(C3620="RC",5,0)))))))))</f>
        <v>3</v>
      </c>
      <c r="E3620" s="89" t="s">
        <v>312</v>
      </c>
      <c r="F3620" s="89">
        <f>IF(E3620="AM",1,(IF(E3620="BE",2,(IF(E3620="GV",3,(IF(E3620="RA",4,(IF(E3620="RM",5,(IF(E3620="AC",1,(IF(E3620="AT",2,(IF(E3620="DS",3,(IF(E3620="IP",4,(IF(E3620="MA",5,(IF(E3620="PT",6,(IF(E3620="AE",1,(IF(E3620="CM",2,(IF(E3620="DP",3,(IF(E3620="AN",1,(IF(E3620="CO",2,(IF(E3620="IM",3,(IF(E3620="MI",4,(IF(E3620="RP",5,(IF(E3620="SC",6,0)))))))))))))))))))))))))))))))))))))))</f>
        <v>1</v>
      </c>
      <c r="G3620" s="52">
        <v>4</v>
      </c>
      <c r="H3620" s="90" t="s">
        <v>115</v>
      </c>
      <c r="I3620" s="93" t="s">
        <v>85</v>
      </c>
      <c r="J3620" s="86" t="s">
        <v>765</v>
      </c>
      <c r="K3620" s="119" t="s">
        <v>4901</v>
      </c>
      <c r="L3620" s="117">
        <f>IF(O3620="","",N3620*O3620*M3620)</f>
        <v>0</v>
      </c>
      <c r="M3620" s="108">
        <v>1</v>
      </c>
      <c r="N3620" s="95">
        <v>1</v>
      </c>
      <c r="O3620" s="109">
        <f>IF(Key!D$1="ON",P3620,IF(SUM(Q3620:DL3620)&lt;1,"",SUM(Q3620:DL3620)/COUNTIF(Q3620:DL3620,"&gt;0")))</f>
        <v>0</v>
      </c>
      <c r="P3620" s="109">
        <f>SUMIFS(Q3620:DK3620,Q$1:DK$1,Dashboard!$K$31)</f>
        <v>0</v>
      </c>
      <c r="U3620" s="95">
        <v>33</v>
      </c>
      <c r="AA3620" s="95">
        <v>25</v>
      </c>
      <c r="AH3620" s="95">
        <v>75</v>
      </c>
    </row>
    <row r="3621" spans="1:34" x14ac:dyDescent="0.3">
      <c r="A3621" s="89" t="str">
        <f>CONCATENATE(D3621,".",F3621,"-",G3621,".",H3621,"")</f>
        <v>3.1-4.1</v>
      </c>
      <c r="B3621" s="89" t="str">
        <f>IF(CONCATENATE(I3621,Key!F$2)=CONCATENATE(INDEX(Dashboard!J:J,MATCH(I3621,Dashboard!J:J,0),1),INDEX(Dashboard!J:K,MATCH(I3621,Dashboard!J:J,0),2)),"ON",IF(Dashboard!K$32="ALL","ON","-"))</f>
        <v>-</v>
      </c>
      <c r="C3621" s="132" t="s">
        <v>311</v>
      </c>
      <c r="D3621" s="89">
        <f>IF(C3621="ID",1,(IF(C3621="PR",2,(IF(C3621="DE",3,(IF(C3621="RS",4,(IF(C3621="RC",5,0)))))))))</f>
        <v>3</v>
      </c>
      <c r="E3621" s="89" t="s">
        <v>312</v>
      </c>
      <c r="F3621" s="89">
        <f>IF(E3621="AM",1,(IF(E3621="BE",2,(IF(E3621="GV",3,(IF(E3621="RA",4,(IF(E3621="RM",5,(IF(E3621="AC",1,(IF(E3621="AT",2,(IF(E3621="DS",3,(IF(E3621="IP",4,(IF(E3621="MA",5,(IF(E3621="PT",6,(IF(E3621="AE",1,(IF(E3621="CM",2,(IF(E3621="DP",3,(IF(E3621="AN",1,(IF(E3621="CO",2,(IF(E3621="IM",3,(IF(E3621="MI",4,(IF(E3621="RP",5,(IF(E3621="SC",6,0)))))))))))))))))))))))))))))))))))))))</f>
        <v>1</v>
      </c>
      <c r="G3621" s="52">
        <v>4</v>
      </c>
      <c r="H3621" s="90" t="s">
        <v>115</v>
      </c>
      <c r="I3621" s="93" t="s">
        <v>92</v>
      </c>
      <c r="J3621" s="87">
        <v>11.5</v>
      </c>
      <c r="K3621" s="102" t="s">
        <v>5226</v>
      </c>
      <c r="L3621" s="117">
        <f>IF(O3621="","",N3621*O3621*M3621)</f>
        <v>0</v>
      </c>
      <c r="M3621" s="108">
        <v>1</v>
      </c>
      <c r="N3621" s="95">
        <v>1</v>
      </c>
      <c r="O3621" s="109">
        <f>IF(Key!D$1="ON",P3621,IF(SUM(Q3621:DL3621)&lt;1,"",SUM(Q3621:DL3621)/COUNTIF(Q3621:DL3621,"&gt;0")))</f>
        <v>0</v>
      </c>
      <c r="P3621" s="109">
        <f>SUMIFS(Q3621:DK3621,Q$1:DK$1,Dashboard!$K$31)</f>
        <v>0</v>
      </c>
      <c r="U3621" s="95">
        <v>33</v>
      </c>
      <c r="AA3621" s="95">
        <v>25</v>
      </c>
      <c r="AH3621" s="95">
        <v>75</v>
      </c>
    </row>
    <row r="3622" spans="1:34" ht="15.6" x14ac:dyDescent="0.3">
      <c r="A3622" s="89" t="str">
        <f>CONCATENATE(D3622,".",F3622,"-",G3622,".",H3622,"")</f>
        <v>3.1-5.0</v>
      </c>
      <c r="B3622" s="89" t="str">
        <f>IF(CONCATENATE(I3622,Key!F$2)=CONCATENATE(INDEX(Dashboard!J:J,MATCH(I3622,Dashboard!J:J,0),1),INDEX(Dashboard!J:K,MATCH(I3622,Dashboard!J:J,0),2)),"ON",IF(Dashboard!K$32="ALL","ON","-"))</f>
        <v>-</v>
      </c>
      <c r="C3622" s="132" t="s">
        <v>311</v>
      </c>
      <c r="D3622" s="89">
        <f>IF(C3622="ID",1,(IF(C3622="PR",2,(IF(C3622="DE",3,(IF(C3622="RS",4,(IF(C3622="RC",5,0)))))))))</f>
        <v>3</v>
      </c>
      <c r="E3622" s="89" t="s">
        <v>312</v>
      </c>
      <c r="F3622" s="89">
        <f>IF(E3622="AM",1,(IF(E3622="BE",2,(IF(E3622="GV",3,(IF(E3622="RA",4,(IF(E3622="RM",5,(IF(E3622="AC",1,(IF(E3622="AT",2,(IF(E3622="DS",3,(IF(E3622="IP",4,(IF(E3622="MA",5,(IF(E3622="PT",6,(IF(E3622="AE",1,(IF(E3622="CM",2,(IF(E3622="DP",3,(IF(E3622="AN",1,(IF(E3622="CO",2,(IF(E3622="IM",3,(IF(E3622="MI",4,(IF(E3622="RP",5,(IF(E3622="SC",6,0)))))))))))))))))))))))))))))))))))))))</f>
        <v>1</v>
      </c>
      <c r="G3622" s="52">
        <v>5</v>
      </c>
      <c r="H3622" s="90" t="s">
        <v>347</v>
      </c>
      <c r="I3622" s="93" t="s">
        <v>2835</v>
      </c>
      <c r="J3622" s="53" t="s">
        <v>3017</v>
      </c>
      <c r="K3622" s="58" t="s">
        <v>3018</v>
      </c>
      <c r="L3622" s="117">
        <f>IF(O3622="","",N3622*O3622*M3622)</f>
        <v>0</v>
      </c>
      <c r="M3622" s="108">
        <v>1</v>
      </c>
      <c r="N3622" s="95">
        <v>1</v>
      </c>
      <c r="O3622" s="109">
        <f>IF(Key!D$1="ON",P3622,IF(SUM(Q3622:DL3622)&lt;1,"",SUM(Q3622:DL3622)/COUNTIF(Q3622:DL3622,"&gt;0")))</f>
        <v>0</v>
      </c>
      <c r="P3622" s="109">
        <f>SUMIFS(Q3622:DK3622,Q$1:DK$1,Dashboard!$K$31)</f>
        <v>0</v>
      </c>
      <c r="U3622" s="95">
        <v>33</v>
      </c>
    </row>
    <row r="3623" spans="1:34" x14ac:dyDescent="0.3">
      <c r="A3623" s="89" t="str">
        <f>CONCATENATE(D3623,".",F3623,"-",G3623,".",H3623,"")</f>
        <v>3.1-5.1</v>
      </c>
      <c r="B3623" s="89" t="str">
        <f>IF(CONCATENATE(I3623,Key!F$2)=CONCATENATE(INDEX(Dashboard!J:J,MATCH(I3623,Dashboard!J:J,0),1),INDEX(Dashboard!J:K,MATCH(I3623,Dashboard!J:J,0),2)),"ON",IF(Dashboard!K$32="ALL","ON","-"))</f>
        <v>-</v>
      </c>
      <c r="C3623" s="132" t="s">
        <v>311</v>
      </c>
      <c r="D3623" s="89">
        <f>IF(C3623="ID",1,(IF(C3623="PR",2,(IF(C3623="DE",3,(IF(C3623="RS",4,(IF(C3623="RC",5,0)))))))))</f>
        <v>3</v>
      </c>
      <c r="E3623" s="89" t="s">
        <v>312</v>
      </c>
      <c r="F3623" s="89">
        <f>IF(E3623="AM",1,(IF(E3623="BE",2,(IF(E3623="GV",3,(IF(E3623="RA",4,(IF(E3623="RM",5,(IF(E3623="AC",1,(IF(E3623="AT",2,(IF(E3623="DS",3,(IF(E3623="IP",4,(IF(E3623="MA",5,(IF(E3623="PT",6,(IF(E3623="AE",1,(IF(E3623="CM",2,(IF(E3623="DP",3,(IF(E3623="AN",1,(IF(E3623="CO",2,(IF(E3623="IM",3,(IF(E3623="MI",4,(IF(E3623="RP",5,(IF(E3623="SC",6,0)))))))))))))))))))))))))))))))))))))))</f>
        <v>1</v>
      </c>
      <c r="G3623" s="52">
        <v>5</v>
      </c>
      <c r="H3623" s="99">
        <v>1</v>
      </c>
      <c r="I3623" s="93" t="s">
        <v>41</v>
      </c>
      <c r="J3623" s="86">
        <v>19.8</v>
      </c>
      <c r="K3623" s="103" t="s">
        <v>3600</v>
      </c>
      <c r="L3623" s="117">
        <f>IF(O3623="","",N3623*O3623*M3623)</f>
        <v>0</v>
      </c>
      <c r="M3623" s="108">
        <v>1</v>
      </c>
      <c r="N3623" s="95">
        <v>1</v>
      </c>
      <c r="O3623" s="109">
        <f>IF(Key!D$1="ON",P3623,IF(SUM(Q3623:DL3623)&lt;1,"",SUM(Q3623:DL3623)/COUNTIF(Q3623:DL3623,"&gt;0")))</f>
        <v>0</v>
      </c>
      <c r="P3623" s="109">
        <f>SUMIFS(Q3623:DK3623,Q$1:DK$1,Dashboard!$K$31)</f>
        <v>0</v>
      </c>
      <c r="U3623" s="95">
        <v>33</v>
      </c>
    </row>
    <row r="3624" spans="1:34" ht="15.6" x14ac:dyDescent="0.3">
      <c r="A3624" s="89" t="str">
        <f>CONCATENATE(D3624,".",F3624,"-",G3624,".",H3624,"")</f>
        <v>3.1-5.1</v>
      </c>
      <c r="B3624" s="89" t="str">
        <f>IF(CONCATENATE(I3624,Key!F$2)=CONCATENATE(INDEX(Dashboard!J:J,MATCH(I3624,Dashboard!J:J,0),1),INDEX(Dashboard!J:K,MATCH(I3624,Dashboard!J:J,0),2)),"ON",IF(Dashboard!K$32="ALL","ON","-"))</f>
        <v>-</v>
      </c>
      <c r="C3624" s="132" t="s">
        <v>311</v>
      </c>
      <c r="D3624" s="89">
        <f>IF(C3624="ID",1,(IF(C3624="PR",2,(IF(C3624="DE",3,(IF(C3624="RS",4,(IF(C3624="RC",5,0)))))))))</f>
        <v>3</v>
      </c>
      <c r="E3624" s="89" t="s">
        <v>312</v>
      </c>
      <c r="F3624" s="89">
        <f>IF(E3624="AM",1,(IF(E3624="BE",2,(IF(E3624="GV",3,(IF(E3624="RA",4,(IF(E3624="RM",5,(IF(E3624="AC",1,(IF(E3624="AT",2,(IF(E3624="DS",3,(IF(E3624="IP",4,(IF(E3624="MA",5,(IF(E3624="PT",6,(IF(E3624="AE",1,(IF(E3624="CM",2,(IF(E3624="DP",3,(IF(E3624="AN",1,(IF(E3624="CO",2,(IF(E3624="IM",3,(IF(E3624="MI",4,(IF(E3624="RP",5,(IF(E3624="SC",6,0)))))))))))))))))))))))))))))))))))))))</f>
        <v>1</v>
      </c>
      <c r="G3624" s="52">
        <v>5</v>
      </c>
      <c r="H3624" s="90" t="s">
        <v>115</v>
      </c>
      <c r="I3624" s="93" t="s">
        <v>52</v>
      </c>
      <c r="J3624" s="88" t="s">
        <v>3437</v>
      </c>
      <c r="K3624" s="103" t="s">
        <v>3438</v>
      </c>
      <c r="L3624" s="117">
        <f>IF(O3624="","",N3624*O3624*M3624)</f>
        <v>0</v>
      </c>
      <c r="M3624" s="108">
        <v>1</v>
      </c>
      <c r="N3624" s="95">
        <v>1</v>
      </c>
      <c r="O3624" s="109">
        <f>IF(Key!D$1="ON",P3624,IF(SUM(Q3624:DL3624)&lt;1,"",SUM(Q3624:DL3624)/COUNTIF(Q3624:DL3624,"&gt;0")))</f>
        <v>0</v>
      </c>
      <c r="P3624" s="109">
        <f>SUMIFS(Q3624:DK3624,Q$1:DK$1,Dashboard!$K$31)</f>
        <v>0</v>
      </c>
      <c r="U3624" s="95">
        <v>33</v>
      </c>
      <c r="AA3624" s="95">
        <v>25</v>
      </c>
      <c r="AH3624" s="95">
        <v>75</v>
      </c>
    </row>
    <row r="3625" spans="1:34" ht="15.6" x14ac:dyDescent="0.3">
      <c r="A3625" s="89" t="str">
        <f>CONCATENATE(D3625,".",F3625,"-",G3625,".",H3625,"")</f>
        <v>3.1-5.1</v>
      </c>
      <c r="B3625" s="89" t="str">
        <f>IF(CONCATENATE(I3625,Key!F$2)=CONCATENATE(INDEX(Dashboard!J:J,MATCH(I3625,Dashboard!J:J,0),1),INDEX(Dashboard!J:K,MATCH(I3625,Dashboard!J:J,0),2)),"ON",IF(Dashboard!K$32="ALL","ON","-"))</f>
        <v>-</v>
      </c>
      <c r="C3625" s="127" t="s">
        <v>311</v>
      </c>
      <c r="D3625" s="89">
        <f>IF(C3625="ID",1,(IF(C3625="PR",2,(IF(C3625="DE",3,(IF(C3625="RS",4,(IF(C3625="RC",5,0)))))))))</f>
        <v>3</v>
      </c>
      <c r="E3625" s="89" t="s">
        <v>312</v>
      </c>
      <c r="F3625" s="89">
        <f>IF(E3625="AM",1,(IF(E3625="BE",2,(IF(E3625="GV",3,(IF(E3625="RA",4,(IF(E3625="RM",5,(IF(E3625="AC",1,(IF(E3625="AT",2,(IF(E3625="DS",3,(IF(E3625="IP",4,(IF(E3625="MA",5,(IF(E3625="PT",6,(IF(E3625="AE",1,(IF(E3625="CM",2,(IF(E3625="DP",3,(IF(E3625="AN",1,(IF(E3625="CO",2,(IF(E3625="IM",3,(IF(E3625="MI",4,(IF(E3625="RP",5,(IF(E3625="SC",6,0)))))))))))))))))))))))))))))))))))))))</f>
        <v>1</v>
      </c>
      <c r="G3625" s="52">
        <v>5</v>
      </c>
      <c r="H3625" s="89">
        <v>1</v>
      </c>
      <c r="I3625" s="93" t="s">
        <v>60</v>
      </c>
      <c r="J3625" s="88" t="s">
        <v>3157</v>
      </c>
      <c r="K3625" s="51" t="s">
        <v>5270</v>
      </c>
      <c r="L3625" s="117">
        <f>IF(O3625="","",N3625*O3625*M3625)</f>
        <v>0</v>
      </c>
      <c r="M3625" s="108">
        <v>1</v>
      </c>
      <c r="N3625" s="95">
        <v>1</v>
      </c>
      <c r="O3625" s="109">
        <f>IF(Key!D$1="ON",P3625,IF(SUM(Q3625:DL3625)&lt;1,"",SUM(Q3625:DL3625)/COUNTIF(Q3625:DL3625,"&gt;0")))</f>
        <v>0</v>
      </c>
      <c r="P3625" s="109">
        <f>SUMIFS(Q3625:DK3625,Q$1:DK$1,Dashboard!$K$31)</f>
        <v>0</v>
      </c>
      <c r="U3625" s="95">
        <v>33</v>
      </c>
      <c r="AA3625" s="95">
        <v>25</v>
      </c>
      <c r="AH3625" s="95">
        <v>75</v>
      </c>
    </row>
    <row r="3626" spans="1:34" ht="15.6" x14ac:dyDescent="0.3">
      <c r="A3626" s="89" t="str">
        <f>CONCATENATE(D3626,".",F3626,"-",G3626,".",H3626,"")</f>
        <v>3.1-5.1</v>
      </c>
      <c r="B3626" s="89" t="str">
        <f>IF(CONCATENATE(I3626,Key!F$2)=CONCATENATE(INDEX(Dashboard!J:J,MATCH(I3626,Dashboard!J:J,0),1),INDEX(Dashboard!J:K,MATCH(I3626,Dashboard!J:J,0),2)),"ON",IF(Dashboard!K$32="ALL","ON","-"))</f>
        <v>-</v>
      </c>
      <c r="C3626" s="127" t="s">
        <v>311</v>
      </c>
      <c r="D3626" s="89">
        <f>IF(C3626="ID",1,(IF(C3626="PR",2,(IF(C3626="DE",3,(IF(C3626="RS",4,(IF(C3626="RC",5,0)))))))))</f>
        <v>3</v>
      </c>
      <c r="E3626" s="89" t="s">
        <v>312</v>
      </c>
      <c r="F3626" s="89">
        <f>IF(E3626="AM",1,(IF(E3626="BE",2,(IF(E3626="GV",3,(IF(E3626="RA",4,(IF(E3626="RM",5,(IF(E3626="AC",1,(IF(E3626="AT",2,(IF(E3626="DS",3,(IF(E3626="IP",4,(IF(E3626="MA",5,(IF(E3626="PT",6,(IF(E3626="AE",1,(IF(E3626="CM",2,(IF(E3626="DP",3,(IF(E3626="AN",1,(IF(E3626="CO",2,(IF(E3626="IM",3,(IF(E3626="MI",4,(IF(E3626="RP",5,(IF(E3626="SC",6,0)))))))))))))))))))))))))))))))))))))))</f>
        <v>1</v>
      </c>
      <c r="G3626" s="52">
        <v>5</v>
      </c>
      <c r="H3626" s="90" t="s">
        <v>115</v>
      </c>
      <c r="I3626" s="93" t="s">
        <v>73</v>
      </c>
      <c r="J3626" s="86" t="s">
        <v>295</v>
      </c>
      <c r="K3626" s="101" t="s">
        <v>5207</v>
      </c>
      <c r="L3626" s="117">
        <f>IF(O3626="","",N3626*O3626*M3626)</f>
        <v>0</v>
      </c>
      <c r="M3626" s="108">
        <v>1</v>
      </c>
      <c r="N3626" s="95">
        <v>1</v>
      </c>
      <c r="O3626" s="109">
        <f>IF(Key!D$1="ON",P3626,IF(SUM(Q3626:DL3626)&lt;1,"",SUM(Q3626:DL3626)/COUNTIF(Q3626:DL3626,"&gt;0")))</f>
        <v>0</v>
      </c>
      <c r="P3626" s="109">
        <f>SUMIFS(Q3626:DK3626,Q$1:DK$1,Dashboard!$K$31)</f>
        <v>0</v>
      </c>
      <c r="U3626" s="95">
        <v>33</v>
      </c>
      <c r="AA3626" s="95">
        <v>25</v>
      </c>
      <c r="AH3626" s="95">
        <v>75</v>
      </c>
    </row>
    <row r="3627" spans="1:34" ht="15.6" x14ac:dyDescent="0.3">
      <c r="A3627" s="89" t="str">
        <f>CONCATENATE(D3627,".",F3627,"-",G3627,".",H3627,"")</f>
        <v>3.1-5.1</v>
      </c>
      <c r="B3627" s="89" t="str">
        <f>IF(CONCATENATE(I3627,Key!F$2)=CONCATENATE(INDEX(Dashboard!J:J,MATCH(I3627,Dashboard!J:J,0),1),INDEX(Dashboard!J:K,MATCH(I3627,Dashboard!J:J,0),2)),"ON",IF(Dashboard!K$32="ALL","ON","-"))</f>
        <v>-</v>
      </c>
      <c r="C3627" s="127" t="s">
        <v>311</v>
      </c>
      <c r="D3627" s="89">
        <f>IF(C3627="ID",1,(IF(C3627="PR",2,(IF(C3627="DE",3,(IF(C3627="RS",4,(IF(C3627="RC",5,0)))))))))</f>
        <v>3</v>
      </c>
      <c r="E3627" s="89" t="s">
        <v>312</v>
      </c>
      <c r="F3627" s="89">
        <f>IF(E3627="AM",1,(IF(E3627="BE",2,(IF(E3627="GV",3,(IF(E3627="RA",4,(IF(E3627="RM",5,(IF(E3627="AC",1,(IF(E3627="AT",2,(IF(E3627="DS",3,(IF(E3627="IP",4,(IF(E3627="MA",5,(IF(E3627="PT",6,(IF(E3627="AE",1,(IF(E3627="CM",2,(IF(E3627="DP",3,(IF(E3627="AN",1,(IF(E3627="CO",2,(IF(E3627="IM",3,(IF(E3627="MI",4,(IF(E3627="RP",5,(IF(E3627="SC",6,0)))))))))))))))))))))))))))))))))))))))</f>
        <v>1</v>
      </c>
      <c r="G3627" s="52">
        <v>5</v>
      </c>
      <c r="H3627" s="90" t="s">
        <v>115</v>
      </c>
      <c r="I3627" s="93" t="s">
        <v>73</v>
      </c>
      <c r="J3627" s="86" t="s">
        <v>296</v>
      </c>
      <c r="K3627" s="101" t="s">
        <v>5201</v>
      </c>
      <c r="L3627" s="117">
        <f>IF(O3627="","",N3627*O3627*M3627)</f>
        <v>0</v>
      </c>
      <c r="M3627" s="108">
        <v>1</v>
      </c>
      <c r="N3627" s="95">
        <v>1</v>
      </c>
      <c r="O3627" s="109">
        <f>IF(Key!D$1="ON",P3627,IF(SUM(Q3627:DL3627)&lt;1,"",SUM(Q3627:DL3627)/COUNTIF(Q3627:DL3627,"&gt;0")))</f>
        <v>0</v>
      </c>
      <c r="P3627" s="109">
        <f>SUMIFS(Q3627:DK3627,Q$1:DK$1,Dashboard!$K$31)</f>
        <v>0</v>
      </c>
      <c r="U3627" s="95">
        <v>33</v>
      </c>
      <c r="AA3627" s="95">
        <v>25</v>
      </c>
      <c r="AH3627" s="95">
        <v>75</v>
      </c>
    </row>
    <row r="3628" spans="1:34" ht="15.6" x14ac:dyDescent="0.3">
      <c r="A3628" s="89" t="str">
        <f>CONCATENATE(D3628,".",F3628,"-",G3628,".",H3628,"")</f>
        <v>3.1-5.1</v>
      </c>
      <c r="B3628" s="89" t="str">
        <f>IF(CONCATENATE(I3628,Key!F$2)=CONCATENATE(INDEX(Dashboard!J:J,MATCH(I3628,Dashboard!J:J,0),1),INDEX(Dashboard!J:K,MATCH(I3628,Dashboard!J:J,0),2)),"ON",IF(Dashboard!K$32="ALL","ON","-"))</f>
        <v>-</v>
      </c>
      <c r="C3628" s="127" t="s">
        <v>311</v>
      </c>
      <c r="D3628" s="89">
        <f>IF(C3628="ID",1,(IF(C3628="PR",2,(IF(C3628="DE",3,(IF(C3628="RS",4,(IF(C3628="RC",5,0)))))))))</f>
        <v>3</v>
      </c>
      <c r="E3628" s="89" t="s">
        <v>312</v>
      </c>
      <c r="F3628" s="89">
        <f>IF(E3628="AM",1,(IF(E3628="BE",2,(IF(E3628="GV",3,(IF(E3628="RA",4,(IF(E3628="RM",5,(IF(E3628="AC",1,(IF(E3628="AT",2,(IF(E3628="DS",3,(IF(E3628="IP",4,(IF(E3628="MA",5,(IF(E3628="PT",6,(IF(E3628="AE",1,(IF(E3628="CM",2,(IF(E3628="DP",3,(IF(E3628="AN",1,(IF(E3628="CO",2,(IF(E3628="IM",3,(IF(E3628="MI",4,(IF(E3628="RP",5,(IF(E3628="SC",6,0)))))))))))))))))))))))))))))))))))))))</f>
        <v>1</v>
      </c>
      <c r="G3628" s="52">
        <v>5</v>
      </c>
      <c r="H3628" s="90" t="s">
        <v>115</v>
      </c>
      <c r="I3628" s="93" t="s">
        <v>77</v>
      </c>
      <c r="J3628" s="87" t="s">
        <v>1838</v>
      </c>
      <c r="K3628" s="102" t="s">
        <v>2745</v>
      </c>
      <c r="L3628" s="117">
        <f>IF(O3628="","",N3628*O3628*M3628)</f>
        <v>0</v>
      </c>
      <c r="M3628" s="108">
        <v>1</v>
      </c>
      <c r="N3628" s="95">
        <v>1</v>
      </c>
      <c r="O3628" s="109">
        <f>IF(Key!D$1="ON",P3628,IF(SUM(Q3628:DL3628)&lt;1,"",SUM(Q3628:DL3628)/COUNTIF(Q3628:DL3628,"&gt;0")))</f>
        <v>0</v>
      </c>
      <c r="P3628" s="109">
        <f>SUMIFS(Q3628:DK3628,Q$1:DK$1,Dashboard!$K$31)</f>
        <v>0</v>
      </c>
      <c r="U3628" s="95">
        <v>33</v>
      </c>
      <c r="AA3628" s="95">
        <v>25</v>
      </c>
      <c r="AH3628" s="95">
        <v>75</v>
      </c>
    </row>
    <row r="3629" spans="1:34" ht="15.6" x14ac:dyDescent="0.3">
      <c r="A3629" s="89" t="str">
        <f>CONCATENATE(D3629,".",F3629,"-",G3629,".",H3629,"")</f>
        <v>3.1-5.1</v>
      </c>
      <c r="B3629" s="89" t="str">
        <f>IF(CONCATENATE(I3629,Key!F$2)=CONCATENATE(INDEX(Dashboard!J:J,MATCH(I3629,Dashboard!J:J,0),1),INDEX(Dashboard!J:K,MATCH(I3629,Dashboard!J:J,0),2)),"ON",IF(Dashboard!K$32="ALL","ON","-"))</f>
        <v>-</v>
      </c>
      <c r="C3629" s="127" t="s">
        <v>311</v>
      </c>
      <c r="D3629" s="89">
        <f>IF(C3629="ID",1,(IF(C3629="PR",2,(IF(C3629="DE",3,(IF(C3629="RS",4,(IF(C3629="RC",5,0)))))))))</f>
        <v>3</v>
      </c>
      <c r="E3629" s="89" t="s">
        <v>312</v>
      </c>
      <c r="F3629" s="89">
        <f>IF(E3629="AM",1,(IF(E3629="BE",2,(IF(E3629="GV",3,(IF(E3629="RA",4,(IF(E3629="RM",5,(IF(E3629="AC",1,(IF(E3629="AT",2,(IF(E3629="DS",3,(IF(E3629="IP",4,(IF(E3629="MA",5,(IF(E3629="PT",6,(IF(E3629="AE",1,(IF(E3629="CM",2,(IF(E3629="DP",3,(IF(E3629="AN",1,(IF(E3629="CO",2,(IF(E3629="IM",3,(IF(E3629="MI",4,(IF(E3629="RP",5,(IF(E3629="SC",6,0)))))))))))))))))))))))))))))))))))))))</f>
        <v>1</v>
      </c>
      <c r="G3629" s="52">
        <v>5</v>
      </c>
      <c r="H3629" s="90" t="s">
        <v>115</v>
      </c>
      <c r="I3629" s="93" t="s">
        <v>85</v>
      </c>
      <c r="J3629" s="87" t="s">
        <v>1838</v>
      </c>
      <c r="K3629" s="119" t="s">
        <v>4805</v>
      </c>
      <c r="L3629" s="117">
        <f>IF(O3629="","",N3629*O3629*M3629)</f>
        <v>0</v>
      </c>
      <c r="M3629" s="108">
        <v>1</v>
      </c>
      <c r="N3629" s="95">
        <v>1</v>
      </c>
      <c r="O3629" s="109">
        <f>IF(Key!D$1="ON",P3629,IF(SUM(Q3629:DL3629)&lt;1,"",SUM(Q3629:DL3629)/COUNTIF(Q3629:DL3629,"&gt;0")))</f>
        <v>0</v>
      </c>
      <c r="P3629" s="109">
        <f>SUMIFS(Q3629:DK3629,Q$1:DK$1,Dashboard!$K$31)</f>
        <v>0</v>
      </c>
      <c r="U3629" s="95">
        <v>33</v>
      </c>
      <c r="AA3629" s="95">
        <v>25</v>
      </c>
      <c r="AH3629" s="95">
        <v>75</v>
      </c>
    </row>
    <row r="3630" spans="1:34" x14ac:dyDescent="0.3">
      <c r="A3630" s="89" t="str">
        <f>CONCATENATE(D3630,".",F3630,"-",G3630,".",H3630,"")</f>
        <v>3.1-5.1</v>
      </c>
      <c r="B3630" s="89" t="str">
        <f>IF(CONCATENATE(I3630,Key!F$2)=CONCATENATE(INDEX(Dashboard!J:J,MATCH(I3630,Dashboard!J:J,0),1),INDEX(Dashboard!J:K,MATCH(I3630,Dashboard!J:J,0),2)),"ON",IF(Dashboard!K$32="ALL","ON","-"))</f>
        <v>-</v>
      </c>
      <c r="C3630" s="127" t="s">
        <v>311</v>
      </c>
      <c r="D3630" s="89">
        <f>IF(C3630="ID",1,(IF(C3630="PR",2,(IF(C3630="DE",3,(IF(C3630="RS",4,(IF(C3630="RC",5,0)))))))))</f>
        <v>3</v>
      </c>
      <c r="E3630" s="89" t="s">
        <v>312</v>
      </c>
      <c r="F3630" s="89">
        <f>IF(E3630="AM",1,(IF(E3630="BE",2,(IF(E3630="GV",3,(IF(E3630="RA",4,(IF(E3630="RM",5,(IF(E3630="AC",1,(IF(E3630="AT",2,(IF(E3630="DS",3,(IF(E3630="IP",4,(IF(E3630="MA",5,(IF(E3630="PT",6,(IF(E3630="AE",1,(IF(E3630="CM",2,(IF(E3630="DP",3,(IF(E3630="AN",1,(IF(E3630="CO",2,(IF(E3630="IM",3,(IF(E3630="MI",4,(IF(E3630="RP",5,(IF(E3630="SC",6,0)))))))))))))))))))))))))))))))))))))))</f>
        <v>1</v>
      </c>
      <c r="G3630" s="52">
        <v>5</v>
      </c>
      <c r="H3630" s="90" t="s">
        <v>115</v>
      </c>
      <c r="I3630" s="93" t="s">
        <v>85</v>
      </c>
      <c r="J3630" s="87" t="s">
        <v>1470</v>
      </c>
      <c r="K3630" s="119" t="s">
        <v>5139</v>
      </c>
      <c r="L3630" s="117">
        <f>IF(O3630="","",N3630*O3630*M3630)</f>
        <v>0</v>
      </c>
      <c r="M3630" s="108">
        <v>1</v>
      </c>
      <c r="N3630" s="95">
        <v>1</v>
      </c>
      <c r="O3630" s="109">
        <f>IF(Key!D$1="ON",P3630,IF(SUM(Q3630:DL3630)&lt;1,"",SUM(Q3630:DL3630)/COUNTIF(Q3630:DL3630,"&gt;0")))</f>
        <v>0</v>
      </c>
      <c r="P3630" s="109">
        <f>SUMIFS(Q3630:DK3630,Q$1:DK$1,Dashboard!$K$31)</f>
        <v>0</v>
      </c>
      <c r="U3630" s="95">
        <v>33</v>
      </c>
      <c r="AA3630" s="95">
        <v>25</v>
      </c>
      <c r="AH3630" s="95">
        <v>75</v>
      </c>
    </row>
    <row r="3631" spans="1:34" x14ac:dyDescent="0.3">
      <c r="A3631" s="89" t="str">
        <f>CONCATENATE(D3631,".",F3631,"-",G3631,".",H3631,"")</f>
        <v>3.1-5.1</v>
      </c>
      <c r="B3631" s="89" t="str">
        <f>IF(CONCATENATE(I3631,Key!F$2)=CONCATENATE(INDEX(Dashboard!J:J,MATCH(I3631,Dashboard!J:J,0),1),INDEX(Dashboard!J:K,MATCH(I3631,Dashboard!J:J,0),2)),"ON",IF(Dashboard!K$32="ALL","ON","-"))</f>
        <v>-</v>
      </c>
      <c r="C3631" s="132" t="s">
        <v>311</v>
      </c>
      <c r="D3631" s="89">
        <f>IF(C3631="ID",1,(IF(C3631="PR",2,(IF(C3631="DE",3,(IF(C3631="RS",4,(IF(C3631="RC",5,0)))))))))</f>
        <v>3</v>
      </c>
      <c r="E3631" s="89" t="s">
        <v>312</v>
      </c>
      <c r="F3631" s="89">
        <f>IF(E3631="AM",1,(IF(E3631="BE",2,(IF(E3631="GV",3,(IF(E3631="RA",4,(IF(E3631="RM",5,(IF(E3631="AC",1,(IF(E3631="AT",2,(IF(E3631="DS",3,(IF(E3631="IP",4,(IF(E3631="MA",5,(IF(E3631="PT",6,(IF(E3631="AE",1,(IF(E3631="CM",2,(IF(E3631="DP",3,(IF(E3631="AN",1,(IF(E3631="CO",2,(IF(E3631="IM",3,(IF(E3631="MI",4,(IF(E3631="RP",5,(IF(E3631="SC",6,0)))))))))))))))))))))))))))))))))))))))</f>
        <v>1</v>
      </c>
      <c r="G3631" s="52">
        <v>5</v>
      </c>
      <c r="H3631" s="90" t="s">
        <v>115</v>
      </c>
      <c r="I3631" s="93" t="s">
        <v>92</v>
      </c>
      <c r="J3631" s="87">
        <v>11.4</v>
      </c>
      <c r="K3631" s="102" t="s">
        <v>5226</v>
      </c>
      <c r="L3631" s="117">
        <f>IF(O3631="","",N3631*O3631*M3631)</f>
        <v>0</v>
      </c>
      <c r="M3631" s="108">
        <v>1</v>
      </c>
      <c r="N3631" s="95">
        <v>1</v>
      </c>
      <c r="O3631" s="109">
        <f>IF(Key!D$1="ON",P3631,IF(SUM(Q3631:DL3631)&lt;1,"",SUM(Q3631:DL3631)/COUNTIF(Q3631:DL3631,"&gt;0")))</f>
        <v>0</v>
      </c>
      <c r="P3631" s="109">
        <f>SUMIFS(Q3631:DK3631,Q$1:DK$1,Dashboard!$K$31)</f>
        <v>0</v>
      </c>
      <c r="U3631" s="95">
        <v>33</v>
      </c>
      <c r="AA3631" s="95">
        <v>25</v>
      </c>
      <c r="AH3631" s="95">
        <v>75</v>
      </c>
    </row>
    <row r="3632" spans="1:34" x14ac:dyDescent="0.3">
      <c r="A3632" s="89" t="str">
        <f>CONCATENATE(D3632,".",F3632,"-",G3632,".",H3632,"")</f>
        <v>3.2-0.0</v>
      </c>
      <c r="B3632" s="89" t="str">
        <f>IF(CONCATENATE(I3632,Key!F$2)=CONCATENATE(INDEX(Dashboard!J:J,MATCH(I3632,Dashboard!J:J,0),1),INDEX(Dashboard!J:K,MATCH(I3632,Dashboard!J:J,0),2)),"ON",IF(Dashboard!K$32="ALL","ON","-"))</f>
        <v>-</v>
      </c>
      <c r="C3632" s="132" t="s">
        <v>311</v>
      </c>
      <c r="D3632" s="89">
        <f>IF(C3632="ID",1,(IF(C3632="PR",2,(IF(C3632="DE",3,(IF(C3632="RS",4,(IF(C3632="RC",5,0)))))))))</f>
        <v>3</v>
      </c>
      <c r="E3632" s="89" t="s">
        <v>316</v>
      </c>
      <c r="F3632" s="89">
        <f>IF(E3632="AM",1,(IF(E3632="BE",2,(IF(E3632="GV",3,(IF(E3632="RA",4,(IF(E3632="RM",5,(IF(E3632="AC",1,(IF(E3632="AT",2,(IF(E3632="DS",3,(IF(E3632="IP",4,(IF(E3632="MA",5,(IF(E3632="PT",6,(IF(E3632="AE",1,(IF(E3632="CM",2,(IF(E3632="DP",3,(IF(E3632="AN",1,(IF(E3632="CO",2,(IF(E3632="IM",3,(IF(E3632="MI",4,(IF(E3632="RP",5,(IF(E3632="SC",6,0)))))))))))))))))))))))))))))))))))))))</f>
        <v>2</v>
      </c>
      <c r="G3632" s="52">
        <v>0</v>
      </c>
      <c r="H3632" s="90" t="s">
        <v>347</v>
      </c>
      <c r="I3632" s="93" t="s">
        <v>2835</v>
      </c>
      <c r="J3632" s="139" t="s">
        <v>3019</v>
      </c>
      <c r="K3632" s="144" t="s">
        <v>3020</v>
      </c>
      <c r="L3632" s="117">
        <f>IF(O3632="","",N3632*O3632*M3632)</f>
        <v>0</v>
      </c>
      <c r="M3632" s="108">
        <v>1</v>
      </c>
      <c r="N3632" s="95">
        <v>1</v>
      </c>
      <c r="O3632" s="109">
        <f>IF(Key!D$1="ON",P3632,IF(SUM(Q3632:DL3632)&lt;1,"",SUM(Q3632:DL3632)/COUNTIF(Q3632:DL3632,"&gt;0")))</f>
        <v>0</v>
      </c>
      <c r="P3632" s="109">
        <f>SUMIFS(Q3632:DK3632,Q$1:DK$1,Dashboard!$K$31)</f>
        <v>0</v>
      </c>
      <c r="Q3632" s="110">
        <v>83</v>
      </c>
      <c r="U3632" s="95">
        <v>33</v>
      </c>
    </row>
    <row r="3633" spans="1:34" x14ac:dyDescent="0.3">
      <c r="A3633" s="89" t="str">
        <f>CONCATENATE(D3633,".",F3633,"-",G3633,".",H3633,"")</f>
        <v>3.2-0.1</v>
      </c>
      <c r="B3633" s="89" t="str">
        <f>IF(CONCATENATE(I3633,Key!F$2)=CONCATENATE(INDEX(Dashboard!J:J,MATCH(I3633,Dashboard!J:J,0),1),INDEX(Dashboard!J:K,MATCH(I3633,Dashboard!J:J,0),2)),"ON",IF(Dashboard!K$32="ALL","ON","-"))</f>
        <v>-</v>
      </c>
      <c r="C3633" s="132" t="s">
        <v>311</v>
      </c>
      <c r="D3633" s="89">
        <f>IF(C3633="ID",1,(IF(C3633="PR",2,(IF(C3633="DE",3,(IF(C3633="RS",4,(IF(C3633="RC",5,0)))))))))</f>
        <v>3</v>
      </c>
      <c r="E3633" s="89" t="s">
        <v>316</v>
      </c>
      <c r="F3633" s="89">
        <f>IF(E3633="AM",1,(IF(E3633="BE",2,(IF(E3633="GV",3,(IF(E3633="RA",4,(IF(E3633="RM",5,(IF(E3633="AC",1,(IF(E3633="AT",2,(IF(E3633="DS",3,(IF(E3633="IP",4,(IF(E3633="MA",5,(IF(E3633="PT",6,(IF(E3633="AE",1,(IF(E3633="CM",2,(IF(E3633="DP",3,(IF(E3633="AN",1,(IF(E3633="CO",2,(IF(E3633="IM",3,(IF(E3633="MI",4,(IF(E3633="RP",5,(IF(E3633="SC",6,0)))))))))))))))))))))))))))))))))))))))</f>
        <v>2</v>
      </c>
      <c r="G3633" s="52">
        <v>0</v>
      </c>
      <c r="H3633" s="90" t="s">
        <v>115</v>
      </c>
      <c r="I3633" s="93" t="s">
        <v>2835</v>
      </c>
      <c r="J3633" s="139" t="s">
        <v>3019</v>
      </c>
      <c r="K3633" s="144" t="s">
        <v>3021</v>
      </c>
      <c r="L3633" s="117">
        <f>IF(O3633="","",N3633*O3633*M3633)</f>
        <v>0</v>
      </c>
      <c r="M3633" s="108">
        <v>0.98</v>
      </c>
      <c r="N3633" s="95">
        <v>1</v>
      </c>
      <c r="O3633" s="109">
        <f>IF(Key!D$1="ON",P3633,IF(SUM(Q3633:DL3633)&lt;1,"",SUM(Q3633:DL3633)/COUNTIF(Q3633:DL3633,"&gt;0")))</f>
        <v>0</v>
      </c>
      <c r="P3633" s="109">
        <f>SUMIFS(Q3633:DK3633,Q$1:DK$1,Dashboard!$K$31)</f>
        <v>0</v>
      </c>
      <c r="Q3633" s="110">
        <v>83</v>
      </c>
      <c r="U3633" s="95">
        <v>33</v>
      </c>
      <c r="AA3633" s="95">
        <v>50</v>
      </c>
    </row>
    <row r="3634" spans="1:34" ht="15.6" x14ac:dyDescent="0.3">
      <c r="A3634" s="89" t="str">
        <f>CONCATENATE(D3634,".",F3634,"-",G3634,".",H3634,"")</f>
        <v>3.2-1.0</v>
      </c>
      <c r="B3634" s="89" t="str">
        <f>IF(CONCATENATE(I3634,Key!F$2)=CONCATENATE(INDEX(Dashboard!J:J,MATCH(I3634,Dashboard!J:J,0),1),INDEX(Dashboard!J:K,MATCH(I3634,Dashboard!J:J,0),2)),"ON",IF(Dashboard!K$32="ALL","ON","-"))</f>
        <v>-</v>
      </c>
      <c r="C3634" s="132" t="s">
        <v>311</v>
      </c>
      <c r="D3634" s="89">
        <f>IF(C3634="ID",1,(IF(C3634="PR",2,(IF(C3634="DE",3,(IF(C3634="RS",4,(IF(C3634="RC",5,0)))))))))</f>
        <v>3</v>
      </c>
      <c r="E3634" s="89" t="s">
        <v>316</v>
      </c>
      <c r="F3634" s="89">
        <f>IF(E3634="AM",1,(IF(E3634="BE",2,(IF(E3634="GV",3,(IF(E3634="RA",4,(IF(E3634="RM",5,(IF(E3634="AC",1,(IF(E3634="AT",2,(IF(E3634="DS",3,(IF(E3634="IP",4,(IF(E3634="MA",5,(IF(E3634="PT",6,(IF(E3634="AE",1,(IF(E3634="CM",2,(IF(E3634="DP",3,(IF(E3634="AN",1,(IF(E3634="CO",2,(IF(E3634="IM",3,(IF(E3634="MI",4,(IF(E3634="RP",5,(IF(E3634="SC",6,0)))))))))))))))))))))))))))))))))))))))</f>
        <v>2</v>
      </c>
      <c r="G3634" s="52">
        <v>1</v>
      </c>
      <c r="H3634" s="90" t="s">
        <v>347</v>
      </c>
      <c r="I3634" s="93" t="s">
        <v>2835</v>
      </c>
      <c r="J3634" s="53" t="s">
        <v>3022</v>
      </c>
      <c r="K3634" s="58" t="s">
        <v>3023</v>
      </c>
      <c r="L3634" s="117">
        <f>IF(O3634="","",N3634*O3634*M3634)</f>
        <v>0</v>
      </c>
      <c r="M3634" s="108">
        <v>1</v>
      </c>
      <c r="N3634" s="95">
        <v>1</v>
      </c>
      <c r="O3634" s="109">
        <f>IF(Key!D$1="ON",P3634,IF(SUM(Q3634:DL3634)&lt;1,"",SUM(Q3634:DL3634)/COUNTIF(Q3634:DL3634,"&gt;0")))</f>
        <v>0</v>
      </c>
      <c r="P3634" s="109">
        <f>SUMIFS(Q3634:DK3634,Q$1:DK$1,Dashboard!$K$31)</f>
        <v>0</v>
      </c>
      <c r="U3634" s="95">
        <v>33</v>
      </c>
    </row>
    <row r="3635" spans="1:34" ht="15.6" x14ac:dyDescent="0.3">
      <c r="A3635" s="89" t="str">
        <f>CONCATENATE(D3635,".",F3635,"-",G3635,".",H3635,"")</f>
        <v>3.2-1.1</v>
      </c>
      <c r="B3635" s="89" t="str">
        <f>IF(CONCATENATE(I3635,Key!F$2)=CONCATENATE(INDEX(Dashboard!J:J,MATCH(I3635,Dashboard!J:J,0),1),INDEX(Dashboard!J:K,MATCH(I3635,Dashboard!J:J,0),2)),"ON",IF(Dashboard!K$32="ALL","ON","-"))</f>
        <v>ON</v>
      </c>
      <c r="C3635" s="133" t="s">
        <v>311</v>
      </c>
      <c r="D3635" s="89">
        <f>IF(C3635="ID",1,(IF(C3635="PR",2,(IF(C3635="DE",3,(IF(C3635="RS",4,(IF(C3635="RC",5,0)))))))))</f>
        <v>3</v>
      </c>
      <c r="E3635" s="95" t="s">
        <v>316</v>
      </c>
      <c r="F3635" s="89">
        <f>IF(E3635="AM",1,(IF(E3635="BE",2,(IF(E3635="GV",3,(IF(E3635="RA",4,(IF(E3635="RM",5,(IF(E3635="AC",1,(IF(E3635="AT",2,(IF(E3635="DS",3,(IF(E3635="IP",4,(IF(E3635="MA",5,(IF(E3635="PT",6,(IF(E3635="AE",1,(IF(E3635="CM",2,(IF(E3635="DP",3,(IF(E3635="AN",1,(IF(E3635="CO",2,(IF(E3635="IM",3,(IF(E3635="MI",4,(IF(E3635="RP",5,(IF(E3635="SC",6,0)))))))))))))))))))))))))))))))))))))))</f>
        <v>2</v>
      </c>
      <c r="G3635" s="52">
        <v>1</v>
      </c>
      <c r="H3635" s="90" t="s">
        <v>115</v>
      </c>
      <c r="I3635" s="93" t="s">
        <v>4107</v>
      </c>
      <c r="J3635" s="86" t="s">
        <v>3964</v>
      </c>
      <c r="K3635" s="101" t="s">
        <v>4364</v>
      </c>
      <c r="L3635" s="117">
        <f>IF(O3635="","",N3635*O3635*M3635)</f>
        <v>0</v>
      </c>
      <c r="M3635" s="108">
        <v>1</v>
      </c>
      <c r="N3635" s="95">
        <v>1</v>
      </c>
      <c r="O3635" s="109">
        <f>IF(Key!D$1="ON",P3635,IF(SUM(Q3635:DL3635)&lt;1,"",SUM(Q3635:DL3635)/COUNTIF(Q3635:DL3635,"&gt;0")))</f>
        <v>0</v>
      </c>
      <c r="P3635" s="109">
        <f>SUMIFS(Q3635:DK3635,Q$1:DK$1,Dashboard!$K$31)</f>
        <v>0</v>
      </c>
      <c r="U3635" s="95">
        <v>33</v>
      </c>
      <c r="AA3635" s="95">
        <v>25</v>
      </c>
      <c r="AH3635" s="95">
        <v>75</v>
      </c>
    </row>
    <row r="3636" spans="1:34" x14ac:dyDescent="0.3">
      <c r="A3636" s="89" t="str">
        <f>CONCATENATE(D3636,".",F3636,"-",G3636,".",H3636,"")</f>
        <v>3.2-1.1</v>
      </c>
      <c r="B3636" s="89" t="str">
        <f>IF(CONCATENATE(I3636,Key!F$2)=CONCATENATE(INDEX(Dashboard!J:J,MATCH(I3636,Dashboard!J:J,0),1),INDEX(Dashboard!J:K,MATCH(I3636,Dashboard!J:J,0),2)),"ON",IF(Dashboard!K$32="ALL","ON","-"))</f>
        <v>ON</v>
      </c>
      <c r="C3636" s="133" t="s">
        <v>311</v>
      </c>
      <c r="D3636" s="89">
        <f>IF(C3636="ID",1,(IF(C3636="PR",2,(IF(C3636="DE",3,(IF(C3636="RS",4,(IF(C3636="RC",5,0)))))))))</f>
        <v>3</v>
      </c>
      <c r="E3636" s="95" t="s">
        <v>316</v>
      </c>
      <c r="F3636" s="89">
        <f>IF(E3636="AM",1,(IF(E3636="BE",2,(IF(E3636="GV",3,(IF(E3636="RA",4,(IF(E3636="RM",5,(IF(E3636="AC",1,(IF(E3636="AT",2,(IF(E3636="DS",3,(IF(E3636="IP",4,(IF(E3636="MA",5,(IF(E3636="PT",6,(IF(E3636="AE",1,(IF(E3636="CM",2,(IF(E3636="DP",3,(IF(E3636="AN",1,(IF(E3636="CO",2,(IF(E3636="IM",3,(IF(E3636="MI",4,(IF(E3636="RP",5,(IF(E3636="SC",6,0)))))))))))))))))))))))))))))))))))))))</f>
        <v>2</v>
      </c>
      <c r="G3636" s="52">
        <v>1</v>
      </c>
      <c r="H3636" s="90" t="s">
        <v>115</v>
      </c>
      <c r="I3636" s="93" t="s">
        <v>4107</v>
      </c>
      <c r="J3636" s="86" t="s">
        <v>4006</v>
      </c>
      <c r="K3636" s="101" t="s">
        <v>4378</v>
      </c>
      <c r="L3636" s="117">
        <f>IF(O3636="","",N3636*O3636*M3636)</f>
        <v>0</v>
      </c>
      <c r="M3636" s="108">
        <v>1</v>
      </c>
      <c r="N3636" s="95">
        <v>1</v>
      </c>
      <c r="O3636" s="109">
        <f>IF(Key!D$1="ON",P3636,IF(SUM(Q3636:DL3636)&lt;1,"",SUM(Q3636:DL3636)/COUNTIF(Q3636:DL3636,"&gt;0")))</f>
        <v>0</v>
      </c>
      <c r="P3636" s="109">
        <f>SUMIFS(Q3636:DK3636,Q$1:DK$1,Dashboard!$K$31)</f>
        <v>0</v>
      </c>
      <c r="U3636" s="95">
        <v>33</v>
      </c>
      <c r="AA3636" s="95">
        <v>25</v>
      </c>
      <c r="AH3636" s="95">
        <v>75</v>
      </c>
    </row>
    <row r="3637" spans="1:34" ht="15.6" x14ac:dyDescent="0.3">
      <c r="A3637" s="89" t="str">
        <f>CONCATENATE(D3637,".",F3637,"-",G3637,".",H3637,"")</f>
        <v>3.2-1.1</v>
      </c>
      <c r="B3637" s="89" t="str">
        <f>IF(CONCATENATE(I3637,Key!F$2)=CONCATENATE(INDEX(Dashboard!J:J,MATCH(I3637,Dashboard!J:J,0),1),INDEX(Dashboard!J:K,MATCH(I3637,Dashboard!J:J,0),2)),"ON",IF(Dashboard!K$32="ALL","ON","-"))</f>
        <v>ON</v>
      </c>
      <c r="C3637" s="133" t="s">
        <v>311</v>
      </c>
      <c r="D3637" s="89">
        <f>IF(C3637="ID",1,(IF(C3637="PR",2,(IF(C3637="DE",3,(IF(C3637="RS",4,(IF(C3637="RC",5,0)))))))))</f>
        <v>3</v>
      </c>
      <c r="E3637" s="95" t="s">
        <v>316</v>
      </c>
      <c r="F3637" s="89">
        <f>IF(E3637="AM",1,(IF(E3637="BE",2,(IF(E3637="GV",3,(IF(E3637="RA",4,(IF(E3637="RM",5,(IF(E3637="AC",1,(IF(E3637="AT",2,(IF(E3637="DS",3,(IF(E3637="IP",4,(IF(E3637="MA",5,(IF(E3637="PT",6,(IF(E3637="AE",1,(IF(E3637="CM",2,(IF(E3637="DP",3,(IF(E3637="AN",1,(IF(E3637="CO",2,(IF(E3637="IM",3,(IF(E3637="MI",4,(IF(E3637="RP",5,(IF(E3637="SC",6,0)))))))))))))))))))))))))))))))))))))))</f>
        <v>2</v>
      </c>
      <c r="G3637" s="52">
        <v>1</v>
      </c>
      <c r="H3637" s="90" t="s">
        <v>115</v>
      </c>
      <c r="I3637" s="93" t="s">
        <v>4107</v>
      </c>
      <c r="J3637" s="86" t="s">
        <v>4065</v>
      </c>
      <c r="K3637" s="101" t="s">
        <v>4469</v>
      </c>
      <c r="L3637" s="117">
        <f>IF(O3637="","",N3637*O3637*M3637)</f>
        <v>0</v>
      </c>
      <c r="M3637" s="108">
        <v>1</v>
      </c>
      <c r="N3637" s="95">
        <v>1</v>
      </c>
      <c r="O3637" s="109">
        <f>IF(Key!D$1="ON",P3637,IF(SUM(Q3637:DL3637)&lt;1,"",SUM(Q3637:DL3637)/COUNTIF(Q3637:DL3637,"&gt;0")))</f>
        <v>0</v>
      </c>
      <c r="P3637" s="109">
        <f>SUMIFS(Q3637:DK3637,Q$1:DK$1,Dashboard!$K$31)</f>
        <v>0</v>
      </c>
      <c r="U3637" s="95">
        <v>33</v>
      </c>
      <c r="AA3637" s="95">
        <v>25</v>
      </c>
      <c r="AH3637" s="95">
        <v>75</v>
      </c>
    </row>
    <row r="3638" spans="1:34" x14ac:dyDescent="0.3">
      <c r="A3638" s="89" t="str">
        <f>CONCATENATE(D3638,".",F3638,"-",G3638,".",H3638,"")</f>
        <v>3.2-1.1</v>
      </c>
      <c r="B3638" s="89" t="str">
        <f>IF(CONCATENATE(I3638,Key!F$2)=CONCATENATE(INDEX(Dashboard!J:J,MATCH(I3638,Dashboard!J:J,0),1),INDEX(Dashboard!J:K,MATCH(I3638,Dashboard!J:J,0),2)),"ON",IF(Dashboard!K$32="ALL","ON","-"))</f>
        <v>ON</v>
      </c>
      <c r="C3638" s="132" t="s">
        <v>311</v>
      </c>
      <c r="D3638" s="89">
        <f>IF(C3638="ID",1,(IF(C3638="PR",2,(IF(C3638="DE",3,(IF(C3638="RS",4,(IF(C3638="RC",5,0)))))))))</f>
        <v>3</v>
      </c>
      <c r="E3638" s="89" t="s">
        <v>316</v>
      </c>
      <c r="F3638" s="89">
        <f>IF(E3638="AM",1,(IF(E3638="BE",2,(IF(E3638="GV",3,(IF(E3638="RA",4,(IF(E3638="RM",5,(IF(E3638="AC",1,(IF(E3638="AT",2,(IF(E3638="DS",3,(IF(E3638="IP",4,(IF(E3638="MA",5,(IF(E3638="PT",6,(IF(E3638="AE",1,(IF(E3638="CM",2,(IF(E3638="DP",3,(IF(E3638="AN",1,(IF(E3638="CO",2,(IF(E3638="IM",3,(IF(E3638="MI",4,(IF(E3638="RP",5,(IF(E3638="SC",6,0)))))))))))))))))))))))))))))))))))))))</f>
        <v>2</v>
      </c>
      <c r="G3638" s="52">
        <v>1</v>
      </c>
      <c r="H3638" s="90" t="s">
        <v>115</v>
      </c>
      <c r="I3638" s="93" t="s">
        <v>4107</v>
      </c>
      <c r="J3638" s="86" t="s">
        <v>4088</v>
      </c>
      <c r="K3638" s="101" t="s">
        <v>4410</v>
      </c>
      <c r="L3638" s="117">
        <f>IF(O3638="","",N3638*O3638*M3638)</f>
        <v>0</v>
      </c>
      <c r="M3638" s="108">
        <v>1</v>
      </c>
      <c r="N3638" s="95">
        <v>1</v>
      </c>
      <c r="O3638" s="109">
        <f>IF(Key!D$1="ON",P3638,IF(SUM(Q3638:DL3638)&lt;1,"",SUM(Q3638:DL3638)/COUNTIF(Q3638:DL3638,"&gt;0")))</f>
        <v>0</v>
      </c>
      <c r="P3638" s="109">
        <f>SUMIFS(Q3638:DK3638,Q$1:DK$1,Dashboard!$K$31)</f>
        <v>0</v>
      </c>
      <c r="U3638" s="95">
        <v>33</v>
      </c>
      <c r="AA3638" s="95">
        <v>25</v>
      </c>
      <c r="AH3638" s="95">
        <v>75</v>
      </c>
    </row>
    <row r="3639" spans="1:34" ht="15.6" x14ac:dyDescent="0.3">
      <c r="A3639" s="89" t="str">
        <f>CONCATENATE(D3639,".",F3639,"-",G3639,".",H3639,"")</f>
        <v>3.2-1.1</v>
      </c>
      <c r="B3639" s="89" t="str">
        <f>IF(CONCATENATE(I3639,Key!F$2)=CONCATENATE(INDEX(Dashboard!J:J,MATCH(I3639,Dashboard!J:J,0),1),INDEX(Dashboard!J:K,MATCH(I3639,Dashboard!J:J,0),2)),"ON",IF(Dashboard!K$32="ALL","ON","-"))</f>
        <v>ON</v>
      </c>
      <c r="C3639" s="132" t="s">
        <v>311</v>
      </c>
      <c r="D3639" s="89">
        <f>IF(C3639="ID",1,(IF(C3639="PR",2,(IF(C3639="DE",3,(IF(C3639="RS",4,(IF(C3639="RC",5,0)))))))))</f>
        <v>3</v>
      </c>
      <c r="E3639" s="89" t="s">
        <v>316</v>
      </c>
      <c r="F3639" s="89">
        <f>IF(E3639="AM",1,(IF(E3639="BE",2,(IF(E3639="GV",3,(IF(E3639="RA",4,(IF(E3639="RM",5,(IF(E3639="AC",1,(IF(E3639="AT",2,(IF(E3639="DS",3,(IF(E3639="IP",4,(IF(E3639="MA",5,(IF(E3639="PT",6,(IF(E3639="AE",1,(IF(E3639="CM",2,(IF(E3639="DP",3,(IF(E3639="AN",1,(IF(E3639="CO",2,(IF(E3639="IM",3,(IF(E3639="MI",4,(IF(E3639="RP",5,(IF(E3639="SC",6,0)))))))))))))))))))))))))))))))))))))))</f>
        <v>2</v>
      </c>
      <c r="G3639" s="52">
        <v>1</v>
      </c>
      <c r="H3639" s="90" t="s">
        <v>115</v>
      </c>
      <c r="I3639" s="93" t="s">
        <v>4107</v>
      </c>
      <c r="J3639" s="86" t="s">
        <v>4090</v>
      </c>
      <c r="K3639" s="101" t="s">
        <v>4411</v>
      </c>
      <c r="L3639" s="117">
        <f>IF(O3639="","",N3639*O3639*M3639)</f>
        <v>0</v>
      </c>
      <c r="M3639" s="108">
        <v>1</v>
      </c>
      <c r="N3639" s="95">
        <v>1</v>
      </c>
      <c r="O3639" s="109">
        <f>IF(Key!D$1="ON",P3639,IF(SUM(Q3639:DL3639)&lt;1,"",SUM(Q3639:DL3639)/COUNTIF(Q3639:DL3639,"&gt;0")))</f>
        <v>0</v>
      </c>
      <c r="P3639" s="109">
        <f>SUMIFS(Q3639:DK3639,Q$1:DK$1,Dashboard!$K$31)</f>
        <v>0</v>
      </c>
      <c r="U3639" s="95">
        <v>33</v>
      </c>
      <c r="AA3639" s="95">
        <v>25</v>
      </c>
      <c r="AH3639" s="95">
        <v>75</v>
      </c>
    </row>
    <row r="3640" spans="1:34" x14ac:dyDescent="0.3">
      <c r="A3640" s="89" t="str">
        <f>CONCATENATE(D3640,".",F3640,"-",G3640,".",H3640,"")</f>
        <v>3.2-1.1</v>
      </c>
      <c r="B3640" s="89" t="str">
        <f>IF(CONCATENATE(I3640,Key!F$2)=CONCATENATE(INDEX(Dashboard!J:J,MATCH(I3640,Dashboard!J:J,0),1),INDEX(Dashboard!J:K,MATCH(I3640,Dashboard!J:J,0),2)),"ON",IF(Dashboard!K$32="ALL","ON","-"))</f>
        <v>ON</v>
      </c>
      <c r="C3640" s="133" t="s">
        <v>311</v>
      </c>
      <c r="D3640" s="89">
        <f>IF(C3640="ID",1,(IF(C3640="PR",2,(IF(C3640="DE",3,(IF(C3640="RS",4,(IF(C3640="RC",5,0)))))))))</f>
        <v>3</v>
      </c>
      <c r="E3640" s="95" t="s">
        <v>316</v>
      </c>
      <c r="F3640" s="89">
        <f>IF(E3640="AM",1,(IF(E3640="BE",2,(IF(E3640="GV",3,(IF(E3640="RA",4,(IF(E3640="RM",5,(IF(E3640="AC",1,(IF(E3640="AT",2,(IF(E3640="DS",3,(IF(E3640="IP",4,(IF(E3640="MA",5,(IF(E3640="PT",6,(IF(E3640="AE",1,(IF(E3640="CM",2,(IF(E3640="DP",3,(IF(E3640="AN",1,(IF(E3640="CO",2,(IF(E3640="IM",3,(IF(E3640="MI",4,(IF(E3640="RP",5,(IF(E3640="SC",6,0)))))))))))))))))))))))))))))))))))))))</f>
        <v>2</v>
      </c>
      <c r="G3640" s="52">
        <v>1</v>
      </c>
      <c r="H3640" s="90" t="s">
        <v>115</v>
      </c>
      <c r="I3640" s="93" t="s">
        <v>4107</v>
      </c>
      <c r="J3640" s="86" t="s">
        <v>4099</v>
      </c>
      <c r="K3640" s="101" t="s">
        <v>4481</v>
      </c>
      <c r="L3640" s="117">
        <f>IF(O3640="","",N3640*O3640*M3640)</f>
        <v>0</v>
      </c>
      <c r="M3640" s="108">
        <v>1</v>
      </c>
      <c r="N3640" s="95">
        <v>1</v>
      </c>
      <c r="O3640" s="109">
        <f>IF(Key!D$1="ON",P3640,IF(SUM(Q3640:DL3640)&lt;1,"",SUM(Q3640:DL3640)/COUNTIF(Q3640:DL3640,"&gt;0")))</f>
        <v>0</v>
      </c>
      <c r="P3640" s="109">
        <f>SUMIFS(Q3640:DK3640,Q$1:DK$1,Dashboard!$K$31)</f>
        <v>0</v>
      </c>
      <c r="U3640" s="95">
        <v>33</v>
      </c>
      <c r="AA3640" s="95">
        <v>25</v>
      </c>
      <c r="AH3640" s="95">
        <v>75</v>
      </c>
    </row>
    <row r="3641" spans="1:34" ht="15.6" x14ac:dyDescent="0.3">
      <c r="A3641" s="89" t="str">
        <f>CONCATENATE(D3641,".",F3641,"-",G3641,".",H3641,"")</f>
        <v>3.2-1.1</v>
      </c>
      <c r="B3641" s="89" t="str">
        <f>IF(CONCATENATE(I3641,Key!F$2)=CONCATENATE(INDEX(Dashboard!J:J,MATCH(I3641,Dashboard!J:J,0),1),INDEX(Dashboard!J:K,MATCH(I3641,Dashboard!J:J,0),2)),"ON",IF(Dashboard!K$32="ALL","ON","-"))</f>
        <v>ON</v>
      </c>
      <c r="C3641" s="133" t="s">
        <v>311</v>
      </c>
      <c r="D3641" s="89">
        <f>IF(C3641="ID",1,(IF(C3641="PR",2,(IF(C3641="DE",3,(IF(C3641="RS",4,(IF(C3641="RC",5,0)))))))))</f>
        <v>3</v>
      </c>
      <c r="E3641" s="95" t="s">
        <v>316</v>
      </c>
      <c r="F3641" s="89">
        <f>IF(E3641="AM",1,(IF(E3641="BE",2,(IF(E3641="GV",3,(IF(E3641="RA",4,(IF(E3641="RM",5,(IF(E3641="AC",1,(IF(E3641="AT",2,(IF(E3641="DS",3,(IF(E3641="IP",4,(IF(E3641="MA",5,(IF(E3641="PT",6,(IF(E3641="AE",1,(IF(E3641="CM",2,(IF(E3641="DP",3,(IF(E3641="AN",1,(IF(E3641="CO",2,(IF(E3641="IM",3,(IF(E3641="MI",4,(IF(E3641="RP",5,(IF(E3641="SC",6,0)))))))))))))))))))))))))))))))))))))))</f>
        <v>2</v>
      </c>
      <c r="G3641" s="52">
        <v>1</v>
      </c>
      <c r="H3641" s="90" t="s">
        <v>115</v>
      </c>
      <c r="I3641" s="93" t="s">
        <v>4107</v>
      </c>
      <c r="J3641" s="86" t="s">
        <v>4100</v>
      </c>
      <c r="K3641" s="101" t="s">
        <v>4416</v>
      </c>
      <c r="L3641" s="117">
        <f>IF(O3641="","",N3641*O3641*M3641)</f>
        <v>0</v>
      </c>
      <c r="M3641" s="108">
        <v>1</v>
      </c>
      <c r="N3641" s="95">
        <v>1</v>
      </c>
      <c r="O3641" s="109">
        <f>IF(Key!D$1="ON",P3641,IF(SUM(Q3641:DL3641)&lt;1,"",SUM(Q3641:DL3641)/COUNTIF(Q3641:DL3641,"&gt;0")))</f>
        <v>0</v>
      </c>
      <c r="P3641" s="109">
        <f>SUMIFS(Q3641:DK3641,Q$1:DK$1,Dashboard!$K$31)</f>
        <v>0</v>
      </c>
      <c r="U3641" s="95">
        <v>33</v>
      </c>
      <c r="AA3641" s="95">
        <v>25</v>
      </c>
      <c r="AH3641" s="95">
        <v>75</v>
      </c>
    </row>
    <row r="3642" spans="1:34" x14ac:dyDescent="0.3">
      <c r="A3642" s="89" t="str">
        <f>CONCATENATE(D3642,".",F3642,"-",G3642,".",H3642,"")</f>
        <v>3.2-1.1</v>
      </c>
      <c r="B3642" s="89" t="str">
        <f>IF(CONCATENATE(I3642,Key!F$2)=CONCATENATE(INDEX(Dashboard!J:J,MATCH(I3642,Dashboard!J:J,0),1),INDEX(Dashboard!J:K,MATCH(I3642,Dashboard!J:J,0),2)),"ON",IF(Dashboard!K$32="ALL","ON","-"))</f>
        <v>ON</v>
      </c>
      <c r="C3642" s="133" t="s">
        <v>311</v>
      </c>
      <c r="D3642" s="89">
        <f>IF(C3642="ID",1,(IF(C3642="PR",2,(IF(C3642="DE",3,(IF(C3642="RS",4,(IF(C3642="RC",5,0)))))))))</f>
        <v>3</v>
      </c>
      <c r="E3642" s="95" t="s">
        <v>316</v>
      </c>
      <c r="F3642" s="89">
        <f>IF(E3642="AM",1,(IF(E3642="BE",2,(IF(E3642="GV",3,(IF(E3642="RA",4,(IF(E3642="RM",5,(IF(E3642="AC",1,(IF(E3642="AT",2,(IF(E3642="DS",3,(IF(E3642="IP",4,(IF(E3642="MA",5,(IF(E3642="PT",6,(IF(E3642="AE",1,(IF(E3642="CM",2,(IF(E3642="DP",3,(IF(E3642="AN",1,(IF(E3642="CO",2,(IF(E3642="IM",3,(IF(E3642="MI",4,(IF(E3642="RP",5,(IF(E3642="SC",6,0)))))))))))))))))))))))))))))))))))))))</f>
        <v>2</v>
      </c>
      <c r="G3642" s="52">
        <v>1</v>
      </c>
      <c r="H3642" s="90" t="s">
        <v>115</v>
      </c>
      <c r="I3642" s="93" t="s">
        <v>4107</v>
      </c>
      <c r="J3642" s="86" t="s">
        <v>4106</v>
      </c>
      <c r="K3642" s="101" t="s">
        <v>4422</v>
      </c>
      <c r="L3642" s="117">
        <f>IF(O3642="","",N3642*O3642*M3642)</f>
        <v>0</v>
      </c>
      <c r="M3642" s="108">
        <v>1</v>
      </c>
      <c r="N3642" s="95">
        <v>1</v>
      </c>
      <c r="O3642" s="109">
        <f>IF(Key!D$1="ON",P3642,IF(SUM(Q3642:DL3642)&lt;1,"",SUM(Q3642:DL3642)/COUNTIF(Q3642:DL3642,"&gt;0")))</f>
        <v>0</v>
      </c>
      <c r="P3642" s="109">
        <f>SUMIFS(Q3642:DK3642,Q$1:DK$1,Dashboard!$K$31)</f>
        <v>0</v>
      </c>
      <c r="U3642" s="95">
        <v>33</v>
      </c>
      <c r="AA3642" s="95">
        <v>25</v>
      </c>
      <c r="AH3642" s="95">
        <v>75</v>
      </c>
    </row>
    <row r="3643" spans="1:34" x14ac:dyDescent="0.3">
      <c r="A3643" s="89" t="str">
        <f>CONCATENATE(D3643,".",F3643,"-",G3643,".",H3643,"")</f>
        <v>3.2-1.1</v>
      </c>
      <c r="B3643" s="89" t="str">
        <f>IF(CONCATENATE(I3643,Key!F$2)=CONCATENATE(INDEX(Dashboard!J:J,MATCH(I3643,Dashboard!J:J,0),1),INDEX(Dashboard!J:K,MATCH(I3643,Dashboard!J:J,0),2)),"ON",IF(Dashboard!K$32="ALL","ON","-"))</f>
        <v>-</v>
      </c>
      <c r="C3643" s="127" t="s">
        <v>311</v>
      </c>
      <c r="D3643" s="89">
        <f>IF(C3643="ID",1,(IF(C3643="PR",2,(IF(C3643="DE",3,(IF(C3643="RS",4,(IF(C3643="RC",5,0)))))))))</f>
        <v>3</v>
      </c>
      <c r="E3643" s="89" t="s">
        <v>316</v>
      </c>
      <c r="F3643" s="89">
        <f>IF(E3643="AM",1,(IF(E3643="BE",2,(IF(E3643="GV",3,(IF(E3643="RA",4,(IF(E3643="RM",5,(IF(E3643="AC",1,(IF(E3643="AT",2,(IF(E3643="DS",3,(IF(E3643="IP",4,(IF(E3643="MA",5,(IF(E3643="PT",6,(IF(E3643="AE",1,(IF(E3643="CM",2,(IF(E3643="DP",3,(IF(E3643="AN",1,(IF(E3643="CO",2,(IF(E3643="IM",3,(IF(E3643="MI",4,(IF(E3643="RP",5,(IF(E3643="SC",6,0)))))))))))))))))))))))))))))))))))))))</f>
        <v>2</v>
      </c>
      <c r="G3643" s="52">
        <v>1</v>
      </c>
      <c r="H3643" s="99">
        <v>1</v>
      </c>
      <c r="I3643" s="93" t="s">
        <v>37</v>
      </c>
      <c r="J3643" s="86">
        <v>11.3</v>
      </c>
      <c r="K3643" s="102" t="s">
        <v>3819</v>
      </c>
      <c r="L3643" s="117">
        <f>IF(O3643="","",N3643*O3643*M3643)</f>
        <v>0</v>
      </c>
      <c r="M3643" s="108">
        <v>1</v>
      </c>
      <c r="N3643" s="95">
        <v>1</v>
      </c>
      <c r="O3643" s="109">
        <f>IF(Key!D$1="ON",P3643,IF(SUM(Q3643:DL3643)&lt;1,"",SUM(Q3643:DL3643)/COUNTIF(Q3643:DL3643,"&gt;0")))</f>
        <v>0</v>
      </c>
      <c r="P3643" s="109">
        <f>SUMIFS(Q3643:DK3643,Q$1:DK$1,Dashboard!$K$31)</f>
        <v>0</v>
      </c>
      <c r="U3643" s="95">
        <v>33</v>
      </c>
      <c r="AA3643" s="95">
        <v>25</v>
      </c>
      <c r="AH3643" s="95">
        <v>75</v>
      </c>
    </row>
    <row r="3644" spans="1:34" x14ac:dyDescent="0.3">
      <c r="A3644" s="89" t="str">
        <f>CONCATENATE(D3644,".",F3644,"-",G3644,".",H3644,"")</f>
        <v>3.2-1.1</v>
      </c>
      <c r="B3644" s="89" t="str">
        <f>IF(CONCATENATE(I3644,Key!F$2)=CONCATENATE(INDEX(Dashboard!J:J,MATCH(I3644,Dashboard!J:J,0),1),INDEX(Dashboard!J:K,MATCH(I3644,Dashboard!J:J,0),2)),"ON",IF(Dashboard!K$32="ALL","ON","-"))</f>
        <v>-</v>
      </c>
      <c r="C3644" s="127" t="s">
        <v>311</v>
      </c>
      <c r="D3644" s="89">
        <f>IF(C3644="ID",1,(IF(C3644="PR",2,(IF(C3644="DE",3,(IF(C3644="RS",4,(IF(C3644="RC",5,0)))))))))</f>
        <v>3</v>
      </c>
      <c r="E3644" s="89" t="s">
        <v>316</v>
      </c>
      <c r="F3644" s="89">
        <f>IF(E3644="AM",1,(IF(E3644="BE",2,(IF(E3644="GV",3,(IF(E3644="RA",4,(IF(E3644="RM",5,(IF(E3644="AC",1,(IF(E3644="AT",2,(IF(E3644="DS",3,(IF(E3644="IP",4,(IF(E3644="MA",5,(IF(E3644="PT",6,(IF(E3644="AE",1,(IF(E3644="CM",2,(IF(E3644="DP",3,(IF(E3644="AN",1,(IF(E3644="CO",2,(IF(E3644="IM",3,(IF(E3644="MI",4,(IF(E3644="RP",5,(IF(E3644="SC",6,0)))))))))))))))))))))))))))))))))))))))</f>
        <v>2</v>
      </c>
      <c r="G3644" s="52">
        <v>1</v>
      </c>
      <c r="H3644" s="99">
        <v>1</v>
      </c>
      <c r="I3644" s="93" t="s">
        <v>37</v>
      </c>
      <c r="J3644" s="86">
        <v>12</v>
      </c>
      <c r="K3644" s="102" t="s">
        <v>3820</v>
      </c>
      <c r="L3644" s="117">
        <f>IF(O3644="","",N3644*O3644*M3644)</f>
        <v>0</v>
      </c>
      <c r="M3644" s="108">
        <v>1</v>
      </c>
      <c r="N3644" s="95">
        <v>1</v>
      </c>
      <c r="O3644" s="109">
        <f>IF(Key!D$1="ON",P3644,IF(SUM(Q3644:DL3644)&lt;1,"",SUM(Q3644:DL3644)/COUNTIF(Q3644:DL3644,"&gt;0")))</f>
        <v>0</v>
      </c>
      <c r="P3644" s="109">
        <f>SUMIFS(Q3644:DK3644,Q$1:DK$1,Dashboard!$K$31)</f>
        <v>0</v>
      </c>
      <c r="U3644" s="95">
        <v>33</v>
      </c>
      <c r="AA3644" s="95">
        <v>25</v>
      </c>
      <c r="AH3644" s="95">
        <v>75</v>
      </c>
    </row>
    <row r="3645" spans="1:34" ht="15.6" x14ac:dyDescent="0.3">
      <c r="A3645" s="89" t="str">
        <f>CONCATENATE(D3645,".",F3645,"-",G3645,".",H3645,"")</f>
        <v>3.2-1.1</v>
      </c>
      <c r="B3645" s="89" t="str">
        <f>IF(CONCATENATE(I3645,Key!F$2)=CONCATENATE(INDEX(Dashboard!J:J,MATCH(I3645,Dashboard!J:J,0),1),INDEX(Dashboard!J:K,MATCH(I3645,Dashboard!J:J,0),2)),"ON",IF(Dashboard!K$32="ALL","ON","-"))</f>
        <v>-</v>
      </c>
      <c r="C3645" s="127" t="s">
        <v>311</v>
      </c>
      <c r="D3645" s="89">
        <f>IF(C3645="ID",1,(IF(C3645="PR",2,(IF(C3645="DE",3,(IF(C3645="RS",4,(IF(C3645="RC",5,0)))))))))</f>
        <v>3</v>
      </c>
      <c r="E3645" s="89" t="s">
        <v>316</v>
      </c>
      <c r="F3645" s="89">
        <f>IF(E3645="AM",1,(IF(E3645="BE",2,(IF(E3645="GV",3,(IF(E3645="RA",4,(IF(E3645="RM",5,(IF(E3645="AC",1,(IF(E3645="AT",2,(IF(E3645="DS",3,(IF(E3645="IP",4,(IF(E3645="MA",5,(IF(E3645="PT",6,(IF(E3645="AE",1,(IF(E3645="CM",2,(IF(E3645="DP",3,(IF(E3645="AN",1,(IF(E3645="CO",2,(IF(E3645="IM",3,(IF(E3645="MI",4,(IF(E3645="RP",5,(IF(E3645="SC",6,0)))))))))))))))))))))))))))))))))))))))</f>
        <v>2</v>
      </c>
      <c r="G3645" s="52">
        <v>1</v>
      </c>
      <c r="H3645" s="99">
        <v>1</v>
      </c>
      <c r="I3645" s="93" t="s">
        <v>37</v>
      </c>
      <c r="J3645" s="86">
        <v>15.3</v>
      </c>
      <c r="K3645" s="102" t="s">
        <v>3821</v>
      </c>
      <c r="L3645" s="117">
        <f>IF(O3645="","",N3645*O3645*M3645)</f>
        <v>0</v>
      </c>
      <c r="M3645" s="108">
        <v>1</v>
      </c>
      <c r="N3645" s="95">
        <v>1</v>
      </c>
      <c r="O3645" s="109">
        <f>IF(Key!D$1="ON",P3645,IF(SUM(Q3645:DL3645)&lt;1,"",SUM(Q3645:DL3645)/COUNTIF(Q3645:DL3645,"&gt;0")))</f>
        <v>0</v>
      </c>
      <c r="P3645" s="109">
        <f>SUMIFS(Q3645:DK3645,Q$1:DK$1,Dashboard!$K$31)</f>
        <v>0</v>
      </c>
      <c r="U3645" s="95">
        <v>33</v>
      </c>
      <c r="AA3645" s="95">
        <v>25</v>
      </c>
      <c r="AH3645" s="95">
        <v>75</v>
      </c>
    </row>
    <row r="3646" spans="1:34" ht="15.6" x14ac:dyDescent="0.3">
      <c r="A3646" s="89" t="str">
        <f>CONCATENATE(D3646,".",F3646,"-",G3646,".",H3646,"")</f>
        <v>3.2-1.1</v>
      </c>
      <c r="B3646" s="89" t="str">
        <f>IF(CONCATENATE(I3646,Key!F$2)=CONCATENATE(INDEX(Dashboard!J:J,MATCH(I3646,Dashboard!J:J,0),1),INDEX(Dashboard!J:K,MATCH(I3646,Dashboard!J:J,0),2)),"ON",IF(Dashboard!K$32="ALL","ON","-"))</f>
        <v>-</v>
      </c>
      <c r="C3646" s="127" t="s">
        <v>311</v>
      </c>
      <c r="D3646" s="89">
        <f>IF(C3646="ID",1,(IF(C3646="PR",2,(IF(C3646="DE",3,(IF(C3646="RS",4,(IF(C3646="RC",5,0)))))))))</f>
        <v>3</v>
      </c>
      <c r="E3646" s="89" t="s">
        <v>316</v>
      </c>
      <c r="F3646" s="89">
        <f>IF(E3646="AM",1,(IF(E3646="BE",2,(IF(E3646="GV",3,(IF(E3646="RA",4,(IF(E3646="RM",5,(IF(E3646="AC",1,(IF(E3646="AT",2,(IF(E3646="DS",3,(IF(E3646="IP",4,(IF(E3646="MA",5,(IF(E3646="PT",6,(IF(E3646="AE",1,(IF(E3646="CM",2,(IF(E3646="DP",3,(IF(E3646="AN",1,(IF(E3646="CO",2,(IF(E3646="IM",3,(IF(E3646="MI",4,(IF(E3646="RP",5,(IF(E3646="SC",6,0)))))))))))))))))))))))))))))))))))))))</f>
        <v>2</v>
      </c>
      <c r="G3646" s="52">
        <v>1</v>
      </c>
      <c r="H3646" s="99">
        <v>1</v>
      </c>
      <c r="I3646" s="93" t="s">
        <v>37</v>
      </c>
      <c r="J3646" s="86">
        <v>18.2</v>
      </c>
      <c r="K3646" s="102" t="s">
        <v>3822</v>
      </c>
      <c r="L3646" s="117">
        <f>IF(O3646="","",N3646*O3646*M3646)</f>
        <v>0</v>
      </c>
      <c r="M3646" s="108">
        <v>1</v>
      </c>
      <c r="N3646" s="95">
        <v>1</v>
      </c>
      <c r="O3646" s="109">
        <f>IF(Key!D$1="ON",P3646,IF(SUM(Q3646:DL3646)&lt;1,"",SUM(Q3646:DL3646)/COUNTIF(Q3646:DL3646,"&gt;0")))</f>
        <v>0</v>
      </c>
      <c r="P3646" s="109">
        <f>SUMIFS(Q3646:DK3646,Q$1:DK$1,Dashboard!$K$31)</f>
        <v>0</v>
      </c>
      <c r="U3646" s="95">
        <v>33</v>
      </c>
      <c r="AA3646" s="95">
        <v>25</v>
      </c>
      <c r="AH3646" s="95">
        <v>75</v>
      </c>
    </row>
    <row r="3647" spans="1:34" ht="15.6" x14ac:dyDescent="0.3">
      <c r="A3647" s="89" t="str">
        <f>CONCATENATE(D3647,".",F3647,"-",G3647,".",H3647,"")</f>
        <v>3.2-1.1</v>
      </c>
      <c r="B3647" s="89" t="str">
        <f>IF(CONCATENATE(I3647,Key!F$2)=CONCATENATE(INDEX(Dashboard!J:J,MATCH(I3647,Dashboard!J:J,0),1),INDEX(Dashboard!J:K,MATCH(I3647,Dashboard!J:J,0),2)),"ON",IF(Dashboard!K$32="ALL","ON","-"))</f>
        <v>-</v>
      </c>
      <c r="C3647" s="132" t="s">
        <v>311</v>
      </c>
      <c r="D3647" s="89">
        <f>IF(C3647="ID",1,(IF(C3647="PR",2,(IF(C3647="DE",3,(IF(C3647="RS",4,(IF(C3647="RC",5,0)))))))))</f>
        <v>3</v>
      </c>
      <c r="E3647" s="89" t="s">
        <v>316</v>
      </c>
      <c r="F3647" s="89">
        <f>IF(E3647="AM",1,(IF(E3647="BE",2,(IF(E3647="GV",3,(IF(E3647="RA",4,(IF(E3647="RM",5,(IF(E3647="AC",1,(IF(E3647="AT",2,(IF(E3647="DS",3,(IF(E3647="IP",4,(IF(E3647="MA",5,(IF(E3647="PT",6,(IF(E3647="AE",1,(IF(E3647="CM",2,(IF(E3647="DP",3,(IF(E3647="AN",1,(IF(E3647="CO",2,(IF(E3647="IM",3,(IF(E3647="MI",4,(IF(E3647="RP",5,(IF(E3647="SC",6,0)))))))))))))))))))))))))))))))))))))))</f>
        <v>2</v>
      </c>
      <c r="G3647" s="52">
        <v>1</v>
      </c>
      <c r="H3647" s="99">
        <v>1</v>
      </c>
      <c r="I3647" s="93" t="s">
        <v>41</v>
      </c>
      <c r="J3647" s="86">
        <v>7.4</v>
      </c>
      <c r="K3647" s="103" t="s">
        <v>3505</v>
      </c>
      <c r="L3647" s="117">
        <f>IF(O3647="","",N3647*O3647*M3647)</f>
        <v>0</v>
      </c>
      <c r="M3647" s="108">
        <v>1</v>
      </c>
      <c r="N3647" s="95">
        <v>1</v>
      </c>
      <c r="O3647" s="109">
        <f>IF(Key!D$1="ON",P3647,IF(SUM(Q3647:DL3647)&lt;1,"",SUM(Q3647:DL3647)/COUNTIF(Q3647:DL3647,"&gt;0")))</f>
        <v>0</v>
      </c>
      <c r="P3647" s="109">
        <f>SUMIFS(Q3647:DK3647,Q$1:DK$1,Dashboard!$K$31)</f>
        <v>0</v>
      </c>
      <c r="U3647" s="95">
        <v>33</v>
      </c>
    </row>
    <row r="3648" spans="1:34" x14ac:dyDescent="0.3">
      <c r="A3648" s="89" t="str">
        <f>CONCATENATE(D3648,".",F3648,"-",G3648,".",H3648,"")</f>
        <v>3.2-1.1</v>
      </c>
      <c r="B3648" s="89" t="str">
        <f>IF(CONCATENATE(I3648,Key!F$2)=CONCATENATE(INDEX(Dashboard!J:J,MATCH(I3648,Dashboard!J:J,0),1),INDEX(Dashboard!J:K,MATCH(I3648,Dashboard!J:J,0),2)),"ON",IF(Dashboard!K$32="ALL","ON","-"))</f>
        <v>-</v>
      </c>
      <c r="C3648" s="127" t="s">
        <v>311</v>
      </c>
      <c r="D3648" s="89">
        <f>IF(C3648="ID",1,(IF(C3648="PR",2,(IF(C3648="DE",3,(IF(C3648="RS",4,(IF(C3648="RC",5,0)))))))))</f>
        <v>3</v>
      </c>
      <c r="E3648" s="89" t="s">
        <v>316</v>
      </c>
      <c r="F3648" s="89">
        <f>IF(E3648="AM",1,(IF(E3648="BE",2,(IF(E3648="GV",3,(IF(E3648="RA",4,(IF(E3648="RM",5,(IF(E3648="AC",1,(IF(E3648="AT",2,(IF(E3648="DS",3,(IF(E3648="IP",4,(IF(E3648="MA",5,(IF(E3648="PT",6,(IF(E3648="AE",1,(IF(E3648="CM",2,(IF(E3648="DP",3,(IF(E3648="AN",1,(IF(E3648="CO",2,(IF(E3648="IM",3,(IF(E3648="MI",4,(IF(E3648="RP",5,(IF(E3648="SC",6,0)))))))))))))))))))))))))))))))))))))))</f>
        <v>2</v>
      </c>
      <c r="G3648" s="52">
        <v>1</v>
      </c>
      <c r="H3648" s="99">
        <v>1</v>
      </c>
      <c r="I3648" s="93" t="s">
        <v>41</v>
      </c>
      <c r="J3648" s="86">
        <v>11.3</v>
      </c>
      <c r="K3648" s="103" t="s">
        <v>3535</v>
      </c>
      <c r="L3648" s="117">
        <f>IF(O3648="","",N3648*O3648*M3648)</f>
        <v>0</v>
      </c>
      <c r="M3648" s="108">
        <v>1</v>
      </c>
      <c r="N3648" s="95">
        <v>1</v>
      </c>
      <c r="O3648" s="109">
        <f>IF(Key!D$1="ON",P3648,IF(SUM(Q3648:DL3648)&lt;1,"",SUM(Q3648:DL3648)/COUNTIF(Q3648:DL3648,"&gt;0")))</f>
        <v>0</v>
      </c>
      <c r="P3648" s="109">
        <f>SUMIFS(Q3648:DK3648,Q$1:DK$1,Dashboard!$K$31)</f>
        <v>0</v>
      </c>
      <c r="U3648" s="95">
        <v>33</v>
      </c>
    </row>
    <row r="3649" spans="1:34" ht="15.6" x14ac:dyDescent="0.3">
      <c r="A3649" s="89" t="str">
        <f>CONCATENATE(D3649,".",F3649,"-",G3649,".",H3649,"")</f>
        <v>3.2-1.1</v>
      </c>
      <c r="B3649" s="89" t="str">
        <f>IF(CONCATENATE(I3649,Key!F$2)=CONCATENATE(INDEX(Dashboard!J:J,MATCH(I3649,Dashboard!J:J,0),1),INDEX(Dashboard!J:K,MATCH(I3649,Dashboard!J:J,0),2)),"ON",IF(Dashboard!K$32="ALL","ON","-"))</f>
        <v>-</v>
      </c>
      <c r="C3649" s="127" t="s">
        <v>311</v>
      </c>
      <c r="D3649" s="89">
        <f>IF(C3649="ID",1,(IF(C3649="PR",2,(IF(C3649="DE",3,(IF(C3649="RS",4,(IF(C3649="RC",5,0)))))))))</f>
        <v>3</v>
      </c>
      <c r="E3649" s="89" t="s">
        <v>316</v>
      </c>
      <c r="F3649" s="89">
        <f>IF(E3649="AM",1,(IF(E3649="BE",2,(IF(E3649="GV",3,(IF(E3649="RA",4,(IF(E3649="RM",5,(IF(E3649="AC",1,(IF(E3649="AT",2,(IF(E3649="DS",3,(IF(E3649="IP",4,(IF(E3649="MA",5,(IF(E3649="PT",6,(IF(E3649="AE",1,(IF(E3649="CM",2,(IF(E3649="DP",3,(IF(E3649="AN",1,(IF(E3649="CO",2,(IF(E3649="IM",3,(IF(E3649="MI",4,(IF(E3649="RP",5,(IF(E3649="SC",6,0)))))))))))))))))))))))))))))))))))))))</f>
        <v>2</v>
      </c>
      <c r="G3649" s="52">
        <v>1</v>
      </c>
      <c r="H3649" s="99">
        <v>1</v>
      </c>
      <c r="I3649" s="93" t="s">
        <v>41</v>
      </c>
      <c r="J3649" s="86">
        <v>12</v>
      </c>
      <c r="K3649" s="103" t="s">
        <v>3540</v>
      </c>
      <c r="L3649" s="117">
        <f>IF(O3649="","",N3649*O3649*M3649)</f>
        <v>0</v>
      </c>
      <c r="M3649" s="108">
        <v>1</v>
      </c>
      <c r="N3649" s="95">
        <v>1</v>
      </c>
      <c r="O3649" s="109">
        <f>IF(Key!D$1="ON",P3649,IF(SUM(Q3649:DL3649)&lt;1,"",SUM(Q3649:DL3649)/COUNTIF(Q3649:DL3649,"&gt;0")))</f>
        <v>0</v>
      </c>
      <c r="P3649" s="109">
        <f>SUMIFS(Q3649:DK3649,Q$1:DK$1,Dashboard!$K$31)</f>
        <v>0</v>
      </c>
      <c r="U3649" s="95">
        <v>33</v>
      </c>
    </row>
    <row r="3650" spans="1:34" x14ac:dyDescent="0.3">
      <c r="A3650" s="89" t="str">
        <f>CONCATENATE(D3650,".",F3650,"-",G3650,".",H3650,"")</f>
        <v>3.2-1.1</v>
      </c>
      <c r="B3650" s="89" t="str">
        <f>IF(CONCATENATE(I3650,Key!F$2)=CONCATENATE(INDEX(Dashboard!J:J,MATCH(I3650,Dashboard!J:J,0),1),INDEX(Dashboard!J:K,MATCH(I3650,Dashboard!J:J,0),2)),"ON",IF(Dashboard!K$32="ALL","ON","-"))</f>
        <v>-</v>
      </c>
      <c r="C3650" s="132" t="s">
        <v>311</v>
      </c>
      <c r="D3650" s="89">
        <f>IF(C3650="ID",1,(IF(C3650="PR",2,(IF(C3650="DE",3,(IF(C3650="RS",4,(IF(C3650="RC",5,0)))))))))</f>
        <v>3</v>
      </c>
      <c r="E3650" s="89" t="s">
        <v>316</v>
      </c>
      <c r="F3650" s="89">
        <f>IF(E3650="AM",1,(IF(E3650="BE",2,(IF(E3650="GV",3,(IF(E3650="RA",4,(IF(E3650="RM",5,(IF(E3650="AC",1,(IF(E3650="AT",2,(IF(E3650="DS",3,(IF(E3650="IP",4,(IF(E3650="MA",5,(IF(E3650="PT",6,(IF(E3650="AE",1,(IF(E3650="CM",2,(IF(E3650="DP",3,(IF(E3650="AN",1,(IF(E3650="CO",2,(IF(E3650="IM",3,(IF(E3650="MI",4,(IF(E3650="RP",5,(IF(E3650="SC",6,0)))))))))))))))))))))))))))))))))))))))</f>
        <v>2</v>
      </c>
      <c r="G3650" s="52">
        <v>1</v>
      </c>
      <c r="H3650" s="99">
        <v>1</v>
      </c>
      <c r="I3650" s="93" t="s">
        <v>41</v>
      </c>
      <c r="J3650" s="86">
        <v>12.5</v>
      </c>
      <c r="K3650" s="103" t="s">
        <v>3547</v>
      </c>
      <c r="L3650" s="117">
        <f>IF(O3650="","",N3650*O3650*M3650)</f>
        <v>0</v>
      </c>
      <c r="M3650" s="108">
        <v>1</v>
      </c>
      <c r="N3650" s="95">
        <v>1</v>
      </c>
      <c r="O3650" s="109">
        <f>IF(Key!D$1="ON",P3650,IF(SUM(Q3650:DL3650)&lt;1,"",SUM(Q3650:DL3650)/COUNTIF(Q3650:DL3650,"&gt;0")))</f>
        <v>0</v>
      </c>
      <c r="P3650" s="109">
        <f>SUMIFS(Q3650:DK3650,Q$1:DK$1,Dashboard!$K$31)</f>
        <v>0</v>
      </c>
      <c r="U3650" s="95">
        <v>33</v>
      </c>
    </row>
    <row r="3651" spans="1:34" x14ac:dyDescent="0.3">
      <c r="A3651" s="89" t="str">
        <f>CONCATENATE(D3651,".",F3651,"-",G3651,".",H3651,"")</f>
        <v>3.2-1.1</v>
      </c>
      <c r="B3651" s="89" t="str">
        <f>IF(CONCATENATE(I3651,Key!F$2)=CONCATENATE(INDEX(Dashboard!J:J,MATCH(I3651,Dashboard!J:J,0),1),INDEX(Dashboard!J:K,MATCH(I3651,Dashboard!J:J,0),2)),"ON",IF(Dashboard!K$32="ALL","ON","-"))</f>
        <v>-</v>
      </c>
      <c r="C3651" s="132" t="s">
        <v>311</v>
      </c>
      <c r="D3651" s="89">
        <f>IF(C3651="ID",1,(IF(C3651="PR",2,(IF(C3651="DE",3,(IF(C3651="RS",4,(IF(C3651="RC",5,0)))))))))</f>
        <v>3</v>
      </c>
      <c r="E3651" s="89" t="s">
        <v>316</v>
      </c>
      <c r="F3651" s="89">
        <f>IF(E3651="AM",1,(IF(E3651="BE",2,(IF(E3651="GV",3,(IF(E3651="RA",4,(IF(E3651="RM",5,(IF(E3651="AC",1,(IF(E3651="AT",2,(IF(E3651="DS",3,(IF(E3651="IP",4,(IF(E3651="MA",5,(IF(E3651="PT",6,(IF(E3651="AE",1,(IF(E3651="CM",2,(IF(E3651="DP",3,(IF(E3651="AN",1,(IF(E3651="CO",2,(IF(E3651="IM",3,(IF(E3651="MI",4,(IF(E3651="RP",5,(IF(E3651="SC",6,0)))))))))))))))))))))))))))))))))))))))</f>
        <v>2</v>
      </c>
      <c r="G3651" s="52">
        <v>1</v>
      </c>
      <c r="H3651" s="99">
        <v>1</v>
      </c>
      <c r="I3651" s="93" t="s">
        <v>41</v>
      </c>
      <c r="J3651" s="86">
        <v>12.6</v>
      </c>
      <c r="K3651" s="103" t="s">
        <v>3548</v>
      </c>
      <c r="L3651" s="117">
        <f>IF(O3651="","",N3651*O3651*M3651)</f>
        <v>0</v>
      </c>
      <c r="M3651" s="108">
        <v>1</v>
      </c>
      <c r="N3651" s="95">
        <v>1</v>
      </c>
      <c r="O3651" s="109">
        <f>IF(Key!D$1="ON",P3651,IF(SUM(Q3651:DL3651)&lt;1,"",SUM(Q3651:DL3651)/COUNTIF(Q3651:DL3651,"&gt;0")))</f>
        <v>0</v>
      </c>
      <c r="P3651" s="109">
        <f>SUMIFS(Q3651:DK3651,Q$1:DK$1,Dashboard!$K$31)</f>
        <v>0</v>
      </c>
      <c r="U3651" s="95">
        <v>33</v>
      </c>
    </row>
    <row r="3652" spans="1:34" ht="15.6" x14ac:dyDescent="0.3">
      <c r="A3652" s="89" t="str">
        <f>CONCATENATE(D3652,".",F3652,"-",G3652,".",H3652,"")</f>
        <v>3.2-1.1</v>
      </c>
      <c r="B3652" s="89" t="str">
        <f>IF(CONCATENATE(I3652,Key!F$2)=CONCATENATE(INDEX(Dashboard!J:J,MATCH(I3652,Dashboard!J:J,0),1),INDEX(Dashboard!J:K,MATCH(I3652,Dashboard!J:J,0),2)),"ON",IF(Dashboard!K$32="ALL","ON","-"))</f>
        <v>-</v>
      </c>
      <c r="C3652" s="132" t="s">
        <v>311</v>
      </c>
      <c r="D3652" s="89">
        <f>IF(C3652="ID",1,(IF(C3652="PR",2,(IF(C3652="DE",3,(IF(C3652="RS",4,(IF(C3652="RC",5,0)))))))))</f>
        <v>3</v>
      </c>
      <c r="E3652" s="89" t="s">
        <v>316</v>
      </c>
      <c r="F3652" s="89">
        <f>IF(E3652="AM",1,(IF(E3652="BE",2,(IF(E3652="GV",3,(IF(E3652="RA",4,(IF(E3652="RM",5,(IF(E3652="AC",1,(IF(E3652="AT",2,(IF(E3652="DS",3,(IF(E3652="IP",4,(IF(E3652="MA",5,(IF(E3652="PT",6,(IF(E3652="AE",1,(IF(E3652="CM",2,(IF(E3652="DP",3,(IF(E3652="AN",1,(IF(E3652="CO",2,(IF(E3652="IM",3,(IF(E3652="MI",4,(IF(E3652="RP",5,(IF(E3652="SC",6,0)))))))))))))))))))))))))))))))))))))))</f>
        <v>2</v>
      </c>
      <c r="G3652" s="52">
        <v>1</v>
      </c>
      <c r="H3652" s="99">
        <v>1</v>
      </c>
      <c r="I3652" s="93" t="s">
        <v>41</v>
      </c>
      <c r="J3652" s="86">
        <v>12.7</v>
      </c>
      <c r="K3652" s="103" t="s">
        <v>3549</v>
      </c>
      <c r="L3652" s="117">
        <f>IF(O3652="","",N3652*O3652*M3652)</f>
        <v>0</v>
      </c>
      <c r="M3652" s="108">
        <v>1</v>
      </c>
      <c r="N3652" s="95">
        <v>1</v>
      </c>
      <c r="O3652" s="109">
        <f>IF(Key!D$1="ON",P3652,IF(SUM(Q3652:DL3652)&lt;1,"",SUM(Q3652:DL3652)/COUNTIF(Q3652:DL3652,"&gt;0")))</f>
        <v>0</v>
      </c>
      <c r="P3652" s="109">
        <f>SUMIFS(Q3652:DK3652,Q$1:DK$1,Dashboard!$K$31)</f>
        <v>0</v>
      </c>
      <c r="U3652" s="95">
        <v>33</v>
      </c>
    </row>
    <row r="3653" spans="1:34" ht="15.6" x14ac:dyDescent="0.3">
      <c r="A3653" s="89" t="str">
        <f>CONCATENATE(D3653,".",F3653,"-",G3653,".",H3653,"")</f>
        <v>3.2-1.1</v>
      </c>
      <c r="B3653" s="89" t="str">
        <f>IF(CONCATENATE(I3653,Key!F$2)=CONCATENATE(INDEX(Dashboard!J:J,MATCH(I3653,Dashboard!J:J,0),1),INDEX(Dashboard!J:K,MATCH(I3653,Dashboard!J:J,0),2)),"ON",IF(Dashboard!K$32="ALL","ON","-"))</f>
        <v>-</v>
      </c>
      <c r="C3653" s="132" t="s">
        <v>311</v>
      </c>
      <c r="D3653" s="89">
        <f>IF(C3653="ID",1,(IF(C3653="PR",2,(IF(C3653="DE",3,(IF(C3653="RS",4,(IF(C3653="RC",5,0)))))))))</f>
        <v>3</v>
      </c>
      <c r="E3653" s="89" t="s">
        <v>316</v>
      </c>
      <c r="F3653" s="89">
        <f>IF(E3653="AM",1,(IF(E3653="BE",2,(IF(E3653="GV",3,(IF(E3653="RA",4,(IF(E3653="RM",5,(IF(E3653="AC",1,(IF(E3653="AT",2,(IF(E3653="DS",3,(IF(E3653="IP",4,(IF(E3653="MA",5,(IF(E3653="PT",6,(IF(E3653="AE",1,(IF(E3653="CM",2,(IF(E3653="DP",3,(IF(E3653="AN",1,(IF(E3653="CO",2,(IF(E3653="IM",3,(IF(E3653="MI",4,(IF(E3653="RP",5,(IF(E3653="SC",6,0)))))))))))))))))))))))))))))))))))))))</f>
        <v>2</v>
      </c>
      <c r="G3653" s="52">
        <v>1</v>
      </c>
      <c r="H3653" s="99">
        <v>1</v>
      </c>
      <c r="I3653" s="93" t="s">
        <v>41</v>
      </c>
      <c r="J3653" s="86">
        <v>12.9</v>
      </c>
      <c r="K3653" s="103" t="s">
        <v>3551</v>
      </c>
      <c r="L3653" s="117">
        <f>IF(O3653="","",N3653*O3653*M3653)</f>
        <v>0</v>
      </c>
      <c r="M3653" s="108">
        <v>1</v>
      </c>
      <c r="N3653" s="95">
        <v>1</v>
      </c>
      <c r="O3653" s="109">
        <f>IF(Key!D$1="ON",P3653,IF(SUM(Q3653:DL3653)&lt;1,"",SUM(Q3653:DL3653)/COUNTIF(Q3653:DL3653,"&gt;0")))</f>
        <v>0</v>
      </c>
      <c r="P3653" s="109">
        <f>SUMIFS(Q3653:DK3653,Q$1:DK$1,Dashboard!$K$31)</f>
        <v>0</v>
      </c>
      <c r="U3653" s="95">
        <v>33</v>
      </c>
    </row>
    <row r="3654" spans="1:34" ht="15.6" x14ac:dyDescent="0.3">
      <c r="A3654" s="89" t="str">
        <f>CONCATENATE(D3654,".",F3654,"-",G3654,".",H3654,"")</f>
        <v>3.2-1.1</v>
      </c>
      <c r="B3654" s="89" t="str">
        <f>IF(CONCATENATE(I3654,Key!F$2)=CONCATENATE(INDEX(Dashboard!J:J,MATCH(I3654,Dashboard!J:J,0),1),INDEX(Dashboard!J:K,MATCH(I3654,Dashboard!J:J,0),2)),"ON",IF(Dashboard!K$32="ALL","ON","-"))</f>
        <v>-</v>
      </c>
      <c r="C3654" s="127" t="s">
        <v>311</v>
      </c>
      <c r="D3654" s="89">
        <f>IF(C3654="ID",1,(IF(C3654="PR",2,(IF(C3654="DE",3,(IF(C3654="RS",4,(IF(C3654="RC",5,0)))))))))</f>
        <v>3</v>
      </c>
      <c r="E3654" s="89" t="s">
        <v>316</v>
      </c>
      <c r="F3654" s="89">
        <f>IF(E3654="AM",1,(IF(E3654="BE",2,(IF(E3654="GV",3,(IF(E3654="RA",4,(IF(E3654="RM",5,(IF(E3654="AC",1,(IF(E3654="AT",2,(IF(E3654="DS",3,(IF(E3654="IP",4,(IF(E3654="MA",5,(IF(E3654="PT",6,(IF(E3654="AE",1,(IF(E3654="CM",2,(IF(E3654="DP",3,(IF(E3654="AN",1,(IF(E3654="CO",2,(IF(E3654="IM",3,(IF(E3654="MI",4,(IF(E3654="RP",5,(IF(E3654="SC",6,0)))))))))))))))))))))))))))))))))))))))</f>
        <v>2</v>
      </c>
      <c r="G3654" s="52">
        <v>1</v>
      </c>
      <c r="H3654" s="99">
        <v>1</v>
      </c>
      <c r="I3654" s="93" t="s">
        <v>41</v>
      </c>
      <c r="J3654" s="86">
        <v>15.3</v>
      </c>
      <c r="K3654" s="103" t="s">
        <v>3575</v>
      </c>
      <c r="L3654" s="117">
        <f>IF(O3654="","",N3654*O3654*M3654)</f>
        <v>0</v>
      </c>
      <c r="M3654" s="108">
        <v>1</v>
      </c>
      <c r="N3654" s="95">
        <v>1</v>
      </c>
      <c r="O3654" s="109">
        <f>IF(Key!D$1="ON",P3654,IF(SUM(Q3654:DL3654)&lt;1,"",SUM(Q3654:DL3654)/COUNTIF(Q3654:DL3654,"&gt;0")))</f>
        <v>0</v>
      </c>
      <c r="P3654" s="109">
        <f>SUMIFS(Q3654:DK3654,Q$1:DK$1,Dashboard!$K$31)</f>
        <v>0</v>
      </c>
      <c r="U3654" s="95">
        <v>33</v>
      </c>
    </row>
    <row r="3655" spans="1:34" ht="15.6" x14ac:dyDescent="0.3">
      <c r="A3655" s="89" t="str">
        <f>CONCATENATE(D3655,".",F3655,"-",G3655,".",H3655,"")</f>
        <v>3.2-1.1</v>
      </c>
      <c r="B3655" s="89" t="str">
        <f>IF(CONCATENATE(I3655,Key!F$2)=CONCATENATE(INDEX(Dashboard!J:J,MATCH(I3655,Dashboard!J:J,0),1),INDEX(Dashboard!J:K,MATCH(I3655,Dashboard!J:J,0),2)),"ON",IF(Dashboard!K$32="ALL","ON","-"))</f>
        <v>-</v>
      </c>
      <c r="C3655" s="127" t="s">
        <v>311</v>
      </c>
      <c r="D3655" s="89">
        <f>IF(C3655="ID",1,(IF(C3655="PR",2,(IF(C3655="DE",3,(IF(C3655="RS",4,(IF(C3655="RC",5,0)))))))))</f>
        <v>3</v>
      </c>
      <c r="E3655" s="89" t="s">
        <v>316</v>
      </c>
      <c r="F3655" s="89">
        <f>IF(E3655="AM",1,(IF(E3655="BE",2,(IF(E3655="GV",3,(IF(E3655="RA",4,(IF(E3655="RM",5,(IF(E3655="AC",1,(IF(E3655="AT",2,(IF(E3655="DS",3,(IF(E3655="IP",4,(IF(E3655="MA",5,(IF(E3655="PT",6,(IF(E3655="AE",1,(IF(E3655="CM",2,(IF(E3655="DP",3,(IF(E3655="AN",1,(IF(E3655="CO",2,(IF(E3655="IM",3,(IF(E3655="MI",4,(IF(E3655="RP",5,(IF(E3655="SC",6,0)))))))))))))))))))))))))))))))))))))))</f>
        <v>2</v>
      </c>
      <c r="G3655" s="52">
        <v>1</v>
      </c>
      <c r="H3655" s="99">
        <v>1</v>
      </c>
      <c r="I3655" s="93" t="s">
        <v>41</v>
      </c>
      <c r="J3655" s="86">
        <v>18.100000000000001</v>
      </c>
      <c r="K3655" s="103" t="s">
        <v>3597</v>
      </c>
      <c r="L3655" s="117">
        <f>IF(O3655="","",N3655*O3655*M3655)</f>
        <v>0</v>
      </c>
      <c r="M3655" s="108">
        <v>1</v>
      </c>
      <c r="N3655" s="95">
        <v>1</v>
      </c>
      <c r="O3655" s="109">
        <f>IF(Key!D$1="ON",P3655,IF(SUM(Q3655:DL3655)&lt;1,"",SUM(Q3655:DL3655)/COUNTIF(Q3655:DL3655,"&gt;0")))</f>
        <v>0</v>
      </c>
      <c r="P3655" s="109">
        <f>SUMIFS(Q3655:DK3655,Q$1:DK$1,Dashboard!$K$31)</f>
        <v>0</v>
      </c>
      <c r="U3655" s="95">
        <v>33</v>
      </c>
    </row>
    <row r="3656" spans="1:34" x14ac:dyDescent="0.3">
      <c r="A3656" s="89" t="str">
        <f>CONCATENATE(D3656,".",F3656,"-",G3656,".",H3656,"")</f>
        <v>3.2-1.1</v>
      </c>
      <c r="B3656" s="89" t="str">
        <f>IF(CONCATENATE(I3656,Key!F$2)=CONCATENATE(INDEX(Dashboard!J:J,MATCH(I3656,Dashboard!J:J,0),1),INDEX(Dashboard!J:K,MATCH(I3656,Dashboard!J:J,0),2)),"ON",IF(Dashboard!K$32="ALL","ON","-"))</f>
        <v>-</v>
      </c>
      <c r="C3656" s="132" t="s">
        <v>311</v>
      </c>
      <c r="D3656" s="89">
        <f>IF(C3656="ID",1,(IF(C3656="PR",2,(IF(C3656="DE",3,(IF(C3656="RS",4,(IF(C3656="RC",5,0)))))))))</f>
        <v>3</v>
      </c>
      <c r="E3656" s="89" t="s">
        <v>316</v>
      </c>
      <c r="F3656" s="89">
        <f>IF(E3656="AM",1,(IF(E3656="BE",2,(IF(E3656="GV",3,(IF(E3656="RA",4,(IF(E3656="RM",5,(IF(E3656="AC",1,(IF(E3656="AT",2,(IF(E3656="DS",3,(IF(E3656="IP",4,(IF(E3656="MA",5,(IF(E3656="PT",6,(IF(E3656="AE",1,(IF(E3656="CM",2,(IF(E3656="DP",3,(IF(E3656="AN",1,(IF(E3656="CO",2,(IF(E3656="IM",3,(IF(E3656="MI",4,(IF(E3656="RP",5,(IF(E3656="SC",6,0)))))))))))))))))))))))))))))))))))))))</f>
        <v>2</v>
      </c>
      <c r="G3656" s="52">
        <v>1</v>
      </c>
      <c r="H3656" s="99">
        <v>1</v>
      </c>
      <c r="I3656" s="93" t="s">
        <v>41</v>
      </c>
      <c r="J3656" s="86" t="s">
        <v>3602</v>
      </c>
      <c r="K3656" s="103" t="s">
        <v>3603</v>
      </c>
      <c r="L3656" s="117">
        <f>IF(O3656="","",N3656*O3656*M3656)</f>
        <v>0</v>
      </c>
      <c r="M3656" s="108">
        <v>1</v>
      </c>
      <c r="N3656" s="95">
        <v>1</v>
      </c>
      <c r="O3656" s="109">
        <f>IF(Key!D$1="ON",P3656,IF(SUM(Q3656:DL3656)&lt;1,"",SUM(Q3656:DL3656)/COUNTIF(Q3656:DL3656,"&gt;0")))</f>
        <v>0</v>
      </c>
      <c r="P3656" s="109">
        <f>SUMIFS(Q3656:DK3656,Q$1:DK$1,Dashboard!$K$31)</f>
        <v>0</v>
      </c>
      <c r="U3656" s="95">
        <v>33</v>
      </c>
    </row>
    <row r="3657" spans="1:34" ht="15.6" x14ac:dyDescent="0.3">
      <c r="A3657" s="89" t="str">
        <f>CONCATENATE(D3657,".",F3657,"-",G3657,".",H3657,"")</f>
        <v>3.2-1.1</v>
      </c>
      <c r="B3657" s="89" t="str">
        <f>IF(CONCATENATE(I3657,Key!F$2)=CONCATENATE(INDEX(Dashboard!J:J,MATCH(I3657,Dashboard!J:J,0),1),INDEX(Dashboard!J:K,MATCH(I3657,Dashboard!J:J,0),2)),"ON",IF(Dashboard!K$32="ALL","ON","-"))</f>
        <v>-</v>
      </c>
      <c r="C3657" s="132" t="s">
        <v>311</v>
      </c>
      <c r="D3657" s="89">
        <f>IF(C3657="ID",1,(IF(C3657="PR",2,(IF(C3657="DE",3,(IF(C3657="RS",4,(IF(C3657="RC",5,0)))))))))</f>
        <v>3</v>
      </c>
      <c r="E3657" s="89" t="s">
        <v>316</v>
      </c>
      <c r="F3657" s="89">
        <f>IF(E3657="AM",1,(IF(E3657="BE",2,(IF(E3657="GV",3,(IF(E3657="RA",4,(IF(E3657="RM",5,(IF(E3657="AC",1,(IF(E3657="AT",2,(IF(E3657="DS",3,(IF(E3657="IP",4,(IF(E3657="MA",5,(IF(E3657="PT",6,(IF(E3657="AE",1,(IF(E3657="CM",2,(IF(E3657="DP",3,(IF(E3657="AN",1,(IF(E3657="CO",2,(IF(E3657="IM",3,(IF(E3657="MI",4,(IF(E3657="RP",5,(IF(E3657="SC",6,0)))))))))))))))))))))))))))))))))))))))</f>
        <v>2</v>
      </c>
      <c r="G3657" s="52">
        <v>1</v>
      </c>
      <c r="H3657" s="90" t="s">
        <v>115</v>
      </c>
      <c r="I3657" s="93" t="s">
        <v>52</v>
      </c>
      <c r="J3657" s="88" t="s">
        <v>3446</v>
      </c>
      <c r="K3657" s="103" t="s">
        <v>3447</v>
      </c>
      <c r="L3657" s="117">
        <f>IF(O3657="","",N3657*O3657*M3657)</f>
        <v>0</v>
      </c>
      <c r="M3657" s="108">
        <v>1</v>
      </c>
      <c r="N3657" s="95">
        <v>1</v>
      </c>
      <c r="O3657" s="109">
        <f>IF(Key!D$1="ON",P3657,IF(SUM(Q3657:DL3657)&lt;1,"",SUM(Q3657:DL3657)/COUNTIF(Q3657:DL3657,"&gt;0")))</f>
        <v>0</v>
      </c>
      <c r="P3657" s="109">
        <f>SUMIFS(Q3657:DK3657,Q$1:DK$1,Dashboard!$K$31)</f>
        <v>0</v>
      </c>
      <c r="U3657" s="95">
        <v>33</v>
      </c>
      <c r="AA3657" s="95">
        <v>25</v>
      </c>
      <c r="AH3657" s="95">
        <v>75</v>
      </c>
    </row>
    <row r="3658" spans="1:34" ht="15.6" x14ac:dyDescent="0.3">
      <c r="A3658" s="89" t="str">
        <f>CONCATENATE(D3658,".",F3658,"-",G3658,".",H3658,"")</f>
        <v>3.2-1.1</v>
      </c>
      <c r="B3658" s="89" t="str">
        <f>IF(CONCATENATE(I3658,Key!F$2)=CONCATENATE(INDEX(Dashboard!J:J,MATCH(I3658,Dashboard!J:J,0),1),INDEX(Dashboard!J:K,MATCH(I3658,Dashboard!J:J,0),2)),"ON",IF(Dashboard!K$32="ALL","ON","-"))</f>
        <v>-</v>
      </c>
      <c r="C3658" s="132" t="s">
        <v>311</v>
      </c>
      <c r="D3658" s="89">
        <f>IF(C3658="ID",1,(IF(C3658="PR",2,(IF(C3658="DE",3,(IF(C3658="RS",4,(IF(C3658="RC",5,0)))))))))</f>
        <v>3</v>
      </c>
      <c r="E3658" s="89" t="s">
        <v>316</v>
      </c>
      <c r="F3658" s="89">
        <f>IF(E3658="AM",1,(IF(E3658="BE",2,(IF(E3658="GV",3,(IF(E3658="RA",4,(IF(E3658="RM",5,(IF(E3658="AC",1,(IF(E3658="AT",2,(IF(E3658="DS",3,(IF(E3658="IP",4,(IF(E3658="MA",5,(IF(E3658="PT",6,(IF(E3658="AE",1,(IF(E3658="CM",2,(IF(E3658="DP",3,(IF(E3658="AN",1,(IF(E3658="CO",2,(IF(E3658="IM",3,(IF(E3658="MI",4,(IF(E3658="RP",5,(IF(E3658="SC",6,0)))))))))))))))))))))))))))))))))))))))</f>
        <v>2</v>
      </c>
      <c r="G3658" s="52">
        <v>1</v>
      </c>
      <c r="H3658" s="90" t="s">
        <v>115</v>
      </c>
      <c r="I3658" s="93" t="s">
        <v>52</v>
      </c>
      <c r="J3658" s="88" t="s">
        <v>3292</v>
      </c>
      <c r="K3658" s="103" t="s">
        <v>3293</v>
      </c>
      <c r="L3658" s="117">
        <f>IF(O3658="","",N3658*O3658*M3658)</f>
        <v>0</v>
      </c>
      <c r="M3658" s="108">
        <v>1</v>
      </c>
      <c r="N3658" s="95">
        <v>1</v>
      </c>
      <c r="O3658" s="109">
        <f>IF(Key!D$1="ON",P3658,IF(SUM(Q3658:DL3658)&lt;1,"",SUM(Q3658:DL3658)/COUNTIF(Q3658:DL3658,"&gt;0")))</f>
        <v>0</v>
      </c>
      <c r="P3658" s="109">
        <f>SUMIFS(Q3658:DK3658,Q$1:DK$1,Dashboard!$K$31)</f>
        <v>0</v>
      </c>
      <c r="U3658" s="95">
        <v>33</v>
      </c>
      <c r="AA3658" s="95">
        <v>25</v>
      </c>
      <c r="AH3658" s="95">
        <v>75</v>
      </c>
    </row>
    <row r="3659" spans="1:34" ht="15.6" x14ac:dyDescent="0.3">
      <c r="A3659" s="89" t="str">
        <f>CONCATENATE(D3659,".",F3659,"-",G3659,".",H3659,"")</f>
        <v>3.2-1.1</v>
      </c>
      <c r="B3659" s="89" t="str">
        <f>IF(CONCATENATE(I3659,Key!F$2)=CONCATENATE(INDEX(Dashboard!J:J,MATCH(I3659,Dashboard!J:J,0),1),INDEX(Dashboard!J:K,MATCH(I3659,Dashboard!J:J,0),2)),"ON",IF(Dashboard!K$32="ALL","ON","-"))</f>
        <v>-</v>
      </c>
      <c r="C3659" s="132" t="s">
        <v>311</v>
      </c>
      <c r="D3659" s="89">
        <f>IF(C3659="ID",1,(IF(C3659="PR",2,(IF(C3659="DE",3,(IF(C3659="RS",4,(IF(C3659="RC",5,0)))))))))</f>
        <v>3</v>
      </c>
      <c r="E3659" s="89" t="s">
        <v>316</v>
      </c>
      <c r="F3659" s="89">
        <f>IF(E3659="AM",1,(IF(E3659="BE",2,(IF(E3659="GV",3,(IF(E3659="RA",4,(IF(E3659="RM",5,(IF(E3659="AC",1,(IF(E3659="AT",2,(IF(E3659="DS",3,(IF(E3659="IP",4,(IF(E3659="MA",5,(IF(E3659="PT",6,(IF(E3659="AE",1,(IF(E3659="CM",2,(IF(E3659="DP",3,(IF(E3659="AN",1,(IF(E3659="CO",2,(IF(E3659="IM",3,(IF(E3659="MI",4,(IF(E3659="RP",5,(IF(E3659="SC",6,0)))))))))))))))))))))))))))))))))))))))</f>
        <v>2</v>
      </c>
      <c r="G3659" s="52">
        <v>1</v>
      </c>
      <c r="H3659" s="90" t="s">
        <v>115</v>
      </c>
      <c r="I3659" s="93" t="s">
        <v>52</v>
      </c>
      <c r="J3659" s="88" t="s">
        <v>3441</v>
      </c>
      <c r="K3659" s="103" t="s">
        <v>3442</v>
      </c>
      <c r="L3659" s="117">
        <f>IF(O3659="","",N3659*O3659*M3659)</f>
        <v>0</v>
      </c>
      <c r="M3659" s="108">
        <v>1</v>
      </c>
      <c r="N3659" s="95">
        <v>1</v>
      </c>
      <c r="O3659" s="109">
        <f>IF(Key!D$1="ON",P3659,IF(SUM(Q3659:DL3659)&lt;1,"",SUM(Q3659:DL3659)/COUNTIF(Q3659:DL3659,"&gt;0")))</f>
        <v>0</v>
      </c>
      <c r="P3659" s="109">
        <f>SUMIFS(Q3659:DK3659,Q$1:DK$1,Dashboard!$K$31)</f>
        <v>0</v>
      </c>
      <c r="U3659" s="95">
        <v>33</v>
      </c>
      <c r="AA3659" s="95">
        <v>25</v>
      </c>
      <c r="AH3659" s="95">
        <v>75</v>
      </c>
    </row>
    <row r="3660" spans="1:34" ht="15.6" x14ac:dyDescent="0.3">
      <c r="A3660" s="89" t="str">
        <f>CONCATENATE(D3660,".",F3660,"-",G3660,".",H3660,"")</f>
        <v>3.2-1.1</v>
      </c>
      <c r="B3660" s="89" t="str">
        <f>IF(CONCATENATE(I3660,Key!F$2)=CONCATENATE(INDEX(Dashboard!J:J,MATCH(I3660,Dashboard!J:J,0),1),INDEX(Dashboard!J:K,MATCH(I3660,Dashboard!J:J,0),2)),"ON",IF(Dashboard!K$32="ALL","ON","-"))</f>
        <v>-</v>
      </c>
      <c r="C3660" s="127" t="s">
        <v>311</v>
      </c>
      <c r="D3660" s="89">
        <f>IF(C3660="ID",1,(IF(C3660="PR",2,(IF(C3660="DE",3,(IF(C3660="RS",4,(IF(C3660="RC",5,0)))))))))</f>
        <v>3</v>
      </c>
      <c r="E3660" s="89" t="s">
        <v>316</v>
      </c>
      <c r="F3660" s="89">
        <f>IF(E3660="AM",1,(IF(E3660="BE",2,(IF(E3660="GV",3,(IF(E3660="RA",4,(IF(E3660="RM",5,(IF(E3660="AC",1,(IF(E3660="AT",2,(IF(E3660="DS",3,(IF(E3660="IP",4,(IF(E3660="MA",5,(IF(E3660="PT",6,(IF(E3660="AE",1,(IF(E3660="CM",2,(IF(E3660="DP",3,(IF(E3660="AN",1,(IF(E3660="CO",2,(IF(E3660="IM",3,(IF(E3660="MI",4,(IF(E3660="RP",5,(IF(E3660="SC",6,0)))))))))))))))))))))))))))))))))))))))</f>
        <v>2</v>
      </c>
      <c r="G3660" s="52">
        <v>1</v>
      </c>
      <c r="H3660" s="90" t="s">
        <v>115</v>
      </c>
      <c r="I3660" s="93" t="s">
        <v>60</v>
      </c>
      <c r="J3660" s="87" t="s">
        <v>3258</v>
      </c>
      <c r="K3660" s="51" t="s">
        <v>5371</v>
      </c>
      <c r="L3660" s="117">
        <f>IF(O3660="","",N3660*O3660*M3660)</f>
        <v>0</v>
      </c>
      <c r="M3660" s="108">
        <v>1</v>
      </c>
      <c r="N3660" s="95">
        <v>1</v>
      </c>
      <c r="O3660" s="109">
        <f>IF(Key!D$1="ON",P3660,IF(SUM(Q3660:DL3660)&lt;1,"",SUM(Q3660:DL3660)/COUNTIF(Q3660:DL3660,"&gt;0")))</f>
        <v>0</v>
      </c>
      <c r="P3660" s="109">
        <f>SUMIFS(Q3660:DK3660,Q$1:DK$1,Dashboard!$K$31)</f>
        <v>0</v>
      </c>
      <c r="U3660" s="95">
        <v>33</v>
      </c>
      <c r="AA3660" s="95">
        <v>25</v>
      </c>
      <c r="AH3660" s="95">
        <v>75</v>
      </c>
    </row>
    <row r="3661" spans="1:34" ht="15.6" x14ac:dyDescent="0.3">
      <c r="A3661" s="89" t="str">
        <f>CONCATENATE(D3661,".",F3661,"-",G3661,".",H3661,"")</f>
        <v>3.2-1.1</v>
      </c>
      <c r="B3661" s="89" t="str">
        <f>IF(CONCATENATE(I3661,Key!F$2)=CONCATENATE(INDEX(Dashboard!J:J,MATCH(I3661,Dashboard!J:J,0),1),INDEX(Dashboard!J:K,MATCH(I3661,Dashboard!J:J,0),2)),"ON",IF(Dashboard!K$32="ALL","ON","-"))</f>
        <v>-</v>
      </c>
      <c r="C3661" s="127" t="s">
        <v>311</v>
      </c>
      <c r="D3661" s="89">
        <f>IF(C3661="ID",1,(IF(C3661="PR",2,(IF(C3661="DE",3,(IF(C3661="RS",4,(IF(C3661="RC",5,0)))))))))</f>
        <v>3</v>
      </c>
      <c r="E3661" s="89" t="s">
        <v>316</v>
      </c>
      <c r="F3661" s="89">
        <f>IF(E3661="AM",1,(IF(E3661="BE",2,(IF(E3661="GV",3,(IF(E3661="RA",4,(IF(E3661="RM",5,(IF(E3661="AC",1,(IF(E3661="AT",2,(IF(E3661="DS",3,(IF(E3661="IP",4,(IF(E3661="MA",5,(IF(E3661="PT",6,(IF(E3661="AE",1,(IF(E3661="CM",2,(IF(E3661="DP",3,(IF(E3661="AN",1,(IF(E3661="CO",2,(IF(E3661="IM",3,(IF(E3661="MI",4,(IF(E3661="RP",5,(IF(E3661="SC",6,0)))))))))))))))))))))))))))))))))))))))</f>
        <v>2</v>
      </c>
      <c r="G3661" s="52">
        <v>1</v>
      </c>
      <c r="H3661" s="89">
        <v>1</v>
      </c>
      <c r="I3661" s="93" t="s">
        <v>60</v>
      </c>
      <c r="J3661" s="88" t="s">
        <v>3147</v>
      </c>
      <c r="K3661" s="51" t="s">
        <v>5260</v>
      </c>
      <c r="L3661" s="117">
        <f>IF(O3661="","",N3661*O3661*M3661)</f>
        <v>0</v>
      </c>
      <c r="M3661" s="108">
        <v>1</v>
      </c>
      <c r="N3661" s="95">
        <v>1</v>
      </c>
      <c r="O3661" s="109">
        <f>IF(Key!D$1="ON",P3661,IF(SUM(Q3661:DL3661)&lt;1,"",SUM(Q3661:DL3661)/COUNTIF(Q3661:DL3661,"&gt;0")))</f>
        <v>0</v>
      </c>
      <c r="P3661" s="109">
        <f>SUMIFS(Q3661:DK3661,Q$1:DK$1,Dashboard!$K$31)</f>
        <v>0</v>
      </c>
      <c r="U3661" s="95">
        <v>33</v>
      </c>
      <c r="AA3661" s="95">
        <v>25</v>
      </c>
      <c r="AH3661" s="95">
        <v>75</v>
      </c>
    </row>
    <row r="3662" spans="1:34" ht="15.6" x14ac:dyDescent="0.3">
      <c r="A3662" s="89" t="str">
        <f>CONCATENATE(D3662,".",F3662,"-",G3662,".",H3662,"")</f>
        <v>3.2-1.1</v>
      </c>
      <c r="B3662" s="89" t="str">
        <f>IF(CONCATENATE(I3662,Key!F$2)=CONCATENATE(INDEX(Dashboard!J:J,MATCH(I3662,Dashboard!J:J,0),1),INDEX(Dashboard!J:K,MATCH(I3662,Dashboard!J:J,0),2)),"ON",IF(Dashboard!K$32="ALL","ON","-"))</f>
        <v>-</v>
      </c>
      <c r="C3662" s="127" t="s">
        <v>311</v>
      </c>
      <c r="D3662" s="89">
        <f>IF(C3662="ID",1,(IF(C3662="PR",2,(IF(C3662="DE",3,(IF(C3662="RS",4,(IF(C3662="RC",5,0)))))))))</f>
        <v>3</v>
      </c>
      <c r="E3662" s="89" t="s">
        <v>316</v>
      </c>
      <c r="F3662" s="89">
        <f>IF(E3662="AM",1,(IF(E3662="BE",2,(IF(E3662="GV",3,(IF(E3662="RA",4,(IF(E3662="RM",5,(IF(E3662="AC",1,(IF(E3662="AT",2,(IF(E3662="DS",3,(IF(E3662="IP",4,(IF(E3662="MA",5,(IF(E3662="PT",6,(IF(E3662="AE",1,(IF(E3662="CM",2,(IF(E3662="DP",3,(IF(E3662="AN",1,(IF(E3662="CO",2,(IF(E3662="IM",3,(IF(E3662="MI",4,(IF(E3662="RP",5,(IF(E3662="SC",6,0)))))))))))))))))))))))))))))))))))))))</f>
        <v>2</v>
      </c>
      <c r="G3662" s="52">
        <v>1</v>
      </c>
      <c r="H3662" s="90" t="s">
        <v>115</v>
      </c>
      <c r="I3662" s="93" t="s">
        <v>64</v>
      </c>
      <c r="J3662" s="87" t="s">
        <v>1879</v>
      </c>
      <c r="K3662" s="102" t="s">
        <v>2781</v>
      </c>
      <c r="L3662" s="117">
        <f>IF(O3662="","",N3662*O3662*M3662)</f>
        <v>0</v>
      </c>
      <c r="M3662" s="108">
        <v>1</v>
      </c>
      <c r="N3662" s="95">
        <v>1</v>
      </c>
      <c r="O3662" s="109">
        <f>IF(Key!D$1="ON",P3662,IF(SUM(Q3662:DL3662)&lt;1,"",SUM(Q3662:DL3662)/COUNTIF(Q3662:DL3662,"&gt;0")))</f>
        <v>0</v>
      </c>
      <c r="P3662" s="109">
        <f>SUMIFS(Q3662:DK3662,Q$1:DK$1,Dashboard!$K$31)</f>
        <v>0</v>
      </c>
      <c r="U3662" s="95">
        <v>33</v>
      </c>
      <c r="AA3662" s="95">
        <v>25</v>
      </c>
      <c r="AH3662" s="95">
        <v>75</v>
      </c>
    </row>
    <row r="3663" spans="1:34" x14ac:dyDescent="0.3">
      <c r="A3663" s="89" t="str">
        <f>CONCATENATE(D3663,".",F3663,"-",G3663,".",H3663,"")</f>
        <v>3.2-1.1</v>
      </c>
      <c r="B3663" s="89" t="str">
        <f>IF(CONCATENATE(I3663,Key!F$2)=CONCATENATE(INDEX(Dashboard!J:J,MATCH(I3663,Dashboard!J:J,0),1),INDEX(Dashboard!J:K,MATCH(I3663,Dashboard!J:J,0),2)),"ON",IF(Dashboard!K$32="ALL","ON","-"))</f>
        <v>-</v>
      </c>
      <c r="C3663" s="127" t="s">
        <v>311</v>
      </c>
      <c r="D3663" s="89">
        <f>IF(C3663="ID",1,(IF(C3663="PR",2,(IF(C3663="DE",3,(IF(C3663="RS",4,(IF(C3663="RC",5,0)))))))))</f>
        <v>3</v>
      </c>
      <c r="E3663" s="89" t="s">
        <v>316</v>
      </c>
      <c r="F3663" s="89">
        <f>IF(E3663="AM",1,(IF(E3663="BE",2,(IF(E3663="GV",3,(IF(E3663="RA",4,(IF(E3663="RM",5,(IF(E3663="AC",1,(IF(E3663="AT",2,(IF(E3663="DS",3,(IF(E3663="IP",4,(IF(E3663="MA",5,(IF(E3663="PT",6,(IF(E3663="AE",1,(IF(E3663="CM",2,(IF(E3663="DP",3,(IF(E3663="AN",1,(IF(E3663="CO",2,(IF(E3663="IM",3,(IF(E3663="MI",4,(IF(E3663="RP",5,(IF(E3663="SC",6,0)))))))))))))))))))))))))))))))))))))))</f>
        <v>2</v>
      </c>
      <c r="G3663" s="52">
        <v>1</v>
      </c>
      <c r="H3663" s="90" t="s">
        <v>115</v>
      </c>
      <c r="I3663" s="93" t="s">
        <v>73</v>
      </c>
      <c r="J3663" s="86" t="s">
        <v>4216</v>
      </c>
      <c r="K3663" s="101" t="s">
        <v>5179</v>
      </c>
      <c r="L3663" s="117">
        <f>IF(O3663="","",N3663*O3663*M3663)</f>
        <v>0</v>
      </c>
      <c r="M3663" s="108">
        <v>1</v>
      </c>
      <c r="N3663" s="95">
        <v>1</v>
      </c>
      <c r="O3663" s="109">
        <f>IF(Key!D$1="ON",P3663,IF(SUM(Q3663:DL3663)&lt;1,"",SUM(Q3663:DL3663)/COUNTIF(Q3663:DL3663,"&gt;0")))</f>
        <v>0</v>
      </c>
      <c r="P3663" s="109">
        <f>SUMIFS(Q3663:DK3663,Q$1:DK$1,Dashboard!$K$31)</f>
        <v>0</v>
      </c>
      <c r="U3663" s="95">
        <v>33</v>
      </c>
      <c r="AA3663" s="95">
        <v>25</v>
      </c>
      <c r="AH3663" s="95">
        <v>75</v>
      </c>
    </row>
    <row r="3664" spans="1:34" x14ac:dyDescent="0.3">
      <c r="A3664" s="89" t="str">
        <f>CONCATENATE(D3664,".",F3664,"-",G3664,".",H3664,"")</f>
        <v>3.2-1.1</v>
      </c>
      <c r="B3664" s="89" t="str">
        <f>IF(CONCATENATE(I3664,Key!F$2)=CONCATENATE(INDEX(Dashboard!J:J,MATCH(I3664,Dashboard!J:J,0),1),INDEX(Dashboard!J:K,MATCH(I3664,Dashboard!J:J,0),2)),"ON",IF(Dashboard!K$32="ALL","ON","-"))</f>
        <v>-</v>
      </c>
      <c r="C3664" s="127" t="s">
        <v>311</v>
      </c>
      <c r="D3664" s="89">
        <f>IF(C3664="ID",1,(IF(C3664="PR",2,(IF(C3664="DE",3,(IF(C3664="RS",4,(IF(C3664="RC",5,0)))))))))</f>
        <v>3</v>
      </c>
      <c r="E3664" s="89" t="s">
        <v>316</v>
      </c>
      <c r="F3664" s="89">
        <f>IF(E3664="AM",1,(IF(E3664="BE",2,(IF(E3664="GV",3,(IF(E3664="RA",4,(IF(E3664="RM",5,(IF(E3664="AC",1,(IF(E3664="AT",2,(IF(E3664="DS",3,(IF(E3664="IP",4,(IF(E3664="MA",5,(IF(E3664="PT",6,(IF(E3664="AE",1,(IF(E3664="CM",2,(IF(E3664="DP",3,(IF(E3664="AN",1,(IF(E3664="CO",2,(IF(E3664="IM",3,(IF(E3664="MI",4,(IF(E3664="RP",5,(IF(E3664="SC",6,0)))))))))))))))))))))))))))))))))))))))</f>
        <v>2</v>
      </c>
      <c r="G3664" s="98">
        <v>1</v>
      </c>
      <c r="H3664" s="89">
        <v>1</v>
      </c>
      <c r="I3664" s="93" t="s">
        <v>73</v>
      </c>
      <c r="J3664" s="86" t="s">
        <v>4235</v>
      </c>
      <c r="K3664" s="107" t="s">
        <v>4345</v>
      </c>
      <c r="L3664" s="117">
        <f>IF(O3664="","",N3664*O3664*M3664)</f>
        <v>0</v>
      </c>
      <c r="M3664" s="108">
        <v>1</v>
      </c>
      <c r="N3664" s="95">
        <v>1</v>
      </c>
      <c r="O3664" s="109">
        <f>IF(Key!D$1="ON",P3664,IF(SUM(Q3664:DL3664)&lt;1,"",SUM(Q3664:DL3664)/COUNTIF(Q3664:DL3664,"&gt;0")))</f>
        <v>0</v>
      </c>
      <c r="P3664" s="109">
        <f>SUMIFS(Q3664:DK3664,Q$1:DK$1,Dashboard!$K$31)</f>
        <v>0</v>
      </c>
      <c r="U3664" s="95">
        <v>33</v>
      </c>
      <c r="AA3664" s="95">
        <v>25</v>
      </c>
      <c r="AH3664" s="95">
        <v>75</v>
      </c>
    </row>
    <row r="3665" spans="1:34" ht="15.6" x14ac:dyDescent="0.3">
      <c r="A3665" s="89" t="str">
        <f>CONCATENATE(D3665,".",F3665,"-",G3665,".",H3665,"")</f>
        <v>3.2-1.1</v>
      </c>
      <c r="B3665" s="89" t="str">
        <f>IF(CONCATENATE(I3665,Key!F$2)=CONCATENATE(INDEX(Dashboard!J:J,MATCH(I3665,Dashboard!J:J,0),1),INDEX(Dashboard!J:K,MATCH(I3665,Dashboard!J:J,0),2)),"ON",IF(Dashboard!K$32="ALL","ON","-"))</f>
        <v>-</v>
      </c>
      <c r="C3665" s="127" t="s">
        <v>311</v>
      </c>
      <c r="D3665" s="89">
        <f>IF(C3665="ID",1,(IF(C3665="PR",2,(IF(C3665="DE",3,(IF(C3665="RS",4,(IF(C3665="RC",5,0)))))))))</f>
        <v>3</v>
      </c>
      <c r="E3665" s="89" t="s">
        <v>316</v>
      </c>
      <c r="F3665" s="89">
        <f>IF(E3665="AM",1,(IF(E3665="BE",2,(IF(E3665="GV",3,(IF(E3665="RA",4,(IF(E3665="RM",5,(IF(E3665="AC",1,(IF(E3665="AT",2,(IF(E3665="DS",3,(IF(E3665="IP",4,(IF(E3665="MA",5,(IF(E3665="PT",6,(IF(E3665="AE",1,(IF(E3665="CM",2,(IF(E3665="DP",3,(IF(E3665="AN",1,(IF(E3665="CO",2,(IF(E3665="IM",3,(IF(E3665="MI",4,(IF(E3665="RP",5,(IF(E3665="SC",6,0)))))))))))))))))))))))))))))))))))))))</f>
        <v>2</v>
      </c>
      <c r="G3665" s="52">
        <v>1</v>
      </c>
      <c r="H3665" s="90" t="s">
        <v>115</v>
      </c>
      <c r="I3665" s="93" t="s">
        <v>73</v>
      </c>
      <c r="J3665" s="86" t="s">
        <v>4248</v>
      </c>
      <c r="K3665" s="101" t="s">
        <v>5186</v>
      </c>
      <c r="L3665" s="117">
        <f>IF(O3665="","",N3665*O3665*M3665)</f>
        <v>0</v>
      </c>
      <c r="M3665" s="108">
        <v>1</v>
      </c>
      <c r="N3665" s="95">
        <v>1</v>
      </c>
      <c r="O3665" s="109">
        <f>IF(Key!D$1="ON",P3665,IF(SUM(Q3665:DL3665)&lt;1,"",SUM(Q3665:DL3665)/COUNTIF(Q3665:DL3665,"&gt;0")))</f>
        <v>0</v>
      </c>
      <c r="P3665" s="109">
        <f>SUMIFS(Q3665:DK3665,Q$1:DK$1,Dashboard!$K$31)</f>
        <v>0</v>
      </c>
      <c r="U3665" s="95">
        <v>33</v>
      </c>
      <c r="AA3665" s="95">
        <v>25</v>
      </c>
      <c r="AH3665" s="95">
        <v>75</v>
      </c>
    </row>
    <row r="3666" spans="1:34" ht="15.6" x14ac:dyDescent="0.3">
      <c r="A3666" s="89" t="str">
        <f>CONCATENATE(D3666,".",F3666,"-",G3666,".",H3666,"")</f>
        <v>3.2-1.1</v>
      </c>
      <c r="B3666" s="89" t="str">
        <f>IF(CONCATENATE(I3666,Key!F$2)=CONCATENATE(INDEX(Dashboard!J:J,MATCH(I3666,Dashboard!J:J,0),1),INDEX(Dashboard!J:K,MATCH(I3666,Dashboard!J:J,0),2)),"ON",IF(Dashboard!K$32="ALL","ON","-"))</f>
        <v>-</v>
      </c>
      <c r="C3666" s="127" t="s">
        <v>311</v>
      </c>
      <c r="D3666" s="89">
        <f>IF(C3666="ID",1,(IF(C3666="PR",2,(IF(C3666="DE",3,(IF(C3666="RS",4,(IF(C3666="RC",5,0)))))))))</f>
        <v>3</v>
      </c>
      <c r="E3666" s="89" t="s">
        <v>316</v>
      </c>
      <c r="F3666" s="89">
        <f>IF(E3666="AM",1,(IF(E3666="BE",2,(IF(E3666="GV",3,(IF(E3666="RA",4,(IF(E3666="RM",5,(IF(E3666="AC",1,(IF(E3666="AT",2,(IF(E3666="DS",3,(IF(E3666="IP",4,(IF(E3666="MA",5,(IF(E3666="PT",6,(IF(E3666="AE",1,(IF(E3666="CM",2,(IF(E3666="DP",3,(IF(E3666="AN",1,(IF(E3666="CO",2,(IF(E3666="IM",3,(IF(E3666="MI",4,(IF(E3666="RP",5,(IF(E3666="SC",6,0)))))))))))))))))))))))))))))))))))))))</f>
        <v>2</v>
      </c>
      <c r="G3666" s="52">
        <v>1</v>
      </c>
      <c r="H3666" s="90" t="s">
        <v>115</v>
      </c>
      <c r="I3666" s="93" t="s">
        <v>73</v>
      </c>
      <c r="J3666" s="86" t="s">
        <v>4249</v>
      </c>
      <c r="K3666" s="101" t="s">
        <v>4416</v>
      </c>
      <c r="L3666" s="117">
        <f>IF(O3666="","",N3666*O3666*M3666)</f>
        <v>0</v>
      </c>
      <c r="M3666" s="108">
        <v>1</v>
      </c>
      <c r="N3666" s="95">
        <v>1</v>
      </c>
      <c r="O3666" s="109">
        <f>IF(Key!D$1="ON",P3666,IF(SUM(Q3666:DL3666)&lt;1,"",SUM(Q3666:DL3666)/COUNTIF(Q3666:DL3666,"&gt;0")))</f>
        <v>0</v>
      </c>
      <c r="P3666" s="109">
        <f>SUMIFS(Q3666:DK3666,Q$1:DK$1,Dashboard!$K$31)</f>
        <v>0</v>
      </c>
      <c r="U3666" s="95">
        <v>33</v>
      </c>
      <c r="AA3666" s="95">
        <v>25</v>
      </c>
      <c r="AH3666" s="95">
        <v>75</v>
      </c>
    </row>
    <row r="3667" spans="1:34" x14ac:dyDescent="0.3">
      <c r="A3667" s="89" t="str">
        <f>CONCATENATE(D3667,".",F3667,"-",G3667,".",H3667,"")</f>
        <v>3.2-1.1</v>
      </c>
      <c r="B3667" s="89" t="str">
        <f>IF(CONCATENATE(I3667,Key!F$2)=CONCATENATE(INDEX(Dashboard!J:J,MATCH(I3667,Dashboard!J:J,0),1),INDEX(Dashboard!J:K,MATCH(I3667,Dashboard!J:J,0),2)),"ON",IF(Dashboard!K$32="ALL","ON","-"))</f>
        <v>-</v>
      </c>
      <c r="C3667" s="127" t="s">
        <v>311</v>
      </c>
      <c r="D3667" s="89">
        <f>IF(C3667="ID",1,(IF(C3667="PR",2,(IF(C3667="DE",3,(IF(C3667="RS",4,(IF(C3667="RC",5,0)))))))))</f>
        <v>3</v>
      </c>
      <c r="E3667" s="89" t="s">
        <v>316</v>
      </c>
      <c r="F3667" s="89">
        <f>IF(E3667="AM",1,(IF(E3667="BE",2,(IF(E3667="GV",3,(IF(E3667="RA",4,(IF(E3667="RM",5,(IF(E3667="AC",1,(IF(E3667="AT",2,(IF(E3667="DS",3,(IF(E3667="IP",4,(IF(E3667="MA",5,(IF(E3667="PT",6,(IF(E3667="AE",1,(IF(E3667="CM",2,(IF(E3667="DP",3,(IF(E3667="AN",1,(IF(E3667="CO",2,(IF(E3667="IM",3,(IF(E3667="MI",4,(IF(E3667="RP",5,(IF(E3667="SC",6,0)))))))))))))))))))))))))))))))))))))))</f>
        <v>2</v>
      </c>
      <c r="G3667" s="52">
        <v>1</v>
      </c>
      <c r="H3667" s="90" t="s">
        <v>115</v>
      </c>
      <c r="I3667" s="93" t="s">
        <v>77</v>
      </c>
      <c r="J3667" s="87" t="s">
        <v>1839</v>
      </c>
      <c r="K3667" s="102" t="s">
        <v>2746</v>
      </c>
      <c r="L3667" s="117">
        <f>IF(O3667="","",N3667*O3667*M3667)</f>
        <v>0</v>
      </c>
      <c r="M3667" s="108">
        <v>1</v>
      </c>
      <c r="N3667" s="95">
        <v>1</v>
      </c>
      <c r="O3667" s="109">
        <f>IF(Key!D$1="ON",P3667,IF(SUM(Q3667:DL3667)&lt;1,"",SUM(Q3667:DL3667)/COUNTIF(Q3667:DL3667,"&gt;0")))</f>
        <v>0</v>
      </c>
      <c r="P3667" s="109">
        <f>SUMIFS(Q3667:DK3667,Q$1:DK$1,Dashboard!$K$31)</f>
        <v>0</v>
      </c>
      <c r="U3667" s="95">
        <v>33</v>
      </c>
      <c r="AA3667" s="95">
        <v>25</v>
      </c>
      <c r="AH3667" s="95">
        <v>75</v>
      </c>
    </row>
    <row r="3668" spans="1:34" x14ac:dyDescent="0.3">
      <c r="A3668" s="89" t="str">
        <f>CONCATENATE(D3668,".",F3668,"-",G3668,".",H3668,"")</f>
        <v>3.2-1.1</v>
      </c>
      <c r="B3668" s="89" t="str">
        <f>IF(CONCATENATE(I3668,Key!F$2)=CONCATENATE(INDEX(Dashboard!J:J,MATCH(I3668,Dashboard!J:J,0),1),INDEX(Dashboard!J:K,MATCH(I3668,Dashboard!J:J,0),2)),"ON",IF(Dashboard!K$32="ALL","ON","-"))</f>
        <v>-</v>
      </c>
      <c r="C3668" s="127" t="s">
        <v>311</v>
      </c>
      <c r="D3668" s="89">
        <f>IF(C3668="ID",1,(IF(C3668="PR",2,(IF(C3668="DE",3,(IF(C3668="RS",4,(IF(C3668="RC",5,0)))))))))</f>
        <v>3</v>
      </c>
      <c r="E3668" s="89" t="s">
        <v>316</v>
      </c>
      <c r="F3668" s="89">
        <f>IF(E3668="AM",1,(IF(E3668="BE",2,(IF(E3668="GV",3,(IF(E3668="RA",4,(IF(E3668="RM",5,(IF(E3668="AC",1,(IF(E3668="AT",2,(IF(E3668="DS",3,(IF(E3668="IP",4,(IF(E3668="MA",5,(IF(E3668="PT",6,(IF(E3668="AE",1,(IF(E3668="CM",2,(IF(E3668="DP",3,(IF(E3668="AN",1,(IF(E3668="CO",2,(IF(E3668="IM",3,(IF(E3668="MI",4,(IF(E3668="RP",5,(IF(E3668="SC",6,0)))))))))))))))))))))))))))))))))))))))</f>
        <v>2</v>
      </c>
      <c r="G3668" s="52">
        <v>1</v>
      </c>
      <c r="H3668" s="90" t="s">
        <v>115</v>
      </c>
      <c r="I3668" s="93" t="s">
        <v>77</v>
      </c>
      <c r="J3668" s="87" t="s">
        <v>1840</v>
      </c>
      <c r="K3668" s="102" t="s">
        <v>2747</v>
      </c>
      <c r="L3668" s="117">
        <f>IF(O3668="","",N3668*O3668*M3668)</f>
        <v>0</v>
      </c>
      <c r="M3668" s="108">
        <v>1</v>
      </c>
      <c r="N3668" s="95">
        <v>1</v>
      </c>
      <c r="O3668" s="109">
        <f>IF(Key!D$1="ON",P3668,IF(SUM(Q3668:DL3668)&lt;1,"",SUM(Q3668:DL3668)/COUNTIF(Q3668:DL3668,"&gt;0")))</f>
        <v>0</v>
      </c>
      <c r="P3668" s="109">
        <f>SUMIFS(Q3668:DK3668,Q$1:DK$1,Dashboard!$K$31)</f>
        <v>0</v>
      </c>
      <c r="U3668" s="95">
        <v>33</v>
      </c>
      <c r="AA3668" s="95">
        <v>25</v>
      </c>
      <c r="AH3668" s="95">
        <v>75</v>
      </c>
    </row>
    <row r="3669" spans="1:34" ht="15.6" x14ac:dyDescent="0.3">
      <c r="A3669" s="89" t="str">
        <f>CONCATENATE(D3669,".",F3669,"-",G3669,".",H3669,"")</f>
        <v>3.2-1.1</v>
      </c>
      <c r="B3669" s="89" t="str">
        <f>IF(CONCATENATE(I3669,Key!F$2)=CONCATENATE(INDEX(Dashboard!J:J,MATCH(I3669,Dashboard!J:J,0),1),INDEX(Dashboard!J:K,MATCH(I3669,Dashboard!J:J,0),2)),"ON",IF(Dashboard!K$32="ALL","ON","-"))</f>
        <v>-</v>
      </c>
      <c r="C3669" s="132" t="s">
        <v>311</v>
      </c>
      <c r="D3669" s="89">
        <f>IF(C3669="ID",1,(IF(C3669="PR",2,(IF(C3669="DE",3,(IF(C3669="RS",4,(IF(C3669="RC",5,0)))))))))</f>
        <v>3</v>
      </c>
      <c r="E3669" s="89" t="s">
        <v>316</v>
      </c>
      <c r="F3669" s="89">
        <f>IF(E3669="AM",1,(IF(E3669="BE",2,(IF(E3669="GV",3,(IF(E3669="RA",4,(IF(E3669="RM",5,(IF(E3669="AC",1,(IF(E3669="AT",2,(IF(E3669="DS",3,(IF(E3669="IP",4,(IF(E3669="MA",5,(IF(E3669="PT",6,(IF(E3669="AE",1,(IF(E3669="CM",2,(IF(E3669="DP",3,(IF(E3669="AN",1,(IF(E3669="CO",2,(IF(E3669="IM",3,(IF(E3669="MI",4,(IF(E3669="RP",5,(IF(E3669="SC",6,0)))))))))))))))))))))))))))))))))))))))</f>
        <v>2</v>
      </c>
      <c r="G3669" s="52">
        <v>1</v>
      </c>
      <c r="H3669" s="90" t="s">
        <v>115</v>
      </c>
      <c r="I3669" s="93" t="s">
        <v>77</v>
      </c>
      <c r="J3669" s="87" t="s">
        <v>1841</v>
      </c>
      <c r="K3669" s="102" t="s">
        <v>2748</v>
      </c>
      <c r="L3669" s="117">
        <f>IF(O3669="","",N3669*O3669*M3669)</f>
        <v>0</v>
      </c>
      <c r="M3669" s="108">
        <v>0.9</v>
      </c>
      <c r="N3669" s="95">
        <v>1</v>
      </c>
      <c r="O3669" s="109">
        <f>IF(Key!D$1="ON",P3669,IF(SUM(Q3669:DL3669)&lt;1,"",SUM(Q3669:DL3669)/COUNTIF(Q3669:DL3669,"&gt;0")))</f>
        <v>0</v>
      </c>
      <c r="P3669" s="109">
        <f>SUMIFS(Q3669:DK3669,Q$1:DK$1,Dashboard!$K$31)</f>
        <v>0</v>
      </c>
      <c r="S3669" s="95">
        <v>99</v>
      </c>
      <c r="T3669" s="95">
        <v>80</v>
      </c>
      <c r="U3669" s="95">
        <v>33</v>
      </c>
      <c r="AA3669" s="95">
        <v>25</v>
      </c>
      <c r="AH3669" s="95">
        <v>75</v>
      </c>
    </row>
    <row r="3670" spans="1:34" ht="15.6" x14ac:dyDescent="0.3">
      <c r="A3670" s="89" t="str">
        <f>CONCATENATE(D3670,".",F3670,"-",G3670,".",H3670,"")</f>
        <v>3.2-1.1</v>
      </c>
      <c r="B3670" s="89" t="str">
        <f>IF(CONCATENATE(I3670,Key!F$2)=CONCATENATE(INDEX(Dashboard!J:J,MATCH(I3670,Dashboard!J:J,0),1),INDEX(Dashboard!J:K,MATCH(I3670,Dashboard!J:J,0),2)),"ON",IF(Dashboard!K$32="ALL","ON","-"))</f>
        <v>-</v>
      </c>
      <c r="C3670" s="127" t="s">
        <v>311</v>
      </c>
      <c r="D3670" s="89">
        <f>IF(C3670="ID",1,(IF(C3670="PR",2,(IF(C3670="DE",3,(IF(C3670="RS",4,(IF(C3670="RC",5,0)))))))))</f>
        <v>3</v>
      </c>
      <c r="E3670" s="89" t="s">
        <v>316</v>
      </c>
      <c r="F3670" s="89">
        <f>IF(E3670="AM",1,(IF(E3670="BE",2,(IF(E3670="GV",3,(IF(E3670="RA",4,(IF(E3670="RM",5,(IF(E3670="AC",1,(IF(E3670="AT",2,(IF(E3670="DS",3,(IF(E3670="IP",4,(IF(E3670="MA",5,(IF(E3670="PT",6,(IF(E3670="AE",1,(IF(E3670="CM",2,(IF(E3670="DP",3,(IF(E3670="AN",1,(IF(E3670="CO",2,(IF(E3670="IM",3,(IF(E3670="MI",4,(IF(E3670="RP",5,(IF(E3670="SC",6,0)))))))))))))))))))))))))))))))))))))))</f>
        <v>2</v>
      </c>
      <c r="G3670" s="52">
        <v>1</v>
      </c>
      <c r="H3670" s="90" t="s">
        <v>115</v>
      </c>
      <c r="I3670" s="93" t="s">
        <v>77</v>
      </c>
      <c r="J3670" s="87" t="s">
        <v>1843</v>
      </c>
      <c r="K3670" s="102" t="s">
        <v>2749</v>
      </c>
      <c r="L3670" s="117">
        <f>IF(O3670="","",N3670*O3670*M3670)</f>
        <v>0</v>
      </c>
      <c r="M3670" s="108">
        <v>1</v>
      </c>
      <c r="N3670" s="95">
        <v>1</v>
      </c>
      <c r="O3670" s="109">
        <f>IF(Key!D$1="ON",P3670,IF(SUM(Q3670:DL3670)&lt;1,"",SUM(Q3670:DL3670)/COUNTIF(Q3670:DL3670,"&gt;0")))</f>
        <v>0</v>
      </c>
      <c r="P3670" s="109">
        <f>SUMIFS(Q3670:DK3670,Q$1:DK$1,Dashboard!$K$31)</f>
        <v>0</v>
      </c>
      <c r="U3670" s="95">
        <v>33</v>
      </c>
      <c r="AA3670" s="95">
        <v>25</v>
      </c>
      <c r="AH3670" s="95">
        <v>75</v>
      </c>
    </row>
    <row r="3671" spans="1:34" x14ac:dyDescent="0.3">
      <c r="A3671" s="89" t="str">
        <f>CONCATENATE(D3671,".",F3671,"-",G3671,".",H3671,"")</f>
        <v>3.2-1.1</v>
      </c>
      <c r="B3671" s="89" t="str">
        <f>IF(CONCATENATE(I3671,Key!F$2)=CONCATENATE(INDEX(Dashboard!J:J,MATCH(I3671,Dashboard!J:J,0),1),INDEX(Dashboard!J:K,MATCH(I3671,Dashboard!J:J,0),2)),"ON",IF(Dashboard!K$32="ALL","ON","-"))</f>
        <v>-</v>
      </c>
      <c r="C3671" s="127" t="s">
        <v>311</v>
      </c>
      <c r="D3671" s="89">
        <f>IF(C3671="ID",1,(IF(C3671="PR",2,(IF(C3671="DE",3,(IF(C3671="RS",4,(IF(C3671="RC",5,0)))))))))</f>
        <v>3</v>
      </c>
      <c r="E3671" s="89" t="s">
        <v>316</v>
      </c>
      <c r="F3671" s="89">
        <f>IF(E3671="AM",1,(IF(E3671="BE",2,(IF(E3671="GV",3,(IF(E3671="RA",4,(IF(E3671="RM",5,(IF(E3671="AC",1,(IF(E3671="AT",2,(IF(E3671="DS",3,(IF(E3671="IP",4,(IF(E3671="MA",5,(IF(E3671="PT",6,(IF(E3671="AE",1,(IF(E3671="CM",2,(IF(E3671="DP",3,(IF(E3671="AN",1,(IF(E3671="CO",2,(IF(E3671="IM",3,(IF(E3671="MI",4,(IF(E3671="RP",5,(IF(E3671="SC",6,0)))))))))))))))))))))))))))))))))))))))</f>
        <v>2</v>
      </c>
      <c r="G3671" s="52">
        <v>1</v>
      </c>
      <c r="H3671" s="90" t="s">
        <v>115</v>
      </c>
      <c r="I3671" s="93" t="s">
        <v>85</v>
      </c>
      <c r="J3671" s="135" t="s">
        <v>845</v>
      </c>
      <c r="K3671" s="143" t="s">
        <v>5031</v>
      </c>
      <c r="L3671" s="117">
        <f>IF(O3671="","",N3671*O3671*M3671)</f>
        <v>0</v>
      </c>
      <c r="M3671" s="108">
        <v>1</v>
      </c>
      <c r="N3671" s="95">
        <v>1</v>
      </c>
      <c r="O3671" s="109">
        <f>IF(Key!D$1="ON",P3671,IF(SUM(Q3671:DL3671)&lt;1,"",SUM(Q3671:DL3671)/COUNTIF(Q3671:DL3671,"&gt;0")))</f>
        <v>0</v>
      </c>
      <c r="P3671" s="109">
        <f>SUMIFS(Q3671:DK3671,Q$1:DK$1,Dashboard!$K$31)</f>
        <v>0</v>
      </c>
      <c r="U3671" s="95">
        <v>33</v>
      </c>
      <c r="AA3671" s="95">
        <v>25</v>
      </c>
      <c r="AH3671" s="95">
        <v>75</v>
      </c>
    </row>
    <row r="3672" spans="1:34" ht="15.6" x14ac:dyDescent="0.3">
      <c r="A3672" s="89" t="str">
        <f>CONCATENATE(D3672,".",F3672,"-",G3672,".",H3672,"")</f>
        <v>3.2-1.1</v>
      </c>
      <c r="B3672" s="89" t="str">
        <f>IF(CONCATENATE(I3672,Key!F$2)=CONCATENATE(INDEX(Dashboard!J:J,MATCH(I3672,Dashboard!J:J,0),1),INDEX(Dashboard!J:K,MATCH(I3672,Dashboard!J:J,0),2)),"ON",IF(Dashboard!K$32="ALL","ON","-"))</f>
        <v>-</v>
      </c>
      <c r="C3672" s="132" t="s">
        <v>311</v>
      </c>
      <c r="D3672" s="89">
        <f>IF(C3672="ID",1,(IF(C3672="PR",2,(IF(C3672="DE",3,(IF(C3672="RS",4,(IF(C3672="RC",5,0)))))))))</f>
        <v>3</v>
      </c>
      <c r="E3672" s="89" t="s">
        <v>316</v>
      </c>
      <c r="F3672" s="89">
        <f>IF(E3672="AM",1,(IF(E3672="BE",2,(IF(E3672="GV",3,(IF(E3672="RA",4,(IF(E3672="RM",5,(IF(E3672="AC",1,(IF(E3672="AT",2,(IF(E3672="DS",3,(IF(E3672="IP",4,(IF(E3672="MA",5,(IF(E3672="PT",6,(IF(E3672="AE",1,(IF(E3672="CM",2,(IF(E3672="DP",3,(IF(E3672="AN",1,(IF(E3672="CO",2,(IF(E3672="IM",3,(IF(E3672="MI",4,(IF(E3672="RP",5,(IF(E3672="SC",6,0)))))))))))))))))))))))))))))))))))))))</f>
        <v>2</v>
      </c>
      <c r="G3672" s="52">
        <v>1</v>
      </c>
      <c r="H3672" s="90" t="s">
        <v>115</v>
      </c>
      <c r="I3672" s="93" t="s">
        <v>85</v>
      </c>
      <c r="J3672" s="87" t="s">
        <v>1841</v>
      </c>
      <c r="K3672" s="119" t="s">
        <v>1842</v>
      </c>
      <c r="L3672" s="117">
        <f>IF(O3672="","",N3672*O3672*M3672)</f>
        <v>0</v>
      </c>
      <c r="M3672" s="108">
        <v>0.9</v>
      </c>
      <c r="N3672" s="95">
        <v>1</v>
      </c>
      <c r="O3672" s="109">
        <f>IF(Key!D$1="ON",P3672,IF(SUM(Q3672:DL3672)&lt;1,"",SUM(Q3672:DL3672)/COUNTIF(Q3672:DL3672,"&gt;0")))</f>
        <v>0</v>
      </c>
      <c r="P3672" s="109">
        <f>SUMIFS(Q3672:DK3672,Q$1:DK$1,Dashboard!$K$31)</f>
        <v>0</v>
      </c>
      <c r="S3672" s="95">
        <v>66</v>
      </c>
      <c r="T3672" s="95">
        <v>80</v>
      </c>
      <c r="U3672" s="95">
        <v>33</v>
      </c>
      <c r="AA3672" s="95">
        <v>25</v>
      </c>
      <c r="AH3672" s="95">
        <v>75</v>
      </c>
    </row>
    <row r="3673" spans="1:34" x14ac:dyDescent="0.3">
      <c r="A3673" s="89" t="str">
        <f>CONCATENATE(D3673,".",F3673,"-",G3673,".",H3673,"")</f>
        <v>3.2-1.1</v>
      </c>
      <c r="B3673" s="89" t="str">
        <f>IF(CONCATENATE(I3673,Key!F$2)=CONCATENATE(INDEX(Dashboard!J:J,MATCH(I3673,Dashboard!J:J,0),1),INDEX(Dashboard!J:K,MATCH(I3673,Dashboard!J:J,0),2)),"ON",IF(Dashboard!K$32="ALL","ON","-"))</f>
        <v>-</v>
      </c>
      <c r="C3673" s="127" t="s">
        <v>311</v>
      </c>
      <c r="D3673" s="89">
        <f>IF(C3673="ID",1,(IF(C3673="PR",2,(IF(C3673="DE",3,(IF(C3673="RS",4,(IF(C3673="RC",5,0)))))))))</f>
        <v>3</v>
      </c>
      <c r="E3673" s="89" t="s">
        <v>316</v>
      </c>
      <c r="F3673" s="89">
        <f>IF(E3673="AM",1,(IF(E3673="BE",2,(IF(E3673="GV",3,(IF(E3673="RA",4,(IF(E3673="RM",5,(IF(E3673="AC",1,(IF(E3673="AT",2,(IF(E3673="DS",3,(IF(E3673="IP",4,(IF(E3673="MA",5,(IF(E3673="PT",6,(IF(E3673="AE",1,(IF(E3673="CM",2,(IF(E3673="DP",3,(IF(E3673="AN",1,(IF(E3673="CO",2,(IF(E3673="IM",3,(IF(E3673="MI",4,(IF(E3673="RP",5,(IF(E3673="SC",6,0)))))))))))))))))))))))))))))))))))))))</f>
        <v>2</v>
      </c>
      <c r="G3673" s="52">
        <v>1</v>
      </c>
      <c r="H3673" s="90" t="s">
        <v>115</v>
      </c>
      <c r="I3673" s="93" t="s">
        <v>85</v>
      </c>
      <c r="J3673" s="86" t="s">
        <v>1810</v>
      </c>
      <c r="K3673" s="119" t="s">
        <v>1811</v>
      </c>
      <c r="L3673" s="117">
        <f>IF(O3673="","",N3673*O3673*M3673)</f>
        <v>0</v>
      </c>
      <c r="M3673" s="108">
        <v>0.9</v>
      </c>
      <c r="N3673" s="95">
        <v>1</v>
      </c>
      <c r="O3673" s="109">
        <f>IF(Key!D$1="ON",P3673,IF(SUM(Q3673:DL3673)&lt;1,"",SUM(Q3673:DL3673)/COUNTIF(Q3673:DL3673,"&gt;0")))</f>
        <v>0</v>
      </c>
      <c r="P3673" s="109">
        <f>SUMIFS(Q3673:DK3673,Q$1:DK$1,Dashboard!$K$31)</f>
        <v>0</v>
      </c>
      <c r="S3673" s="95">
        <v>1</v>
      </c>
      <c r="T3673" s="95">
        <v>80</v>
      </c>
      <c r="U3673" s="95">
        <v>33</v>
      </c>
      <c r="AA3673" s="95">
        <v>25</v>
      </c>
      <c r="AH3673" s="95">
        <v>75</v>
      </c>
    </row>
    <row r="3674" spans="1:34" x14ac:dyDescent="0.3">
      <c r="A3674" s="89" t="str">
        <f>CONCATENATE(D3674,".",F3674,"-",G3674,".",H3674,"")</f>
        <v>3.2-1.1</v>
      </c>
      <c r="B3674" s="89" t="str">
        <f>IF(CONCATENATE(I3674,Key!F$2)=CONCATENATE(INDEX(Dashboard!J:J,MATCH(I3674,Dashboard!J:J,0),1),INDEX(Dashboard!J:K,MATCH(I3674,Dashboard!J:J,0),2)),"ON",IF(Dashboard!K$32="ALL","ON","-"))</f>
        <v>-</v>
      </c>
      <c r="C3674" s="127" t="s">
        <v>311</v>
      </c>
      <c r="D3674" s="89">
        <f>IF(C3674="ID",1,(IF(C3674="PR",2,(IF(C3674="DE",3,(IF(C3674="RS",4,(IF(C3674="RC",5,0)))))))))</f>
        <v>3</v>
      </c>
      <c r="E3674" s="89" t="s">
        <v>316</v>
      </c>
      <c r="F3674" s="89">
        <f>IF(E3674="AM",1,(IF(E3674="BE",2,(IF(E3674="GV",3,(IF(E3674="RA",4,(IF(E3674="RM",5,(IF(E3674="AC",1,(IF(E3674="AT",2,(IF(E3674="DS",3,(IF(E3674="IP",4,(IF(E3674="MA",5,(IF(E3674="PT",6,(IF(E3674="AE",1,(IF(E3674="CM",2,(IF(E3674="DP",3,(IF(E3674="AN",1,(IF(E3674="CO",2,(IF(E3674="IM",3,(IF(E3674="MI",4,(IF(E3674="RP",5,(IF(E3674="SC",6,0)))))))))))))))))))))))))))))))))))))))</f>
        <v>2</v>
      </c>
      <c r="G3674" s="52">
        <v>1</v>
      </c>
      <c r="H3674" s="90" t="s">
        <v>115</v>
      </c>
      <c r="I3674" s="93" t="s">
        <v>85</v>
      </c>
      <c r="J3674" s="87" t="s">
        <v>1840</v>
      </c>
      <c r="K3674" s="119" t="s">
        <v>4515</v>
      </c>
      <c r="L3674" s="117">
        <f>IF(O3674="","",N3674*O3674*M3674)</f>
        <v>0</v>
      </c>
      <c r="M3674" s="108">
        <v>1</v>
      </c>
      <c r="N3674" s="95">
        <v>1</v>
      </c>
      <c r="O3674" s="109">
        <f>IF(Key!D$1="ON",P3674,IF(SUM(Q3674:DL3674)&lt;1,"",SUM(Q3674:DL3674)/COUNTIF(Q3674:DL3674,"&gt;0")))</f>
        <v>0</v>
      </c>
      <c r="P3674" s="109">
        <f>SUMIFS(Q3674:DK3674,Q$1:DK$1,Dashboard!$K$31)</f>
        <v>0</v>
      </c>
      <c r="U3674" s="95">
        <v>33</v>
      </c>
      <c r="AA3674" s="95">
        <v>25</v>
      </c>
      <c r="AH3674" s="95">
        <v>75</v>
      </c>
    </row>
    <row r="3675" spans="1:34" x14ac:dyDescent="0.3">
      <c r="A3675" s="89" t="str">
        <f>CONCATENATE(D3675,".",F3675,"-",G3675,".",H3675,"")</f>
        <v>3.2-1.1</v>
      </c>
      <c r="B3675" s="89" t="str">
        <f>IF(CONCATENATE(I3675,Key!F$2)=CONCATENATE(INDEX(Dashboard!J:J,MATCH(I3675,Dashboard!J:J,0),1),INDEX(Dashboard!J:K,MATCH(I3675,Dashboard!J:J,0),2)),"ON",IF(Dashboard!K$32="ALL","ON","-"))</f>
        <v>-</v>
      </c>
      <c r="C3675" s="127" t="s">
        <v>311</v>
      </c>
      <c r="D3675" s="89">
        <f>IF(C3675="ID",1,(IF(C3675="PR",2,(IF(C3675="DE",3,(IF(C3675="RS",4,(IF(C3675="RC",5,0)))))))))</f>
        <v>3</v>
      </c>
      <c r="E3675" s="89" t="s">
        <v>316</v>
      </c>
      <c r="F3675" s="89">
        <f>IF(E3675="AM",1,(IF(E3675="BE",2,(IF(E3675="GV",3,(IF(E3675="RA",4,(IF(E3675="RM",5,(IF(E3675="AC",1,(IF(E3675="AT",2,(IF(E3675="DS",3,(IF(E3675="IP",4,(IF(E3675="MA",5,(IF(E3675="PT",6,(IF(E3675="AE",1,(IF(E3675="CM",2,(IF(E3675="DP",3,(IF(E3675="AN",1,(IF(E3675="CO",2,(IF(E3675="IM",3,(IF(E3675="MI",4,(IF(E3675="RP",5,(IF(E3675="SC",6,0)))))))))))))))))))))))))))))))))))))))</f>
        <v>2</v>
      </c>
      <c r="G3675" s="52">
        <v>1</v>
      </c>
      <c r="H3675" s="90" t="s">
        <v>115</v>
      </c>
      <c r="I3675" s="93" t="s">
        <v>85</v>
      </c>
      <c r="J3675" s="87" t="s">
        <v>1839</v>
      </c>
      <c r="K3675" s="119" t="s">
        <v>4528</v>
      </c>
      <c r="L3675" s="117">
        <f>IF(O3675="","",N3675*O3675*M3675)</f>
        <v>0</v>
      </c>
      <c r="M3675" s="108">
        <v>1</v>
      </c>
      <c r="N3675" s="95">
        <v>1</v>
      </c>
      <c r="O3675" s="109">
        <f>IF(Key!D$1="ON",P3675,IF(SUM(Q3675:DL3675)&lt;1,"",SUM(Q3675:DL3675)/COUNTIF(Q3675:DL3675,"&gt;0")))</f>
        <v>0</v>
      </c>
      <c r="P3675" s="109">
        <f>SUMIFS(Q3675:DK3675,Q$1:DK$1,Dashboard!$K$31)</f>
        <v>0</v>
      </c>
      <c r="U3675" s="95">
        <v>33</v>
      </c>
      <c r="AA3675" s="95">
        <v>25</v>
      </c>
      <c r="AH3675" s="95">
        <v>75</v>
      </c>
    </row>
    <row r="3676" spans="1:34" ht="15.6" x14ac:dyDescent="0.3">
      <c r="A3676" s="89" t="str">
        <f>CONCATENATE(D3676,".",F3676,"-",G3676,".",H3676,"")</f>
        <v>3.2-1.1</v>
      </c>
      <c r="B3676" s="89" t="str">
        <f>IF(CONCATENATE(I3676,Key!F$2)=CONCATENATE(INDEX(Dashboard!J:J,MATCH(I3676,Dashboard!J:J,0),1),INDEX(Dashboard!J:K,MATCH(I3676,Dashboard!J:J,0),2)),"ON",IF(Dashboard!K$32="ALL","ON","-"))</f>
        <v>-</v>
      </c>
      <c r="C3676" s="132" t="s">
        <v>311</v>
      </c>
      <c r="D3676" s="89">
        <f>IF(C3676="ID",1,(IF(C3676="PR",2,(IF(C3676="DE",3,(IF(C3676="RS",4,(IF(C3676="RC",5,0)))))))))</f>
        <v>3</v>
      </c>
      <c r="E3676" s="89" t="s">
        <v>316</v>
      </c>
      <c r="F3676" s="89">
        <f>IF(E3676="AM",1,(IF(E3676="BE",2,(IF(E3676="GV",3,(IF(E3676="RA",4,(IF(E3676="RM",5,(IF(E3676="AC",1,(IF(E3676="AT",2,(IF(E3676="DS",3,(IF(E3676="IP",4,(IF(E3676="MA",5,(IF(E3676="PT",6,(IF(E3676="AE",1,(IF(E3676="CM",2,(IF(E3676="DP",3,(IF(E3676="AN",1,(IF(E3676="CO",2,(IF(E3676="IM",3,(IF(E3676="MI",4,(IF(E3676="RP",5,(IF(E3676="SC",6,0)))))))))))))))))))))))))))))))))))))))</f>
        <v>2</v>
      </c>
      <c r="G3676" s="52">
        <v>1</v>
      </c>
      <c r="H3676" s="90" t="s">
        <v>115</v>
      </c>
      <c r="I3676" s="93" t="s">
        <v>92</v>
      </c>
      <c r="J3676" s="88">
        <v>10</v>
      </c>
      <c r="K3676" s="102" t="s">
        <v>5226</v>
      </c>
      <c r="L3676" s="117">
        <f>IF(O3676="","",N3676*O3676*M3676)</f>
        <v>0</v>
      </c>
      <c r="M3676" s="108">
        <v>1</v>
      </c>
      <c r="N3676" s="95">
        <v>1</v>
      </c>
      <c r="O3676" s="109">
        <f>IF(Key!D$1="ON",P3676,IF(SUM(Q3676:DL3676)&lt;1,"",SUM(Q3676:DL3676)/COUNTIF(Q3676:DL3676,"&gt;0")))</f>
        <v>0</v>
      </c>
      <c r="P3676" s="109">
        <f>SUMIFS(Q3676:DK3676,Q$1:DK$1,Dashboard!$K$31)</f>
        <v>0</v>
      </c>
      <c r="U3676" s="95">
        <v>33</v>
      </c>
      <c r="AA3676" s="95">
        <v>25</v>
      </c>
      <c r="AH3676" s="95">
        <v>75</v>
      </c>
    </row>
    <row r="3677" spans="1:34" x14ac:dyDescent="0.3">
      <c r="A3677" s="89" t="str">
        <f>CONCATENATE(D3677,".",F3677,"-",G3677,".",H3677,"")</f>
        <v>3.2-1.1</v>
      </c>
      <c r="B3677" s="89" t="str">
        <f>IF(CONCATENATE(I3677,Key!F$2)=CONCATENATE(INDEX(Dashboard!J:J,MATCH(I3677,Dashboard!J:J,0),1),INDEX(Dashboard!J:K,MATCH(I3677,Dashboard!J:J,0),2)),"ON",IF(Dashboard!K$32="ALL","ON","-"))</f>
        <v>-</v>
      </c>
      <c r="C3677" s="127" t="s">
        <v>311</v>
      </c>
      <c r="D3677" s="89">
        <f>IF(C3677="ID",1,(IF(C3677="PR",2,(IF(C3677="DE",3,(IF(C3677="RS",4,(IF(C3677="RC",5,0)))))))))</f>
        <v>3</v>
      </c>
      <c r="E3677" s="89" t="s">
        <v>316</v>
      </c>
      <c r="F3677" s="89">
        <f>IF(E3677="AM",1,(IF(E3677="BE",2,(IF(E3677="GV",3,(IF(E3677="RA",4,(IF(E3677="RM",5,(IF(E3677="AC",1,(IF(E3677="AT",2,(IF(E3677="DS",3,(IF(E3677="IP",4,(IF(E3677="MA",5,(IF(E3677="PT",6,(IF(E3677="AE",1,(IF(E3677="CM",2,(IF(E3677="DP",3,(IF(E3677="AN",1,(IF(E3677="CO",2,(IF(E3677="IM",3,(IF(E3677="MI",4,(IF(E3677="RP",5,(IF(E3677="SC",6,0)))))))))))))))))))))))))))))))))))))))</f>
        <v>2</v>
      </c>
      <c r="G3677" s="52">
        <v>1</v>
      </c>
      <c r="H3677" s="90" t="s">
        <v>115</v>
      </c>
      <c r="I3677" s="93" t="s">
        <v>92</v>
      </c>
      <c r="J3677" s="88">
        <v>10.8</v>
      </c>
      <c r="K3677" s="102" t="s">
        <v>5226</v>
      </c>
      <c r="L3677" s="117">
        <f>IF(O3677="","",N3677*O3677*M3677)</f>
        <v>0</v>
      </c>
      <c r="M3677" s="108">
        <v>1</v>
      </c>
      <c r="N3677" s="95">
        <v>1</v>
      </c>
      <c r="O3677" s="109">
        <f>IF(Key!D$1="ON",P3677,IF(SUM(Q3677:DL3677)&lt;1,"",SUM(Q3677:DL3677)/COUNTIF(Q3677:DL3677,"&gt;0")))</f>
        <v>0</v>
      </c>
      <c r="P3677" s="109">
        <f>SUMIFS(Q3677:DK3677,Q$1:DK$1,Dashboard!$K$31)</f>
        <v>0</v>
      </c>
      <c r="U3677" s="95">
        <v>33</v>
      </c>
      <c r="AA3677" s="95">
        <v>25</v>
      </c>
      <c r="AH3677" s="95">
        <v>75</v>
      </c>
    </row>
    <row r="3678" spans="1:34" x14ac:dyDescent="0.3">
      <c r="A3678" s="89" t="str">
        <f>CONCATENATE(D3678,".",F3678,"-",G3678,".",H3678,"")</f>
        <v>3.2-1.1</v>
      </c>
      <c r="B3678" s="89" t="str">
        <f>IF(CONCATENATE(I3678,Key!F$2)=CONCATENATE(INDEX(Dashboard!J:J,MATCH(I3678,Dashboard!J:J,0),1),INDEX(Dashboard!J:K,MATCH(I3678,Dashboard!J:J,0),2)),"ON",IF(Dashboard!K$32="ALL","ON","-"))</f>
        <v>-</v>
      </c>
      <c r="C3678" s="132" t="s">
        <v>311</v>
      </c>
      <c r="D3678" s="89">
        <f>IF(C3678="ID",1,(IF(C3678="PR",2,(IF(C3678="DE",3,(IF(C3678="RS",4,(IF(C3678="RC",5,0)))))))))</f>
        <v>3</v>
      </c>
      <c r="E3678" s="89" t="s">
        <v>316</v>
      </c>
      <c r="F3678" s="89">
        <f>IF(E3678="AM",1,(IF(E3678="BE",2,(IF(E3678="GV",3,(IF(E3678="RA",4,(IF(E3678="RM",5,(IF(E3678="AC",1,(IF(E3678="AT",2,(IF(E3678="DS",3,(IF(E3678="IP",4,(IF(E3678="MA",5,(IF(E3678="PT",6,(IF(E3678="AE",1,(IF(E3678="CM",2,(IF(E3678="DP",3,(IF(E3678="AN",1,(IF(E3678="CO",2,(IF(E3678="IM",3,(IF(E3678="MI",4,(IF(E3678="RP",5,(IF(E3678="SC",6,0)))))))))))))))))))))))))))))))))))))))</f>
        <v>2</v>
      </c>
      <c r="G3678" s="52">
        <v>1</v>
      </c>
      <c r="H3678" s="90" t="s">
        <v>115</v>
      </c>
      <c r="I3678" s="93" t="s">
        <v>92</v>
      </c>
      <c r="J3678" s="87">
        <v>11.1</v>
      </c>
      <c r="K3678" s="102" t="s">
        <v>5226</v>
      </c>
      <c r="L3678" s="117">
        <f>IF(O3678="","",N3678*O3678*M3678)</f>
        <v>0</v>
      </c>
      <c r="M3678" s="108">
        <v>1</v>
      </c>
      <c r="N3678" s="95">
        <v>1</v>
      </c>
      <c r="O3678" s="109">
        <f>IF(Key!D$1="ON",P3678,IF(SUM(Q3678:DL3678)&lt;1,"",SUM(Q3678:DL3678)/COUNTIF(Q3678:DL3678,"&gt;0")))</f>
        <v>0</v>
      </c>
      <c r="P3678" s="109">
        <f>SUMIFS(Q3678:DK3678,Q$1:DK$1,Dashboard!$K$31)</f>
        <v>0</v>
      </c>
      <c r="U3678" s="95">
        <v>33</v>
      </c>
      <c r="AA3678" s="95">
        <v>25</v>
      </c>
      <c r="AH3678" s="95">
        <v>75</v>
      </c>
    </row>
    <row r="3679" spans="1:34" x14ac:dyDescent="0.3">
      <c r="A3679" s="89" t="str">
        <f>CONCATENATE(D3679,".",F3679,"-",G3679,".",H3679,"")</f>
        <v>3.2-1.1</v>
      </c>
      <c r="B3679" s="89" t="str">
        <f>IF(CONCATENATE(I3679,Key!F$2)=CONCATENATE(INDEX(Dashboard!J:J,MATCH(I3679,Dashboard!J:J,0),1),INDEX(Dashboard!J:K,MATCH(I3679,Dashboard!J:J,0),2)),"ON",IF(Dashboard!K$32="ALL","ON","-"))</f>
        <v>-</v>
      </c>
      <c r="C3679" s="132" t="s">
        <v>311</v>
      </c>
      <c r="D3679" s="89">
        <f>IF(C3679="ID",1,(IF(C3679="PR",2,(IF(C3679="DE",3,(IF(C3679="RS",4,(IF(C3679="RC",5,0)))))))))</f>
        <v>3</v>
      </c>
      <c r="E3679" s="89" t="s">
        <v>316</v>
      </c>
      <c r="F3679" s="89">
        <f>IF(E3679="AM",1,(IF(E3679="BE",2,(IF(E3679="GV",3,(IF(E3679="RA",4,(IF(E3679="RM",5,(IF(E3679="AC",1,(IF(E3679="AT",2,(IF(E3679="DS",3,(IF(E3679="IP",4,(IF(E3679="MA",5,(IF(E3679="PT",6,(IF(E3679="AE",1,(IF(E3679="CM",2,(IF(E3679="DP",3,(IF(E3679="AN",1,(IF(E3679="CO",2,(IF(E3679="IM",3,(IF(E3679="MI",4,(IF(E3679="RP",5,(IF(E3679="SC",6,0)))))))))))))))))))))))))))))))))))))))</f>
        <v>2</v>
      </c>
      <c r="G3679" s="52">
        <v>1</v>
      </c>
      <c r="H3679" s="90" t="s">
        <v>115</v>
      </c>
      <c r="I3679" s="93" t="s">
        <v>92</v>
      </c>
      <c r="J3679" s="87">
        <v>11.4</v>
      </c>
      <c r="K3679" s="102" t="s">
        <v>5226</v>
      </c>
      <c r="L3679" s="117">
        <f>IF(O3679="","",N3679*O3679*M3679)</f>
        <v>0</v>
      </c>
      <c r="M3679" s="108">
        <v>1</v>
      </c>
      <c r="N3679" s="95">
        <v>1</v>
      </c>
      <c r="O3679" s="109">
        <f>IF(Key!D$1="ON",P3679,IF(SUM(Q3679:DL3679)&lt;1,"",SUM(Q3679:DL3679)/COUNTIF(Q3679:DL3679,"&gt;0")))</f>
        <v>0</v>
      </c>
      <c r="P3679" s="109">
        <f>SUMIFS(Q3679:DK3679,Q$1:DK$1,Dashboard!$K$31)</f>
        <v>0</v>
      </c>
      <c r="U3679" s="95">
        <v>33</v>
      </c>
      <c r="AA3679" s="95">
        <v>25</v>
      </c>
      <c r="AH3679" s="95">
        <v>75</v>
      </c>
    </row>
    <row r="3680" spans="1:34" x14ac:dyDescent="0.3">
      <c r="A3680" s="89" t="str">
        <f>CONCATENATE(D3680,".",F3680,"-",G3680,".",H3680,"")</f>
        <v>3.2-1.1</v>
      </c>
      <c r="B3680" s="89" t="str">
        <f>IF(CONCATENATE(I3680,Key!F$2)=CONCATENATE(INDEX(Dashboard!J:J,MATCH(I3680,Dashboard!J:J,0),1),INDEX(Dashboard!J:K,MATCH(I3680,Dashboard!J:J,0),2)),"ON",IF(Dashboard!K$32="ALL","ON","-"))</f>
        <v>-</v>
      </c>
      <c r="C3680" s="132" t="s">
        <v>311</v>
      </c>
      <c r="D3680" s="89">
        <f>IF(C3680="ID",1,(IF(C3680="PR",2,(IF(C3680="DE",3,(IF(C3680="RS",4,(IF(C3680="RC",5,0)))))))))</f>
        <v>3</v>
      </c>
      <c r="E3680" s="89" t="s">
        <v>316</v>
      </c>
      <c r="F3680" s="89">
        <f>IF(E3680="AM",1,(IF(E3680="BE",2,(IF(E3680="GV",3,(IF(E3680="RA",4,(IF(E3680="RM",5,(IF(E3680="AC",1,(IF(E3680="AT",2,(IF(E3680="DS",3,(IF(E3680="IP",4,(IF(E3680="MA",5,(IF(E3680="PT",6,(IF(E3680="AE",1,(IF(E3680="CM",2,(IF(E3680="DP",3,(IF(E3680="AN",1,(IF(E3680="CO",2,(IF(E3680="IM",3,(IF(E3680="MI",4,(IF(E3680="RP",5,(IF(E3680="SC",6,0)))))))))))))))))))))))))))))))))))))))</f>
        <v>2</v>
      </c>
      <c r="G3680" s="52">
        <v>1</v>
      </c>
      <c r="H3680" s="90" t="s">
        <v>115</v>
      </c>
      <c r="I3680" s="93" t="s">
        <v>92</v>
      </c>
      <c r="J3680" s="88" t="s">
        <v>307</v>
      </c>
      <c r="K3680" s="102" t="s">
        <v>5226</v>
      </c>
      <c r="L3680" s="117">
        <f>IF(O3680="","",N3680*O3680*M3680)</f>
        <v>0</v>
      </c>
      <c r="M3680" s="108">
        <v>1</v>
      </c>
      <c r="N3680" s="95">
        <v>1</v>
      </c>
      <c r="O3680" s="109">
        <f>IF(Key!D$1="ON",P3680,IF(SUM(Q3680:DL3680)&lt;1,"",SUM(Q3680:DL3680)/COUNTIF(Q3680:DL3680,"&gt;0")))</f>
        <v>0</v>
      </c>
      <c r="P3680" s="109">
        <f>SUMIFS(Q3680:DK3680,Q$1:DK$1,Dashboard!$K$31)</f>
        <v>0</v>
      </c>
      <c r="U3680" s="95">
        <v>33</v>
      </c>
      <c r="AA3680" s="95">
        <v>25</v>
      </c>
      <c r="AH3680" s="95">
        <v>75</v>
      </c>
    </row>
    <row r="3681" spans="1:34" ht="15.6" x14ac:dyDescent="0.3">
      <c r="A3681" s="89" t="str">
        <f>CONCATENATE(D3681,".",F3681,"-",G3681,".",H3681,"")</f>
        <v>3.2-1.1</v>
      </c>
      <c r="B3681" s="89" t="str">
        <f>IF(CONCATENATE(I3681,Key!F$2)=CONCATENATE(INDEX(Dashboard!J:J,MATCH(I3681,Dashboard!J:J,0),1),INDEX(Dashboard!J:K,MATCH(I3681,Dashboard!J:J,0),2)),"ON",IF(Dashboard!K$32="ALL","ON","-"))</f>
        <v>-</v>
      </c>
      <c r="C3681" s="132" t="s">
        <v>311</v>
      </c>
      <c r="D3681" s="89">
        <f>IF(C3681="ID",1,(IF(C3681="PR",2,(IF(C3681="DE",3,(IF(C3681="RS",4,(IF(C3681="RC",5,0)))))))))</f>
        <v>3</v>
      </c>
      <c r="E3681" s="89" t="s">
        <v>316</v>
      </c>
      <c r="F3681" s="89">
        <f>IF(E3681="AM",1,(IF(E3681="BE",2,(IF(E3681="GV",3,(IF(E3681="RA",4,(IF(E3681="RM",5,(IF(E3681="AC",1,(IF(E3681="AT",2,(IF(E3681="DS",3,(IF(E3681="IP",4,(IF(E3681="MA",5,(IF(E3681="PT",6,(IF(E3681="AE",1,(IF(E3681="CM",2,(IF(E3681="DP",3,(IF(E3681="AN",1,(IF(E3681="CO",2,(IF(E3681="IM",3,(IF(E3681="MI",4,(IF(E3681="RP",5,(IF(E3681="SC",6,0)))))))))))))))))))))))))))))))))))))))</f>
        <v>2</v>
      </c>
      <c r="G3681" s="52">
        <v>1</v>
      </c>
      <c r="H3681" s="90" t="s">
        <v>115</v>
      </c>
      <c r="I3681" s="93" t="s">
        <v>92</v>
      </c>
      <c r="J3681" s="87" t="s">
        <v>317</v>
      </c>
      <c r="K3681" s="102" t="s">
        <v>5226</v>
      </c>
      <c r="L3681" s="117">
        <f>IF(O3681="","",N3681*O3681*M3681)</f>
        <v>0</v>
      </c>
      <c r="M3681" s="108">
        <v>1</v>
      </c>
      <c r="N3681" s="95">
        <v>1</v>
      </c>
      <c r="O3681" s="109">
        <f>IF(Key!D$1="ON",P3681,IF(SUM(Q3681:DL3681)&lt;1,"",SUM(Q3681:DL3681)/COUNTIF(Q3681:DL3681,"&gt;0")))</f>
        <v>0</v>
      </c>
      <c r="P3681" s="109">
        <f>SUMIFS(Q3681:DK3681,Q$1:DK$1,Dashboard!$K$31)</f>
        <v>0</v>
      </c>
      <c r="U3681" s="95">
        <v>33</v>
      </c>
      <c r="AA3681" s="95">
        <v>25</v>
      </c>
      <c r="AH3681" s="95">
        <v>75</v>
      </c>
    </row>
    <row r="3682" spans="1:34" ht="15.6" x14ac:dyDescent="0.3">
      <c r="A3682" s="89" t="str">
        <f>CONCATENATE(D3682,".",F3682,"-",G3682,".",H3682,"")</f>
        <v>3.2-1.5</v>
      </c>
      <c r="B3682" s="89" t="str">
        <f>IF(CONCATENATE(I3682,Key!F$2)=CONCATENATE(INDEX(Dashboard!J:J,MATCH(I3682,Dashboard!J:J,0),1),INDEX(Dashboard!J:K,MATCH(I3682,Dashboard!J:J,0),2)),"ON",IF(Dashboard!K$32="ALL","ON","-"))</f>
        <v>-</v>
      </c>
      <c r="C3682" s="127" t="s">
        <v>311</v>
      </c>
      <c r="D3682" s="89">
        <f>IF(C3682="ID",1,(IF(C3682="PR",2,(IF(C3682="DE",3,(IF(C3682="RS",4,(IF(C3682="RC",5,0)))))))))</f>
        <v>3</v>
      </c>
      <c r="E3682" s="89" t="s">
        <v>316</v>
      </c>
      <c r="F3682" s="89">
        <f>IF(E3682="AM",1,(IF(E3682="BE",2,(IF(E3682="GV",3,(IF(E3682="RA",4,(IF(E3682="RM",5,(IF(E3682="AC",1,(IF(E3682="AT",2,(IF(E3682="DS",3,(IF(E3682="IP",4,(IF(E3682="MA",5,(IF(E3682="PT",6,(IF(E3682="AE",1,(IF(E3682="CM",2,(IF(E3682="DP",3,(IF(E3682="AN",1,(IF(E3682="CO",2,(IF(E3682="IM",3,(IF(E3682="MI",4,(IF(E3682="RP",5,(IF(E3682="SC",6,0)))))))))))))))))))))))))))))))))))))))</f>
        <v>2</v>
      </c>
      <c r="G3682" s="52">
        <v>1</v>
      </c>
      <c r="H3682" s="90" t="s">
        <v>123</v>
      </c>
      <c r="I3682" s="93" t="s">
        <v>77</v>
      </c>
      <c r="J3682" s="87" t="s">
        <v>1844</v>
      </c>
      <c r="K3682" s="102" t="s">
        <v>2750</v>
      </c>
      <c r="L3682" s="117">
        <f>IF(O3682="","",N3682*O3682*M3682)</f>
        <v>0</v>
      </c>
      <c r="M3682" s="108">
        <v>1</v>
      </c>
      <c r="N3682" s="95">
        <v>1</v>
      </c>
      <c r="O3682" s="109">
        <f>IF(Key!D$1="ON",P3682,IF(SUM(Q3682:DL3682)&lt;1,"",SUM(Q3682:DL3682)/COUNTIF(Q3682:DL3682,"&gt;0")))</f>
        <v>0</v>
      </c>
      <c r="P3682" s="109">
        <f>SUMIFS(Q3682:DK3682,Q$1:DK$1,Dashboard!$K$31)</f>
        <v>0</v>
      </c>
      <c r="U3682" s="95">
        <v>33</v>
      </c>
      <c r="AA3682" s="95">
        <v>25</v>
      </c>
      <c r="AH3682" s="95">
        <v>75</v>
      </c>
    </row>
    <row r="3683" spans="1:34" ht="15.6" x14ac:dyDescent="0.3">
      <c r="A3683" s="89" t="str">
        <f>CONCATENATE(D3683,".",F3683,"-",G3683,".",H3683,"")</f>
        <v>3.2-2.0</v>
      </c>
      <c r="B3683" s="89" t="str">
        <f>IF(CONCATENATE(I3683,Key!F$2)=CONCATENATE(INDEX(Dashboard!J:J,MATCH(I3683,Dashboard!J:J,0),1),INDEX(Dashboard!J:K,MATCH(I3683,Dashboard!J:J,0),2)),"ON",IF(Dashboard!K$32="ALL","ON","-"))</f>
        <v>-</v>
      </c>
      <c r="C3683" s="132" t="s">
        <v>311</v>
      </c>
      <c r="D3683" s="89">
        <f>IF(C3683="ID",1,(IF(C3683="PR",2,(IF(C3683="DE",3,(IF(C3683="RS",4,(IF(C3683="RC",5,0)))))))))</f>
        <v>3</v>
      </c>
      <c r="E3683" s="89" t="s">
        <v>316</v>
      </c>
      <c r="F3683" s="89">
        <f>IF(E3683="AM",1,(IF(E3683="BE",2,(IF(E3683="GV",3,(IF(E3683="RA",4,(IF(E3683="RM",5,(IF(E3683="AC",1,(IF(E3683="AT",2,(IF(E3683="DS",3,(IF(E3683="IP",4,(IF(E3683="MA",5,(IF(E3683="PT",6,(IF(E3683="AE",1,(IF(E3683="CM",2,(IF(E3683="DP",3,(IF(E3683="AN",1,(IF(E3683="CO",2,(IF(E3683="IM",3,(IF(E3683="MI",4,(IF(E3683="RP",5,(IF(E3683="SC",6,0)))))))))))))))))))))))))))))))))))))))</f>
        <v>2</v>
      </c>
      <c r="G3683" s="52">
        <v>2</v>
      </c>
      <c r="H3683" s="90" t="s">
        <v>347</v>
      </c>
      <c r="I3683" s="93" t="s">
        <v>2835</v>
      </c>
      <c r="J3683" s="53" t="s">
        <v>3024</v>
      </c>
      <c r="K3683" s="58" t="s">
        <v>3025</v>
      </c>
      <c r="L3683" s="117">
        <f>IF(O3683="","",N3683*O3683*M3683)</f>
        <v>0</v>
      </c>
      <c r="M3683" s="108">
        <v>1</v>
      </c>
      <c r="N3683" s="95">
        <v>1</v>
      </c>
      <c r="O3683" s="109">
        <f>IF(Key!D$1="ON",P3683,IF(SUM(Q3683:DL3683)&lt;1,"",SUM(Q3683:DL3683)/COUNTIF(Q3683:DL3683,"&gt;0")))</f>
        <v>0</v>
      </c>
      <c r="P3683" s="109">
        <f>SUMIFS(Q3683:DK3683,Q$1:DK$1,Dashboard!$K$31)</f>
        <v>0</v>
      </c>
      <c r="U3683" s="95">
        <v>33</v>
      </c>
    </row>
    <row r="3684" spans="1:34" ht="15.6" x14ac:dyDescent="0.3">
      <c r="A3684" s="89" t="str">
        <f>CONCATENATE(D3684,".",F3684,"-",G3684,".",H3684,"")</f>
        <v>3.2-2.1</v>
      </c>
      <c r="B3684" s="89" t="str">
        <f>IF(CONCATENATE(I3684,Key!F$2)=CONCATENATE(INDEX(Dashboard!J:J,MATCH(I3684,Dashboard!J:J,0),1),INDEX(Dashboard!J:K,MATCH(I3684,Dashboard!J:J,0),2)),"ON",IF(Dashboard!K$32="ALL","ON","-"))</f>
        <v>ON</v>
      </c>
      <c r="C3684" s="133" t="s">
        <v>311</v>
      </c>
      <c r="D3684" s="89">
        <f>IF(C3684="ID",1,(IF(C3684="PR",2,(IF(C3684="DE",3,(IF(C3684="RS",4,(IF(C3684="RC",5,0)))))))))</f>
        <v>3</v>
      </c>
      <c r="E3684" s="95" t="s">
        <v>316</v>
      </c>
      <c r="F3684" s="89">
        <f>IF(E3684="AM",1,(IF(E3684="BE",2,(IF(E3684="GV",3,(IF(E3684="RA",4,(IF(E3684="RM",5,(IF(E3684="AC",1,(IF(E3684="AT",2,(IF(E3684="DS",3,(IF(E3684="IP",4,(IF(E3684="MA",5,(IF(E3684="PT",6,(IF(E3684="AE",1,(IF(E3684="CM",2,(IF(E3684="DP",3,(IF(E3684="AN",1,(IF(E3684="CO",2,(IF(E3684="IM",3,(IF(E3684="MI",4,(IF(E3684="RP",5,(IF(E3684="SC",6,0)))))))))))))))))))))))))))))))))))))))</f>
        <v>2</v>
      </c>
      <c r="G3684" s="52">
        <v>2</v>
      </c>
      <c r="H3684" s="90" t="s">
        <v>115</v>
      </c>
      <c r="I3684" s="93" t="s">
        <v>4107</v>
      </c>
      <c r="J3684" s="86" t="s">
        <v>4006</v>
      </c>
      <c r="K3684" s="101" t="s">
        <v>4378</v>
      </c>
      <c r="L3684" s="117">
        <f>IF(O3684="","",N3684*O3684*M3684)</f>
        <v>0</v>
      </c>
      <c r="M3684" s="108">
        <v>1</v>
      </c>
      <c r="N3684" s="95">
        <v>1</v>
      </c>
      <c r="O3684" s="109">
        <f>IF(Key!D$1="ON",P3684,IF(SUM(Q3684:DL3684)&lt;1,"",SUM(Q3684:DL3684)/COUNTIF(Q3684:DL3684,"&gt;0")))</f>
        <v>0</v>
      </c>
      <c r="P3684" s="109">
        <f>SUMIFS(Q3684:DK3684,Q$1:DK$1,Dashboard!$K$31)</f>
        <v>0</v>
      </c>
      <c r="U3684" s="95">
        <v>33</v>
      </c>
      <c r="AA3684" s="95">
        <v>25</v>
      </c>
      <c r="AH3684" s="95">
        <v>75</v>
      </c>
    </row>
    <row r="3685" spans="1:34" ht="15.6" x14ac:dyDescent="0.3">
      <c r="A3685" s="89" t="str">
        <f>CONCATENATE(D3685,".",F3685,"-",G3685,".",H3685,"")</f>
        <v>3.2-2.1</v>
      </c>
      <c r="B3685" s="89" t="str">
        <f>IF(CONCATENATE(I3685,Key!F$2)=CONCATENATE(INDEX(Dashboard!J:J,MATCH(I3685,Dashboard!J:J,0),1),INDEX(Dashboard!J:K,MATCH(I3685,Dashboard!J:J,0),2)),"ON",IF(Dashboard!K$32="ALL","ON","-"))</f>
        <v>ON</v>
      </c>
      <c r="C3685" s="133" t="s">
        <v>311</v>
      </c>
      <c r="D3685" s="89">
        <f>IF(C3685="ID",1,(IF(C3685="PR",2,(IF(C3685="DE",3,(IF(C3685="RS",4,(IF(C3685="RC",5,0)))))))))</f>
        <v>3</v>
      </c>
      <c r="E3685" s="95" t="s">
        <v>316</v>
      </c>
      <c r="F3685" s="89">
        <f>IF(E3685="AM",1,(IF(E3685="BE",2,(IF(E3685="GV",3,(IF(E3685="RA",4,(IF(E3685="RM",5,(IF(E3685="AC",1,(IF(E3685="AT",2,(IF(E3685="DS",3,(IF(E3685="IP",4,(IF(E3685="MA",5,(IF(E3685="PT",6,(IF(E3685="AE",1,(IF(E3685="CM",2,(IF(E3685="DP",3,(IF(E3685="AN",1,(IF(E3685="CO",2,(IF(E3685="IM",3,(IF(E3685="MI",4,(IF(E3685="RP",5,(IF(E3685="SC",6,0)))))))))))))))))))))))))))))))))))))))</f>
        <v>2</v>
      </c>
      <c r="G3685" s="52">
        <v>2</v>
      </c>
      <c r="H3685" s="90" t="s">
        <v>115</v>
      </c>
      <c r="I3685" s="93" t="s">
        <v>4107</v>
      </c>
      <c r="J3685" s="86" t="s">
        <v>4065</v>
      </c>
      <c r="K3685" s="101" t="s">
        <v>4469</v>
      </c>
      <c r="L3685" s="117">
        <f>IF(O3685="","",N3685*O3685*M3685)</f>
        <v>0</v>
      </c>
      <c r="M3685" s="108">
        <v>1</v>
      </c>
      <c r="N3685" s="95">
        <v>1</v>
      </c>
      <c r="O3685" s="109">
        <f>IF(Key!D$1="ON",P3685,IF(SUM(Q3685:DL3685)&lt;1,"",SUM(Q3685:DL3685)/COUNTIF(Q3685:DL3685,"&gt;0")))</f>
        <v>0</v>
      </c>
      <c r="P3685" s="109">
        <f>SUMIFS(Q3685:DK3685,Q$1:DK$1,Dashboard!$K$31)</f>
        <v>0</v>
      </c>
      <c r="U3685" s="95">
        <v>33</v>
      </c>
      <c r="AA3685" s="95">
        <v>25</v>
      </c>
      <c r="AH3685" s="95">
        <v>75</v>
      </c>
    </row>
    <row r="3686" spans="1:34" ht="15.6" x14ac:dyDescent="0.3">
      <c r="A3686" s="89" t="str">
        <f>CONCATENATE(D3686,".",F3686,"-",G3686,".",H3686,"")</f>
        <v>3.2-2.1</v>
      </c>
      <c r="B3686" s="89" t="str">
        <f>IF(CONCATENATE(I3686,Key!F$2)=CONCATENATE(INDEX(Dashboard!J:J,MATCH(I3686,Dashboard!J:J,0),1),INDEX(Dashboard!J:K,MATCH(I3686,Dashboard!J:J,0),2)),"ON",IF(Dashboard!K$32="ALL","ON","-"))</f>
        <v>-</v>
      </c>
      <c r="C3686" s="132" t="s">
        <v>311</v>
      </c>
      <c r="D3686" s="89">
        <f>IF(C3686="ID",1,(IF(C3686="PR",2,(IF(C3686="DE",3,(IF(C3686="RS",4,(IF(C3686="RC",5,0)))))))))</f>
        <v>3</v>
      </c>
      <c r="E3686" s="89" t="s">
        <v>316</v>
      </c>
      <c r="F3686" s="89">
        <f>IF(E3686="AM",1,(IF(E3686="BE",2,(IF(E3686="GV",3,(IF(E3686="RA",4,(IF(E3686="RM",5,(IF(E3686="AC",1,(IF(E3686="AT",2,(IF(E3686="DS",3,(IF(E3686="IP",4,(IF(E3686="MA",5,(IF(E3686="PT",6,(IF(E3686="AE",1,(IF(E3686="CM",2,(IF(E3686="DP",3,(IF(E3686="AN",1,(IF(E3686="CO",2,(IF(E3686="IM",3,(IF(E3686="MI",4,(IF(E3686="RP",5,(IF(E3686="SC",6,0)))))))))))))))))))))))))))))))))))))))</f>
        <v>2</v>
      </c>
      <c r="G3686" s="52">
        <v>2</v>
      </c>
      <c r="H3686" s="90" t="s">
        <v>115</v>
      </c>
      <c r="I3686" s="93" t="s">
        <v>52</v>
      </c>
      <c r="J3686" s="88" t="s">
        <v>3446</v>
      </c>
      <c r="K3686" s="103" t="s">
        <v>3447</v>
      </c>
      <c r="L3686" s="117">
        <f>IF(O3686="","",N3686*O3686*M3686)</f>
        <v>0</v>
      </c>
      <c r="M3686" s="108">
        <v>1</v>
      </c>
      <c r="N3686" s="95">
        <v>1</v>
      </c>
      <c r="O3686" s="109">
        <f>IF(Key!D$1="ON",P3686,IF(SUM(Q3686:DL3686)&lt;1,"",SUM(Q3686:DL3686)/COUNTIF(Q3686:DL3686,"&gt;0")))</f>
        <v>0</v>
      </c>
      <c r="P3686" s="109">
        <f>SUMIFS(Q3686:DK3686,Q$1:DK$1,Dashboard!$K$31)</f>
        <v>0</v>
      </c>
      <c r="U3686" s="95">
        <v>33</v>
      </c>
      <c r="AA3686" s="95">
        <v>25</v>
      </c>
      <c r="AH3686" s="95">
        <v>75</v>
      </c>
    </row>
    <row r="3687" spans="1:34" x14ac:dyDescent="0.3">
      <c r="A3687" s="89" t="str">
        <f>CONCATENATE(D3687,".",F3687,"-",G3687,".",H3687,"")</f>
        <v>3.2-2.1</v>
      </c>
      <c r="B3687" s="89" t="str">
        <f>IF(CONCATENATE(I3687,Key!F$2)=CONCATENATE(INDEX(Dashboard!J:J,MATCH(I3687,Dashboard!J:J,0),1),INDEX(Dashboard!J:K,MATCH(I3687,Dashboard!J:J,0),2)),"ON",IF(Dashboard!K$32="ALL","ON","-"))</f>
        <v>-</v>
      </c>
      <c r="C3687" s="132" t="s">
        <v>311</v>
      </c>
      <c r="D3687" s="89">
        <f>IF(C3687="ID",1,(IF(C3687="PR",2,(IF(C3687="DE",3,(IF(C3687="RS",4,(IF(C3687="RC",5,0)))))))))</f>
        <v>3</v>
      </c>
      <c r="E3687" s="89" t="s">
        <v>316</v>
      </c>
      <c r="F3687" s="89">
        <f>IF(E3687="AM",1,(IF(E3687="BE",2,(IF(E3687="GV",3,(IF(E3687="RA",4,(IF(E3687="RM",5,(IF(E3687="AC",1,(IF(E3687="AT",2,(IF(E3687="DS",3,(IF(E3687="IP",4,(IF(E3687="MA",5,(IF(E3687="PT",6,(IF(E3687="AE",1,(IF(E3687="CM",2,(IF(E3687="DP",3,(IF(E3687="AN",1,(IF(E3687="CO",2,(IF(E3687="IM",3,(IF(E3687="MI",4,(IF(E3687="RP",5,(IF(E3687="SC",6,0)))))))))))))))))))))))))))))))))))))))</f>
        <v>2</v>
      </c>
      <c r="G3687" s="52">
        <v>2</v>
      </c>
      <c r="H3687" s="90" t="s">
        <v>115</v>
      </c>
      <c r="I3687" s="93" t="s">
        <v>52</v>
      </c>
      <c r="J3687" s="88" t="s">
        <v>3369</v>
      </c>
      <c r="K3687" s="103" t="s">
        <v>3370</v>
      </c>
      <c r="L3687" s="117">
        <f>IF(O3687="","",N3687*O3687*M3687)</f>
        <v>0</v>
      </c>
      <c r="M3687" s="108">
        <v>1</v>
      </c>
      <c r="N3687" s="95">
        <v>1</v>
      </c>
      <c r="O3687" s="109">
        <f>IF(Key!D$1="ON",P3687,IF(SUM(Q3687:DL3687)&lt;1,"",SUM(Q3687:DL3687)/COUNTIF(Q3687:DL3687,"&gt;0")))</f>
        <v>0</v>
      </c>
      <c r="P3687" s="109">
        <f>SUMIFS(Q3687:DK3687,Q$1:DK$1,Dashboard!$K$31)</f>
        <v>0</v>
      </c>
      <c r="U3687" s="95">
        <v>33</v>
      </c>
      <c r="AA3687" s="95">
        <v>25</v>
      </c>
      <c r="AH3687" s="95">
        <v>75</v>
      </c>
    </row>
    <row r="3688" spans="1:34" x14ac:dyDescent="0.3">
      <c r="A3688" s="89" t="str">
        <f>CONCATENATE(D3688,".",F3688,"-",G3688,".",H3688,"")</f>
        <v>3.2-2.1</v>
      </c>
      <c r="B3688" s="89" t="str">
        <f>IF(CONCATENATE(I3688,Key!F$2)=CONCATENATE(INDEX(Dashboard!J:J,MATCH(I3688,Dashboard!J:J,0),1),INDEX(Dashboard!J:K,MATCH(I3688,Dashboard!J:J,0),2)),"ON",IF(Dashboard!K$32="ALL","ON","-"))</f>
        <v>-</v>
      </c>
      <c r="C3688" s="132" t="s">
        <v>311</v>
      </c>
      <c r="D3688" s="89">
        <f>IF(C3688="ID",1,(IF(C3688="PR",2,(IF(C3688="DE",3,(IF(C3688="RS",4,(IF(C3688="RC",5,0)))))))))</f>
        <v>3</v>
      </c>
      <c r="E3688" s="89" t="s">
        <v>316</v>
      </c>
      <c r="F3688" s="89">
        <f>IF(E3688="AM",1,(IF(E3688="BE",2,(IF(E3688="GV",3,(IF(E3688="RA",4,(IF(E3688="RM",5,(IF(E3688="AC",1,(IF(E3688="AT",2,(IF(E3688="DS",3,(IF(E3688="IP",4,(IF(E3688="MA",5,(IF(E3688="PT",6,(IF(E3688="AE",1,(IF(E3688="CM",2,(IF(E3688="DP",3,(IF(E3688="AN",1,(IF(E3688="CO",2,(IF(E3688="IM",3,(IF(E3688="MI",4,(IF(E3688="RP",5,(IF(E3688="SC",6,0)))))))))))))))))))))))))))))))))))))))</f>
        <v>2</v>
      </c>
      <c r="G3688" s="52">
        <v>2</v>
      </c>
      <c r="H3688" s="90" t="s">
        <v>115</v>
      </c>
      <c r="I3688" s="93" t="s">
        <v>52</v>
      </c>
      <c r="J3688" s="88" t="s">
        <v>3371</v>
      </c>
      <c r="K3688" s="103" t="s">
        <v>3372</v>
      </c>
      <c r="L3688" s="117">
        <f>IF(O3688="","",N3688*O3688*M3688)</f>
        <v>0</v>
      </c>
      <c r="M3688" s="108">
        <v>1</v>
      </c>
      <c r="N3688" s="95">
        <v>1</v>
      </c>
      <c r="O3688" s="109">
        <f>IF(Key!D$1="ON",P3688,IF(SUM(Q3688:DL3688)&lt;1,"",SUM(Q3688:DL3688)/COUNTIF(Q3688:DL3688,"&gt;0")))</f>
        <v>0</v>
      </c>
      <c r="P3688" s="109">
        <f>SUMIFS(Q3688:DK3688,Q$1:DK$1,Dashboard!$K$31)</f>
        <v>0</v>
      </c>
      <c r="U3688" s="95">
        <v>33</v>
      </c>
      <c r="AA3688" s="95">
        <v>25</v>
      </c>
      <c r="AH3688" s="95">
        <v>75</v>
      </c>
    </row>
    <row r="3689" spans="1:34" x14ac:dyDescent="0.3">
      <c r="A3689" s="89" t="str">
        <f>CONCATENATE(D3689,".",F3689,"-",G3689,".",H3689,"")</f>
        <v>3.2-2.1</v>
      </c>
      <c r="B3689" s="89" t="str">
        <f>IF(CONCATENATE(I3689,Key!F$2)=CONCATENATE(INDEX(Dashboard!J:J,MATCH(I3689,Dashboard!J:J,0),1),INDEX(Dashboard!J:K,MATCH(I3689,Dashboard!J:J,0),2)),"ON",IF(Dashboard!K$32="ALL","ON","-"))</f>
        <v>-</v>
      </c>
      <c r="C3689" s="127" t="s">
        <v>311</v>
      </c>
      <c r="D3689" s="89">
        <f>IF(C3689="ID",1,(IF(C3689="PR",2,(IF(C3689="DE",3,(IF(C3689="RS",4,(IF(C3689="RC",5,0)))))))))</f>
        <v>3</v>
      </c>
      <c r="E3689" s="89" t="s">
        <v>316</v>
      </c>
      <c r="F3689" s="89">
        <f>IF(E3689="AM",1,(IF(E3689="BE",2,(IF(E3689="GV",3,(IF(E3689="RA",4,(IF(E3689="RM",5,(IF(E3689="AC",1,(IF(E3689="AT",2,(IF(E3689="DS",3,(IF(E3689="IP",4,(IF(E3689="MA",5,(IF(E3689="PT",6,(IF(E3689="AE",1,(IF(E3689="CM",2,(IF(E3689="DP",3,(IF(E3689="AN",1,(IF(E3689="CO",2,(IF(E3689="IM",3,(IF(E3689="MI",4,(IF(E3689="RP",5,(IF(E3689="SC",6,0)))))))))))))))))))))))))))))))))))))))</f>
        <v>2</v>
      </c>
      <c r="G3689" s="52">
        <v>2</v>
      </c>
      <c r="H3689" s="90" t="s">
        <v>115</v>
      </c>
      <c r="I3689" s="93" t="s">
        <v>60</v>
      </c>
      <c r="J3689" s="87" t="s">
        <v>3258</v>
      </c>
      <c r="K3689" s="51" t="s">
        <v>5371</v>
      </c>
      <c r="L3689" s="117">
        <f>IF(O3689="","",N3689*O3689*M3689)</f>
        <v>0</v>
      </c>
      <c r="M3689" s="108">
        <v>1</v>
      </c>
      <c r="N3689" s="95">
        <v>1</v>
      </c>
      <c r="O3689" s="109">
        <f>IF(Key!D$1="ON",P3689,IF(SUM(Q3689:DL3689)&lt;1,"",SUM(Q3689:DL3689)/COUNTIF(Q3689:DL3689,"&gt;0")))</f>
        <v>0</v>
      </c>
      <c r="P3689" s="109">
        <f>SUMIFS(Q3689:DK3689,Q$1:DK$1,Dashboard!$K$31)</f>
        <v>0</v>
      </c>
      <c r="U3689" s="95">
        <v>33</v>
      </c>
      <c r="AA3689" s="95">
        <v>25</v>
      </c>
      <c r="AH3689" s="95">
        <v>75</v>
      </c>
    </row>
    <row r="3690" spans="1:34" x14ac:dyDescent="0.3">
      <c r="A3690" s="89" t="str">
        <f>CONCATENATE(D3690,".",F3690,"-",G3690,".",H3690,"")</f>
        <v>3.2-2.1</v>
      </c>
      <c r="B3690" s="89" t="str">
        <f>IF(CONCATENATE(I3690,Key!F$2)=CONCATENATE(INDEX(Dashboard!J:J,MATCH(I3690,Dashboard!J:J,0),1),INDEX(Dashboard!J:K,MATCH(I3690,Dashboard!J:J,0),2)),"ON",IF(Dashboard!K$32="ALL","ON","-"))</f>
        <v>-</v>
      </c>
      <c r="C3690" s="127" t="s">
        <v>311</v>
      </c>
      <c r="D3690" s="89">
        <f>IF(C3690="ID",1,(IF(C3690="PR",2,(IF(C3690="DE",3,(IF(C3690="RS",4,(IF(C3690="RC",5,0)))))))))</f>
        <v>3</v>
      </c>
      <c r="E3690" s="89" t="s">
        <v>316</v>
      </c>
      <c r="F3690" s="89">
        <f>IF(E3690="AM",1,(IF(E3690="BE",2,(IF(E3690="GV",3,(IF(E3690="RA",4,(IF(E3690="RM",5,(IF(E3690="AC",1,(IF(E3690="AT",2,(IF(E3690="DS",3,(IF(E3690="IP",4,(IF(E3690="MA",5,(IF(E3690="PT",6,(IF(E3690="AE",1,(IF(E3690="CM",2,(IF(E3690="DP",3,(IF(E3690="AN",1,(IF(E3690="CO",2,(IF(E3690="IM",3,(IF(E3690="MI",4,(IF(E3690="RP",5,(IF(E3690="SC",6,0)))))))))))))))))))))))))))))))))))))))</f>
        <v>2</v>
      </c>
      <c r="G3690" s="52">
        <v>2</v>
      </c>
      <c r="H3690" s="90" t="s">
        <v>115</v>
      </c>
      <c r="I3690" s="93" t="s">
        <v>73</v>
      </c>
      <c r="J3690" s="86" t="s">
        <v>4202</v>
      </c>
      <c r="K3690" s="101" t="s">
        <v>4392</v>
      </c>
      <c r="L3690" s="117">
        <f>IF(O3690="","",N3690*O3690*M3690)</f>
        <v>0</v>
      </c>
      <c r="M3690" s="108">
        <v>1</v>
      </c>
      <c r="N3690" s="95">
        <v>1</v>
      </c>
      <c r="O3690" s="109">
        <f>IF(Key!D$1="ON",P3690,IF(SUM(Q3690:DL3690)&lt;1,"",SUM(Q3690:DL3690)/COUNTIF(Q3690:DL3690,"&gt;0")))</f>
        <v>0</v>
      </c>
      <c r="P3690" s="109">
        <f>SUMIFS(Q3690:DK3690,Q$1:DK$1,Dashboard!$K$31)</f>
        <v>0</v>
      </c>
      <c r="U3690" s="95">
        <v>33</v>
      </c>
      <c r="AA3690" s="95">
        <v>25</v>
      </c>
      <c r="AH3690" s="95">
        <v>75</v>
      </c>
    </row>
    <row r="3691" spans="1:34" x14ac:dyDescent="0.3">
      <c r="A3691" s="89" t="str">
        <f>CONCATENATE(D3691,".",F3691,"-",G3691,".",H3691,"")</f>
        <v>3.2-2.1</v>
      </c>
      <c r="B3691" s="89" t="str">
        <f>IF(CONCATENATE(I3691,Key!F$2)=CONCATENATE(INDEX(Dashboard!J:J,MATCH(I3691,Dashboard!J:J,0),1),INDEX(Dashboard!J:K,MATCH(I3691,Dashboard!J:J,0),2)),"ON",IF(Dashboard!K$32="ALL","ON","-"))</f>
        <v>-</v>
      </c>
      <c r="C3691" s="88" t="s">
        <v>311</v>
      </c>
      <c r="D3691" s="89">
        <f>IF(C3691="ID",1,(IF(C3691="PR",2,(IF(C3691="DE",3,(IF(C3691="RS",4,(IF(C3691="RC",5,0)))))))))</f>
        <v>3</v>
      </c>
      <c r="E3691" s="89" t="s">
        <v>316</v>
      </c>
      <c r="F3691" s="89">
        <f>IF(E3691="AM",1,(IF(E3691="BE",2,(IF(E3691="GV",3,(IF(E3691="RA",4,(IF(E3691="RM",5,(IF(E3691="AC",1,(IF(E3691="AT",2,(IF(E3691="DS",3,(IF(E3691="IP",4,(IF(E3691="MA",5,(IF(E3691="PT",6,(IF(E3691="AE",1,(IF(E3691="CM",2,(IF(E3691="DP",3,(IF(E3691="AN",1,(IF(E3691="CO",2,(IF(E3691="IM",3,(IF(E3691="MI",4,(IF(E3691="RP",5,(IF(E3691="SC",6,0)))))))))))))))))))))))))))))))))))))))</f>
        <v>2</v>
      </c>
      <c r="G3691" s="52">
        <v>2</v>
      </c>
      <c r="H3691" s="90" t="s">
        <v>115</v>
      </c>
      <c r="I3691" s="93" t="s">
        <v>73</v>
      </c>
      <c r="J3691" s="86" t="s">
        <v>4203</v>
      </c>
      <c r="K3691" s="101" t="s">
        <v>4204</v>
      </c>
      <c r="L3691" s="117">
        <f>IF(O3691="","",N3691*O3691*M3691)</f>
        <v>0</v>
      </c>
      <c r="M3691" s="108">
        <v>1</v>
      </c>
      <c r="N3691" s="95">
        <v>1</v>
      </c>
      <c r="O3691" s="109">
        <f>IF(Key!D$1="ON",P3691,IF(SUM(Q3691:DL3691)&lt;1,"",SUM(Q3691:DL3691)/COUNTIF(Q3691:DL3691,"&gt;0")))</f>
        <v>0</v>
      </c>
      <c r="P3691" s="109">
        <f>SUMIFS(Q3691:DK3691,Q$1:DK$1,Dashboard!$K$31)</f>
        <v>0</v>
      </c>
      <c r="U3691" s="95">
        <v>33</v>
      </c>
      <c r="AA3691" s="95">
        <v>25</v>
      </c>
      <c r="AH3691" s="95">
        <v>75</v>
      </c>
    </row>
    <row r="3692" spans="1:34" x14ac:dyDescent="0.3">
      <c r="A3692" s="89" t="str">
        <f>CONCATENATE(D3692,".",F3692,"-",G3692,".",H3692,"")</f>
        <v>3.2-2.1</v>
      </c>
      <c r="B3692" s="89" t="str">
        <f>IF(CONCATENATE(I3692,Key!F$2)=CONCATENATE(INDEX(Dashboard!J:J,MATCH(I3692,Dashboard!J:J,0),1),INDEX(Dashboard!J:K,MATCH(I3692,Dashboard!J:J,0),2)),"ON",IF(Dashboard!K$32="ALL","ON","-"))</f>
        <v>-</v>
      </c>
      <c r="C3692" s="132" t="s">
        <v>311</v>
      </c>
      <c r="D3692" s="89">
        <f>IF(C3692="ID",1,(IF(C3692="PR",2,(IF(C3692="DE",3,(IF(C3692="RS",4,(IF(C3692="RC",5,0)))))))))</f>
        <v>3</v>
      </c>
      <c r="E3692" s="89" t="s">
        <v>316</v>
      </c>
      <c r="F3692" s="89">
        <f>IF(E3692="AM",1,(IF(E3692="BE",2,(IF(E3692="GV",3,(IF(E3692="RA",4,(IF(E3692="RM",5,(IF(E3692="AC",1,(IF(E3692="AT",2,(IF(E3692="DS",3,(IF(E3692="IP",4,(IF(E3692="MA",5,(IF(E3692="PT",6,(IF(E3692="AE",1,(IF(E3692="CM",2,(IF(E3692="DP",3,(IF(E3692="AN",1,(IF(E3692="CO",2,(IF(E3692="IM",3,(IF(E3692="MI",4,(IF(E3692="RP",5,(IF(E3692="SC",6,0)))))))))))))))))))))))))))))))))))))))</f>
        <v>2</v>
      </c>
      <c r="G3692" s="52">
        <v>2</v>
      </c>
      <c r="H3692" s="90" t="s">
        <v>115</v>
      </c>
      <c r="I3692" s="93" t="s">
        <v>77</v>
      </c>
      <c r="J3692" s="87" t="s">
        <v>1845</v>
      </c>
      <c r="K3692" s="102" t="s">
        <v>2751</v>
      </c>
      <c r="L3692" s="117">
        <f>IF(O3692="","",N3692*O3692*M3692)</f>
        <v>0</v>
      </c>
      <c r="M3692" s="108">
        <v>1</v>
      </c>
      <c r="N3692" s="95">
        <v>1</v>
      </c>
      <c r="O3692" s="109">
        <f>IF(Key!D$1="ON",P3692,IF(SUM(Q3692:DL3692)&lt;1,"",SUM(Q3692:DL3692)/COUNTIF(Q3692:DL3692,"&gt;0")))</f>
        <v>0</v>
      </c>
      <c r="P3692" s="109">
        <f>SUMIFS(Q3692:DK3692,Q$1:DK$1,Dashboard!$K$31)</f>
        <v>0</v>
      </c>
      <c r="U3692" s="95">
        <v>33</v>
      </c>
      <c r="AA3692" s="95">
        <v>25</v>
      </c>
      <c r="AH3692" s="95">
        <v>75</v>
      </c>
    </row>
    <row r="3693" spans="1:34" x14ac:dyDescent="0.3">
      <c r="A3693" s="89" t="str">
        <f>CONCATENATE(D3693,".",F3693,"-",G3693,".",H3693,"")</f>
        <v>3.2-2.1</v>
      </c>
      <c r="B3693" s="89" t="str">
        <f>IF(CONCATENATE(I3693,Key!F$2)=CONCATENATE(INDEX(Dashboard!J:J,MATCH(I3693,Dashboard!J:J,0),1),INDEX(Dashboard!J:K,MATCH(I3693,Dashboard!J:J,0),2)),"ON",IF(Dashboard!K$32="ALL","ON","-"))</f>
        <v>-</v>
      </c>
      <c r="C3693" s="127" t="s">
        <v>311</v>
      </c>
      <c r="D3693" s="89">
        <f>IF(C3693="ID",1,(IF(C3693="PR",2,(IF(C3693="DE",3,(IF(C3693="RS",4,(IF(C3693="RC",5,0)))))))))</f>
        <v>3</v>
      </c>
      <c r="E3693" s="89" t="s">
        <v>316</v>
      </c>
      <c r="F3693" s="89">
        <f>IF(E3693="AM",1,(IF(E3693="BE",2,(IF(E3693="GV",3,(IF(E3693="RA",4,(IF(E3693="RM",5,(IF(E3693="AC",1,(IF(E3693="AT",2,(IF(E3693="DS",3,(IF(E3693="IP",4,(IF(E3693="MA",5,(IF(E3693="PT",6,(IF(E3693="AE",1,(IF(E3693="CM",2,(IF(E3693="DP",3,(IF(E3693="AN",1,(IF(E3693="CO",2,(IF(E3693="IM",3,(IF(E3693="MI",4,(IF(E3693="RP",5,(IF(E3693="SC",6,0)))))))))))))))))))))))))))))))))))))))</f>
        <v>2</v>
      </c>
      <c r="G3693" s="52">
        <v>2</v>
      </c>
      <c r="H3693" s="90" t="s">
        <v>115</v>
      </c>
      <c r="I3693" s="93" t="s">
        <v>77</v>
      </c>
      <c r="J3693" s="87" t="s">
        <v>1847</v>
      </c>
      <c r="K3693" s="102" t="s">
        <v>2752</v>
      </c>
      <c r="L3693" s="117">
        <f>IF(O3693="","",N3693*O3693*M3693)</f>
        <v>0</v>
      </c>
      <c r="M3693" s="108">
        <v>1</v>
      </c>
      <c r="N3693" s="95">
        <v>1</v>
      </c>
      <c r="O3693" s="109">
        <f>IF(Key!D$1="ON",P3693,IF(SUM(Q3693:DL3693)&lt;1,"",SUM(Q3693:DL3693)/COUNTIF(Q3693:DL3693,"&gt;0")))</f>
        <v>0</v>
      </c>
      <c r="P3693" s="109">
        <f>SUMIFS(Q3693:DK3693,Q$1:DK$1,Dashboard!$K$31)</f>
        <v>0</v>
      </c>
      <c r="U3693" s="95">
        <v>33</v>
      </c>
      <c r="AA3693" s="95">
        <v>25</v>
      </c>
      <c r="AH3693" s="95">
        <v>75</v>
      </c>
    </row>
    <row r="3694" spans="1:34" x14ac:dyDescent="0.3">
      <c r="A3694" s="89" t="str">
        <f>CONCATENATE(D3694,".",F3694,"-",G3694,".",H3694,"")</f>
        <v>3.2-2.1</v>
      </c>
      <c r="B3694" s="89" t="str">
        <f>IF(CONCATENATE(I3694,Key!F$2)=CONCATENATE(INDEX(Dashboard!J:J,MATCH(I3694,Dashboard!J:J,0),1),INDEX(Dashboard!J:K,MATCH(I3694,Dashboard!J:J,0),2)),"ON",IF(Dashboard!K$32="ALL","ON","-"))</f>
        <v>-</v>
      </c>
      <c r="C3694" s="132" t="s">
        <v>311</v>
      </c>
      <c r="D3694" s="89">
        <f>IF(C3694="ID",1,(IF(C3694="PR",2,(IF(C3694="DE",3,(IF(C3694="RS",4,(IF(C3694="RC",5,0)))))))))</f>
        <v>3</v>
      </c>
      <c r="E3694" s="89" t="s">
        <v>316</v>
      </c>
      <c r="F3694" s="89">
        <f>IF(E3694="AM",1,(IF(E3694="BE",2,(IF(E3694="GV",3,(IF(E3694="RA",4,(IF(E3694="RM",5,(IF(E3694="AC",1,(IF(E3694="AT",2,(IF(E3694="DS",3,(IF(E3694="IP",4,(IF(E3694="MA",5,(IF(E3694="PT",6,(IF(E3694="AE",1,(IF(E3694="CM",2,(IF(E3694="DP",3,(IF(E3694="AN",1,(IF(E3694="CO",2,(IF(E3694="IM",3,(IF(E3694="MI",4,(IF(E3694="RP",5,(IF(E3694="SC",6,0)))))))))))))))))))))))))))))))))))))))</f>
        <v>2</v>
      </c>
      <c r="G3694" s="52">
        <v>2</v>
      </c>
      <c r="H3694" s="90" t="s">
        <v>115</v>
      </c>
      <c r="I3694" s="93" t="s">
        <v>85</v>
      </c>
      <c r="J3694" s="87" t="s">
        <v>1845</v>
      </c>
      <c r="K3694" s="119" t="s">
        <v>1846</v>
      </c>
      <c r="L3694" s="117">
        <f>IF(O3694="","",N3694*O3694*M3694)</f>
        <v>0</v>
      </c>
      <c r="M3694" s="108">
        <v>1</v>
      </c>
      <c r="N3694" s="95">
        <v>1</v>
      </c>
      <c r="O3694" s="109">
        <f>IF(Key!D$1="ON",P3694,IF(SUM(Q3694:DL3694)&lt;1,"",SUM(Q3694:DL3694)/COUNTIF(Q3694:DL3694,"&gt;0")))</f>
        <v>0</v>
      </c>
      <c r="P3694" s="109">
        <f>SUMIFS(Q3694:DK3694,Q$1:DK$1,Dashboard!$K$31)</f>
        <v>0</v>
      </c>
      <c r="U3694" s="95">
        <v>33</v>
      </c>
      <c r="AA3694" s="95">
        <v>25</v>
      </c>
      <c r="AH3694" s="95">
        <v>75</v>
      </c>
    </row>
    <row r="3695" spans="1:34" x14ac:dyDescent="0.3">
      <c r="A3695" s="89" t="str">
        <f>CONCATENATE(D3695,".",F3695,"-",G3695,".",H3695,"")</f>
        <v>3.2-2.1</v>
      </c>
      <c r="B3695" s="89" t="str">
        <f>IF(CONCATENATE(I3695,Key!F$2)=CONCATENATE(INDEX(Dashboard!J:J,MATCH(I3695,Dashboard!J:J,0),1),INDEX(Dashboard!J:K,MATCH(I3695,Dashboard!J:J,0),2)),"ON",IF(Dashboard!K$32="ALL","ON","-"))</f>
        <v>-</v>
      </c>
      <c r="C3695" s="127" t="s">
        <v>311</v>
      </c>
      <c r="D3695" s="89">
        <f>IF(C3695="ID",1,(IF(C3695="PR",2,(IF(C3695="DE",3,(IF(C3695="RS",4,(IF(C3695="RC",5,0)))))))))</f>
        <v>3</v>
      </c>
      <c r="E3695" s="89" t="s">
        <v>316</v>
      </c>
      <c r="F3695" s="89">
        <f>IF(E3695="AM",1,(IF(E3695="BE",2,(IF(E3695="GV",3,(IF(E3695="RA",4,(IF(E3695="RM",5,(IF(E3695="AC",1,(IF(E3695="AT",2,(IF(E3695="DS",3,(IF(E3695="IP",4,(IF(E3695="MA",5,(IF(E3695="PT",6,(IF(E3695="AE",1,(IF(E3695="CM",2,(IF(E3695="DP",3,(IF(E3695="AN",1,(IF(E3695="CO",2,(IF(E3695="IM",3,(IF(E3695="MI",4,(IF(E3695="RP",5,(IF(E3695="SC",6,0)))))))))))))))))))))))))))))))))))))))</f>
        <v>2</v>
      </c>
      <c r="G3695" s="52">
        <v>2</v>
      </c>
      <c r="H3695" s="90" t="s">
        <v>115</v>
      </c>
      <c r="I3695" s="93" t="s">
        <v>85</v>
      </c>
      <c r="J3695" s="87" t="s">
        <v>1847</v>
      </c>
      <c r="K3695" s="119" t="s">
        <v>4856</v>
      </c>
      <c r="L3695" s="117">
        <f>IF(O3695="","",N3695*O3695*M3695)</f>
        <v>0</v>
      </c>
      <c r="M3695" s="108">
        <v>1</v>
      </c>
      <c r="N3695" s="95">
        <v>1</v>
      </c>
      <c r="O3695" s="109">
        <f>IF(Key!D$1="ON",P3695,IF(SUM(Q3695:DL3695)&lt;1,"",SUM(Q3695:DL3695)/COUNTIF(Q3695:DL3695,"&gt;0")))</f>
        <v>0</v>
      </c>
      <c r="P3695" s="109">
        <f>SUMIFS(Q3695:DK3695,Q$1:DK$1,Dashboard!$K$31)</f>
        <v>0</v>
      </c>
      <c r="U3695" s="95">
        <v>33</v>
      </c>
      <c r="AA3695" s="95">
        <v>25</v>
      </c>
      <c r="AH3695" s="95">
        <v>75</v>
      </c>
    </row>
    <row r="3696" spans="1:34" x14ac:dyDescent="0.3">
      <c r="A3696" s="89" t="str">
        <f>CONCATENATE(D3696,".",F3696,"-",G3696,".",H3696,"")</f>
        <v>3.2-2.1</v>
      </c>
      <c r="B3696" s="89" t="str">
        <f>IF(CONCATENATE(I3696,Key!F$2)=CONCATENATE(INDEX(Dashboard!J:J,MATCH(I3696,Dashboard!J:J,0),1),INDEX(Dashboard!J:K,MATCH(I3696,Dashboard!J:J,0),2)),"ON",IF(Dashboard!K$32="ALL","ON","-"))</f>
        <v>-</v>
      </c>
      <c r="C3696" s="127" t="s">
        <v>311</v>
      </c>
      <c r="D3696" s="89">
        <f>IF(C3696="ID",1,(IF(C3696="PR",2,(IF(C3696="DE",3,(IF(C3696="RS",4,(IF(C3696="RC",5,0)))))))))</f>
        <v>3</v>
      </c>
      <c r="E3696" s="89" t="s">
        <v>316</v>
      </c>
      <c r="F3696" s="89">
        <f>IF(E3696="AM",1,(IF(E3696="BE",2,(IF(E3696="GV",3,(IF(E3696="RA",4,(IF(E3696="RM",5,(IF(E3696="AC",1,(IF(E3696="AT",2,(IF(E3696="DS",3,(IF(E3696="IP",4,(IF(E3696="MA",5,(IF(E3696="PT",6,(IF(E3696="AE",1,(IF(E3696="CM",2,(IF(E3696="DP",3,(IF(E3696="AN",1,(IF(E3696="CO",2,(IF(E3696="IM",3,(IF(E3696="MI",4,(IF(E3696="RP",5,(IF(E3696="SC",6,0)))))))))))))))))))))))))))))))))))))))</f>
        <v>2</v>
      </c>
      <c r="G3696" s="52">
        <v>2</v>
      </c>
      <c r="H3696" s="89">
        <v>1</v>
      </c>
      <c r="I3696" s="93" t="s">
        <v>85</v>
      </c>
      <c r="J3696" s="86" t="s">
        <v>886</v>
      </c>
      <c r="K3696" s="119" t="s">
        <v>887</v>
      </c>
      <c r="L3696" s="117">
        <f>IF(O3696="","",N3696*O3696*M3696)</f>
        <v>0</v>
      </c>
      <c r="M3696" s="108">
        <v>1</v>
      </c>
      <c r="N3696" s="95">
        <v>1</v>
      </c>
      <c r="O3696" s="109">
        <f>IF(Key!D$1="ON",P3696,IF(SUM(Q3696:DL3696)&lt;1,"",SUM(Q3696:DL3696)/COUNTIF(Q3696:DL3696,"&gt;0")))</f>
        <v>0</v>
      </c>
      <c r="P3696" s="109">
        <f>SUMIFS(Q3696:DK3696,Q$1:DK$1,Dashboard!$K$31)</f>
        <v>0</v>
      </c>
      <c r="U3696" s="95">
        <v>33</v>
      </c>
      <c r="AA3696" s="95">
        <v>25</v>
      </c>
      <c r="AH3696" s="95">
        <v>75</v>
      </c>
    </row>
    <row r="3697" spans="1:34" x14ac:dyDescent="0.3">
      <c r="A3697" s="89" t="str">
        <f>CONCATENATE(D3697,".",F3697,"-",G3697,".",H3697,"")</f>
        <v>3.2-2.1</v>
      </c>
      <c r="B3697" s="89" t="str">
        <f>IF(CONCATENATE(I3697,Key!F$2)=CONCATENATE(INDEX(Dashboard!J:J,MATCH(I3697,Dashboard!J:J,0),1),INDEX(Dashboard!J:K,MATCH(I3697,Dashboard!J:J,0),2)),"ON",IF(Dashboard!K$32="ALL","ON","-"))</f>
        <v>-</v>
      </c>
      <c r="C3697" s="132" t="s">
        <v>311</v>
      </c>
      <c r="D3697" s="89">
        <f>IF(C3697="ID",1,(IF(C3697="PR",2,(IF(C3697="DE",3,(IF(C3697="RS",4,(IF(C3697="RC",5,0)))))))))</f>
        <v>3</v>
      </c>
      <c r="E3697" s="89" t="s">
        <v>316</v>
      </c>
      <c r="F3697" s="89">
        <f>IF(E3697="AM",1,(IF(E3697="BE",2,(IF(E3697="GV",3,(IF(E3697="RA",4,(IF(E3697="RM",5,(IF(E3697="AC",1,(IF(E3697="AT",2,(IF(E3697="DS",3,(IF(E3697="IP",4,(IF(E3697="MA",5,(IF(E3697="PT",6,(IF(E3697="AE",1,(IF(E3697="CM",2,(IF(E3697="DP",3,(IF(E3697="AN",1,(IF(E3697="CO",2,(IF(E3697="IM",3,(IF(E3697="MI",4,(IF(E3697="RP",5,(IF(E3697="SC",6,0)))))))))))))))))))))))))))))))))))))))</f>
        <v>2</v>
      </c>
      <c r="G3697" s="52">
        <v>2</v>
      </c>
      <c r="H3697" s="90" t="s">
        <v>115</v>
      </c>
      <c r="I3697" s="93" t="s">
        <v>92</v>
      </c>
      <c r="J3697" s="87">
        <v>9.1</v>
      </c>
      <c r="K3697" s="102" t="s">
        <v>5226</v>
      </c>
      <c r="L3697" s="117">
        <f>IF(O3697="","",N3697*O3697*M3697)</f>
        <v>0</v>
      </c>
      <c r="M3697" s="108">
        <v>1</v>
      </c>
      <c r="N3697" s="95">
        <v>1</v>
      </c>
      <c r="O3697" s="109">
        <f>IF(Key!D$1="ON",P3697,IF(SUM(Q3697:DL3697)&lt;1,"",SUM(Q3697:DL3697)/COUNTIF(Q3697:DL3697,"&gt;0")))</f>
        <v>0</v>
      </c>
      <c r="P3697" s="109">
        <f>SUMIFS(Q3697:DK3697,Q$1:DK$1,Dashboard!$K$31)</f>
        <v>0</v>
      </c>
      <c r="U3697" s="95">
        <v>33</v>
      </c>
      <c r="AA3697" s="95">
        <v>25</v>
      </c>
      <c r="AH3697" s="95">
        <v>75</v>
      </c>
    </row>
    <row r="3698" spans="1:34" x14ac:dyDescent="0.3">
      <c r="A3698" s="89" t="str">
        <f>CONCATENATE(D3698,".",F3698,"-",G3698,".",H3698,"")</f>
        <v>3.2-2.1</v>
      </c>
      <c r="B3698" s="89" t="str">
        <f>IF(CONCATENATE(I3698,Key!F$2)=CONCATENATE(INDEX(Dashboard!J:J,MATCH(I3698,Dashboard!J:J,0),1),INDEX(Dashboard!J:K,MATCH(I3698,Dashboard!J:J,0),2)),"ON",IF(Dashboard!K$32="ALL","ON","-"))</f>
        <v>-</v>
      </c>
      <c r="C3698" s="132" t="s">
        <v>311</v>
      </c>
      <c r="D3698" s="89">
        <f>IF(C3698="ID",1,(IF(C3698="PR",2,(IF(C3698="DE",3,(IF(C3698="RS",4,(IF(C3698="RC",5,0)))))))))</f>
        <v>3</v>
      </c>
      <c r="E3698" s="89" t="s">
        <v>316</v>
      </c>
      <c r="F3698" s="89">
        <f>IF(E3698="AM",1,(IF(E3698="BE",2,(IF(E3698="GV",3,(IF(E3698="RA",4,(IF(E3698="RM",5,(IF(E3698="AC",1,(IF(E3698="AT",2,(IF(E3698="DS",3,(IF(E3698="IP",4,(IF(E3698="MA",5,(IF(E3698="PT",6,(IF(E3698="AE",1,(IF(E3698="CM",2,(IF(E3698="DP",3,(IF(E3698="AN",1,(IF(E3698="CO",2,(IF(E3698="IM",3,(IF(E3698="MI",4,(IF(E3698="RP",5,(IF(E3698="SC",6,0)))))))))))))))))))))))))))))))))))))))</f>
        <v>2</v>
      </c>
      <c r="G3698" s="52">
        <v>2</v>
      </c>
      <c r="H3698" s="90" t="s">
        <v>115</v>
      </c>
      <c r="I3698" s="93" t="s">
        <v>92</v>
      </c>
      <c r="J3698" s="87" t="s">
        <v>165</v>
      </c>
      <c r="K3698" s="102" t="s">
        <v>5226</v>
      </c>
      <c r="L3698" s="117">
        <f>IF(O3698="","",N3698*O3698*M3698)</f>
        <v>0</v>
      </c>
      <c r="M3698" s="108">
        <v>1</v>
      </c>
      <c r="N3698" s="95">
        <v>1</v>
      </c>
      <c r="O3698" s="109">
        <f>IF(Key!D$1="ON",P3698,IF(SUM(Q3698:DL3698)&lt;1,"",SUM(Q3698:DL3698)/COUNTIF(Q3698:DL3698,"&gt;0")))</f>
        <v>0</v>
      </c>
      <c r="P3698" s="109">
        <f>SUMIFS(Q3698:DK3698,Q$1:DK$1,Dashboard!$K$31)</f>
        <v>0</v>
      </c>
      <c r="U3698" s="95">
        <v>33</v>
      </c>
      <c r="AA3698" s="95">
        <v>25</v>
      </c>
      <c r="AH3698" s="95">
        <v>75</v>
      </c>
    </row>
    <row r="3699" spans="1:34" x14ac:dyDescent="0.3">
      <c r="A3699" s="89" t="str">
        <f>CONCATENATE(D3699,".",F3699,"-",G3699,".",H3699,"")</f>
        <v>3.2-3.0</v>
      </c>
      <c r="B3699" s="89" t="str">
        <f>IF(CONCATENATE(I3699,Key!F$2)=CONCATENATE(INDEX(Dashboard!J:J,MATCH(I3699,Dashboard!J:J,0),1),INDEX(Dashboard!J:K,MATCH(I3699,Dashboard!J:J,0),2)),"ON",IF(Dashboard!K$32="ALL","ON","-"))</f>
        <v>-</v>
      </c>
      <c r="C3699" s="132" t="s">
        <v>311</v>
      </c>
      <c r="D3699" s="89">
        <f>IF(C3699="ID",1,(IF(C3699="PR",2,(IF(C3699="DE",3,(IF(C3699="RS",4,(IF(C3699="RC",5,0)))))))))</f>
        <v>3</v>
      </c>
      <c r="E3699" s="89" t="s">
        <v>316</v>
      </c>
      <c r="F3699" s="89">
        <f>IF(E3699="AM",1,(IF(E3699="BE",2,(IF(E3699="GV",3,(IF(E3699="RA",4,(IF(E3699="RM",5,(IF(E3699="AC",1,(IF(E3699="AT",2,(IF(E3699="DS",3,(IF(E3699="IP",4,(IF(E3699="MA",5,(IF(E3699="PT",6,(IF(E3699="AE",1,(IF(E3699="CM",2,(IF(E3699="DP",3,(IF(E3699="AN",1,(IF(E3699="CO",2,(IF(E3699="IM",3,(IF(E3699="MI",4,(IF(E3699="RP",5,(IF(E3699="SC",6,0)))))))))))))))))))))))))))))))))))))))</f>
        <v>2</v>
      </c>
      <c r="G3699" s="52">
        <v>3</v>
      </c>
      <c r="H3699" s="90" t="s">
        <v>347</v>
      </c>
      <c r="I3699" s="93" t="s">
        <v>2835</v>
      </c>
      <c r="J3699" s="53" t="s">
        <v>3026</v>
      </c>
      <c r="K3699" s="58" t="s">
        <v>3027</v>
      </c>
      <c r="L3699" s="117">
        <f>IF(O3699="","",N3699*O3699*M3699)</f>
        <v>0</v>
      </c>
      <c r="M3699" s="108">
        <v>1</v>
      </c>
      <c r="N3699" s="95">
        <v>1</v>
      </c>
      <c r="O3699" s="109">
        <f>IF(Key!D$1="ON",P3699,IF(SUM(Q3699:DL3699)&lt;1,"",SUM(Q3699:DL3699)/COUNTIF(Q3699:DL3699,"&gt;0")))</f>
        <v>0</v>
      </c>
      <c r="P3699" s="109">
        <f>SUMIFS(Q3699:DK3699,Q$1:DK$1,Dashboard!$K$31)</f>
        <v>0</v>
      </c>
      <c r="U3699" s="95">
        <v>33</v>
      </c>
    </row>
    <row r="3700" spans="1:34" ht="15.6" x14ac:dyDescent="0.3">
      <c r="A3700" s="89" t="str">
        <f>CONCATENATE(D3700,".",F3700,"-",G3700,".",H3700,"")</f>
        <v>3.2-3.1</v>
      </c>
      <c r="B3700" s="89" t="str">
        <f>IF(CONCATENATE(I3700,Key!F$2)=CONCATENATE(INDEX(Dashboard!J:J,MATCH(I3700,Dashboard!J:J,0),1),INDEX(Dashboard!J:K,MATCH(I3700,Dashboard!J:J,0),2)),"ON",IF(Dashboard!K$32="ALL","ON","-"))</f>
        <v>ON</v>
      </c>
      <c r="C3700" s="133" t="s">
        <v>311</v>
      </c>
      <c r="D3700" s="89">
        <f>IF(C3700="ID",1,(IF(C3700="PR",2,(IF(C3700="DE",3,(IF(C3700="RS",4,(IF(C3700="RC",5,0)))))))))</f>
        <v>3</v>
      </c>
      <c r="E3700" s="95" t="s">
        <v>316</v>
      </c>
      <c r="F3700" s="89">
        <f>IF(E3700="AM",1,(IF(E3700="BE",2,(IF(E3700="GV",3,(IF(E3700="RA",4,(IF(E3700="RM",5,(IF(E3700="AC",1,(IF(E3700="AT",2,(IF(E3700="DS",3,(IF(E3700="IP",4,(IF(E3700="MA",5,(IF(E3700="PT",6,(IF(E3700="AE",1,(IF(E3700="CM",2,(IF(E3700="DP",3,(IF(E3700="AN",1,(IF(E3700="CO",2,(IF(E3700="IM",3,(IF(E3700="MI",4,(IF(E3700="RP",5,(IF(E3700="SC",6,0)))))))))))))))))))))))))))))))))))))))</f>
        <v>2</v>
      </c>
      <c r="G3700" s="52">
        <v>3</v>
      </c>
      <c r="H3700" s="90" t="s">
        <v>115</v>
      </c>
      <c r="I3700" s="93" t="s">
        <v>4107</v>
      </c>
      <c r="J3700" s="86" t="s">
        <v>3964</v>
      </c>
      <c r="K3700" s="101" t="s">
        <v>4364</v>
      </c>
      <c r="L3700" s="117">
        <f>IF(O3700="","",N3700*O3700*M3700)</f>
        <v>0</v>
      </c>
      <c r="M3700" s="108">
        <v>1</v>
      </c>
      <c r="N3700" s="95">
        <v>1</v>
      </c>
      <c r="O3700" s="109">
        <f>IF(Key!D$1="ON",P3700,IF(SUM(Q3700:DL3700)&lt;1,"",SUM(Q3700:DL3700)/COUNTIF(Q3700:DL3700,"&gt;0")))</f>
        <v>0</v>
      </c>
      <c r="P3700" s="109">
        <f>SUMIFS(Q3700:DK3700,Q$1:DK$1,Dashboard!$K$31)</f>
        <v>0</v>
      </c>
      <c r="U3700" s="95">
        <v>33</v>
      </c>
      <c r="AA3700" s="95">
        <v>25</v>
      </c>
      <c r="AH3700" s="95">
        <v>75</v>
      </c>
    </row>
    <row r="3701" spans="1:34" x14ac:dyDescent="0.3">
      <c r="A3701" s="89" t="str">
        <f>CONCATENATE(D3701,".",F3701,"-",G3701,".",H3701,"")</f>
        <v>3.2-3.1</v>
      </c>
      <c r="B3701" s="89" t="str">
        <f>IF(CONCATENATE(I3701,Key!F$2)=CONCATENATE(INDEX(Dashboard!J:J,MATCH(I3701,Dashboard!J:J,0),1),INDEX(Dashboard!J:K,MATCH(I3701,Dashboard!J:J,0),2)),"ON",IF(Dashboard!K$32="ALL","ON","-"))</f>
        <v>ON</v>
      </c>
      <c r="C3701" s="133" t="s">
        <v>311</v>
      </c>
      <c r="D3701" s="89">
        <f>IF(C3701="ID",1,(IF(C3701="PR",2,(IF(C3701="DE",3,(IF(C3701="RS",4,(IF(C3701="RC",5,0)))))))))</f>
        <v>3</v>
      </c>
      <c r="E3701" s="95" t="s">
        <v>316</v>
      </c>
      <c r="F3701" s="89">
        <f>IF(E3701="AM",1,(IF(E3701="BE",2,(IF(E3701="GV",3,(IF(E3701="RA",4,(IF(E3701="RM",5,(IF(E3701="AC",1,(IF(E3701="AT",2,(IF(E3701="DS",3,(IF(E3701="IP",4,(IF(E3701="MA",5,(IF(E3701="PT",6,(IF(E3701="AE",1,(IF(E3701="CM",2,(IF(E3701="DP",3,(IF(E3701="AN",1,(IF(E3701="CO",2,(IF(E3701="IM",3,(IF(E3701="MI",4,(IF(E3701="RP",5,(IF(E3701="SC",6,0)))))))))))))))))))))))))))))))))))))))</f>
        <v>2</v>
      </c>
      <c r="G3701" s="52">
        <v>3</v>
      </c>
      <c r="H3701" s="90" t="s">
        <v>115</v>
      </c>
      <c r="I3701" s="93" t="s">
        <v>4107</v>
      </c>
      <c r="J3701" s="86" t="s">
        <v>3965</v>
      </c>
      <c r="K3701" s="101" t="s">
        <v>4429</v>
      </c>
      <c r="L3701" s="117">
        <f>IF(O3701="","",N3701*O3701*M3701)</f>
        <v>0</v>
      </c>
      <c r="M3701" s="108">
        <v>1</v>
      </c>
      <c r="N3701" s="95">
        <v>1</v>
      </c>
      <c r="O3701" s="109">
        <f>IF(Key!D$1="ON",P3701,IF(SUM(Q3701:DL3701)&lt;1,"",SUM(Q3701:DL3701)/COUNTIF(Q3701:DL3701,"&gt;0")))</f>
        <v>0</v>
      </c>
      <c r="P3701" s="109">
        <f>SUMIFS(Q3701:DK3701,Q$1:DK$1,Dashboard!$K$31)</f>
        <v>0</v>
      </c>
      <c r="U3701" s="95">
        <v>33</v>
      </c>
      <c r="AA3701" s="95">
        <v>25</v>
      </c>
      <c r="AH3701" s="95">
        <v>75</v>
      </c>
    </row>
    <row r="3702" spans="1:34" x14ac:dyDescent="0.3">
      <c r="A3702" s="89" t="str">
        <f>CONCATENATE(D3702,".",F3702,"-",G3702,".",H3702,"")</f>
        <v>3.2-3.1</v>
      </c>
      <c r="B3702" s="89" t="str">
        <f>IF(CONCATENATE(I3702,Key!F$2)=CONCATENATE(INDEX(Dashboard!J:J,MATCH(I3702,Dashboard!J:J,0),1),INDEX(Dashboard!J:K,MATCH(I3702,Dashboard!J:J,0),2)),"ON",IF(Dashboard!K$32="ALL","ON","-"))</f>
        <v>ON</v>
      </c>
      <c r="C3702" s="133" t="s">
        <v>311</v>
      </c>
      <c r="D3702" s="89">
        <f>IF(C3702="ID",1,(IF(C3702="PR",2,(IF(C3702="DE",3,(IF(C3702="RS",4,(IF(C3702="RC",5,0)))))))))</f>
        <v>3</v>
      </c>
      <c r="E3702" s="95" t="s">
        <v>316</v>
      </c>
      <c r="F3702" s="89">
        <f>IF(E3702="AM",1,(IF(E3702="BE",2,(IF(E3702="GV",3,(IF(E3702="RA",4,(IF(E3702="RM",5,(IF(E3702="AC",1,(IF(E3702="AT",2,(IF(E3702="DS",3,(IF(E3702="IP",4,(IF(E3702="MA",5,(IF(E3702="PT",6,(IF(E3702="AE",1,(IF(E3702="CM",2,(IF(E3702="DP",3,(IF(E3702="AN",1,(IF(E3702="CO",2,(IF(E3702="IM",3,(IF(E3702="MI",4,(IF(E3702="RP",5,(IF(E3702="SC",6,0)))))))))))))))))))))))))))))))))))))))</f>
        <v>2</v>
      </c>
      <c r="G3702" s="52">
        <v>3</v>
      </c>
      <c r="H3702" s="90" t="s">
        <v>115</v>
      </c>
      <c r="I3702" s="93" t="s">
        <v>4107</v>
      </c>
      <c r="J3702" s="86" t="s">
        <v>3985</v>
      </c>
      <c r="K3702" s="101" t="s">
        <v>4373</v>
      </c>
      <c r="L3702" s="117">
        <f>IF(O3702="","",N3702*O3702*M3702)</f>
        <v>0</v>
      </c>
      <c r="M3702" s="108">
        <v>1</v>
      </c>
      <c r="N3702" s="95">
        <v>1</v>
      </c>
      <c r="O3702" s="109">
        <f>IF(Key!D$1="ON",P3702,IF(SUM(Q3702:DL3702)&lt;1,"",SUM(Q3702:DL3702)/COUNTIF(Q3702:DL3702,"&gt;0")))</f>
        <v>0</v>
      </c>
      <c r="P3702" s="109">
        <f>SUMIFS(Q3702:DK3702,Q$1:DK$1,Dashboard!$K$31)</f>
        <v>0</v>
      </c>
      <c r="U3702" s="95">
        <v>33</v>
      </c>
      <c r="AA3702" s="95">
        <v>25</v>
      </c>
      <c r="AH3702" s="95">
        <v>75</v>
      </c>
    </row>
    <row r="3703" spans="1:34" ht="15.6" x14ac:dyDescent="0.3">
      <c r="A3703" s="89" t="str">
        <f>CONCATENATE(D3703,".",F3703,"-",G3703,".",H3703,"")</f>
        <v>3.2-3.1</v>
      </c>
      <c r="B3703" s="89" t="str">
        <f>IF(CONCATENATE(I3703,Key!F$2)=CONCATENATE(INDEX(Dashboard!J:J,MATCH(I3703,Dashboard!J:J,0),1),INDEX(Dashboard!J:K,MATCH(I3703,Dashboard!J:J,0),2)),"ON",IF(Dashboard!K$32="ALL","ON","-"))</f>
        <v>ON</v>
      </c>
      <c r="C3703" s="133" t="s">
        <v>311</v>
      </c>
      <c r="D3703" s="89">
        <f>IF(C3703="ID",1,(IF(C3703="PR",2,(IF(C3703="DE",3,(IF(C3703="RS",4,(IF(C3703="RC",5,0)))))))))</f>
        <v>3</v>
      </c>
      <c r="E3703" s="95" t="s">
        <v>316</v>
      </c>
      <c r="F3703" s="89">
        <f>IF(E3703="AM",1,(IF(E3703="BE",2,(IF(E3703="GV",3,(IF(E3703="RA",4,(IF(E3703="RM",5,(IF(E3703="AC",1,(IF(E3703="AT",2,(IF(E3703="DS",3,(IF(E3703="IP",4,(IF(E3703="MA",5,(IF(E3703="PT",6,(IF(E3703="AE",1,(IF(E3703="CM",2,(IF(E3703="DP",3,(IF(E3703="AN",1,(IF(E3703="CO",2,(IF(E3703="IM",3,(IF(E3703="MI",4,(IF(E3703="RP",5,(IF(E3703="SC",6,0)))))))))))))))))))))))))))))))))))))))</f>
        <v>2</v>
      </c>
      <c r="G3703" s="52">
        <v>3</v>
      </c>
      <c r="H3703" s="90" t="s">
        <v>115</v>
      </c>
      <c r="I3703" s="93" t="s">
        <v>4107</v>
      </c>
      <c r="J3703" s="86" t="s">
        <v>4006</v>
      </c>
      <c r="K3703" s="101" t="s">
        <v>4378</v>
      </c>
      <c r="L3703" s="117">
        <f>IF(O3703="","",N3703*O3703*M3703)</f>
        <v>0</v>
      </c>
      <c r="M3703" s="108">
        <v>1</v>
      </c>
      <c r="N3703" s="95">
        <v>1</v>
      </c>
      <c r="O3703" s="109">
        <f>IF(Key!D$1="ON",P3703,IF(SUM(Q3703:DL3703)&lt;1,"",SUM(Q3703:DL3703)/COUNTIF(Q3703:DL3703,"&gt;0")))</f>
        <v>0</v>
      </c>
      <c r="P3703" s="109">
        <f>SUMIFS(Q3703:DK3703,Q$1:DK$1,Dashboard!$K$31)</f>
        <v>0</v>
      </c>
      <c r="U3703" s="95">
        <v>33</v>
      </c>
      <c r="AA3703" s="95">
        <v>25</v>
      </c>
      <c r="AH3703" s="95">
        <v>75</v>
      </c>
    </row>
    <row r="3704" spans="1:34" ht="15.6" x14ac:dyDescent="0.3">
      <c r="A3704" s="89" t="str">
        <f>CONCATENATE(D3704,".",F3704,"-",G3704,".",H3704,"")</f>
        <v>3.2-3.1</v>
      </c>
      <c r="B3704" s="89" t="str">
        <f>IF(CONCATENATE(I3704,Key!F$2)=CONCATENATE(INDEX(Dashboard!J:J,MATCH(I3704,Dashboard!J:J,0),1),INDEX(Dashboard!J:K,MATCH(I3704,Dashboard!J:J,0),2)),"ON",IF(Dashboard!K$32="ALL","ON","-"))</f>
        <v>ON</v>
      </c>
      <c r="C3704" s="133" t="s">
        <v>311</v>
      </c>
      <c r="D3704" s="89">
        <f>IF(C3704="ID",1,(IF(C3704="PR",2,(IF(C3704="DE",3,(IF(C3704="RS",4,(IF(C3704="RC",5,0)))))))))</f>
        <v>3</v>
      </c>
      <c r="E3704" s="95" t="s">
        <v>316</v>
      </c>
      <c r="F3704" s="89">
        <f>IF(E3704="AM",1,(IF(E3704="BE",2,(IF(E3704="GV",3,(IF(E3704="RA",4,(IF(E3704="RM",5,(IF(E3704="AC",1,(IF(E3704="AT",2,(IF(E3704="DS",3,(IF(E3704="IP",4,(IF(E3704="MA",5,(IF(E3704="PT",6,(IF(E3704="AE",1,(IF(E3704="CM",2,(IF(E3704="DP",3,(IF(E3704="AN",1,(IF(E3704="CO",2,(IF(E3704="IM",3,(IF(E3704="MI",4,(IF(E3704="RP",5,(IF(E3704="SC",6,0)))))))))))))))))))))))))))))))))))))))</f>
        <v>2</v>
      </c>
      <c r="G3704" s="52">
        <v>3</v>
      </c>
      <c r="H3704" s="90" t="s">
        <v>115</v>
      </c>
      <c r="I3704" s="93" t="s">
        <v>4107</v>
      </c>
      <c r="J3704" s="86" t="s">
        <v>4065</v>
      </c>
      <c r="K3704" s="101" t="s">
        <v>4469</v>
      </c>
      <c r="L3704" s="117">
        <f>IF(O3704="","",N3704*O3704*M3704)</f>
        <v>0</v>
      </c>
      <c r="M3704" s="108">
        <v>1</v>
      </c>
      <c r="N3704" s="95">
        <v>1</v>
      </c>
      <c r="O3704" s="109">
        <f>IF(Key!D$1="ON",P3704,IF(SUM(Q3704:DL3704)&lt;1,"",SUM(Q3704:DL3704)/COUNTIF(Q3704:DL3704,"&gt;0")))</f>
        <v>0</v>
      </c>
      <c r="P3704" s="109">
        <f>SUMIFS(Q3704:DK3704,Q$1:DK$1,Dashboard!$K$31)</f>
        <v>0</v>
      </c>
      <c r="U3704" s="95">
        <v>33</v>
      </c>
      <c r="AA3704" s="95">
        <v>25</v>
      </c>
      <c r="AH3704" s="95">
        <v>75</v>
      </c>
    </row>
    <row r="3705" spans="1:34" ht="15.6" x14ac:dyDescent="0.3">
      <c r="A3705" s="89" t="str">
        <f>CONCATENATE(D3705,".",F3705,"-",G3705,".",H3705,"")</f>
        <v>3.2-3.1</v>
      </c>
      <c r="B3705" s="89" t="str">
        <f>IF(CONCATENATE(I3705,Key!F$2)=CONCATENATE(INDEX(Dashboard!J:J,MATCH(I3705,Dashboard!J:J,0),1),INDEX(Dashboard!J:K,MATCH(I3705,Dashboard!J:J,0),2)),"ON",IF(Dashboard!K$32="ALL","ON","-"))</f>
        <v>ON</v>
      </c>
      <c r="C3705" s="133" t="s">
        <v>311</v>
      </c>
      <c r="D3705" s="89">
        <f>IF(C3705="ID",1,(IF(C3705="PR",2,(IF(C3705="DE",3,(IF(C3705="RS",4,(IF(C3705="RC",5,0)))))))))</f>
        <v>3</v>
      </c>
      <c r="E3705" s="95" t="s">
        <v>316</v>
      </c>
      <c r="F3705" s="89">
        <f>IF(E3705="AM",1,(IF(E3705="BE",2,(IF(E3705="GV",3,(IF(E3705="RA",4,(IF(E3705="RM",5,(IF(E3705="AC",1,(IF(E3705="AT",2,(IF(E3705="DS",3,(IF(E3705="IP",4,(IF(E3705="MA",5,(IF(E3705="PT",6,(IF(E3705="AE",1,(IF(E3705="CM",2,(IF(E3705="DP",3,(IF(E3705="AN",1,(IF(E3705="CO",2,(IF(E3705="IM",3,(IF(E3705="MI",4,(IF(E3705="RP",5,(IF(E3705="SC",6,0)))))))))))))))))))))))))))))))))))))))</f>
        <v>2</v>
      </c>
      <c r="G3705" s="52">
        <v>3</v>
      </c>
      <c r="H3705" s="90" t="s">
        <v>115</v>
      </c>
      <c r="I3705" s="93" t="s">
        <v>4107</v>
      </c>
      <c r="J3705" s="86" t="s">
        <v>4106</v>
      </c>
      <c r="K3705" s="101" t="s">
        <v>4422</v>
      </c>
      <c r="L3705" s="117">
        <f>IF(O3705="","",N3705*O3705*M3705)</f>
        <v>0</v>
      </c>
      <c r="M3705" s="108">
        <v>1</v>
      </c>
      <c r="N3705" s="95">
        <v>1</v>
      </c>
      <c r="O3705" s="109">
        <f>IF(Key!D$1="ON",P3705,IF(SUM(Q3705:DL3705)&lt;1,"",SUM(Q3705:DL3705)/COUNTIF(Q3705:DL3705,"&gt;0")))</f>
        <v>0</v>
      </c>
      <c r="P3705" s="109">
        <f>SUMIFS(Q3705:DK3705,Q$1:DK$1,Dashboard!$K$31)</f>
        <v>0</v>
      </c>
      <c r="U3705" s="95">
        <v>33</v>
      </c>
      <c r="AA3705" s="95">
        <v>25</v>
      </c>
      <c r="AH3705" s="95">
        <v>75</v>
      </c>
    </row>
    <row r="3706" spans="1:34" x14ac:dyDescent="0.3">
      <c r="A3706" s="89" t="str">
        <f>CONCATENATE(D3706,".",F3706,"-",G3706,".",H3706,"")</f>
        <v>3.2-3.1</v>
      </c>
      <c r="B3706" s="89" t="str">
        <f>IF(CONCATENATE(I3706,Key!F$2)=CONCATENATE(INDEX(Dashboard!J:J,MATCH(I3706,Dashboard!J:J,0),1),INDEX(Dashboard!J:K,MATCH(I3706,Dashboard!J:J,0),2)),"ON",IF(Dashboard!K$32="ALL","ON","-"))</f>
        <v>-</v>
      </c>
      <c r="C3706" s="127" t="s">
        <v>311</v>
      </c>
      <c r="D3706" s="89">
        <f>IF(C3706="ID",1,(IF(C3706="PR",2,(IF(C3706="DE",3,(IF(C3706="RS",4,(IF(C3706="RC",5,0)))))))))</f>
        <v>3</v>
      </c>
      <c r="E3706" s="89" t="s">
        <v>316</v>
      </c>
      <c r="F3706" s="89">
        <f>IF(E3706="AM",1,(IF(E3706="BE",2,(IF(E3706="GV",3,(IF(E3706="RA",4,(IF(E3706="RM",5,(IF(E3706="AC",1,(IF(E3706="AT",2,(IF(E3706="DS",3,(IF(E3706="IP",4,(IF(E3706="MA",5,(IF(E3706="PT",6,(IF(E3706="AE",1,(IF(E3706="CM",2,(IF(E3706="DP",3,(IF(E3706="AN",1,(IF(E3706="CO",2,(IF(E3706="IM",3,(IF(E3706="MI",4,(IF(E3706="RP",5,(IF(E3706="SC",6,0)))))))))))))))))))))))))))))))))))))))</f>
        <v>2</v>
      </c>
      <c r="G3706" s="52">
        <v>3</v>
      </c>
      <c r="H3706" s="99">
        <v>1</v>
      </c>
      <c r="I3706" s="93" t="s">
        <v>37</v>
      </c>
      <c r="J3706" s="86">
        <v>5.0999999999999996</v>
      </c>
      <c r="K3706" s="102" t="s">
        <v>3823</v>
      </c>
      <c r="L3706" s="117">
        <f>IF(O3706="","",N3706*O3706*M3706)</f>
        <v>0</v>
      </c>
      <c r="M3706" s="108">
        <v>1</v>
      </c>
      <c r="N3706" s="95">
        <v>1</v>
      </c>
      <c r="O3706" s="109">
        <f>IF(Key!D$1="ON",P3706,IF(SUM(Q3706:DL3706)&lt;1,"",SUM(Q3706:DL3706)/COUNTIF(Q3706:DL3706,"&gt;0")))</f>
        <v>0</v>
      </c>
      <c r="P3706" s="109">
        <f>SUMIFS(Q3706:DK3706,Q$1:DK$1,Dashboard!$K$31)</f>
        <v>0</v>
      </c>
      <c r="U3706" s="95">
        <v>33</v>
      </c>
      <c r="AA3706" s="95">
        <v>25</v>
      </c>
      <c r="AH3706" s="95">
        <v>75</v>
      </c>
    </row>
    <row r="3707" spans="1:34" x14ac:dyDescent="0.3">
      <c r="A3707" s="89" t="str">
        <f>CONCATENATE(D3707,".",F3707,"-",G3707,".",H3707,"")</f>
        <v>3.2-3.1</v>
      </c>
      <c r="B3707" s="89" t="str">
        <f>IF(CONCATENATE(I3707,Key!F$2)=CONCATENATE(INDEX(Dashboard!J:J,MATCH(I3707,Dashboard!J:J,0),1),INDEX(Dashboard!J:K,MATCH(I3707,Dashboard!J:J,0),2)),"ON",IF(Dashboard!K$32="ALL","ON","-"))</f>
        <v>-</v>
      </c>
      <c r="C3707" s="127" t="s">
        <v>311</v>
      </c>
      <c r="D3707" s="89">
        <f>IF(C3707="ID",1,(IF(C3707="PR",2,(IF(C3707="DE",3,(IF(C3707="RS",4,(IF(C3707="RC",5,0)))))))))</f>
        <v>3</v>
      </c>
      <c r="E3707" s="89" t="s">
        <v>316</v>
      </c>
      <c r="F3707" s="89">
        <f>IF(E3707="AM",1,(IF(E3707="BE",2,(IF(E3707="GV",3,(IF(E3707="RA",4,(IF(E3707="RM",5,(IF(E3707="AC",1,(IF(E3707="AT",2,(IF(E3707="DS",3,(IF(E3707="IP",4,(IF(E3707="MA",5,(IF(E3707="PT",6,(IF(E3707="AE",1,(IF(E3707="CM",2,(IF(E3707="DP",3,(IF(E3707="AN",1,(IF(E3707="CO",2,(IF(E3707="IM",3,(IF(E3707="MI",4,(IF(E3707="RP",5,(IF(E3707="SC",6,0)))))))))))))))))))))))))))))))))))))))</f>
        <v>2</v>
      </c>
      <c r="G3707" s="52">
        <v>3</v>
      </c>
      <c r="H3707" s="99">
        <v>1</v>
      </c>
      <c r="I3707" s="93" t="s">
        <v>37</v>
      </c>
      <c r="J3707" s="86">
        <v>7.4</v>
      </c>
      <c r="K3707" s="102" t="s">
        <v>3824</v>
      </c>
      <c r="L3707" s="117">
        <f>IF(O3707="","",N3707*O3707*M3707)</f>
        <v>0</v>
      </c>
      <c r="M3707" s="108">
        <v>1</v>
      </c>
      <c r="N3707" s="95">
        <v>1</v>
      </c>
      <c r="O3707" s="109">
        <f>IF(Key!D$1="ON",P3707,IF(SUM(Q3707:DL3707)&lt;1,"",SUM(Q3707:DL3707)/COUNTIF(Q3707:DL3707,"&gt;0")))</f>
        <v>0</v>
      </c>
      <c r="P3707" s="109">
        <f>SUMIFS(Q3707:DK3707,Q$1:DK$1,Dashboard!$K$31)</f>
        <v>0</v>
      </c>
      <c r="U3707" s="95">
        <v>33</v>
      </c>
      <c r="AA3707" s="95">
        <v>25</v>
      </c>
      <c r="AH3707" s="95">
        <v>75</v>
      </c>
    </row>
    <row r="3708" spans="1:34" ht="15.6" x14ac:dyDescent="0.3">
      <c r="A3708" s="89" t="str">
        <f>CONCATENATE(D3708,".",F3708,"-",G3708,".",H3708,"")</f>
        <v>3.2-3.1</v>
      </c>
      <c r="B3708" s="89" t="str">
        <f>IF(CONCATENATE(I3708,Key!F$2)=CONCATENATE(INDEX(Dashboard!J:J,MATCH(I3708,Dashboard!J:J,0),1),INDEX(Dashboard!J:K,MATCH(I3708,Dashboard!J:J,0),2)),"ON",IF(Dashboard!K$32="ALL","ON","-"))</f>
        <v>-</v>
      </c>
      <c r="C3708" s="127" t="s">
        <v>311</v>
      </c>
      <c r="D3708" s="89">
        <f>IF(C3708="ID",1,(IF(C3708="PR",2,(IF(C3708="DE",3,(IF(C3708="RS",4,(IF(C3708="RC",5,0)))))))))</f>
        <v>3</v>
      </c>
      <c r="E3708" s="89" t="s">
        <v>316</v>
      </c>
      <c r="F3708" s="89">
        <f>IF(E3708="AM",1,(IF(E3708="BE",2,(IF(E3708="GV",3,(IF(E3708="RA",4,(IF(E3708="RM",5,(IF(E3708="AC",1,(IF(E3708="AT",2,(IF(E3708="DS",3,(IF(E3708="IP",4,(IF(E3708="MA",5,(IF(E3708="PT",6,(IF(E3708="AE",1,(IF(E3708="CM",2,(IF(E3708="DP",3,(IF(E3708="AN",1,(IF(E3708="CO",2,(IF(E3708="IM",3,(IF(E3708="MI",4,(IF(E3708="RP",5,(IF(E3708="SC",6,0)))))))))))))))))))))))))))))))))))))))</f>
        <v>2</v>
      </c>
      <c r="G3708" s="52">
        <v>3</v>
      </c>
      <c r="H3708" s="99">
        <v>1</v>
      </c>
      <c r="I3708" s="93" t="s">
        <v>37</v>
      </c>
      <c r="J3708" s="86">
        <v>8.6</v>
      </c>
      <c r="K3708" s="102" t="s">
        <v>3825</v>
      </c>
      <c r="L3708" s="117">
        <f>IF(O3708="","",N3708*O3708*M3708)</f>
        <v>0</v>
      </c>
      <c r="M3708" s="108">
        <v>1</v>
      </c>
      <c r="N3708" s="95">
        <v>1</v>
      </c>
      <c r="O3708" s="109">
        <f>IF(Key!D$1="ON",P3708,IF(SUM(Q3708:DL3708)&lt;1,"",SUM(Q3708:DL3708)/COUNTIF(Q3708:DL3708,"&gt;0")))</f>
        <v>0</v>
      </c>
      <c r="P3708" s="109">
        <f>SUMIFS(Q3708:DK3708,Q$1:DK$1,Dashboard!$K$31)</f>
        <v>0</v>
      </c>
      <c r="U3708" s="95">
        <v>33</v>
      </c>
      <c r="AA3708" s="95">
        <v>25</v>
      </c>
      <c r="AH3708" s="95">
        <v>75</v>
      </c>
    </row>
    <row r="3709" spans="1:34" ht="15.6" x14ac:dyDescent="0.3">
      <c r="A3709" s="89" t="str">
        <f>CONCATENATE(D3709,".",F3709,"-",G3709,".",H3709,"")</f>
        <v>3.2-3.1</v>
      </c>
      <c r="B3709" s="89" t="str">
        <f>IF(CONCATENATE(I3709,Key!F$2)=CONCATENATE(INDEX(Dashboard!J:J,MATCH(I3709,Dashboard!J:J,0),1),INDEX(Dashboard!J:K,MATCH(I3709,Dashboard!J:J,0),2)),"ON",IF(Dashboard!K$32="ALL","ON","-"))</f>
        <v>-</v>
      </c>
      <c r="C3709" s="127" t="s">
        <v>311</v>
      </c>
      <c r="D3709" s="89">
        <f>IF(C3709="ID",1,(IF(C3709="PR",2,(IF(C3709="DE",3,(IF(C3709="RS",4,(IF(C3709="RC",5,0)))))))))</f>
        <v>3</v>
      </c>
      <c r="E3709" s="89" t="s">
        <v>316</v>
      </c>
      <c r="F3709" s="89">
        <f>IF(E3709="AM",1,(IF(E3709="BE",2,(IF(E3709="GV",3,(IF(E3709="RA",4,(IF(E3709="RM",5,(IF(E3709="AC",1,(IF(E3709="AT",2,(IF(E3709="DS",3,(IF(E3709="IP",4,(IF(E3709="MA",5,(IF(E3709="PT",6,(IF(E3709="AE",1,(IF(E3709="CM",2,(IF(E3709="DP",3,(IF(E3709="AN",1,(IF(E3709="CO",2,(IF(E3709="IM",3,(IF(E3709="MI",4,(IF(E3709="RP",5,(IF(E3709="SC",6,0)))))))))))))))))))))))))))))))))))))))</f>
        <v>2</v>
      </c>
      <c r="G3709" s="52">
        <v>3</v>
      </c>
      <c r="H3709" s="99">
        <v>1</v>
      </c>
      <c r="I3709" s="93" t="s">
        <v>37</v>
      </c>
      <c r="J3709" s="86">
        <v>16.600000000000001</v>
      </c>
      <c r="K3709" s="102" t="s">
        <v>3826</v>
      </c>
      <c r="L3709" s="117">
        <f>IF(O3709="","",N3709*O3709*M3709)</f>
        <v>0</v>
      </c>
      <c r="M3709" s="108">
        <v>1</v>
      </c>
      <c r="N3709" s="95">
        <v>1</v>
      </c>
      <c r="O3709" s="109">
        <f>IF(Key!D$1="ON",P3709,IF(SUM(Q3709:DL3709)&lt;1,"",SUM(Q3709:DL3709)/COUNTIF(Q3709:DL3709,"&gt;0")))</f>
        <v>0</v>
      </c>
      <c r="P3709" s="109">
        <f>SUMIFS(Q3709:DK3709,Q$1:DK$1,Dashboard!$K$31)</f>
        <v>0</v>
      </c>
      <c r="U3709" s="95">
        <v>33</v>
      </c>
      <c r="AA3709" s="95">
        <v>25</v>
      </c>
      <c r="AH3709" s="95">
        <v>75</v>
      </c>
    </row>
    <row r="3710" spans="1:34" ht="15.6" x14ac:dyDescent="0.3">
      <c r="A3710" s="89" t="str">
        <f>CONCATENATE(D3710,".",F3710,"-",G3710,".",H3710,"")</f>
        <v>3.2-3.1</v>
      </c>
      <c r="B3710" s="89" t="str">
        <f>IF(CONCATENATE(I3710,Key!F$2)=CONCATENATE(INDEX(Dashboard!J:J,MATCH(I3710,Dashboard!J:J,0),1),INDEX(Dashboard!J:K,MATCH(I3710,Dashboard!J:J,0),2)),"ON",IF(Dashboard!K$32="ALL","ON","-"))</f>
        <v>-</v>
      </c>
      <c r="C3710" s="127" t="s">
        <v>311</v>
      </c>
      <c r="D3710" s="89">
        <f>IF(C3710="ID",1,(IF(C3710="PR",2,(IF(C3710="DE",3,(IF(C3710="RS",4,(IF(C3710="RC",5,0)))))))))</f>
        <v>3</v>
      </c>
      <c r="E3710" s="89" t="s">
        <v>316</v>
      </c>
      <c r="F3710" s="89">
        <f>IF(E3710="AM",1,(IF(E3710="BE",2,(IF(E3710="GV",3,(IF(E3710="RA",4,(IF(E3710="RM",5,(IF(E3710="AC",1,(IF(E3710="AT",2,(IF(E3710="DS",3,(IF(E3710="IP",4,(IF(E3710="MA",5,(IF(E3710="PT",6,(IF(E3710="AE",1,(IF(E3710="CM",2,(IF(E3710="DP",3,(IF(E3710="AN",1,(IF(E3710="CO",2,(IF(E3710="IM",3,(IF(E3710="MI",4,(IF(E3710="RP",5,(IF(E3710="SC",6,0)))))))))))))))))))))))))))))))))))))))</f>
        <v>2</v>
      </c>
      <c r="G3710" s="52">
        <v>3</v>
      </c>
      <c r="H3710" s="99">
        <v>1</v>
      </c>
      <c r="I3710" s="93" t="s">
        <v>37</v>
      </c>
      <c r="J3710" s="86" t="s">
        <v>3606</v>
      </c>
      <c r="K3710" s="102" t="s">
        <v>3827</v>
      </c>
      <c r="L3710" s="117">
        <f>IF(O3710="","",N3710*O3710*M3710)</f>
        <v>0</v>
      </c>
      <c r="M3710" s="108">
        <v>1</v>
      </c>
      <c r="N3710" s="95">
        <v>1</v>
      </c>
      <c r="O3710" s="109">
        <f>IF(Key!D$1="ON",P3710,IF(SUM(Q3710:DL3710)&lt;1,"",SUM(Q3710:DL3710)/COUNTIF(Q3710:DL3710,"&gt;0")))</f>
        <v>0</v>
      </c>
      <c r="P3710" s="109">
        <f>SUMIFS(Q3710:DK3710,Q$1:DK$1,Dashboard!$K$31)</f>
        <v>0</v>
      </c>
      <c r="U3710" s="95">
        <v>33</v>
      </c>
      <c r="AA3710" s="95">
        <v>25</v>
      </c>
      <c r="AH3710" s="95">
        <v>75</v>
      </c>
    </row>
    <row r="3711" spans="1:34" ht="15.6" x14ac:dyDescent="0.3">
      <c r="A3711" s="89" t="str">
        <f>CONCATENATE(D3711,".",F3711,"-",G3711,".",H3711,"")</f>
        <v>3.2-3.1</v>
      </c>
      <c r="B3711" s="89" t="str">
        <f>IF(CONCATENATE(I3711,Key!F$2)=CONCATENATE(INDEX(Dashboard!J:J,MATCH(I3711,Dashboard!J:J,0),1),INDEX(Dashboard!J:K,MATCH(I3711,Dashboard!J:J,0),2)),"ON",IF(Dashboard!K$32="ALL","ON","-"))</f>
        <v>-</v>
      </c>
      <c r="C3711" s="127" t="s">
        <v>311</v>
      </c>
      <c r="D3711" s="89">
        <f>IF(C3711="ID",1,(IF(C3711="PR",2,(IF(C3711="DE",3,(IF(C3711="RS",4,(IF(C3711="RC",5,0)))))))))</f>
        <v>3</v>
      </c>
      <c r="E3711" s="89" t="s">
        <v>316</v>
      </c>
      <c r="F3711" s="89">
        <f>IF(E3711="AM",1,(IF(E3711="BE",2,(IF(E3711="GV",3,(IF(E3711="RA",4,(IF(E3711="RM",5,(IF(E3711="AC",1,(IF(E3711="AT",2,(IF(E3711="DS",3,(IF(E3711="IP",4,(IF(E3711="MA",5,(IF(E3711="PT",6,(IF(E3711="AE",1,(IF(E3711="CM",2,(IF(E3711="DP",3,(IF(E3711="AN",1,(IF(E3711="CO",2,(IF(E3711="IM",3,(IF(E3711="MI",4,(IF(E3711="RP",5,(IF(E3711="SC",6,0)))))))))))))))))))))))))))))))))))))))</f>
        <v>2</v>
      </c>
      <c r="G3711" s="52">
        <v>3</v>
      </c>
      <c r="H3711" s="99">
        <v>1</v>
      </c>
      <c r="I3711" s="93" t="s">
        <v>41</v>
      </c>
      <c r="J3711" s="86">
        <v>7.6</v>
      </c>
      <c r="K3711" s="103" t="s">
        <v>3507</v>
      </c>
      <c r="L3711" s="117">
        <f>IF(O3711="","",N3711*O3711*M3711)</f>
        <v>0</v>
      </c>
      <c r="M3711" s="108">
        <v>1</v>
      </c>
      <c r="N3711" s="95">
        <v>1</v>
      </c>
      <c r="O3711" s="109">
        <f>IF(Key!D$1="ON",P3711,IF(SUM(Q3711:DL3711)&lt;1,"",SUM(Q3711:DL3711)/COUNTIF(Q3711:DL3711,"&gt;0")))</f>
        <v>0</v>
      </c>
      <c r="P3711" s="109">
        <f>SUMIFS(Q3711:DK3711,Q$1:DK$1,Dashboard!$K$31)</f>
        <v>0</v>
      </c>
      <c r="U3711" s="95">
        <v>33</v>
      </c>
    </row>
    <row r="3712" spans="1:34" ht="15.6" x14ac:dyDescent="0.3">
      <c r="A3712" s="89" t="str">
        <f>CONCATENATE(D3712,".",F3712,"-",G3712,".",H3712,"")</f>
        <v>3.2-3.1</v>
      </c>
      <c r="B3712" s="89" t="str">
        <f>IF(CONCATENATE(I3712,Key!F$2)=CONCATENATE(INDEX(Dashboard!J:J,MATCH(I3712,Dashboard!J:J,0),1),INDEX(Dashboard!J:K,MATCH(I3712,Dashboard!J:J,0),2)),"ON",IF(Dashboard!K$32="ALL","ON","-"))</f>
        <v>-</v>
      </c>
      <c r="C3712" s="127" t="s">
        <v>311</v>
      </c>
      <c r="D3712" s="89">
        <f>IF(C3712="ID",1,(IF(C3712="PR",2,(IF(C3712="DE",3,(IF(C3712="RS",4,(IF(C3712="RC",5,0)))))))))</f>
        <v>3</v>
      </c>
      <c r="E3712" s="89" t="s">
        <v>316</v>
      </c>
      <c r="F3712" s="89">
        <f>IF(E3712="AM",1,(IF(E3712="BE",2,(IF(E3712="GV",3,(IF(E3712="RA",4,(IF(E3712="RM",5,(IF(E3712="AC",1,(IF(E3712="AT",2,(IF(E3712="DS",3,(IF(E3712="IP",4,(IF(E3712="MA",5,(IF(E3712="PT",6,(IF(E3712="AE",1,(IF(E3712="CM",2,(IF(E3712="DP",3,(IF(E3712="AN",1,(IF(E3712="CO",2,(IF(E3712="IM",3,(IF(E3712="MI",4,(IF(E3712="RP",5,(IF(E3712="SC",6,0)))))))))))))))))))))))))))))))))))))))</f>
        <v>2</v>
      </c>
      <c r="G3712" s="52">
        <v>3</v>
      </c>
      <c r="H3712" s="99">
        <v>1</v>
      </c>
      <c r="I3712" s="93" t="s">
        <v>41</v>
      </c>
      <c r="J3712" s="86">
        <v>8.6999999999999993</v>
      </c>
      <c r="K3712" s="103" t="s">
        <v>3518</v>
      </c>
      <c r="L3712" s="117">
        <f>IF(O3712="","",N3712*O3712*M3712)</f>
        <v>0</v>
      </c>
      <c r="M3712" s="108">
        <v>1</v>
      </c>
      <c r="N3712" s="95">
        <v>1</v>
      </c>
      <c r="O3712" s="109">
        <f>IF(Key!D$1="ON",P3712,IF(SUM(Q3712:DL3712)&lt;1,"",SUM(Q3712:DL3712)/COUNTIF(Q3712:DL3712,"&gt;0")))</f>
        <v>0</v>
      </c>
      <c r="P3712" s="109">
        <f>SUMIFS(Q3712:DK3712,Q$1:DK$1,Dashboard!$K$31)</f>
        <v>0</v>
      </c>
      <c r="U3712" s="95">
        <v>33</v>
      </c>
    </row>
    <row r="3713" spans="1:34" ht="15.6" x14ac:dyDescent="0.3">
      <c r="A3713" s="89" t="str">
        <f>CONCATENATE(D3713,".",F3713,"-",G3713,".",H3713,"")</f>
        <v>3.2-3.1</v>
      </c>
      <c r="B3713" s="89" t="str">
        <f>IF(CONCATENATE(I3713,Key!F$2)=CONCATENATE(INDEX(Dashboard!J:J,MATCH(I3713,Dashboard!J:J,0),1),INDEX(Dashboard!J:K,MATCH(I3713,Dashboard!J:J,0),2)),"ON",IF(Dashboard!K$32="ALL","ON","-"))</f>
        <v>-</v>
      </c>
      <c r="C3713" s="127" t="s">
        <v>311</v>
      </c>
      <c r="D3713" s="89">
        <f>IF(C3713="ID",1,(IF(C3713="PR",2,(IF(C3713="DE",3,(IF(C3713="RS",4,(IF(C3713="RC",5,0)))))))))</f>
        <v>3</v>
      </c>
      <c r="E3713" s="89" t="s">
        <v>316</v>
      </c>
      <c r="F3713" s="89">
        <f>IF(E3713="AM",1,(IF(E3713="BE",2,(IF(E3713="GV",3,(IF(E3713="RA",4,(IF(E3713="RM",5,(IF(E3713="AC",1,(IF(E3713="AT",2,(IF(E3713="DS",3,(IF(E3713="IP",4,(IF(E3713="MA",5,(IF(E3713="PT",6,(IF(E3713="AE",1,(IF(E3713="CM",2,(IF(E3713="DP",3,(IF(E3713="AN",1,(IF(E3713="CO",2,(IF(E3713="IM",3,(IF(E3713="MI",4,(IF(E3713="RP",5,(IF(E3713="SC",6,0)))))))))))))))))))))))))))))))))))))))</f>
        <v>2</v>
      </c>
      <c r="G3713" s="52">
        <v>3</v>
      </c>
      <c r="H3713" s="99">
        <v>1</v>
      </c>
      <c r="I3713" s="93" t="s">
        <v>41</v>
      </c>
      <c r="J3713" s="86">
        <v>16.899999999999999</v>
      </c>
      <c r="K3713" s="103" t="s">
        <v>3594</v>
      </c>
      <c r="L3713" s="117">
        <f>IF(O3713="","",N3713*O3713*M3713)</f>
        <v>0</v>
      </c>
      <c r="M3713" s="108">
        <v>1</v>
      </c>
      <c r="N3713" s="95">
        <v>1</v>
      </c>
      <c r="O3713" s="109">
        <f>IF(Key!D$1="ON",P3713,IF(SUM(Q3713:DL3713)&lt;1,"",SUM(Q3713:DL3713)/COUNTIF(Q3713:DL3713,"&gt;0")))</f>
        <v>0</v>
      </c>
      <c r="P3713" s="109">
        <f>SUMIFS(Q3713:DK3713,Q$1:DK$1,Dashboard!$K$31)</f>
        <v>0</v>
      </c>
      <c r="U3713" s="95">
        <v>33</v>
      </c>
    </row>
    <row r="3714" spans="1:34" ht="15.6" x14ac:dyDescent="0.3">
      <c r="A3714" s="89" t="str">
        <f>CONCATENATE(D3714,".",F3714,"-",G3714,".",H3714,"")</f>
        <v>3.2-3.1</v>
      </c>
      <c r="B3714" s="89" t="str">
        <f>IF(CONCATENATE(I3714,Key!F$2)=CONCATENATE(INDEX(Dashboard!J:J,MATCH(I3714,Dashboard!J:J,0),1),INDEX(Dashboard!J:K,MATCH(I3714,Dashboard!J:J,0),2)),"ON",IF(Dashboard!K$32="ALL","ON","-"))</f>
        <v>-</v>
      </c>
      <c r="C3714" s="132" t="s">
        <v>311</v>
      </c>
      <c r="D3714" s="89">
        <f>IF(C3714="ID",1,(IF(C3714="PR",2,(IF(C3714="DE",3,(IF(C3714="RS",4,(IF(C3714="RC",5,0)))))))))</f>
        <v>3</v>
      </c>
      <c r="E3714" s="89" t="s">
        <v>316</v>
      </c>
      <c r="F3714" s="89">
        <f>IF(E3714="AM",1,(IF(E3714="BE",2,(IF(E3714="GV",3,(IF(E3714="RA",4,(IF(E3714="RM",5,(IF(E3714="AC",1,(IF(E3714="AT",2,(IF(E3714="DS",3,(IF(E3714="IP",4,(IF(E3714="MA",5,(IF(E3714="PT",6,(IF(E3714="AE",1,(IF(E3714="CM",2,(IF(E3714="DP",3,(IF(E3714="AN",1,(IF(E3714="CO",2,(IF(E3714="IM",3,(IF(E3714="MI",4,(IF(E3714="RP",5,(IF(E3714="SC",6,0)))))))))))))))))))))))))))))))))))))))</f>
        <v>2</v>
      </c>
      <c r="G3714" s="52">
        <v>3</v>
      </c>
      <c r="H3714" s="90" t="s">
        <v>115</v>
      </c>
      <c r="I3714" s="93" t="s">
        <v>52</v>
      </c>
      <c r="J3714" s="88" t="s">
        <v>3446</v>
      </c>
      <c r="K3714" s="103" t="s">
        <v>3447</v>
      </c>
      <c r="L3714" s="117">
        <f>IF(O3714="","",N3714*O3714*M3714)</f>
        <v>0</v>
      </c>
      <c r="M3714" s="108">
        <v>1</v>
      </c>
      <c r="N3714" s="95">
        <v>1</v>
      </c>
      <c r="O3714" s="109">
        <f>IF(Key!D$1="ON",P3714,IF(SUM(Q3714:DL3714)&lt;1,"",SUM(Q3714:DL3714)/COUNTIF(Q3714:DL3714,"&gt;0")))</f>
        <v>0</v>
      </c>
      <c r="P3714" s="109">
        <f>SUMIFS(Q3714:DK3714,Q$1:DK$1,Dashboard!$K$31)</f>
        <v>0</v>
      </c>
      <c r="U3714" s="95">
        <v>33</v>
      </c>
      <c r="AA3714" s="95">
        <v>25</v>
      </c>
      <c r="AH3714" s="95">
        <v>75</v>
      </c>
    </row>
    <row r="3715" spans="1:34" x14ac:dyDescent="0.3">
      <c r="A3715" s="89" t="str">
        <f>CONCATENATE(D3715,".",F3715,"-",G3715,".",H3715,"")</f>
        <v>3.2-3.1</v>
      </c>
      <c r="B3715" s="89" t="str">
        <f>IF(CONCATENATE(I3715,Key!F$2)=CONCATENATE(INDEX(Dashboard!J:J,MATCH(I3715,Dashboard!J:J,0),1),INDEX(Dashboard!J:K,MATCH(I3715,Dashboard!J:J,0),2)),"ON",IF(Dashboard!K$32="ALL","ON","-"))</f>
        <v>-</v>
      </c>
      <c r="C3715" s="132" t="s">
        <v>311</v>
      </c>
      <c r="D3715" s="89">
        <f>IF(C3715="ID",1,(IF(C3715="PR",2,(IF(C3715="DE",3,(IF(C3715="RS",4,(IF(C3715="RC",5,0)))))))))</f>
        <v>3</v>
      </c>
      <c r="E3715" s="89" t="s">
        <v>316</v>
      </c>
      <c r="F3715" s="89">
        <f>IF(E3715="AM",1,(IF(E3715="BE",2,(IF(E3715="GV",3,(IF(E3715="RA",4,(IF(E3715="RM",5,(IF(E3715="AC",1,(IF(E3715="AT",2,(IF(E3715="DS",3,(IF(E3715="IP",4,(IF(E3715="MA",5,(IF(E3715="PT",6,(IF(E3715="AE",1,(IF(E3715="CM",2,(IF(E3715="DP",3,(IF(E3715="AN",1,(IF(E3715="CO",2,(IF(E3715="IM",3,(IF(E3715="MI",4,(IF(E3715="RP",5,(IF(E3715="SC",6,0)))))))))))))))))))))))))))))))))))))))</f>
        <v>2</v>
      </c>
      <c r="G3715" s="52">
        <v>3</v>
      </c>
      <c r="H3715" s="90" t="s">
        <v>115</v>
      </c>
      <c r="I3715" s="93" t="s">
        <v>52</v>
      </c>
      <c r="J3715" s="88" t="s">
        <v>3383</v>
      </c>
      <c r="K3715" s="103" t="s">
        <v>3384</v>
      </c>
      <c r="L3715" s="117">
        <f>IF(O3715="","",N3715*O3715*M3715)</f>
        <v>0</v>
      </c>
      <c r="M3715" s="108">
        <v>1</v>
      </c>
      <c r="N3715" s="95">
        <v>1</v>
      </c>
      <c r="O3715" s="109">
        <f>IF(Key!D$1="ON",P3715,IF(SUM(Q3715:DL3715)&lt;1,"",SUM(Q3715:DL3715)/COUNTIF(Q3715:DL3715,"&gt;0")))</f>
        <v>0</v>
      </c>
      <c r="P3715" s="109">
        <f>SUMIFS(Q3715:DK3715,Q$1:DK$1,Dashboard!$K$31)</f>
        <v>0</v>
      </c>
      <c r="U3715" s="95">
        <v>33</v>
      </c>
      <c r="AA3715" s="95">
        <v>25</v>
      </c>
      <c r="AH3715" s="95">
        <v>75</v>
      </c>
    </row>
    <row r="3716" spans="1:34" ht="15.6" x14ac:dyDescent="0.3">
      <c r="A3716" s="89" t="str">
        <f>CONCATENATE(D3716,".",F3716,"-",G3716,".",H3716,"")</f>
        <v>3.2-3.1</v>
      </c>
      <c r="B3716" s="89" t="str">
        <f>IF(CONCATENATE(I3716,Key!F$2)=CONCATENATE(INDEX(Dashboard!J:J,MATCH(I3716,Dashboard!J:J,0),1),INDEX(Dashboard!J:K,MATCH(I3716,Dashboard!J:J,0),2)),"ON",IF(Dashboard!K$32="ALL","ON","-"))</f>
        <v>-</v>
      </c>
      <c r="C3716" s="132" t="s">
        <v>311</v>
      </c>
      <c r="D3716" s="89">
        <f>IF(C3716="ID",1,(IF(C3716="PR",2,(IF(C3716="DE",3,(IF(C3716="RS",4,(IF(C3716="RC",5,0)))))))))</f>
        <v>3</v>
      </c>
      <c r="E3716" s="89" t="s">
        <v>316</v>
      </c>
      <c r="F3716" s="89">
        <f>IF(E3716="AM",1,(IF(E3716="BE",2,(IF(E3716="GV",3,(IF(E3716="RA",4,(IF(E3716="RM",5,(IF(E3716="AC",1,(IF(E3716="AT",2,(IF(E3716="DS",3,(IF(E3716="IP",4,(IF(E3716="MA",5,(IF(E3716="PT",6,(IF(E3716="AE",1,(IF(E3716="CM",2,(IF(E3716="DP",3,(IF(E3716="AN",1,(IF(E3716="CO",2,(IF(E3716="IM",3,(IF(E3716="MI",4,(IF(E3716="RP",5,(IF(E3716="SC",6,0)))))))))))))))))))))))))))))))))))))))</f>
        <v>2</v>
      </c>
      <c r="G3716" s="52">
        <v>3</v>
      </c>
      <c r="H3716" s="90" t="s">
        <v>115</v>
      </c>
      <c r="I3716" s="93" t="s">
        <v>52</v>
      </c>
      <c r="J3716" s="88" t="s">
        <v>3443</v>
      </c>
      <c r="K3716" s="103" t="s">
        <v>3444</v>
      </c>
      <c r="L3716" s="117">
        <f>IF(O3716="","",N3716*O3716*M3716)</f>
        <v>0</v>
      </c>
      <c r="M3716" s="108">
        <v>1</v>
      </c>
      <c r="N3716" s="95">
        <v>1</v>
      </c>
      <c r="O3716" s="109">
        <f>IF(Key!D$1="ON",P3716,IF(SUM(Q3716:DL3716)&lt;1,"",SUM(Q3716:DL3716)/COUNTIF(Q3716:DL3716,"&gt;0")))</f>
        <v>0</v>
      </c>
      <c r="P3716" s="109">
        <f>SUMIFS(Q3716:DK3716,Q$1:DK$1,Dashboard!$K$31)</f>
        <v>0</v>
      </c>
      <c r="U3716" s="95">
        <v>33</v>
      </c>
      <c r="AA3716" s="95">
        <v>25</v>
      </c>
      <c r="AH3716" s="95">
        <v>75</v>
      </c>
    </row>
    <row r="3717" spans="1:34" ht="15.6" x14ac:dyDescent="0.3">
      <c r="A3717" s="89" t="str">
        <f>CONCATENATE(D3717,".",F3717,"-",G3717,".",H3717,"")</f>
        <v>3.2-3.1</v>
      </c>
      <c r="B3717" s="89" t="str">
        <f>IF(CONCATENATE(I3717,Key!F$2)=CONCATENATE(INDEX(Dashboard!J:J,MATCH(I3717,Dashboard!J:J,0),1),INDEX(Dashboard!J:K,MATCH(I3717,Dashboard!J:J,0),2)),"ON",IF(Dashboard!K$32="ALL","ON","-"))</f>
        <v>-</v>
      </c>
      <c r="C3717" s="132" t="s">
        <v>311</v>
      </c>
      <c r="D3717" s="89">
        <f>IF(C3717="ID",1,(IF(C3717="PR",2,(IF(C3717="DE",3,(IF(C3717="RS",4,(IF(C3717="RC",5,0)))))))))</f>
        <v>3</v>
      </c>
      <c r="E3717" s="89" t="s">
        <v>316</v>
      </c>
      <c r="F3717" s="89">
        <f>IF(E3717="AM",1,(IF(E3717="BE",2,(IF(E3717="GV",3,(IF(E3717="RA",4,(IF(E3717="RM",5,(IF(E3717="AC",1,(IF(E3717="AT",2,(IF(E3717="DS",3,(IF(E3717="IP",4,(IF(E3717="MA",5,(IF(E3717="PT",6,(IF(E3717="AE",1,(IF(E3717="CM",2,(IF(E3717="DP",3,(IF(E3717="AN",1,(IF(E3717="CO",2,(IF(E3717="IM",3,(IF(E3717="MI",4,(IF(E3717="RP",5,(IF(E3717="SC",6,0)))))))))))))))))))))))))))))))))))))))</f>
        <v>2</v>
      </c>
      <c r="G3717" s="52">
        <v>3</v>
      </c>
      <c r="H3717" s="90" t="s">
        <v>115</v>
      </c>
      <c r="I3717" s="93" t="s">
        <v>52</v>
      </c>
      <c r="J3717" s="88" t="s">
        <v>3363</v>
      </c>
      <c r="K3717" s="103" t="s">
        <v>3364</v>
      </c>
      <c r="L3717" s="117">
        <f>IF(O3717="","",N3717*O3717*M3717)</f>
        <v>0</v>
      </c>
      <c r="M3717" s="108">
        <v>1</v>
      </c>
      <c r="N3717" s="95">
        <v>1</v>
      </c>
      <c r="O3717" s="109">
        <f>IF(Key!D$1="ON",P3717,IF(SUM(Q3717:DL3717)&lt;1,"",SUM(Q3717:DL3717)/COUNTIF(Q3717:DL3717,"&gt;0")))</f>
        <v>0</v>
      </c>
      <c r="P3717" s="109">
        <f>SUMIFS(Q3717:DK3717,Q$1:DK$1,Dashboard!$K$31)</f>
        <v>0</v>
      </c>
      <c r="U3717" s="95">
        <v>33</v>
      </c>
      <c r="AA3717" s="95">
        <v>25</v>
      </c>
      <c r="AH3717" s="95">
        <v>75</v>
      </c>
    </row>
    <row r="3718" spans="1:34" x14ac:dyDescent="0.3">
      <c r="A3718" s="89" t="str">
        <f>CONCATENATE(D3718,".",F3718,"-",G3718,".",H3718,"")</f>
        <v>3.2-3.1</v>
      </c>
      <c r="B3718" s="89" t="str">
        <f>IF(CONCATENATE(I3718,Key!F$2)=CONCATENATE(INDEX(Dashboard!J:J,MATCH(I3718,Dashboard!J:J,0),1),INDEX(Dashboard!J:K,MATCH(I3718,Dashboard!J:J,0),2)),"ON",IF(Dashboard!K$32="ALL","ON","-"))</f>
        <v>-</v>
      </c>
      <c r="C3718" s="132" t="s">
        <v>311</v>
      </c>
      <c r="D3718" s="89">
        <f>IF(C3718="ID",1,(IF(C3718="PR",2,(IF(C3718="DE",3,(IF(C3718="RS",4,(IF(C3718="RC",5,0)))))))))</f>
        <v>3</v>
      </c>
      <c r="E3718" s="89" t="s">
        <v>316</v>
      </c>
      <c r="F3718" s="89">
        <f>IF(E3718="AM",1,(IF(E3718="BE",2,(IF(E3718="GV",3,(IF(E3718="RA",4,(IF(E3718="RM",5,(IF(E3718="AC",1,(IF(E3718="AT",2,(IF(E3718="DS",3,(IF(E3718="IP",4,(IF(E3718="MA",5,(IF(E3718="PT",6,(IF(E3718="AE",1,(IF(E3718="CM",2,(IF(E3718="DP",3,(IF(E3718="AN",1,(IF(E3718="CO",2,(IF(E3718="IM",3,(IF(E3718="MI",4,(IF(E3718="RP",5,(IF(E3718="SC",6,0)))))))))))))))))))))))))))))))))))))))</f>
        <v>2</v>
      </c>
      <c r="G3718" s="52">
        <v>3</v>
      </c>
      <c r="H3718" s="90" t="s">
        <v>115</v>
      </c>
      <c r="I3718" s="93" t="s">
        <v>52</v>
      </c>
      <c r="J3718" s="88" t="s">
        <v>3441</v>
      </c>
      <c r="K3718" s="103" t="s">
        <v>3442</v>
      </c>
      <c r="L3718" s="117">
        <f>IF(O3718="","",N3718*O3718*M3718)</f>
        <v>0</v>
      </c>
      <c r="M3718" s="108">
        <v>1</v>
      </c>
      <c r="N3718" s="95">
        <v>1</v>
      </c>
      <c r="O3718" s="109">
        <f>IF(Key!D$1="ON",P3718,IF(SUM(Q3718:DL3718)&lt;1,"",SUM(Q3718:DL3718)/COUNTIF(Q3718:DL3718,"&gt;0")))</f>
        <v>0</v>
      </c>
      <c r="P3718" s="109">
        <f>SUMIFS(Q3718:DK3718,Q$1:DK$1,Dashboard!$K$31)</f>
        <v>0</v>
      </c>
      <c r="U3718" s="95">
        <v>33</v>
      </c>
      <c r="AA3718" s="95">
        <v>25</v>
      </c>
      <c r="AH3718" s="95">
        <v>75</v>
      </c>
    </row>
    <row r="3719" spans="1:34" ht="15.6" x14ac:dyDescent="0.3">
      <c r="A3719" s="89" t="str">
        <f>CONCATENATE(D3719,".",F3719,"-",G3719,".",H3719,"")</f>
        <v>3.2-3.1</v>
      </c>
      <c r="B3719" s="89" t="str">
        <f>IF(CONCATENATE(I3719,Key!F$2)=CONCATENATE(INDEX(Dashboard!J:J,MATCH(I3719,Dashboard!J:J,0),1),INDEX(Dashboard!J:K,MATCH(I3719,Dashboard!J:J,0),2)),"ON",IF(Dashboard!K$32="ALL","ON","-"))</f>
        <v>-</v>
      </c>
      <c r="C3719" s="127" t="s">
        <v>311</v>
      </c>
      <c r="D3719" s="89">
        <f>IF(C3719="ID",1,(IF(C3719="PR",2,(IF(C3719="DE",3,(IF(C3719="RS",4,(IF(C3719="RC",5,0)))))))))</f>
        <v>3</v>
      </c>
      <c r="E3719" s="89" t="s">
        <v>316</v>
      </c>
      <c r="F3719" s="89">
        <f>IF(E3719="AM",1,(IF(E3719="BE",2,(IF(E3719="GV",3,(IF(E3719="RA",4,(IF(E3719="RM",5,(IF(E3719="AC",1,(IF(E3719="AT",2,(IF(E3719="DS",3,(IF(E3719="IP",4,(IF(E3719="MA",5,(IF(E3719="PT",6,(IF(E3719="AE",1,(IF(E3719="CM",2,(IF(E3719="DP",3,(IF(E3719="AN",1,(IF(E3719="CO",2,(IF(E3719="IM",3,(IF(E3719="MI",4,(IF(E3719="RP",5,(IF(E3719="SC",6,0)))))))))))))))))))))))))))))))))))))))</f>
        <v>2</v>
      </c>
      <c r="G3719" s="52">
        <v>3</v>
      </c>
      <c r="H3719" s="90" t="s">
        <v>115</v>
      </c>
      <c r="I3719" s="93" t="s">
        <v>60</v>
      </c>
      <c r="J3719" s="87" t="s">
        <v>3258</v>
      </c>
      <c r="K3719" s="51" t="s">
        <v>5371</v>
      </c>
      <c r="L3719" s="117">
        <f>IF(O3719="","",N3719*O3719*M3719)</f>
        <v>0</v>
      </c>
      <c r="M3719" s="108">
        <v>1</v>
      </c>
      <c r="N3719" s="95">
        <v>1</v>
      </c>
      <c r="O3719" s="109">
        <f>IF(Key!D$1="ON",P3719,IF(SUM(Q3719:DL3719)&lt;1,"",SUM(Q3719:DL3719)/COUNTIF(Q3719:DL3719,"&gt;0")))</f>
        <v>0</v>
      </c>
      <c r="P3719" s="109">
        <f>SUMIFS(Q3719:DK3719,Q$1:DK$1,Dashboard!$K$31)</f>
        <v>0</v>
      </c>
      <c r="U3719" s="95">
        <v>33</v>
      </c>
      <c r="AA3719" s="95">
        <v>25</v>
      </c>
      <c r="AH3719" s="95">
        <v>75</v>
      </c>
    </row>
    <row r="3720" spans="1:34" x14ac:dyDescent="0.3">
      <c r="A3720" s="89" t="str">
        <f>CONCATENATE(D3720,".",F3720,"-",G3720,".",H3720,"")</f>
        <v>3.2-3.1</v>
      </c>
      <c r="B3720" s="89" t="str">
        <f>IF(CONCATENATE(I3720,Key!F$2)=CONCATENATE(INDEX(Dashboard!J:J,MATCH(I3720,Dashboard!J:J,0),1),INDEX(Dashboard!J:K,MATCH(I3720,Dashboard!J:J,0),2)),"ON",IF(Dashboard!K$32="ALL","ON","-"))</f>
        <v>-</v>
      </c>
      <c r="C3720" s="127" t="s">
        <v>311</v>
      </c>
      <c r="D3720" s="89">
        <f>IF(C3720="ID",1,(IF(C3720="PR",2,(IF(C3720="DE",3,(IF(C3720="RS",4,(IF(C3720="RC",5,0)))))))))</f>
        <v>3</v>
      </c>
      <c r="E3720" s="89" t="s">
        <v>316</v>
      </c>
      <c r="F3720" s="89">
        <f>IF(E3720="AM",1,(IF(E3720="BE",2,(IF(E3720="GV",3,(IF(E3720="RA",4,(IF(E3720="RM",5,(IF(E3720="AC",1,(IF(E3720="AT",2,(IF(E3720="DS",3,(IF(E3720="IP",4,(IF(E3720="MA",5,(IF(E3720="PT",6,(IF(E3720="AE",1,(IF(E3720="CM",2,(IF(E3720="DP",3,(IF(E3720="AN",1,(IF(E3720="CO",2,(IF(E3720="IM",3,(IF(E3720="MI",4,(IF(E3720="RP",5,(IF(E3720="SC",6,0)))))))))))))))))))))))))))))))))))))))</f>
        <v>2</v>
      </c>
      <c r="G3720" s="52">
        <v>3</v>
      </c>
      <c r="H3720" s="90" t="s">
        <v>115</v>
      </c>
      <c r="I3720" s="93" t="s">
        <v>64</v>
      </c>
      <c r="J3720" s="87" t="s">
        <v>1848</v>
      </c>
      <c r="K3720" s="102" t="s">
        <v>2753</v>
      </c>
      <c r="L3720" s="117">
        <f>IF(O3720="","",N3720*O3720*M3720)</f>
        <v>0</v>
      </c>
      <c r="M3720" s="108">
        <v>1</v>
      </c>
      <c r="N3720" s="95">
        <v>1</v>
      </c>
      <c r="O3720" s="109">
        <f>IF(Key!D$1="ON",P3720,IF(SUM(Q3720:DL3720)&lt;1,"",SUM(Q3720:DL3720)/COUNTIF(Q3720:DL3720,"&gt;0")))</f>
        <v>0</v>
      </c>
      <c r="P3720" s="109">
        <f>SUMIFS(Q3720:DK3720,Q$1:DK$1,Dashboard!$K$31)</f>
        <v>0</v>
      </c>
      <c r="U3720" s="95">
        <v>33</v>
      </c>
      <c r="AA3720" s="95">
        <v>25</v>
      </c>
      <c r="AH3720" s="95">
        <v>75</v>
      </c>
    </row>
    <row r="3721" spans="1:34" x14ac:dyDescent="0.3">
      <c r="A3721" s="89" t="str">
        <f>CONCATENATE(D3721,".",F3721,"-",G3721,".",H3721,"")</f>
        <v>3.2-3.1</v>
      </c>
      <c r="B3721" s="89" t="str">
        <f>IF(CONCATENATE(I3721,Key!F$2)=CONCATENATE(INDEX(Dashboard!J:J,MATCH(I3721,Dashboard!J:J,0),1),INDEX(Dashboard!J:K,MATCH(I3721,Dashboard!J:J,0),2)),"ON",IF(Dashboard!K$32="ALL","ON","-"))</f>
        <v>-</v>
      </c>
      <c r="C3721" s="127" t="s">
        <v>311</v>
      </c>
      <c r="D3721" s="89">
        <f>IF(C3721="ID",1,(IF(C3721="PR",2,(IF(C3721="DE",3,(IF(C3721="RS",4,(IF(C3721="RC",5,0)))))))))</f>
        <v>3</v>
      </c>
      <c r="E3721" s="89" t="s">
        <v>316</v>
      </c>
      <c r="F3721" s="89">
        <f>IF(E3721="AM",1,(IF(E3721="BE",2,(IF(E3721="GV",3,(IF(E3721="RA",4,(IF(E3721="RM",5,(IF(E3721="AC",1,(IF(E3721="AT",2,(IF(E3721="DS",3,(IF(E3721="IP",4,(IF(E3721="MA",5,(IF(E3721="PT",6,(IF(E3721="AE",1,(IF(E3721="CM",2,(IF(E3721="DP",3,(IF(E3721="AN",1,(IF(E3721="CO",2,(IF(E3721="IM",3,(IF(E3721="MI",4,(IF(E3721="RP",5,(IF(E3721="SC",6,0)))))))))))))))))))))))))))))))))))))))</f>
        <v>2</v>
      </c>
      <c r="G3721" s="52">
        <v>3</v>
      </c>
      <c r="H3721" s="90" t="s">
        <v>115</v>
      </c>
      <c r="I3721" s="93" t="s">
        <v>64</v>
      </c>
      <c r="J3721" s="87" t="s">
        <v>1849</v>
      </c>
      <c r="K3721" s="103" t="s">
        <v>2754</v>
      </c>
      <c r="L3721" s="117">
        <f>IF(O3721="","",N3721*O3721*M3721)</f>
        <v>0</v>
      </c>
      <c r="M3721" s="108">
        <v>1</v>
      </c>
      <c r="N3721" s="95">
        <v>1</v>
      </c>
      <c r="O3721" s="109">
        <f>IF(Key!D$1="ON",P3721,IF(SUM(Q3721:DL3721)&lt;1,"",SUM(Q3721:DL3721)/COUNTIF(Q3721:DL3721,"&gt;0")))</f>
        <v>0</v>
      </c>
      <c r="P3721" s="109">
        <f>SUMIFS(Q3721:DK3721,Q$1:DK$1,Dashboard!$K$31)</f>
        <v>0</v>
      </c>
      <c r="U3721" s="95">
        <v>33</v>
      </c>
      <c r="AA3721" s="95">
        <v>25</v>
      </c>
      <c r="AH3721" s="95">
        <v>75</v>
      </c>
    </row>
    <row r="3722" spans="1:34" ht="15.6" x14ac:dyDescent="0.3">
      <c r="A3722" s="89" t="str">
        <f>CONCATENATE(D3722,".",F3722,"-",G3722,".",H3722,"")</f>
        <v>3.2-3.1</v>
      </c>
      <c r="B3722" s="89" t="str">
        <f>IF(CONCATENATE(I3722,Key!F$2)=CONCATENATE(INDEX(Dashboard!J:J,MATCH(I3722,Dashboard!J:J,0),1),INDEX(Dashboard!J:K,MATCH(I3722,Dashboard!J:J,0),2)),"ON",IF(Dashboard!K$32="ALL","ON","-"))</f>
        <v>-</v>
      </c>
      <c r="C3722" s="127" t="s">
        <v>311</v>
      </c>
      <c r="D3722" s="89">
        <f>IF(C3722="ID",1,(IF(C3722="PR",2,(IF(C3722="DE",3,(IF(C3722="RS",4,(IF(C3722="RC",5,0)))))))))</f>
        <v>3</v>
      </c>
      <c r="E3722" s="89" t="s">
        <v>316</v>
      </c>
      <c r="F3722" s="89">
        <f>IF(E3722="AM",1,(IF(E3722="BE",2,(IF(E3722="GV",3,(IF(E3722="RA",4,(IF(E3722="RM",5,(IF(E3722="AC",1,(IF(E3722="AT",2,(IF(E3722="DS",3,(IF(E3722="IP",4,(IF(E3722="MA",5,(IF(E3722="PT",6,(IF(E3722="AE",1,(IF(E3722="CM",2,(IF(E3722="DP",3,(IF(E3722="AN",1,(IF(E3722="CO",2,(IF(E3722="IM",3,(IF(E3722="MI",4,(IF(E3722="RP",5,(IF(E3722="SC",6,0)))))))))))))))))))))))))))))))))))))))</f>
        <v>2</v>
      </c>
      <c r="G3722" s="52">
        <v>3</v>
      </c>
      <c r="H3722" s="90" t="s">
        <v>115</v>
      </c>
      <c r="I3722" s="93" t="s">
        <v>64</v>
      </c>
      <c r="J3722" s="87" t="s">
        <v>1313</v>
      </c>
      <c r="K3722" s="102" t="s">
        <v>2323</v>
      </c>
      <c r="L3722" s="117">
        <f>IF(O3722="","",N3722*O3722*M3722)</f>
        <v>0</v>
      </c>
      <c r="M3722" s="108">
        <v>0.9</v>
      </c>
      <c r="N3722" s="95">
        <v>1</v>
      </c>
      <c r="O3722" s="109">
        <f>IF(Key!D$1="ON",P3722,IF(SUM(Q3722:DL3722)&lt;1,"",SUM(Q3722:DL3722)/COUNTIF(Q3722:DL3722,"&gt;0")))</f>
        <v>0</v>
      </c>
      <c r="P3722" s="109">
        <f>SUMIFS(Q3722:DK3722,Q$1:DK$1,Dashboard!$K$31)</f>
        <v>0</v>
      </c>
      <c r="S3722" s="95">
        <v>25</v>
      </c>
      <c r="T3722" s="95">
        <v>80</v>
      </c>
      <c r="U3722" s="95">
        <v>33</v>
      </c>
      <c r="AA3722" s="95">
        <v>25</v>
      </c>
      <c r="AH3722" s="95">
        <v>75</v>
      </c>
    </row>
    <row r="3723" spans="1:34" x14ac:dyDescent="0.3">
      <c r="A3723" s="89" t="str">
        <f>CONCATENATE(D3723,".",F3723,"-",G3723,".",H3723,"")</f>
        <v>3.2-3.1</v>
      </c>
      <c r="B3723" s="89" t="str">
        <f>IF(CONCATENATE(I3723,Key!F$2)=CONCATENATE(INDEX(Dashboard!J:J,MATCH(I3723,Dashboard!J:J,0),1),INDEX(Dashboard!J:K,MATCH(I3723,Dashboard!J:J,0),2)),"ON",IF(Dashboard!K$32="ALL","ON","-"))</f>
        <v>-</v>
      </c>
      <c r="C3723" s="127" t="s">
        <v>311</v>
      </c>
      <c r="D3723" s="89">
        <f>IF(C3723="ID",1,(IF(C3723="PR",2,(IF(C3723="DE",3,(IF(C3723="RS",4,(IF(C3723="RC",5,0)))))))))</f>
        <v>3</v>
      </c>
      <c r="E3723" s="89" t="s">
        <v>316</v>
      </c>
      <c r="F3723" s="89">
        <f>IF(E3723="AM",1,(IF(E3723="BE",2,(IF(E3723="GV",3,(IF(E3723="RA",4,(IF(E3723="RM",5,(IF(E3723="AC",1,(IF(E3723="AT",2,(IF(E3723="DS",3,(IF(E3723="IP",4,(IF(E3723="MA",5,(IF(E3723="PT",6,(IF(E3723="AE",1,(IF(E3723="CM",2,(IF(E3723="DP",3,(IF(E3723="AN",1,(IF(E3723="CO",2,(IF(E3723="IM",3,(IF(E3723="MI",4,(IF(E3723="RP",5,(IF(E3723="SC",6,0)))))))))))))))))))))))))))))))))))))))</f>
        <v>2</v>
      </c>
      <c r="G3723" s="98">
        <v>3</v>
      </c>
      <c r="H3723" s="99">
        <v>1</v>
      </c>
      <c r="I3723" s="93" t="s">
        <v>73</v>
      </c>
      <c r="J3723" s="86" t="s">
        <v>4127</v>
      </c>
      <c r="K3723" s="107" t="s">
        <v>4260</v>
      </c>
      <c r="L3723" s="117">
        <f>IF(O3723="","",N3723*O3723*M3723)</f>
        <v>0</v>
      </c>
      <c r="M3723" s="108">
        <v>1</v>
      </c>
      <c r="N3723" s="95">
        <v>1</v>
      </c>
      <c r="O3723" s="109">
        <f>IF(Key!D$1="ON",P3723,IF(SUM(Q3723:DL3723)&lt;1,"",SUM(Q3723:DL3723)/COUNTIF(Q3723:DL3723,"&gt;0")))</f>
        <v>0</v>
      </c>
      <c r="P3723" s="109">
        <f>SUMIFS(Q3723:DK3723,Q$1:DK$1,Dashboard!$K$31)</f>
        <v>0</v>
      </c>
      <c r="U3723" s="95">
        <v>33</v>
      </c>
      <c r="AA3723" s="95">
        <v>25</v>
      </c>
      <c r="AH3723" s="95">
        <v>75</v>
      </c>
    </row>
    <row r="3724" spans="1:34" ht="15.6" x14ac:dyDescent="0.3">
      <c r="A3724" s="89" t="str">
        <f>CONCATENATE(D3724,".",F3724,"-",G3724,".",H3724,"")</f>
        <v>3.2-3.1</v>
      </c>
      <c r="B3724" s="89" t="str">
        <f>IF(CONCATENATE(I3724,Key!F$2)=CONCATENATE(INDEX(Dashboard!J:J,MATCH(I3724,Dashboard!J:J,0),1),INDEX(Dashboard!J:K,MATCH(I3724,Dashboard!J:J,0),2)),"ON",IF(Dashboard!K$32="ALL","ON","-"))</f>
        <v>-</v>
      </c>
      <c r="C3724" s="127" t="s">
        <v>311</v>
      </c>
      <c r="D3724" s="89">
        <f>IF(C3724="ID",1,(IF(C3724="PR",2,(IF(C3724="DE",3,(IF(C3724="RS",4,(IF(C3724="RC",5,0)))))))))</f>
        <v>3</v>
      </c>
      <c r="E3724" s="89" t="s">
        <v>316</v>
      </c>
      <c r="F3724" s="89">
        <f>IF(E3724="AM",1,(IF(E3724="BE",2,(IF(E3724="GV",3,(IF(E3724="RA",4,(IF(E3724="RM",5,(IF(E3724="AC",1,(IF(E3724="AT",2,(IF(E3724="DS",3,(IF(E3724="IP",4,(IF(E3724="MA",5,(IF(E3724="PT",6,(IF(E3724="AE",1,(IF(E3724="CM",2,(IF(E3724="DP",3,(IF(E3724="AN",1,(IF(E3724="CO",2,(IF(E3724="IM",3,(IF(E3724="MI",4,(IF(E3724="RP",5,(IF(E3724="SC",6,0)))))))))))))))))))))))))))))))))))))))</f>
        <v>2</v>
      </c>
      <c r="G3724" s="52">
        <v>3</v>
      </c>
      <c r="H3724" s="90" t="s">
        <v>115</v>
      </c>
      <c r="I3724" s="93" t="s">
        <v>73</v>
      </c>
      <c r="J3724" s="86" t="s">
        <v>4147</v>
      </c>
      <c r="K3724" s="101" t="s">
        <v>5208</v>
      </c>
      <c r="L3724" s="117">
        <f>IF(O3724="","",N3724*O3724*M3724)</f>
        <v>0</v>
      </c>
      <c r="M3724" s="108">
        <v>1</v>
      </c>
      <c r="N3724" s="95">
        <v>1</v>
      </c>
      <c r="O3724" s="109">
        <f>IF(Key!D$1="ON",P3724,IF(SUM(Q3724:DL3724)&lt;1,"",SUM(Q3724:DL3724)/COUNTIF(Q3724:DL3724,"&gt;0")))</f>
        <v>0</v>
      </c>
      <c r="P3724" s="109">
        <f>SUMIFS(Q3724:DK3724,Q$1:DK$1,Dashboard!$K$31)</f>
        <v>0</v>
      </c>
      <c r="U3724" s="95">
        <v>33</v>
      </c>
      <c r="AA3724" s="95">
        <v>25</v>
      </c>
      <c r="AH3724" s="95">
        <v>75</v>
      </c>
    </row>
    <row r="3725" spans="1:34" x14ac:dyDescent="0.3">
      <c r="A3725" s="89" t="str">
        <f>CONCATENATE(D3725,".",F3725,"-",G3725,".",H3725,"")</f>
        <v>3.2-3.1</v>
      </c>
      <c r="B3725" s="89" t="str">
        <f>IF(CONCATENATE(I3725,Key!F$2)=CONCATENATE(INDEX(Dashboard!J:J,MATCH(I3725,Dashboard!J:J,0),1),INDEX(Dashboard!J:K,MATCH(I3725,Dashboard!J:J,0),2)),"ON",IF(Dashboard!K$32="ALL","ON","-"))</f>
        <v>-</v>
      </c>
      <c r="C3725" s="127" t="s">
        <v>311</v>
      </c>
      <c r="D3725" s="89">
        <f>IF(C3725="ID",1,(IF(C3725="PR",2,(IF(C3725="DE",3,(IF(C3725="RS",4,(IF(C3725="RC",5,0)))))))))</f>
        <v>3</v>
      </c>
      <c r="E3725" s="89" t="s">
        <v>316</v>
      </c>
      <c r="F3725" s="89">
        <f>IF(E3725="AM",1,(IF(E3725="BE",2,(IF(E3725="GV",3,(IF(E3725="RA",4,(IF(E3725="RM",5,(IF(E3725="AC",1,(IF(E3725="AT",2,(IF(E3725="DS",3,(IF(E3725="IP",4,(IF(E3725="MA",5,(IF(E3725="PT",6,(IF(E3725="AE",1,(IF(E3725="CM",2,(IF(E3725="DP",3,(IF(E3725="AN",1,(IF(E3725="CO",2,(IF(E3725="IM",3,(IF(E3725="MI",4,(IF(E3725="RP",5,(IF(E3725="SC",6,0)))))))))))))))))))))))))))))))))))))))</f>
        <v>2</v>
      </c>
      <c r="G3725" s="52">
        <v>3</v>
      </c>
      <c r="H3725" s="90" t="s">
        <v>115</v>
      </c>
      <c r="I3725" s="93" t="s">
        <v>73</v>
      </c>
      <c r="J3725" s="86" t="s">
        <v>4148</v>
      </c>
      <c r="K3725" s="101" t="s">
        <v>4364</v>
      </c>
      <c r="L3725" s="117">
        <f>IF(O3725="","",N3725*O3725*M3725)</f>
        <v>0</v>
      </c>
      <c r="M3725" s="108">
        <v>1</v>
      </c>
      <c r="N3725" s="95">
        <v>1</v>
      </c>
      <c r="O3725" s="109">
        <f>IF(Key!D$1="ON",P3725,IF(SUM(Q3725:DL3725)&lt;1,"",SUM(Q3725:DL3725)/COUNTIF(Q3725:DL3725,"&gt;0")))</f>
        <v>0</v>
      </c>
      <c r="P3725" s="109">
        <f>SUMIFS(Q3725:DK3725,Q$1:DK$1,Dashboard!$K$31)</f>
        <v>0</v>
      </c>
      <c r="U3725" s="95">
        <v>33</v>
      </c>
      <c r="AA3725" s="95">
        <v>25</v>
      </c>
      <c r="AH3725" s="95">
        <v>75</v>
      </c>
    </row>
    <row r="3726" spans="1:34" x14ac:dyDescent="0.3">
      <c r="A3726" s="89" t="str">
        <f>CONCATENATE(D3726,".",F3726,"-",G3726,".",H3726,"")</f>
        <v>3.2-3.1</v>
      </c>
      <c r="B3726" s="89" t="str">
        <f>IF(CONCATENATE(I3726,Key!F$2)=CONCATENATE(INDEX(Dashboard!J:J,MATCH(I3726,Dashboard!J:J,0),1),INDEX(Dashboard!J:K,MATCH(I3726,Dashboard!J:J,0),2)),"ON",IF(Dashboard!K$32="ALL","ON","-"))</f>
        <v>-</v>
      </c>
      <c r="C3726" s="127" t="s">
        <v>311</v>
      </c>
      <c r="D3726" s="89">
        <f>IF(C3726="ID",1,(IF(C3726="PR",2,(IF(C3726="DE",3,(IF(C3726="RS",4,(IF(C3726="RC",5,0)))))))))</f>
        <v>3</v>
      </c>
      <c r="E3726" s="89" t="s">
        <v>316</v>
      </c>
      <c r="F3726" s="89">
        <f>IF(E3726="AM",1,(IF(E3726="BE",2,(IF(E3726="GV",3,(IF(E3726="RA",4,(IF(E3726="RM",5,(IF(E3726="AC",1,(IF(E3726="AT",2,(IF(E3726="DS",3,(IF(E3726="IP",4,(IF(E3726="MA",5,(IF(E3726="PT",6,(IF(E3726="AE",1,(IF(E3726="CM",2,(IF(E3726="DP",3,(IF(E3726="AN",1,(IF(E3726="CO",2,(IF(E3726="IM",3,(IF(E3726="MI",4,(IF(E3726="RP",5,(IF(E3726="SC",6,0)))))))))))))))))))))))))))))))))))))))</f>
        <v>2</v>
      </c>
      <c r="G3726" s="98">
        <v>3</v>
      </c>
      <c r="H3726" s="99">
        <v>1</v>
      </c>
      <c r="I3726" s="93" t="s">
        <v>73</v>
      </c>
      <c r="J3726" s="86" t="s">
        <v>4164</v>
      </c>
      <c r="K3726" s="107" t="s">
        <v>4290</v>
      </c>
      <c r="L3726" s="117">
        <f>IF(O3726="","",N3726*O3726*M3726)</f>
        <v>0</v>
      </c>
      <c r="M3726" s="108">
        <v>1</v>
      </c>
      <c r="N3726" s="95">
        <v>1</v>
      </c>
      <c r="O3726" s="109">
        <f>IF(Key!D$1="ON",P3726,IF(SUM(Q3726:DL3726)&lt;1,"",SUM(Q3726:DL3726)/COUNTIF(Q3726:DL3726,"&gt;0")))</f>
        <v>0</v>
      </c>
      <c r="P3726" s="109">
        <f>SUMIFS(Q3726:DK3726,Q$1:DK$1,Dashboard!$K$31)</f>
        <v>0</v>
      </c>
      <c r="U3726" s="95">
        <v>33</v>
      </c>
      <c r="AA3726" s="95">
        <v>25</v>
      </c>
      <c r="AH3726" s="95">
        <v>75</v>
      </c>
    </row>
    <row r="3727" spans="1:34" ht="15.6" x14ac:dyDescent="0.3">
      <c r="A3727" s="89" t="str">
        <f>CONCATENATE(D3727,".",F3727,"-",G3727,".",H3727,"")</f>
        <v>3.2-3.1</v>
      </c>
      <c r="B3727" s="89" t="str">
        <f>IF(CONCATENATE(I3727,Key!F$2)=CONCATENATE(INDEX(Dashboard!J:J,MATCH(I3727,Dashboard!J:J,0),1),INDEX(Dashboard!J:K,MATCH(I3727,Dashboard!J:J,0),2)),"ON",IF(Dashboard!K$32="ALL","ON","-"))</f>
        <v>-</v>
      </c>
      <c r="C3727" s="127" t="s">
        <v>311</v>
      </c>
      <c r="D3727" s="89">
        <f>IF(C3727="ID",1,(IF(C3727="PR",2,(IF(C3727="DE",3,(IF(C3727="RS",4,(IF(C3727="RC",5,0)))))))))</f>
        <v>3</v>
      </c>
      <c r="E3727" s="89" t="s">
        <v>316</v>
      </c>
      <c r="F3727" s="89">
        <f>IF(E3727="AM",1,(IF(E3727="BE",2,(IF(E3727="GV",3,(IF(E3727="RA",4,(IF(E3727="RM",5,(IF(E3727="AC",1,(IF(E3727="AT",2,(IF(E3727="DS",3,(IF(E3727="IP",4,(IF(E3727="MA",5,(IF(E3727="PT",6,(IF(E3727="AE",1,(IF(E3727="CM",2,(IF(E3727="DP",3,(IF(E3727="AN",1,(IF(E3727="CO",2,(IF(E3727="IM",3,(IF(E3727="MI",4,(IF(E3727="RP",5,(IF(E3727="SC",6,0)))))))))))))))))))))))))))))))))))))))</f>
        <v>2</v>
      </c>
      <c r="G3727" s="52">
        <v>3</v>
      </c>
      <c r="H3727" s="90" t="s">
        <v>115</v>
      </c>
      <c r="I3727" s="93" t="s">
        <v>77</v>
      </c>
      <c r="J3727" s="87" t="s">
        <v>1848</v>
      </c>
      <c r="K3727" s="102" t="s">
        <v>2753</v>
      </c>
      <c r="L3727" s="117">
        <f>IF(O3727="","",N3727*O3727*M3727)</f>
        <v>0</v>
      </c>
      <c r="M3727" s="108">
        <v>1</v>
      </c>
      <c r="N3727" s="95">
        <v>1</v>
      </c>
      <c r="O3727" s="109">
        <f>IF(Key!D$1="ON",P3727,IF(SUM(Q3727:DL3727)&lt;1,"",SUM(Q3727:DL3727)/COUNTIF(Q3727:DL3727,"&gt;0")))</f>
        <v>0</v>
      </c>
      <c r="P3727" s="109">
        <f>SUMIFS(Q3727:DK3727,Q$1:DK$1,Dashboard!$K$31)</f>
        <v>0</v>
      </c>
      <c r="U3727" s="95">
        <v>33</v>
      </c>
      <c r="AA3727" s="95">
        <v>25</v>
      </c>
      <c r="AH3727" s="95">
        <v>75</v>
      </c>
    </row>
    <row r="3728" spans="1:34" ht="15.6" x14ac:dyDescent="0.3">
      <c r="A3728" s="89" t="str">
        <f>CONCATENATE(D3728,".",F3728,"-",G3728,".",H3728,"")</f>
        <v>3.2-3.1</v>
      </c>
      <c r="B3728" s="89" t="str">
        <f>IF(CONCATENATE(I3728,Key!F$2)=CONCATENATE(INDEX(Dashboard!J:J,MATCH(I3728,Dashboard!J:J,0),1),INDEX(Dashboard!J:K,MATCH(I3728,Dashboard!J:J,0),2)),"ON",IF(Dashboard!K$32="ALL","ON","-"))</f>
        <v>-</v>
      </c>
      <c r="C3728" s="127" t="s">
        <v>311</v>
      </c>
      <c r="D3728" s="89">
        <f>IF(C3728="ID",1,(IF(C3728="PR",2,(IF(C3728="DE",3,(IF(C3728="RS",4,(IF(C3728="RC",5,0)))))))))</f>
        <v>3</v>
      </c>
      <c r="E3728" s="89" t="s">
        <v>316</v>
      </c>
      <c r="F3728" s="89">
        <f>IF(E3728="AM",1,(IF(E3728="BE",2,(IF(E3728="GV",3,(IF(E3728="RA",4,(IF(E3728="RM",5,(IF(E3728="AC",1,(IF(E3728="AT",2,(IF(E3728="DS",3,(IF(E3728="IP",4,(IF(E3728="MA",5,(IF(E3728="PT",6,(IF(E3728="AE",1,(IF(E3728="CM",2,(IF(E3728="DP",3,(IF(E3728="AN",1,(IF(E3728="CO",2,(IF(E3728="IM",3,(IF(E3728="MI",4,(IF(E3728="RP",5,(IF(E3728="SC",6,0)))))))))))))))))))))))))))))))))))))))</f>
        <v>2</v>
      </c>
      <c r="G3728" s="52">
        <v>3</v>
      </c>
      <c r="H3728" s="90" t="s">
        <v>115</v>
      </c>
      <c r="I3728" s="93" t="s">
        <v>77</v>
      </c>
      <c r="J3728" s="87" t="s">
        <v>1849</v>
      </c>
      <c r="K3728" s="103" t="s">
        <v>2754</v>
      </c>
      <c r="L3728" s="117">
        <f>IF(O3728="","",N3728*O3728*M3728)</f>
        <v>0</v>
      </c>
      <c r="M3728" s="108">
        <v>1</v>
      </c>
      <c r="N3728" s="95">
        <v>1</v>
      </c>
      <c r="O3728" s="109">
        <f>IF(Key!D$1="ON",P3728,IF(SUM(Q3728:DL3728)&lt;1,"",SUM(Q3728:DL3728)/COUNTIF(Q3728:DL3728,"&gt;0")))</f>
        <v>0</v>
      </c>
      <c r="P3728" s="109">
        <f>SUMIFS(Q3728:DK3728,Q$1:DK$1,Dashboard!$K$31)</f>
        <v>0</v>
      </c>
      <c r="U3728" s="95">
        <v>33</v>
      </c>
      <c r="AA3728" s="95">
        <v>25</v>
      </c>
      <c r="AH3728" s="95">
        <v>75</v>
      </c>
    </row>
    <row r="3729" spans="1:34" x14ac:dyDescent="0.3">
      <c r="A3729" s="89" t="str">
        <f>CONCATENATE(D3729,".",F3729,"-",G3729,".",H3729,"")</f>
        <v>3.2-3.1</v>
      </c>
      <c r="B3729" s="89" t="str">
        <f>IF(CONCATENATE(I3729,Key!F$2)=CONCATENATE(INDEX(Dashboard!J:J,MATCH(I3729,Dashboard!J:J,0),1),INDEX(Dashboard!J:K,MATCH(I3729,Dashboard!J:J,0),2)),"ON",IF(Dashboard!K$32="ALL","ON","-"))</f>
        <v>-</v>
      </c>
      <c r="C3729" s="127" t="s">
        <v>311</v>
      </c>
      <c r="D3729" s="89">
        <f>IF(C3729="ID",1,(IF(C3729="PR",2,(IF(C3729="DE",3,(IF(C3729="RS",4,(IF(C3729="RC",5,0)))))))))</f>
        <v>3</v>
      </c>
      <c r="E3729" s="89" t="s">
        <v>316</v>
      </c>
      <c r="F3729" s="89">
        <f>IF(E3729="AM",1,(IF(E3729="BE",2,(IF(E3729="GV",3,(IF(E3729="RA",4,(IF(E3729="RM",5,(IF(E3729="AC",1,(IF(E3729="AT",2,(IF(E3729="DS",3,(IF(E3729="IP",4,(IF(E3729="MA",5,(IF(E3729="PT",6,(IF(E3729="AE",1,(IF(E3729="CM",2,(IF(E3729="DP",3,(IF(E3729="AN",1,(IF(E3729="CO",2,(IF(E3729="IM",3,(IF(E3729="MI",4,(IF(E3729="RP",5,(IF(E3729="SC",6,0)))))))))))))))))))))))))))))))))))))))</f>
        <v>2</v>
      </c>
      <c r="G3729" s="52">
        <v>3</v>
      </c>
      <c r="H3729" s="90" t="s">
        <v>115</v>
      </c>
      <c r="I3729" s="93" t="s">
        <v>77</v>
      </c>
      <c r="J3729" s="87" t="s">
        <v>1850</v>
      </c>
      <c r="K3729" s="102" t="s">
        <v>2755</v>
      </c>
      <c r="L3729" s="117">
        <f>IF(O3729="","",N3729*O3729*M3729)</f>
        <v>0</v>
      </c>
      <c r="M3729" s="108">
        <v>1</v>
      </c>
      <c r="N3729" s="95">
        <v>1</v>
      </c>
      <c r="O3729" s="109">
        <f>IF(Key!D$1="ON",P3729,IF(SUM(Q3729:DL3729)&lt;1,"",SUM(Q3729:DL3729)/COUNTIF(Q3729:DL3729,"&gt;0")))</f>
        <v>0</v>
      </c>
      <c r="P3729" s="109">
        <f>SUMIFS(Q3729:DK3729,Q$1:DK$1,Dashboard!$K$31)</f>
        <v>0</v>
      </c>
      <c r="U3729" s="95">
        <v>33</v>
      </c>
      <c r="AA3729" s="95">
        <v>25</v>
      </c>
      <c r="AH3729" s="95">
        <v>75</v>
      </c>
    </row>
    <row r="3730" spans="1:34" ht="15.6" x14ac:dyDescent="0.3">
      <c r="A3730" s="89" t="str">
        <f>CONCATENATE(D3730,".",F3730,"-",G3730,".",H3730,"")</f>
        <v>3.2-3.1</v>
      </c>
      <c r="B3730" s="89" t="str">
        <f>IF(CONCATENATE(I3730,Key!F$2)=CONCATENATE(INDEX(Dashboard!J:J,MATCH(I3730,Dashboard!J:J,0),1),INDEX(Dashboard!J:K,MATCH(I3730,Dashboard!J:J,0),2)),"ON",IF(Dashboard!K$32="ALL","ON","-"))</f>
        <v>-</v>
      </c>
      <c r="C3730" s="127" t="s">
        <v>311</v>
      </c>
      <c r="D3730" s="89">
        <f>IF(C3730="ID",1,(IF(C3730="PR",2,(IF(C3730="DE",3,(IF(C3730="RS",4,(IF(C3730="RC",5,0)))))))))</f>
        <v>3</v>
      </c>
      <c r="E3730" s="89" t="s">
        <v>316</v>
      </c>
      <c r="F3730" s="89">
        <f>IF(E3730="AM",1,(IF(E3730="BE",2,(IF(E3730="GV",3,(IF(E3730="RA",4,(IF(E3730="RM",5,(IF(E3730="AC",1,(IF(E3730="AT",2,(IF(E3730="DS",3,(IF(E3730="IP",4,(IF(E3730="MA",5,(IF(E3730="PT",6,(IF(E3730="AE",1,(IF(E3730="CM",2,(IF(E3730="DP",3,(IF(E3730="AN",1,(IF(E3730="CO",2,(IF(E3730="IM",3,(IF(E3730="MI",4,(IF(E3730="RP",5,(IF(E3730="SC",6,0)))))))))))))))))))))))))))))))))))))))</f>
        <v>2</v>
      </c>
      <c r="G3730" s="52">
        <v>3</v>
      </c>
      <c r="H3730" s="90" t="s">
        <v>115</v>
      </c>
      <c r="I3730" s="93" t="s">
        <v>77</v>
      </c>
      <c r="J3730" s="87" t="s">
        <v>1852</v>
      </c>
      <c r="K3730" s="102" t="s">
        <v>2756</v>
      </c>
      <c r="L3730" s="117">
        <f>IF(O3730="","",N3730*O3730*M3730)</f>
        <v>0</v>
      </c>
      <c r="M3730" s="108">
        <v>1</v>
      </c>
      <c r="N3730" s="95">
        <v>1</v>
      </c>
      <c r="O3730" s="109">
        <f>IF(Key!D$1="ON",P3730,IF(SUM(Q3730:DL3730)&lt;1,"",SUM(Q3730:DL3730)/COUNTIF(Q3730:DL3730,"&gt;0")))</f>
        <v>0</v>
      </c>
      <c r="P3730" s="109">
        <f>SUMIFS(Q3730:DK3730,Q$1:DK$1,Dashboard!$K$31)</f>
        <v>0</v>
      </c>
      <c r="U3730" s="95">
        <v>33</v>
      </c>
      <c r="AA3730" s="95">
        <v>25</v>
      </c>
      <c r="AH3730" s="95">
        <v>75</v>
      </c>
    </row>
    <row r="3731" spans="1:34" ht="15.6" x14ac:dyDescent="0.3">
      <c r="A3731" s="89" t="str">
        <f>CONCATENATE(D3731,".",F3731,"-",G3731,".",H3731,"")</f>
        <v>3.2-3.1</v>
      </c>
      <c r="B3731" s="89" t="str">
        <f>IF(CONCATENATE(I3731,Key!F$2)=CONCATENATE(INDEX(Dashboard!J:J,MATCH(I3731,Dashboard!J:J,0),1),INDEX(Dashboard!J:K,MATCH(I3731,Dashboard!J:J,0),2)),"ON",IF(Dashboard!K$32="ALL","ON","-"))</f>
        <v>-</v>
      </c>
      <c r="C3731" s="127" t="s">
        <v>311</v>
      </c>
      <c r="D3731" s="89">
        <f>IF(C3731="ID",1,(IF(C3731="PR",2,(IF(C3731="DE",3,(IF(C3731="RS",4,(IF(C3731="RC",5,0)))))))))</f>
        <v>3</v>
      </c>
      <c r="E3731" s="89" t="s">
        <v>316</v>
      </c>
      <c r="F3731" s="89">
        <f>IF(E3731="AM",1,(IF(E3731="BE",2,(IF(E3731="GV",3,(IF(E3731="RA",4,(IF(E3731="RM",5,(IF(E3731="AC",1,(IF(E3731="AT",2,(IF(E3731="DS",3,(IF(E3731="IP",4,(IF(E3731="MA",5,(IF(E3731="PT",6,(IF(E3731="AE",1,(IF(E3731="CM",2,(IF(E3731="DP",3,(IF(E3731="AN",1,(IF(E3731="CO",2,(IF(E3731="IM",3,(IF(E3731="MI",4,(IF(E3731="RP",5,(IF(E3731="SC",6,0)))))))))))))))))))))))))))))))))))))))</f>
        <v>2</v>
      </c>
      <c r="G3731" s="52">
        <v>3</v>
      </c>
      <c r="H3731" s="90" t="s">
        <v>115</v>
      </c>
      <c r="I3731" s="93" t="s">
        <v>77</v>
      </c>
      <c r="J3731" s="87" t="s">
        <v>1313</v>
      </c>
      <c r="K3731" s="102" t="s">
        <v>2323</v>
      </c>
      <c r="L3731" s="117">
        <f>IF(O3731="","",N3731*O3731*M3731)</f>
        <v>0</v>
      </c>
      <c r="M3731" s="108">
        <v>0.9</v>
      </c>
      <c r="N3731" s="95">
        <v>1</v>
      </c>
      <c r="O3731" s="109">
        <f>IF(Key!D$1="ON",P3731,IF(SUM(Q3731:DL3731)&lt;1,"",SUM(Q3731:DL3731)/COUNTIF(Q3731:DL3731,"&gt;0")))</f>
        <v>0</v>
      </c>
      <c r="P3731" s="109">
        <f>SUMIFS(Q3731:DK3731,Q$1:DK$1,Dashboard!$K$31)</f>
        <v>0</v>
      </c>
      <c r="S3731" s="95">
        <v>25</v>
      </c>
      <c r="T3731" s="95">
        <v>80</v>
      </c>
      <c r="U3731" s="95">
        <v>33</v>
      </c>
      <c r="AA3731" s="95">
        <v>25</v>
      </c>
      <c r="AH3731" s="95">
        <v>75</v>
      </c>
    </row>
    <row r="3732" spans="1:34" ht="15.6" x14ac:dyDescent="0.3">
      <c r="A3732" s="89" t="str">
        <f>CONCATENATE(D3732,".",F3732,"-",G3732,".",H3732,"")</f>
        <v>3.2-3.1</v>
      </c>
      <c r="B3732" s="89" t="str">
        <f>IF(CONCATENATE(I3732,Key!F$2)=CONCATENATE(INDEX(Dashboard!J:J,MATCH(I3732,Dashboard!J:J,0),1),INDEX(Dashboard!J:K,MATCH(I3732,Dashboard!J:J,0),2)),"ON",IF(Dashboard!K$32="ALL","ON","-"))</f>
        <v>-</v>
      </c>
      <c r="C3732" s="132" t="s">
        <v>311</v>
      </c>
      <c r="D3732" s="89">
        <f>IF(C3732="ID",1,(IF(C3732="PR",2,(IF(C3732="DE",3,(IF(C3732="RS",4,(IF(C3732="RC",5,0)))))))))</f>
        <v>3</v>
      </c>
      <c r="E3732" s="89" t="s">
        <v>316</v>
      </c>
      <c r="F3732" s="89">
        <f>IF(E3732="AM",1,(IF(E3732="BE",2,(IF(E3732="GV",3,(IF(E3732="RA",4,(IF(E3732="RM",5,(IF(E3732="AC",1,(IF(E3732="AT",2,(IF(E3732="DS",3,(IF(E3732="IP",4,(IF(E3732="MA",5,(IF(E3732="PT",6,(IF(E3732="AE",1,(IF(E3732="CM",2,(IF(E3732="DP",3,(IF(E3732="AN",1,(IF(E3732="CO",2,(IF(E3732="IM",3,(IF(E3732="MI",4,(IF(E3732="RP",5,(IF(E3732="SC",6,0)))))))))))))))))))))))))))))))))))))))</f>
        <v>2</v>
      </c>
      <c r="G3732" s="52">
        <v>3</v>
      </c>
      <c r="H3732" s="90" t="s">
        <v>115</v>
      </c>
      <c r="I3732" s="93" t="s">
        <v>77</v>
      </c>
      <c r="J3732" s="87" t="s">
        <v>1853</v>
      </c>
      <c r="K3732" s="102" t="s">
        <v>2757</v>
      </c>
      <c r="L3732" s="117">
        <f>IF(O3732="","",N3732*O3732*M3732)</f>
        <v>0</v>
      </c>
      <c r="M3732" s="108">
        <v>1</v>
      </c>
      <c r="N3732" s="95">
        <v>1</v>
      </c>
      <c r="O3732" s="109">
        <f>IF(Key!D$1="ON",P3732,IF(SUM(Q3732:DL3732)&lt;1,"",SUM(Q3732:DL3732)/COUNTIF(Q3732:DL3732,"&gt;0")))</f>
        <v>0</v>
      </c>
      <c r="P3732" s="109">
        <f>SUMIFS(Q3732:DK3732,Q$1:DK$1,Dashboard!$K$31)</f>
        <v>0</v>
      </c>
      <c r="U3732" s="95">
        <v>33</v>
      </c>
      <c r="AA3732" s="95">
        <v>25</v>
      </c>
      <c r="AH3732" s="95">
        <v>75</v>
      </c>
    </row>
    <row r="3733" spans="1:34" x14ac:dyDescent="0.3">
      <c r="A3733" s="89" t="str">
        <f>CONCATENATE(D3733,".",F3733,"-",G3733,".",H3733,"")</f>
        <v>3.2-3.1</v>
      </c>
      <c r="B3733" s="89" t="str">
        <f>IF(CONCATENATE(I3733,Key!F$2)=CONCATENATE(INDEX(Dashboard!J:J,MATCH(I3733,Dashboard!J:J,0),1),INDEX(Dashboard!J:K,MATCH(I3733,Dashboard!J:J,0),2)),"ON",IF(Dashboard!K$32="ALL","ON","-"))</f>
        <v>-</v>
      </c>
      <c r="C3733" s="127" t="s">
        <v>311</v>
      </c>
      <c r="D3733" s="89">
        <f>IF(C3733="ID",1,(IF(C3733="PR",2,(IF(C3733="DE",3,(IF(C3733="RS",4,(IF(C3733="RC",5,0)))))))))</f>
        <v>3</v>
      </c>
      <c r="E3733" s="89" t="s">
        <v>316</v>
      </c>
      <c r="F3733" s="89">
        <f>IF(E3733="AM",1,(IF(E3733="BE",2,(IF(E3733="GV",3,(IF(E3733="RA",4,(IF(E3733="RM",5,(IF(E3733="AC",1,(IF(E3733="AT",2,(IF(E3733="DS",3,(IF(E3733="IP",4,(IF(E3733="MA",5,(IF(E3733="PT",6,(IF(E3733="AE",1,(IF(E3733="CM",2,(IF(E3733="DP",3,(IF(E3733="AN",1,(IF(E3733="CO",2,(IF(E3733="IM",3,(IF(E3733="MI",4,(IF(E3733="RP",5,(IF(E3733="SC",6,0)))))))))))))))))))))))))))))))))))))))</f>
        <v>2</v>
      </c>
      <c r="G3733" s="52">
        <v>3</v>
      </c>
      <c r="H3733" s="90" t="s">
        <v>115</v>
      </c>
      <c r="I3733" s="93" t="s">
        <v>77</v>
      </c>
      <c r="J3733" s="87" t="s">
        <v>1854</v>
      </c>
      <c r="K3733" s="102" t="s">
        <v>2758</v>
      </c>
      <c r="L3733" s="117">
        <f>IF(O3733="","",N3733*O3733*M3733)</f>
        <v>0</v>
      </c>
      <c r="M3733" s="108">
        <v>1</v>
      </c>
      <c r="N3733" s="95">
        <v>1</v>
      </c>
      <c r="O3733" s="109">
        <f>IF(Key!D$1="ON",P3733,IF(SUM(Q3733:DL3733)&lt;1,"",SUM(Q3733:DL3733)/COUNTIF(Q3733:DL3733,"&gt;0")))</f>
        <v>0</v>
      </c>
      <c r="P3733" s="109">
        <f>SUMIFS(Q3733:DK3733,Q$1:DK$1,Dashboard!$K$31)</f>
        <v>0</v>
      </c>
      <c r="U3733" s="95">
        <v>33</v>
      </c>
      <c r="AA3733" s="95">
        <v>25</v>
      </c>
      <c r="AH3733" s="95">
        <v>75</v>
      </c>
    </row>
    <row r="3734" spans="1:34" ht="15.6" x14ac:dyDescent="0.3">
      <c r="A3734" s="89" t="str">
        <f>CONCATENATE(D3734,".",F3734,"-",G3734,".",H3734,"")</f>
        <v>3.2-3.1</v>
      </c>
      <c r="B3734" s="89" t="str">
        <f>IF(CONCATENATE(I3734,Key!F$2)=CONCATENATE(INDEX(Dashboard!J:J,MATCH(I3734,Dashboard!J:J,0),1),INDEX(Dashboard!J:K,MATCH(I3734,Dashboard!J:J,0),2)),"ON",IF(Dashboard!K$32="ALL","ON","-"))</f>
        <v>-</v>
      </c>
      <c r="C3734" s="132" t="s">
        <v>311</v>
      </c>
      <c r="D3734" s="89">
        <f>IF(C3734="ID",1,(IF(C3734="PR",2,(IF(C3734="DE",3,(IF(C3734="RS",4,(IF(C3734="RC",5,0)))))))))</f>
        <v>3</v>
      </c>
      <c r="E3734" s="89" t="s">
        <v>316</v>
      </c>
      <c r="F3734" s="89">
        <f>IF(E3734="AM",1,(IF(E3734="BE",2,(IF(E3734="GV",3,(IF(E3734="RA",4,(IF(E3734="RM",5,(IF(E3734="AC",1,(IF(E3734="AT",2,(IF(E3734="DS",3,(IF(E3734="IP",4,(IF(E3734="MA",5,(IF(E3734="PT",6,(IF(E3734="AE",1,(IF(E3734="CM",2,(IF(E3734="DP",3,(IF(E3734="AN",1,(IF(E3734="CO",2,(IF(E3734="IM",3,(IF(E3734="MI",4,(IF(E3734="RP",5,(IF(E3734="SC",6,0)))))))))))))))))))))))))))))))))))))))</f>
        <v>2</v>
      </c>
      <c r="G3734" s="52">
        <v>3</v>
      </c>
      <c r="H3734" s="90" t="s">
        <v>115</v>
      </c>
      <c r="I3734" s="93" t="s">
        <v>77</v>
      </c>
      <c r="J3734" s="87" t="s">
        <v>1855</v>
      </c>
      <c r="K3734" s="102" t="s">
        <v>2759</v>
      </c>
      <c r="L3734" s="117">
        <f>IF(O3734="","",N3734*O3734*M3734)</f>
        <v>0</v>
      </c>
      <c r="M3734" s="108">
        <v>1</v>
      </c>
      <c r="N3734" s="95">
        <v>1</v>
      </c>
      <c r="O3734" s="109">
        <f>IF(Key!D$1="ON",P3734,IF(SUM(Q3734:DL3734)&lt;1,"",SUM(Q3734:DL3734)/COUNTIF(Q3734:DL3734,"&gt;0")))</f>
        <v>0</v>
      </c>
      <c r="P3734" s="109">
        <f>SUMIFS(Q3734:DK3734,Q$1:DK$1,Dashboard!$K$31)</f>
        <v>0</v>
      </c>
      <c r="U3734" s="95">
        <v>33</v>
      </c>
      <c r="AA3734" s="95">
        <v>25</v>
      </c>
      <c r="AH3734" s="95">
        <v>75</v>
      </c>
    </row>
    <row r="3735" spans="1:34" ht="15.6" x14ac:dyDescent="0.3">
      <c r="A3735" s="89" t="str">
        <f>CONCATENATE(D3735,".",F3735,"-",G3735,".",H3735,"")</f>
        <v>3.2-3.1</v>
      </c>
      <c r="B3735" s="89" t="str">
        <f>IF(CONCATENATE(I3735,Key!F$2)=CONCATENATE(INDEX(Dashboard!J:J,MATCH(I3735,Dashboard!J:J,0),1),INDEX(Dashboard!J:K,MATCH(I3735,Dashboard!J:J,0),2)),"ON",IF(Dashboard!K$32="ALL","ON","-"))</f>
        <v>-</v>
      </c>
      <c r="C3735" s="127" t="s">
        <v>311</v>
      </c>
      <c r="D3735" s="89">
        <f>IF(C3735="ID",1,(IF(C3735="PR",2,(IF(C3735="DE",3,(IF(C3735="RS",4,(IF(C3735="RC",5,0)))))))))</f>
        <v>3</v>
      </c>
      <c r="E3735" s="89" t="s">
        <v>316</v>
      </c>
      <c r="F3735" s="89">
        <f>IF(E3735="AM",1,(IF(E3735="BE",2,(IF(E3735="GV",3,(IF(E3735="RA",4,(IF(E3735="RM",5,(IF(E3735="AC",1,(IF(E3735="AT",2,(IF(E3735="DS",3,(IF(E3735="IP",4,(IF(E3735="MA",5,(IF(E3735="PT",6,(IF(E3735="AE",1,(IF(E3735="CM",2,(IF(E3735="DP",3,(IF(E3735="AN",1,(IF(E3735="CO",2,(IF(E3735="IM",3,(IF(E3735="MI",4,(IF(E3735="RP",5,(IF(E3735="SC",6,0)))))))))))))))))))))))))))))))))))))))</f>
        <v>2</v>
      </c>
      <c r="G3735" s="52">
        <v>3</v>
      </c>
      <c r="H3735" s="90" t="s">
        <v>115</v>
      </c>
      <c r="I3735" s="93" t="s">
        <v>77</v>
      </c>
      <c r="J3735" s="87" t="s">
        <v>1856</v>
      </c>
      <c r="K3735" s="102" t="s">
        <v>2760</v>
      </c>
      <c r="L3735" s="117">
        <f>IF(O3735="","",N3735*O3735*M3735)</f>
        <v>0</v>
      </c>
      <c r="M3735" s="108">
        <v>1</v>
      </c>
      <c r="N3735" s="95">
        <v>1</v>
      </c>
      <c r="O3735" s="109">
        <f>IF(Key!D$1="ON",P3735,IF(SUM(Q3735:DL3735)&lt;1,"",SUM(Q3735:DL3735)/COUNTIF(Q3735:DL3735,"&gt;0")))</f>
        <v>0</v>
      </c>
      <c r="P3735" s="109">
        <f>SUMIFS(Q3735:DK3735,Q$1:DK$1,Dashboard!$K$31)</f>
        <v>0</v>
      </c>
      <c r="U3735" s="95">
        <v>33</v>
      </c>
      <c r="AA3735" s="95">
        <v>25</v>
      </c>
      <c r="AH3735" s="95">
        <v>75</v>
      </c>
    </row>
    <row r="3736" spans="1:34" ht="15.6" x14ac:dyDescent="0.3">
      <c r="A3736" s="89" t="str">
        <f>CONCATENATE(D3736,".",F3736,"-",G3736,".",H3736,"")</f>
        <v>3.2-3.1</v>
      </c>
      <c r="B3736" s="89" t="str">
        <f>IF(CONCATENATE(I3736,Key!F$2)=CONCATENATE(INDEX(Dashboard!J:J,MATCH(I3736,Dashboard!J:J,0),1),INDEX(Dashboard!J:K,MATCH(I3736,Dashboard!J:J,0),2)),"ON",IF(Dashboard!K$32="ALL","ON","-"))</f>
        <v>-</v>
      </c>
      <c r="C3736" s="127" t="s">
        <v>311</v>
      </c>
      <c r="D3736" s="89">
        <f>IF(C3736="ID",1,(IF(C3736="PR",2,(IF(C3736="DE",3,(IF(C3736="RS",4,(IF(C3736="RC",5,0)))))))))</f>
        <v>3</v>
      </c>
      <c r="E3736" s="89" t="s">
        <v>316</v>
      </c>
      <c r="F3736" s="89">
        <f>IF(E3736="AM",1,(IF(E3736="BE",2,(IF(E3736="GV",3,(IF(E3736="RA",4,(IF(E3736="RM",5,(IF(E3736="AC",1,(IF(E3736="AT",2,(IF(E3736="DS",3,(IF(E3736="IP",4,(IF(E3736="MA",5,(IF(E3736="PT",6,(IF(E3736="AE",1,(IF(E3736="CM",2,(IF(E3736="DP",3,(IF(E3736="AN",1,(IF(E3736="CO",2,(IF(E3736="IM",3,(IF(E3736="MI",4,(IF(E3736="RP",5,(IF(E3736="SC",6,0)))))))))))))))))))))))))))))))))))))))</f>
        <v>2</v>
      </c>
      <c r="G3736" s="52">
        <v>3</v>
      </c>
      <c r="H3736" s="90" t="s">
        <v>115</v>
      </c>
      <c r="I3736" s="93" t="s">
        <v>77</v>
      </c>
      <c r="J3736" s="87" t="s">
        <v>1857</v>
      </c>
      <c r="K3736" s="102" t="s">
        <v>2761</v>
      </c>
      <c r="L3736" s="117">
        <f>IF(O3736="","",N3736*O3736*M3736)</f>
        <v>0</v>
      </c>
      <c r="M3736" s="108">
        <v>1</v>
      </c>
      <c r="N3736" s="95">
        <v>1</v>
      </c>
      <c r="O3736" s="109">
        <f>IF(Key!D$1="ON",P3736,IF(SUM(Q3736:DL3736)&lt;1,"",SUM(Q3736:DL3736)/COUNTIF(Q3736:DL3736,"&gt;0")))</f>
        <v>0</v>
      </c>
      <c r="P3736" s="109">
        <f>SUMIFS(Q3736:DK3736,Q$1:DK$1,Dashboard!$K$31)</f>
        <v>0</v>
      </c>
      <c r="U3736" s="95">
        <v>33</v>
      </c>
      <c r="AA3736" s="95">
        <v>25</v>
      </c>
      <c r="AH3736" s="95">
        <v>75</v>
      </c>
    </row>
    <row r="3737" spans="1:34" x14ac:dyDescent="0.3">
      <c r="A3737" s="89" t="str">
        <f>CONCATENATE(D3737,".",F3737,"-",G3737,".",H3737,"")</f>
        <v>3.2-3.1</v>
      </c>
      <c r="B3737" s="89" t="str">
        <f>IF(CONCATENATE(I3737,Key!F$2)=CONCATENATE(INDEX(Dashboard!J:J,MATCH(I3737,Dashboard!J:J,0),1),INDEX(Dashboard!J:K,MATCH(I3737,Dashboard!J:J,0),2)),"ON",IF(Dashboard!K$32="ALL","ON","-"))</f>
        <v>-</v>
      </c>
      <c r="C3737" s="127" t="s">
        <v>311</v>
      </c>
      <c r="D3737" s="89">
        <f>IF(C3737="ID",1,(IF(C3737="PR",2,(IF(C3737="DE",3,(IF(C3737="RS",4,(IF(C3737="RC",5,0)))))))))</f>
        <v>3</v>
      </c>
      <c r="E3737" s="89" t="s">
        <v>316</v>
      </c>
      <c r="F3737" s="89">
        <f>IF(E3737="AM",1,(IF(E3737="BE",2,(IF(E3737="GV",3,(IF(E3737="RA",4,(IF(E3737="RM",5,(IF(E3737="AC",1,(IF(E3737="AT",2,(IF(E3737="DS",3,(IF(E3737="IP",4,(IF(E3737="MA",5,(IF(E3737="PT",6,(IF(E3737="AE",1,(IF(E3737="CM",2,(IF(E3737="DP",3,(IF(E3737="AN",1,(IF(E3737="CO",2,(IF(E3737="IM",3,(IF(E3737="MI",4,(IF(E3737="RP",5,(IF(E3737="SC",6,0)))))))))))))))))))))))))))))))))))))))</f>
        <v>2</v>
      </c>
      <c r="G3737" s="52">
        <v>3</v>
      </c>
      <c r="H3737" s="90" t="s">
        <v>115</v>
      </c>
      <c r="I3737" s="93" t="s">
        <v>85</v>
      </c>
      <c r="J3737" s="87" t="s">
        <v>1848</v>
      </c>
      <c r="K3737" s="119" t="s">
        <v>4498</v>
      </c>
      <c r="L3737" s="117">
        <f>IF(O3737="","",N3737*O3737*M3737)</f>
        <v>0</v>
      </c>
      <c r="M3737" s="108">
        <v>1</v>
      </c>
      <c r="N3737" s="95">
        <v>1</v>
      </c>
      <c r="O3737" s="109">
        <f>IF(Key!D$1="ON",P3737,IF(SUM(Q3737:DL3737)&lt;1,"",SUM(Q3737:DL3737)/COUNTIF(Q3737:DL3737,"&gt;0")))</f>
        <v>0</v>
      </c>
      <c r="P3737" s="109">
        <f>SUMIFS(Q3737:DK3737,Q$1:DK$1,Dashboard!$K$31)</f>
        <v>0</v>
      </c>
      <c r="U3737" s="95">
        <v>33</v>
      </c>
      <c r="AA3737" s="95">
        <v>25</v>
      </c>
      <c r="AH3737" s="95">
        <v>75</v>
      </c>
    </row>
    <row r="3738" spans="1:34" x14ac:dyDescent="0.3">
      <c r="A3738" s="89" t="str">
        <f>CONCATENATE(D3738,".",F3738,"-",G3738,".",H3738,"")</f>
        <v>3.2-3.1</v>
      </c>
      <c r="B3738" s="89" t="str">
        <f>IF(CONCATENATE(I3738,Key!F$2)=CONCATENATE(INDEX(Dashboard!J:J,MATCH(I3738,Dashboard!J:J,0),1),INDEX(Dashboard!J:K,MATCH(I3738,Dashboard!J:J,0),2)),"ON",IF(Dashboard!K$32="ALL","ON","-"))</f>
        <v>-</v>
      </c>
      <c r="C3738" s="127" t="s">
        <v>311</v>
      </c>
      <c r="D3738" s="89">
        <f>IF(C3738="ID",1,(IF(C3738="PR",2,(IF(C3738="DE",3,(IF(C3738="RS",4,(IF(C3738="RC",5,0)))))))))</f>
        <v>3</v>
      </c>
      <c r="E3738" s="89" t="s">
        <v>316</v>
      </c>
      <c r="F3738" s="89">
        <f>IF(E3738="AM",1,(IF(E3738="BE",2,(IF(E3738="GV",3,(IF(E3738="RA",4,(IF(E3738="RM",5,(IF(E3738="AC",1,(IF(E3738="AT",2,(IF(E3738="DS",3,(IF(E3738="IP",4,(IF(E3738="MA",5,(IF(E3738="PT",6,(IF(E3738="AE",1,(IF(E3738="CM",2,(IF(E3738="DP",3,(IF(E3738="AN",1,(IF(E3738="CO",2,(IF(E3738="IM",3,(IF(E3738="MI",4,(IF(E3738="RP",5,(IF(E3738="SC",6,0)))))))))))))))))))))))))))))))))))))))</f>
        <v>2</v>
      </c>
      <c r="G3738" s="52">
        <v>3</v>
      </c>
      <c r="H3738" s="90" t="s">
        <v>115</v>
      </c>
      <c r="I3738" s="93" t="s">
        <v>85</v>
      </c>
      <c r="J3738" s="87" t="s">
        <v>1852</v>
      </c>
      <c r="K3738" s="119" t="s">
        <v>4558</v>
      </c>
      <c r="L3738" s="117">
        <f>IF(O3738="","",N3738*O3738*M3738)</f>
        <v>0</v>
      </c>
      <c r="M3738" s="108">
        <v>1</v>
      </c>
      <c r="N3738" s="95">
        <v>1</v>
      </c>
      <c r="O3738" s="109">
        <f>IF(Key!D$1="ON",P3738,IF(SUM(Q3738:DL3738)&lt;1,"",SUM(Q3738:DL3738)/COUNTIF(Q3738:DL3738,"&gt;0")))</f>
        <v>0</v>
      </c>
      <c r="P3738" s="109">
        <f>SUMIFS(Q3738:DK3738,Q$1:DK$1,Dashboard!$K$31)</f>
        <v>0</v>
      </c>
      <c r="U3738" s="95">
        <v>33</v>
      </c>
      <c r="AA3738" s="95">
        <v>25</v>
      </c>
      <c r="AH3738" s="95">
        <v>75</v>
      </c>
    </row>
    <row r="3739" spans="1:34" x14ac:dyDescent="0.3">
      <c r="A3739" s="89" t="str">
        <f>CONCATENATE(D3739,".",F3739,"-",G3739,".",H3739,"")</f>
        <v>3.2-3.1</v>
      </c>
      <c r="B3739" s="89" t="str">
        <f>IF(CONCATENATE(I3739,Key!F$2)=CONCATENATE(INDEX(Dashboard!J:J,MATCH(I3739,Dashboard!J:J,0),1),INDEX(Dashboard!J:K,MATCH(I3739,Dashboard!J:J,0),2)),"ON",IF(Dashboard!K$32="ALL","ON","-"))</f>
        <v>-</v>
      </c>
      <c r="C3739" s="127" t="s">
        <v>311</v>
      </c>
      <c r="D3739" s="89">
        <f>IF(C3739="ID",1,(IF(C3739="PR",2,(IF(C3739="DE",3,(IF(C3739="RS",4,(IF(C3739="RC",5,0)))))))))</f>
        <v>3</v>
      </c>
      <c r="E3739" s="89" t="s">
        <v>316</v>
      </c>
      <c r="F3739" s="89">
        <f>IF(E3739="AM",1,(IF(E3739="BE",2,(IF(E3739="GV",3,(IF(E3739="RA",4,(IF(E3739="RM",5,(IF(E3739="AC",1,(IF(E3739="AT",2,(IF(E3739="DS",3,(IF(E3739="IP",4,(IF(E3739="MA",5,(IF(E3739="PT",6,(IF(E3739="AE",1,(IF(E3739="CM",2,(IF(E3739="DP",3,(IF(E3739="AN",1,(IF(E3739="CO",2,(IF(E3739="IM",3,(IF(E3739="MI",4,(IF(E3739="RP",5,(IF(E3739="SC",6,0)))))))))))))))))))))))))))))))))))))))</f>
        <v>2</v>
      </c>
      <c r="G3739" s="52">
        <v>3</v>
      </c>
      <c r="H3739" s="90" t="s">
        <v>115</v>
      </c>
      <c r="I3739" s="93" t="s">
        <v>85</v>
      </c>
      <c r="J3739" s="86" t="s">
        <v>701</v>
      </c>
      <c r="K3739" s="119" t="s">
        <v>4802</v>
      </c>
      <c r="L3739" s="117">
        <f>IF(O3739="","",N3739*O3739*M3739)</f>
        <v>0</v>
      </c>
      <c r="M3739" s="108">
        <v>1</v>
      </c>
      <c r="N3739" s="95">
        <v>1</v>
      </c>
      <c r="O3739" s="109">
        <f>IF(Key!D$1="ON",P3739,IF(SUM(Q3739:DL3739)&lt;1,"",SUM(Q3739:DL3739)/COUNTIF(Q3739:DL3739,"&gt;0")))</f>
        <v>0</v>
      </c>
      <c r="P3739" s="109">
        <f>SUMIFS(Q3739:DK3739,Q$1:DK$1,Dashboard!$K$31)</f>
        <v>0</v>
      </c>
      <c r="U3739" s="95">
        <v>33</v>
      </c>
      <c r="AA3739" s="95">
        <v>25</v>
      </c>
      <c r="AH3739" s="95">
        <v>75</v>
      </c>
    </row>
    <row r="3740" spans="1:34" ht="15.6" x14ac:dyDescent="0.3">
      <c r="A3740" s="89" t="str">
        <f>CONCATENATE(D3740,".",F3740,"-",G3740,".",H3740,"")</f>
        <v>3.2-3.1</v>
      </c>
      <c r="B3740" s="89" t="str">
        <f>IF(CONCATENATE(I3740,Key!F$2)=CONCATENATE(INDEX(Dashboard!J:J,MATCH(I3740,Dashboard!J:J,0),1),INDEX(Dashboard!J:K,MATCH(I3740,Dashboard!J:J,0),2)),"ON",IF(Dashboard!K$32="ALL","ON","-"))</f>
        <v>-</v>
      </c>
      <c r="C3740" s="127" t="s">
        <v>311</v>
      </c>
      <c r="D3740" s="89">
        <f>IF(C3740="ID",1,(IF(C3740="PR",2,(IF(C3740="DE",3,(IF(C3740="RS",4,(IF(C3740="RC",5,0)))))))))</f>
        <v>3</v>
      </c>
      <c r="E3740" s="89" t="s">
        <v>316</v>
      </c>
      <c r="F3740" s="89">
        <f>IF(E3740="AM",1,(IF(E3740="BE",2,(IF(E3740="GV",3,(IF(E3740="RA",4,(IF(E3740="RM",5,(IF(E3740="AC",1,(IF(E3740="AT",2,(IF(E3740="DS",3,(IF(E3740="IP",4,(IF(E3740="MA",5,(IF(E3740="PT",6,(IF(E3740="AE",1,(IF(E3740="CM",2,(IF(E3740="DP",3,(IF(E3740="AN",1,(IF(E3740="CO",2,(IF(E3740="IM",3,(IF(E3740="MI",4,(IF(E3740="RP",5,(IF(E3740="SC",6,0)))))))))))))))))))))))))))))))))))))))</f>
        <v>2</v>
      </c>
      <c r="G3740" s="52">
        <v>3</v>
      </c>
      <c r="H3740" s="90" t="s">
        <v>115</v>
      </c>
      <c r="I3740" s="93" t="s">
        <v>85</v>
      </c>
      <c r="J3740" s="87" t="s">
        <v>1313</v>
      </c>
      <c r="K3740" s="119" t="s">
        <v>4597</v>
      </c>
      <c r="L3740" s="117">
        <f>IF(O3740="","",N3740*O3740*M3740)</f>
        <v>0</v>
      </c>
      <c r="M3740" s="108">
        <v>0.9</v>
      </c>
      <c r="N3740" s="95">
        <v>1</v>
      </c>
      <c r="O3740" s="109">
        <f>IF(Key!D$1="ON",P3740,IF(SUM(Q3740:DL3740)&lt;1,"",SUM(Q3740:DL3740)/COUNTIF(Q3740:DL3740,"&gt;0")))</f>
        <v>0</v>
      </c>
      <c r="P3740" s="109">
        <f>SUMIFS(Q3740:DK3740,Q$1:DK$1,Dashboard!$K$31)</f>
        <v>0</v>
      </c>
      <c r="S3740" s="95">
        <v>25</v>
      </c>
      <c r="T3740" s="95">
        <v>80</v>
      </c>
      <c r="U3740" s="95">
        <v>33</v>
      </c>
      <c r="AA3740" s="95">
        <v>25</v>
      </c>
      <c r="AH3740" s="95">
        <v>75</v>
      </c>
    </row>
    <row r="3741" spans="1:34" x14ac:dyDescent="0.3">
      <c r="A3741" s="89" t="str">
        <f>CONCATENATE(D3741,".",F3741,"-",G3741,".",H3741,"")</f>
        <v>3.2-3.1</v>
      </c>
      <c r="B3741" s="89" t="str">
        <f>IF(CONCATENATE(I3741,Key!F$2)=CONCATENATE(INDEX(Dashboard!J:J,MATCH(I3741,Dashboard!J:J,0),1),INDEX(Dashboard!J:K,MATCH(I3741,Dashboard!J:J,0),2)),"ON",IF(Dashboard!K$32="ALL","ON","-"))</f>
        <v>-</v>
      </c>
      <c r="C3741" s="127" t="s">
        <v>311</v>
      </c>
      <c r="D3741" s="89">
        <f>IF(C3741="ID",1,(IF(C3741="PR",2,(IF(C3741="DE",3,(IF(C3741="RS",4,(IF(C3741="RC",5,0)))))))))</f>
        <v>3</v>
      </c>
      <c r="E3741" s="89" t="s">
        <v>316</v>
      </c>
      <c r="F3741" s="89">
        <f>IF(E3741="AM",1,(IF(E3741="BE",2,(IF(E3741="GV",3,(IF(E3741="RA",4,(IF(E3741="RM",5,(IF(E3741="AC",1,(IF(E3741="AT",2,(IF(E3741="DS",3,(IF(E3741="IP",4,(IF(E3741="MA",5,(IF(E3741="PT",6,(IF(E3741="AE",1,(IF(E3741="CM",2,(IF(E3741="DP",3,(IF(E3741="AN",1,(IF(E3741="CO",2,(IF(E3741="IM",3,(IF(E3741="MI",4,(IF(E3741="RP",5,(IF(E3741="SC",6,0)))))))))))))))))))))))))))))))))))))))</f>
        <v>2</v>
      </c>
      <c r="G3741" s="52">
        <v>3</v>
      </c>
      <c r="H3741" s="90" t="s">
        <v>115</v>
      </c>
      <c r="I3741" s="93" t="s">
        <v>85</v>
      </c>
      <c r="J3741" s="87" t="s">
        <v>1849</v>
      </c>
      <c r="K3741" s="119" t="s">
        <v>4550</v>
      </c>
      <c r="L3741" s="117">
        <f>IF(O3741="","",N3741*O3741*M3741)</f>
        <v>0</v>
      </c>
      <c r="M3741" s="108">
        <v>1</v>
      </c>
      <c r="N3741" s="95">
        <v>1</v>
      </c>
      <c r="O3741" s="109">
        <f>IF(Key!D$1="ON",P3741,IF(SUM(Q3741:DL3741)&lt;1,"",SUM(Q3741:DL3741)/COUNTIF(Q3741:DL3741,"&gt;0")))</f>
        <v>0</v>
      </c>
      <c r="P3741" s="109">
        <f>SUMIFS(Q3741:DK3741,Q$1:DK$1,Dashboard!$K$31)</f>
        <v>0</v>
      </c>
      <c r="U3741" s="95">
        <v>33</v>
      </c>
      <c r="AA3741" s="95">
        <v>25</v>
      </c>
      <c r="AH3741" s="95">
        <v>75</v>
      </c>
    </row>
    <row r="3742" spans="1:34" ht="15.6" x14ac:dyDescent="0.3">
      <c r="A3742" s="89" t="str">
        <f>CONCATENATE(D3742,".",F3742,"-",G3742,".",H3742,"")</f>
        <v>3.2-3.1</v>
      </c>
      <c r="B3742" s="89" t="str">
        <f>IF(CONCATENATE(I3742,Key!F$2)=CONCATENATE(INDEX(Dashboard!J:J,MATCH(I3742,Dashboard!J:J,0),1),INDEX(Dashboard!J:K,MATCH(I3742,Dashboard!J:J,0),2)),"ON",IF(Dashboard!K$32="ALL","ON","-"))</f>
        <v>-</v>
      </c>
      <c r="C3742" s="127" t="s">
        <v>311</v>
      </c>
      <c r="D3742" s="89">
        <f>IF(C3742="ID",1,(IF(C3742="PR",2,(IF(C3742="DE",3,(IF(C3742="RS",4,(IF(C3742="RC",5,0)))))))))</f>
        <v>3</v>
      </c>
      <c r="E3742" s="89" t="s">
        <v>316</v>
      </c>
      <c r="F3742" s="89">
        <f>IF(E3742="AM",1,(IF(E3742="BE",2,(IF(E3742="GV",3,(IF(E3742="RA",4,(IF(E3742="RM",5,(IF(E3742="AC",1,(IF(E3742="AT",2,(IF(E3742="DS",3,(IF(E3742="IP",4,(IF(E3742="MA",5,(IF(E3742="PT",6,(IF(E3742="AE",1,(IF(E3742="CM",2,(IF(E3742="DP",3,(IF(E3742="AN",1,(IF(E3742="CO",2,(IF(E3742="IM",3,(IF(E3742="MI",4,(IF(E3742="RP",5,(IF(E3742="SC",6,0)))))))))))))))))))))))))))))))))))))))</f>
        <v>2</v>
      </c>
      <c r="G3742" s="52">
        <v>3</v>
      </c>
      <c r="H3742" s="90" t="s">
        <v>115</v>
      </c>
      <c r="I3742" s="93" t="s">
        <v>85</v>
      </c>
      <c r="J3742" s="87" t="s">
        <v>1854</v>
      </c>
      <c r="K3742" s="119" t="s">
        <v>4704</v>
      </c>
      <c r="L3742" s="117">
        <f>IF(O3742="","",N3742*O3742*M3742)</f>
        <v>0</v>
      </c>
      <c r="M3742" s="108">
        <v>1</v>
      </c>
      <c r="N3742" s="95">
        <v>1</v>
      </c>
      <c r="O3742" s="109">
        <f>IF(Key!D$1="ON",P3742,IF(SUM(Q3742:DL3742)&lt;1,"",SUM(Q3742:DL3742)/COUNTIF(Q3742:DL3742,"&gt;0")))</f>
        <v>0</v>
      </c>
      <c r="P3742" s="109">
        <f>SUMIFS(Q3742:DK3742,Q$1:DK$1,Dashboard!$K$31)</f>
        <v>0</v>
      </c>
      <c r="U3742" s="95">
        <v>33</v>
      </c>
      <c r="AA3742" s="95">
        <v>25</v>
      </c>
      <c r="AH3742" s="95">
        <v>75</v>
      </c>
    </row>
    <row r="3743" spans="1:34" ht="15.6" x14ac:dyDescent="0.3">
      <c r="A3743" s="89" t="str">
        <f>CONCATENATE(D3743,".",F3743,"-",G3743,".",H3743,"")</f>
        <v>3.2-3.1</v>
      </c>
      <c r="B3743" s="89" t="str">
        <f>IF(CONCATENATE(I3743,Key!F$2)=CONCATENATE(INDEX(Dashboard!J:J,MATCH(I3743,Dashboard!J:J,0),1),INDEX(Dashboard!J:K,MATCH(I3743,Dashboard!J:J,0),2)),"ON",IF(Dashboard!K$32="ALL","ON","-"))</f>
        <v>-</v>
      </c>
      <c r="C3743" s="127" t="s">
        <v>311</v>
      </c>
      <c r="D3743" s="89">
        <f>IF(C3743="ID",1,(IF(C3743="PR",2,(IF(C3743="DE",3,(IF(C3743="RS",4,(IF(C3743="RC",5,0)))))))))</f>
        <v>3</v>
      </c>
      <c r="E3743" s="89" t="s">
        <v>316</v>
      </c>
      <c r="F3743" s="89">
        <f>IF(E3743="AM",1,(IF(E3743="BE",2,(IF(E3743="GV",3,(IF(E3743="RA",4,(IF(E3743="RM",5,(IF(E3743="AC",1,(IF(E3743="AT",2,(IF(E3743="DS",3,(IF(E3743="IP",4,(IF(E3743="MA",5,(IF(E3743="PT",6,(IF(E3743="AE",1,(IF(E3743="CM",2,(IF(E3743="DP",3,(IF(E3743="AN",1,(IF(E3743="CO",2,(IF(E3743="IM",3,(IF(E3743="MI",4,(IF(E3743="RP",5,(IF(E3743="SC",6,0)))))))))))))))))))))))))))))))))))))))</f>
        <v>2</v>
      </c>
      <c r="G3743" s="52">
        <v>3</v>
      </c>
      <c r="H3743" s="90" t="s">
        <v>115</v>
      </c>
      <c r="I3743" s="93" t="s">
        <v>85</v>
      </c>
      <c r="J3743" s="87" t="s">
        <v>1850</v>
      </c>
      <c r="K3743" s="119" t="s">
        <v>1851</v>
      </c>
      <c r="L3743" s="117">
        <f>IF(O3743="","",N3743*O3743*M3743)</f>
        <v>0</v>
      </c>
      <c r="M3743" s="108">
        <v>1</v>
      </c>
      <c r="N3743" s="95">
        <v>1</v>
      </c>
      <c r="O3743" s="109">
        <f>IF(Key!D$1="ON",P3743,IF(SUM(Q3743:DL3743)&lt;1,"",SUM(Q3743:DL3743)/COUNTIF(Q3743:DL3743,"&gt;0")))</f>
        <v>0</v>
      </c>
      <c r="P3743" s="109">
        <f>SUMIFS(Q3743:DK3743,Q$1:DK$1,Dashboard!$K$31)</f>
        <v>0</v>
      </c>
      <c r="U3743" s="95">
        <v>33</v>
      </c>
      <c r="AA3743" s="95">
        <v>25</v>
      </c>
      <c r="AH3743" s="95">
        <v>75</v>
      </c>
    </row>
    <row r="3744" spans="1:34" x14ac:dyDescent="0.3">
      <c r="A3744" s="89" t="str">
        <f>CONCATENATE(D3744,".",F3744,"-",G3744,".",H3744,"")</f>
        <v>3.2-3.1</v>
      </c>
      <c r="B3744" s="89" t="str">
        <f>IF(CONCATENATE(I3744,Key!F$2)=CONCATENATE(INDEX(Dashboard!J:J,MATCH(I3744,Dashboard!J:J,0),1),INDEX(Dashboard!J:K,MATCH(I3744,Dashboard!J:J,0),2)),"ON",IF(Dashboard!K$32="ALL","ON","-"))</f>
        <v>-</v>
      </c>
      <c r="C3744" s="127" t="s">
        <v>311</v>
      </c>
      <c r="D3744" s="89">
        <f>IF(C3744="ID",1,(IF(C3744="PR",2,(IF(C3744="DE",3,(IF(C3744="RS",4,(IF(C3744="RC",5,0)))))))))</f>
        <v>3</v>
      </c>
      <c r="E3744" s="89" t="s">
        <v>316</v>
      </c>
      <c r="F3744" s="89">
        <f>IF(E3744="AM",1,(IF(E3744="BE",2,(IF(E3744="GV",3,(IF(E3744="RA",4,(IF(E3744="RM",5,(IF(E3744="AC",1,(IF(E3744="AT",2,(IF(E3744="DS",3,(IF(E3744="IP",4,(IF(E3744="MA",5,(IF(E3744="PT",6,(IF(E3744="AE",1,(IF(E3744="CM",2,(IF(E3744="DP",3,(IF(E3744="AN",1,(IF(E3744="CO",2,(IF(E3744="IM",3,(IF(E3744="MI",4,(IF(E3744="RP",5,(IF(E3744="SC",6,0)))))))))))))))))))))))))))))))))))))))</f>
        <v>2</v>
      </c>
      <c r="G3744" s="52">
        <v>3</v>
      </c>
      <c r="H3744" s="90" t="s">
        <v>115</v>
      </c>
      <c r="I3744" s="93" t="s">
        <v>85</v>
      </c>
      <c r="J3744" s="87" t="s">
        <v>1857</v>
      </c>
      <c r="K3744" s="119" t="s">
        <v>4706</v>
      </c>
      <c r="L3744" s="117">
        <f>IF(O3744="","",N3744*O3744*M3744)</f>
        <v>0</v>
      </c>
      <c r="M3744" s="108">
        <v>1</v>
      </c>
      <c r="N3744" s="95">
        <v>1</v>
      </c>
      <c r="O3744" s="109">
        <f>IF(Key!D$1="ON",P3744,IF(SUM(Q3744:DL3744)&lt;1,"",SUM(Q3744:DL3744)/COUNTIF(Q3744:DL3744,"&gt;0")))</f>
        <v>0</v>
      </c>
      <c r="P3744" s="109">
        <f>SUMIFS(Q3744:DK3744,Q$1:DK$1,Dashboard!$K$31)</f>
        <v>0</v>
      </c>
      <c r="U3744" s="95">
        <v>33</v>
      </c>
      <c r="AA3744" s="95">
        <v>25</v>
      </c>
      <c r="AH3744" s="95">
        <v>75</v>
      </c>
    </row>
    <row r="3745" spans="1:34" x14ac:dyDescent="0.3">
      <c r="A3745" s="89" t="str">
        <f>CONCATENATE(D3745,".",F3745,"-",G3745,".",H3745,"")</f>
        <v>3.2-3.1</v>
      </c>
      <c r="B3745" s="89" t="str">
        <f>IF(CONCATENATE(I3745,Key!F$2)=CONCATENATE(INDEX(Dashboard!J:J,MATCH(I3745,Dashboard!J:J,0),1),INDEX(Dashboard!J:K,MATCH(I3745,Dashboard!J:J,0),2)),"ON",IF(Dashboard!K$32="ALL","ON","-"))</f>
        <v>-</v>
      </c>
      <c r="C3745" s="132" t="s">
        <v>311</v>
      </c>
      <c r="D3745" s="89">
        <f>IF(C3745="ID",1,(IF(C3745="PR",2,(IF(C3745="DE",3,(IF(C3745="RS",4,(IF(C3745="RC",5,0)))))))))</f>
        <v>3</v>
      </c>
      <c r="E3745" s="89" t="s">
        <v>316</v>
      </c>
      <c r="F3745" s="89">
        <f>IF(E3745="AM",1,(IF(E3745="BE",2,(IF(E3745="GV",3,(IF(E3745="RA",4,(IF(E3745="RM",5,(IF(E3745="AC",1,(IF(E3745="AT",2,(IF(E3745="DS",3,(IF(E3745="IP",4,(IF(E3745="MA",5,(IF(E3745="PT",6,(IF(E3745="AE",1,(IF(E3745="CM",2,(IF(E3745="DP",3,(IF(E3745="AN",1,(IF(E3745="CO",2,(IF(E3745="IM",3,(IF(E3745="MI",4,(IF(E3745="RP",5,(IF(E3745="SC",6,0)))))))))))))))))))))))))))))))))))))))</f>
        <v>2</v>
      </c>
      <c r="G3745" s="52">
        <v>3</v>
      </c>
      <c r="H3745" s="90" t="s">
        <v>115</v>
      </c>
      <c r="I3745" s="93" t="s">
        <v>85</v>
      </c>
      <c r="J3745" s="87" t="s">
        <v>1853</v>
      </c>
      <c r="K3745" s="119" t="s">
        <v>784</v>
      </c>
      <c r="L3745" s="117">
        <f>IF(O3745="","",N3745*O3745*M3745)</f>
        <v>0</v>
      </c>
      <c r="M3745" s="108">
        <v>1</v>
      </c>
      <c r="N3745" s="95">
        <v>1</v>
      </c>
      <c r="O3745" s="109">
        <f>IF(Key!D$1="ON",P3745,IF(SUM(Q3745:DL3745)&lt;1,"",SUM(Q3745:DL3745)/COUNTIF(Q3745:DL3745,"&gt;0")))</f>
        <v>0</v>
      </c>
      <c r="P3745" s="109">
        <f>SUMIFS(Q3745:DK3745,Q$1:DK$1,Dashboard!$K$31)</f>
        <v>0</v>
      </c>
      <c r="U3745" s="95">
        <v>33</v>
      </c>
      <c r="AA3745" s="95">
        <v>25</v>
      </c>
      <c r="AH3745" s="95">
        <v>75</v>
      </c>
    </row>
    <row r="3746" spans="1:34" x14ac:dyDescent="0.3">
      <c r="A3746" s="89" t="str">
        <f>CONCATENATE(D3746,".",F3746,"-",G3746,".",H3746,"")</f>
        <v>3.2-3.1</v>
      </c>
      <c r="B3746" s="89" t="str">
        <f>IF(CONCATENATE(I3746,Key!F$2)=CONCATENATE(INDEX(Dashboard!J:J,MATCH(I3746,Dashboard!J:J,0),1),INDEX(Dashboard!J:K,MATCH(I3746,Dashboard!J:J,0),2)),"ON",IF(Dashboard!K$32="ALL","ON","-"))</f>
        <v>-</v>
      </c>
      <c r="C3746" s="132" t="s">
        <v>311</v>
      </c>
      <c r="D3746" s="89">
        <f>IF(C3746="ID",1,(IF(C3746="PR",2,(IF(C3746="DE",3,(IF(C3746="RS",4,(IF(C3746="RC",5,0)))))))))</f>
        <v>3</v>
      </c>
      <c r="E3746" s="89" t="s">
        <v>316</v>
      </c>
      <c r="F3746" s="89">
        <f>IF(E3746="AM",1,(IF(E3746="BE",2,(IF(E3746="GV",3,(IF(E3746="RA",4,(IF(E3746="RM",5,(IF(E3746="AC",1,(IF(E3746="AT",2,(IF(E3746="DS",3,(IF(E3746="IP",4,(IF(E3746="MA",5,(IF(E3746="PT",6,(IF(E3746="AE",1,(IF(E3746="CM",2,(IF(E3746="DP",3,(IF(E3746="AN",1,(IF(E3746="CO",2,(IF(E3746="IM",3,(IF(E3746="MI",4,(IF(E3746="RP",5,(IF(E3746="SC",6,0)))))))))))))))))))))))))))))))))))))))</f>
        <v>2</v>
      </c>
      <c r="G3746" s="52">
        <v>3</v>
      </c>
      <c r="H3746" s="90" t="s">
        <v>115</v>
      </c>
      <c r="I3746" s="93" t="s">
        <v>85</v>
      </c>
      <c r="J3746" s="87" t="s">
        <v>1855</v>
      </c>
      <c r="K3746" s="119" t="s">
        <v>4705</v>
      </c>
      <c r="L3746" s="117">
        <f>IF(O3746="","",N3746*O3746*M3746)</f>
        <v>0</v>
      </c>
      <c r="M3746" s="108">
        <v>1</v>
      </c>
      <c r="N3746" s="95">
        <v>1</v>
      </c>
      <c r="O3746" s="109">
        <f>IF(Key!D$1="ON",P3746,IF(SUM(Q3746:DL3746)&lt;1,"",SUM(Q3746:DL3746)/COUNTIF(Q3746:DL3746,"&gt;0")))</f>
        <v>0</v>
      </c>
      <c r="P3746" s="109">
        <f>SUMIFS(Q3746:DK3746,Q$1:DK$1,Dashboard!$K$31)</f>
        <v>0</v>
      </c>
      <c r="U3746" s="95">
        <v>33</v>
      </c>
      <c r="AA3746" s="95">
        <v>25</v>
      </c>
      <c r="AH3746" s="95">
        <v>75</v>
      </c>
    </row>
    <row r="3747" spans="1:34" ht="15.6" x14ac:dyDescent="0.3">
      <c r="A3747" s="89" t="str">
        <f>CONCATENATE(D3747,".",F3747,"-",G3747,".",H3747,"")</f>
        <v>3.2-3.1</v>
      </c>
      <c r="B3747" s="89" t="str">
        <f>IF(CONCATENATE(I3747,Key!F$2)=CONCATENATE(INDEX(Dashboard!J:J,MATCH(I3747,Dashboard!J:J,0),1),INDEX(Dashboard!J:K,MATCH(I3747,Dashboard!J:J,0),2)),"ON",IF(Dashboard!K$32="ALL","ON","-"))</f>
        <v>-</v>
      </c>
      <c r="C3747" s="127" t="s">
        <v>311</v>
      </c>
      <c r="D3747" s="89">
        <f>IF(C3747="ID",1,(IF(C3747="PR",2,(IF(C3747="DE",3,(IF(C3747="RS",4,(IF(C3747="RC",5,0)))))))))</f>
        <v>3</v>
      </c>
      <c r="E3747" s="89" t="s">
        <v>316</v>
      </c>
      <c r="F3747" s="89">
        <f>IF(E3747="AM",1,(IF(E3747="BE",2,(IF(E3747="GV",3,(IF(E3747="RA",4,(IF(E3747="RM",5,(IF(E3747="AC",1,(IF(E3747="AT",2,(IF(E3747="DS",3,(IF(E3747="IP",4,(IF(E3747="MA",5,(IF(E3747="PT",6,(IF(E3747="AE",1,(IF(E3747="CM",2,(IF(E3747="DP",3,(IF(E3747="AN",1,(IF(E3747="CO",2,(IF(E3747="IM",3,(IF(E3747="MI",4,(IF(E3747="RP",5,(IF(E3747="SC",6,0)))))))))))))))))))))))))))))))))))))))</f>
        <v>2</v>
      </c>
      <c r="G3747" s="52">
        <v>3</v>
      </c>
      <c r="H3747" s="90" t="s">
        <v>115</v>
      </c>
      <c r="I3747" s="93" t="s">
        <v>92</v>
      </c>
      <c r="J3747" s="88">
        <v>10.1</v>
      </c>
      <c r="K3747" s="102" t="s">
        <v>5226</v>
      </c>
      <c r="L3747" s="117">
        <f>IF(O3747="","",N3747*O3747*M3747)</f>
        <v>0</v>
      </c>
      <c r="M3747" s="108">
        <v>1</v>
      </c>
      <c r="N3747" s="95">
        <v>1</v>
      </c>
      <c r="O3747" s="109">
        <f>IF(Key!D$1="ON",P3747,IF(SUM(Q3747:DL3747)&lt;1,"",SUM(Q3747:DL3747)/COUNTIF(Q3747:DL3747,"&gt;0")))</f>
        <v>0</v>
      </c>
      <c r="P3747" s="109">
        <f>SUMIFS(Q3747:DK3747,Q$1:DK$1,Dashboard!$K$31)</f>
        <v>0</v>
      </c>
      <c r="U3747" s="95">
        <v>33</v>
      </c>
      <c r="AA3747" s="95">
        <v>25</v>
      </c>
      <c r="AH3747" s="95">
        <v>75</v>
      </c>
    </row>
    <row r="3748" spans="1:34" x14ac:dyDescent="0.3">
      <c r="A3748" s="89" t="str">
        <f>CONCATENATE(D3748,".",F3748,"-",G3748,".",H3748,"")</f>
        <v>3.2-3.1</v>
      </c>
      <c r="B3748" s="89" t="str">
        <f>IF(CONCATENATE(I3748,Key!F$2)=CONCATENATE(INDEX(Dashboard!J:J,MATCH(I3748,Dashboard!J:J,0),1),INDEX(Dashboard!J:K,MATCH(I3748,Dashboard!J:J,0),2)),"ON",IF(Dashboard!K$32="ALL","ON","-"))</f>
        <v>-</v>
      </c>
      <c r="C3748" s="132" t="s">
        <v>311</v>
      </c>
      <c r="D3748" s="89">
        <f>IF(C3748="ID",1,(IF(C3748="PR",2,(IF(C3748="DE",3,(IF(C3748="RS",4,(IF(C3748="RC",5,0)))))))))</f>
        <v>3</v>
      </c>
      <c r="E3748" s="89" t="s">
        <v>316</v>
      </c>
      <c r="F3748" s="89">
        <f>IF(E3748="AM",1,(IF(E3748="BE",2,(IF(E3748="GV",3,(IF(E3748="RA",4,(IF(E3748="RM",5,(IF(E3748="AC",1,(IF(E3748="AT",2,(IF(E3748="DS",3,(IF(E3748="IP",4,(IF(E3748="MA",5,(IF(E3748="PT",6,(IF(E3748="AE",1,(IF(E3748="CM",2,(IF(E3748="DP",3,(IF(E3748="AN",1,(IF(E3748="CO",2,(IF(E3748="IM",3,(IF(E3748="MI",4,(IF(E3748="RP",5,(IF(E3748="SC",6,0)))))))))))))))))))))))))))))))))))))))</f>
        <v>2</v>
      </c>
      <c r="G3748" s="52">
        <v>3</v>
      </c>
      <c r="H3748" s="90" t="s">
        <v>115</v>
      </c>
      <c r="I3748" s="93" t="s">
        <v>92</v>
      </c>
      <c r="J3748" s="87" t="s">
        <v>317</v>
      </c>
      <c r="K3748" s="102" t="s">
        <v>5226</v>
      </c>
      <c r="L3748" s="117">
        <f>IF(O3748="","",N3748*O3748*M3748)</f>
        <v>0</v>
      </c>
      <c r="M3748" s="108">
        <v>1</v>
      </c>
      <c r="N3748" s="95">
        <v>1</v>
      </c>
      <c r="O3748" s="109">
        <f>IF(Key!D$1="ON",P3748,IF(SUM(Q3748:DL3748)&lt;1,"",SUM(Q3748:DL3748)/COUNTIF(Q3748:DL3748,"&gt;0")))</f>
        <v>0</v>
      </c>
      <c r="P3748" s="109">
        <f>SUMIFS(Q3748:DK3748,Q$1:DK$1,Dashboard!$K$31)</f>
        <v>0</v>
      </c>
      <c r="U3748" s="95">
        <v>33</v>
      </c>
      <c r="AA3748" s="95">
        <v>25</v>
      </c>
      <c r="AH3748" s="95">
        <v>75</v>
      </c>
    </row>
    <row r="3749" spans="1:34" ht="15.6" x14ac:dyDescent="0.3">
      <c r="A3749" s="89" t="str">
        <f>CONCATENATE(D3749,".",F3749,"-",G3749,".",H3749,"")</f>
        <v>3.2-3.1</v>
      </c>
      <c r="B3749" s="89" t="str">
        <f>IF(CONCATENATE(I3749,Key!F$2)=CONCATENATE(INDEX(Dashboard!J:J,MATCH(I3749,Dashboard!J:J,0),1),INDEX(Dashboard!J:K,MATCH(I3749,Dashboard!J:J,0),2)),"ON",IF(Dashboard!K$32="ALL","ON","-"))</f>
        <v>-</v>
      </c>
      <c r="C3749" s="127" t="s">
        <v>311</v>
      </c>
      <c r="D3749" s="89">
        <f>IF(C3749="ID",1,(IF(C3749="PR",2,(IF(C3749="DE",3,(IF(C3749="RS",4,(IF(C3749="RC",5,0)))))))))</f>
        <v>3</v>
      </c>
      <c r="E3749" s="89" t="s">
        <v>316</v>
      </c>
      <c r="F3749" s="89">
        <f>IF(E3749="AM",1,(IF(E3749="BE",2,(IF(E3749="GV",3,(IF(E3749="RA",4,(IF(E3749="RM",5,(IF(E3749="AC",1,(IF(E3749="AT",2,(IF(E3749="DS",3,(IF(E3749="IP",4,(IF(E3749="MA",5,(IF(E3749="PT",6,(IF(E3749="AE",1,(IF(E3749="CM",2,(IF(E3749="DP",3,(IF(E3749="AN",1,(IF(E3749="CO",2,(IF(E3749="IM",3,(IF(E3749="MI",4,(IF(E3749="RP",5,(IF(E3749="SC",6,0)))))))))))))))))))))))))))))))))))))))</f>
        <v>2</v>
      </c>
      <c r="G3749" s="52">
        <v>3</v>
      </c>
      <c r="H3749" s="90" t="s">
        <v>115</v>
      </c>
      <c r="I3749" s="93" t="s">
        <v>92</v>
      </c>
      <c r="J3749" s="88" t="s">
        <v>318</v>
      </c>
      <c r="K3749" s="102" t="s">
        <v>5226</v>
      </c>
      <c r="L3749" s="117">
        <f>IF(O3749="","",N3749*O3749*M3749)</f>
        <v>0</v>
      </c>
      <c r="M3749" s="108">
        <v>1</v>
      </c>
      <c r="N3749" s="95">
        <v>1</v>
      </c>
      <c r="O3749" s="109">
        <f>IF(Key!D$1="ON",P3749,IF(SUM(Q3749:DL3749)&lt;1,"",SUM(Q3749:DL3749)/COUNTIF(Q3749:DL3749,"&gt;0")))</f>
        <v>0</v>
      </c>
      <c r="P3749" s="109">
        <f>SUMIFS(Q3749:DK3749,Q$1:DK$1,Dashboard!$K$31)</f>
        <v>0</v>
      </c>
      <c r="U3749" s="95">
        <v>33</v>
      </c>
      <c r="AA3749" s="95">
        <v>25</v>
      </c>
      <c r="AH3749" s="95">
        <v>75</v>
      </c>
    </row>
    <row r="3750" spans="1:34" ht="15.6" x14ac:dyDescent="0.3">
      <c r="A3750" s="89" t="str">
        <f>CONCATENATE(D3750,".",F3750,"-",G3750,".",H3750,"")</f>
        <v>3.2-4.0</v>
      </c>
      <c r="B3750" s="89" t="str">
        <f>IF(CONCATENATE(I3750,Key!F$2)=CONCATENATE(INDEX(Dashboard!J:J,MATCH(I3750,Dashboard!J:J,0),1),INDEX(Dashboard!J:K,MATCH(I3750,Dashboard!J:J,0),2)),"ON",IF(Dashboard!K$32="ALL","ON","-"))</f>
        <v>-</v>
      </c>
      <c r="C3750" s="96" t="s">
        <v>311</v>
      </c>
      <c r="D3750" s="89">
        <f>IF(C3750="ID",1,(IF(C3750="PR",2,(IF(C3750="DE",3,(IF(C3750="RS",4,(IF(C3750="RC",5,0)))))))))</f>
        <v>3</v>
      </c>
      <c r="E3750" s="89" t="s">
        <v>316</v>
      </c>
      <c r="F3750" s="89">
        <f>IF(E3750="AM",1,(IF(E3750="BE",2,(IF(E3750="GV",3,(IF(E3750="RA",4,(IF(E3750="RM",5,(IF(E3750="AC",1,(IF(E3750="AT",2,(IF(E3750="DS",3,(IF(E3750="IP",4,(IF(E3750="MA",5,(IF(E3750="PT",6,(IF(E3750="AE",1,(IF(E3750="CM",2,(IF(E3750="DP",3,(IF(E3750="AN",1,(IF(E3750="CO",2,(IF(E3750="IM",3,(IF(E3750="MI",4,(IF(E3750="RP",5,(IF(E3750="SC",6,0)))))))))))))))))))))))))))))))))))))))</f>
        <v>2</v>
      </c>
      <c r="G3750" s="52">
        <v>4</v>
      </c>
      <c r="H3750" s="90" t="s">
        <v>347</v>
      </c>
      <c r="I3750" s="93" t="s">
        <v>2835</v>
      </c>
      <c r="J3750" s="53" t="s">
        <v>3028</v>
      </c>
      <c r="K3750" s="58" t="s">
        <v>3029</v>
      </c>
      <c r="L3750" s="117">
        <f>IF(O3750="","",N3750*O3750*M3750)</f>
        <v>0</v>
      </c>
      <c r="M3750" s="108">
        <v>1</v>
      </c>
      <c r="N3750" s="95">
        <v>1</v>
      </c>
      <c r="O3750" s="109">
        <f>IF(Key!D$1="ON",P3750,IF(SUM(Q3750:DL3750)&lt;1,"",SUM(Q3750:DL3750)/COUNTIF(Q3750:DL3750,"&gt;0")))</f>
        <v>0</v>
      </c>
      <c r="P3750" s="109">
        <f>SUMIFS(Q3750:DK3750,Q$1:DK$1,Dashboard!$K$31)</f>
        <v>0</v>
      </c>
      <c r="U3750" s="95">
        <v>33</v>
      </c>
    </row>
    <row r="3751" spans="1:34" x14ac:dyDescent="0.3">
      <c r="A3751" s="89" t="str">
        <f>CONCATENATE(D3751,".",F3751,"-",G3751,".",H3751,"")</f>
        <v>3.2-4.1</v>
      </c>
      <c r="B3751" s="89" t="str">
        <f>IF(CONCATENATE(I3751,Key!F$2)=CONCATENATE(INDEX(Dashboard!J:J,MATCH(I3751,Dashboard!J:J,0),1),INDEX(Dashboard!J:K,MATCH(I3751,Dashboard!J:J,0),2)),"ON",IF(Dashboard!K$32="ALL","ON","-"))</f>
        <v>ON</v>
      </c>
      <c r="C3751" s="130" t="s">
        <v>311</v>
      </c>
      <c r="D3751" s="89">
        <f>IF(C3751="ID",1,(IF(C3751="PR",2,(IF(C3751="DE",3,(IF(C3751="RS",4,(IF(C3751="RC",5,0)))))))))</f>
        <v>3</v>
      </c>
      <c r="E3751" s="95" t="s">
        <v>316</v>
      </c>
      <c r="F3751" s="89">
        <f>IF(E3751="AM",1,(IF(E3751="BE",2,(IF(E3751="GV",3,(IF(E3751="RA",4,(IF(E3751="RM",5,(IF(E3751="AC",1,(IF(E3751="AT",2,(IF(E3751="DS",3,(IF(E3751="IP",4,(IF(E3751="MA",5,(IF(E3751="PT",6,(IF(E3751="AE",1,(IF(E3751="CM",2,(IF(E3751="DP",3,(IF(E3751="AN",1,(IF(E3751="CO",2,(IF(E3751="IM",3,(IF(E3751="MI",4,(IF(E3751="RP",5,(IF(E3751="SC",6,0)))))))))))))))))))))))))))))))))))))))</f>
        <v>2</v>
      </c>
      <c r="G3751" s="52">
        <v>4</v>
      </c>
      <c r="H3751" s="90" t="s">
        <v>115</v>
      </c>
      <c r="I3751" s="93" t="s">
        <v>4107</v>
      </c>
      <c r="J3751" s="86" t="s">
        <v>4065</v>
      </c>
      <c r="K3751" s="101" t="s">
        <v>4469</v>
      </c>
      <c r="L3751" s="117">
        <f>IF(O3751="","",N3751*O3751*M3751)</f>
        <v>0</v>
      </c>
      <c r="M3751" s="108">
        <v>1</v>
      </c>
      <c r="N3751" s="95">
        <v>1</v>
      </c>
      <c r="O3751" s="109">
        <f>IF(Key!D$1="ON",P3751,IF(SUM(Q3751:DL3751)&lt;1,"",SUM(Q3751:DL3751)/COUNTIF(Q3751:DL3751,"&gt;0")))</f>
        <v>0</v>
      </c>
      <c r="P3751" s="109">
        <f>SUMIFS(Q3751:DK3751,Q$1:DK$1,Dashboard!$K$31)</f>
        <v>0</v>
      </c>
      <c r="U3751" s="95">
        <v>33</v>
      </c>
      <c r="AA3751" s="95">
        <v>25</v>
      </c>
      <c r="AH3751" s="95">
        <v>75</v>
      </c>
    </row>
    <row r="3752" spans="1:34" x14ac:dyDescent="0.3">
      <c r="A3752" s="89" t="str">
        <f>CONCATENATE(D3752,".",F3752,"-",G3752,".",H3752,"")</f>
        <v>3.2-4.1</v>
      </c>
      <c r="B3752" s="89" t="str">
        <f>IF(CONCATENATE(I3752,Key!F$2)=CONCATENATE(INDEX(Dashboard!J:J,MATCH(I3752,Dashboard!J:J,0),1),INDEX(Dashboard!J:K,MATCH(I3752,Dashboard!J:J,0),2)),"ON",IF(Dashboard!K$32="ALL","ON","-"))</f>
        <v>ON</v>
      </c>
      <c r="C3752" s="130" t="s">
        <v>311</v>
      </c>
      <c r="D3752" s="89">
        <f>IF(C3752="ID",1,(IF(C3752="PR",2,(IF(C3752="DE",3,(IF(C3752="RS",4,(IF(C3752="RC",5,0)))))))))</f>
        <v>3</v>
      </c>
      <c r="E3752" s="95" t="s">
        <v>316</v>
      </c>
      <c r="F3752" s="89">
        <f>IF(E3752="AM",1,(IF(E3752="BE",2,(IF(E3752="GV",3,(IF(E3752="RA",4,(IF(E3752="RM",5,(IF(E3752="AC",1,(IF(E3752="AT",2,(IF(E3752="DS",3,(IF(E3752="IP",4,(IF(E3752="MA",5,(IF(E3752="PT",6,(IF(E3752="AE",1,(IF(E3752="CM",2,(IF(E3752="DP",3,(IF(E3752="AN",1,(IF(E3752="CO",2,(IF(E3752="IM",3,(IF(E3752="MI",4,(IF(E3752="RP",5,(IF(E3752="SC",6,0)))))))))))))))))))))))))))))))))))))))</f>
        <v>2</v>
      </c>
      <c r="G3752" s="52">
        <v>4</v>
      </c>
      <c r="H3752" s="90" t="s">
        <v>115</v>
      </c>
      <c r="I3752" s="93" t="s">
        <v>4107</v>
      </c>
      <c r="J3752" s="86" t="s">
        <v>4095</v>
      </c>
      <c r="K3752" s="101" t="s">
        <v>4243</v>
      </c>
      <c r="L3752" s="117">
        <f>IF(O3752="","",N3752*O3752*M3752)</f>
        <v>0</v>
      </c>
      <c r="M3752" s="108">
        <v>1</v>
      </c>
      <c r="N3752" s="95">
        <v>1</v>
      </c>
      <c r="O3752" s="109">
        <f>IF(Key!D$1="ON",P3752,IF(SUM(Q3752:DL3752)&lt;1,"",SUM(Q3752:DL3752)/COUNTIF(Q3752:DL3752,"&gt;0")))</f>
        <v>0</v>
      </c>
      <c r="P3752" s="109">
        <f>SUMIFS(Q3752:DK3752,Q$1:DK$1,Dashboard!$K$31)</f>
        <v>0</v>
      </c>
      <c r="U3752" s="95">
        <v>33</v>
      </c>
      <c r="AA3752" s="95">
        <v>25</v>
      </c>
      <c r="AH3752" s="95">
        <v>75</v>
      </c>
    </row>
    <row r="3753" spans="1:34" x14ac:dyDescent="0.3">
      <c r="A3753" s="89" t="str">
        <f>CONCATENATE(D3753,".",F3753,"-",G3753,".",H3753,"")</f>
        <v>3.2-4.1</v>
      </c>
      <c r="B3753" s="89" t="str">
        <f>IF(CONCATENATE(I3753,Key!F$2)=CONCATENATE(INDEX(Dashboard!J:J,MATCH(I3753,Dashboard!J:J,0),1),INDEX(Dashboard!J:K,MATCH(I3753,Dashboard!J:J,0),2)),"ON",IF(Dashboard!K$32="ALL","ON","-"))</f>
        <v>ON</v>
      </c>
      <c r="C3753" s="130" t="s">
        <v>311</v>
      </c>
      <c r="D3753" s="89">
        <f>IF(C3753="ID",1,(IF(C3753="PR",2,(IF(C3753="DE",3,(IF(C3753="RS",4,(IF(C3753="RC",5,0)))))))))</f>
        <v>3</v>
      </c>
      <c r="E3753" s="95" t="s">
        <v>316</v>
      </c>
      <c r="F3753" s="89">
        <f>IF(E3753="AM",1,(IF(E3753="BE",2,(IF(E3753="GV",3,(IF(E3753="RA",4,(IF(E3753="RM",5,(IF(E3753="AC",1,(IF(E3753="AT",2,(IF(E3753="DS",3,(IF(E3753="IP",4,(IF(E3753="MA",5,(IF(E3753="PT",6,(IF(E3753="AE",1,(IF(E3753="CM",2,(IF(E3753="DP",3,(IF(E3753="AN",1,(IF(E3753="CO",2,(IF(E3753="IM",3,(IF(E3753="MI",4,(IF(E3753="RP",5,(IF(E3753="SC",6,0)))))))))))))))))))))))))))))))))))))))</f>
        <v>2</v>
      </c>
      <c r="G3753" s="52">
        <v>4</v>
      </c>
      <c r="H3753" s="90" t="s">
        <v>115</v>
      </c>
      <c r="I3753" s="93" t="s">
        <v>4107</v>
      </c>
      <c r="J3753" s="86" t="s">
        <v>4096</v>
      </c>
      <c r="K3753" s="101" t="s">
        <v>4246</v>
      </c>
      <c r="L3753" s="117">
        <f>IF(O3753="","",N3753*O3753*M3753)</f>
        <v>0</v>
      </c>
      <c r="M3753" s="108">
        <v>1</v>
      </c>
      <c r="N3753" s="95">
        <v>1</v>
      </c>
      <c r="O3753" s="109">
        <f>IF(Key!D$1="ON",P3753,IF(SUM(Q3753:DL3753)&lt;1,"",SUM(Q3753:DL3753)/COUNTIF(Q3753:DL3753,"&gt;0")))</f>
        <v>0</v>
      </c>
      <c r="P3753" s="109">
        <f>SUMIFS(Q3753:DK3753,Q$1:DK$1,Dashboard!$K$31)</f>
        <v>0</v>
      </c>
      <c r="U3753" s="95">
        <v>33</v>
      </c>
      <c r="AA3753" s="95">
        <v>25</v>
      </c>
      <c r="AH3753" s="95">
        <v>75</v>
      </c>
    </row>
    <row r="3754" spans="1:34" ht="15.6" x14ac:dyDescent="0.3">
      <c r="A3754" s="89" t="str">
        <f>CONCATENATE(D3754,".",F3754,"-",G3754,".",H3754,"")</f>
        <v>3.2-4.1</v>
      </c>
      <c r="B3754" s="89" t="str">
        <f>IF(CONCATENATE(I3754,Key!F$2)=CONCATENATE(INDEX(Dashboard!J:J,MATCH(I3754,Dashboard!J:J,0),1),INDEX(Dashboard!J:K,MATCH(I3754,Dashboard!J:J,0),2)),"ON",IF(Dashboard!K$32="ALL","ON","-"))</f>
        <v>ON</v>
      </c>
      <c r="C3754" s="130" t="s">
        <v>311</v>
      </c>
      <c r="D3754" s="89">
        <f>IF(C3754="ID",1,(IF(C3754="PR",2,(IF(C3754="DE",3,(IF(C3754="RS",4,(IF(C3754="RC",5,0)))))))))</f>
        <v>3</v>
      </c>
      <c r="E3754" s="95" t="s">
        <v>316</v>
      </c>
      <c r="F3754" s="89">
        <f>IF(E3754="AM",1,(IF(E3754="BE",2,(IF(E3754="GV",3,(IF(E3754="RA",4,(IF(E3754="RM",5,(IF(E3754="AC",1,(IF(E3754="AT",2,(IF(E3754="DS",3,(IF(E3754="IP",4,(IF(E3754="MA",5,(IF(E3754="PT",6,(IF(E3754="AE",1,(IF(E3754="CM",2,(IF(E3754="DP",3,(IF(E3754="AN",1,(IF(E3754="CO",2,(IF(E3754="IM",3,(IF(E3754="MI",4,(IF(E3754="RP",5,(IF(E3754="SC",6,0)))))))))))))))))))))))))))))))))))))))</f>
        <v>2</v>
      </c>
      <c r="G3754" s="52">
        <v>4</v>
      </c>
      <c r="H3754" s="90" t="s">
        <v>115</v>
      </c>
      <c r="I3754" s="93" t="s">
        <v>4107</v>
      </c>
      <c r="J3754" s="86" t="s">
        <v>4097</v>
      </c>
      <c r="K3754" s="101" t="s">
        <v>4480</v>
      </c>
      <c r="L3754" s="117">
        <f>IF(O3754="","",N3754*O3754*M3754)</f>
        <v>0</v>
      </c>
      <c r="M3754" s="108">
        <v>1</v>
      </c>
      <c r="N3754" s="95">
        <v>1</v>
      </c>
      <c r="O3754" s="109">
        <f>IF(Key!D$1="ON",P3754,IF(SUM(Q3754:DL3754)&lt;1,"",SUM(Q3754:DL3754)/COUNTIF(Q3754:DL3754,"&gt;0")))</f>
        <v>0</v>
      </c>
      <c r="P3754" s="109">
        <f>SUMIFS(Q3754:DK3754,Q$1:DK$1,Dashboard!$K$31)</f>
        <v>0</v>
      </c>
      <c r="U3754" s="95">
        <v>33</v>
      </c>
      <c r="AA3754" s="95">
        <v>25</v>
      </c>
      <c r="AH3754" s="95">
        <v>75</v>
      </c>
    </row>
    <row r="3755" spans="1:34" x14ac:dyDescent="0.3">
      <c r="A3755" s="89" t="str">
        <f>CONCATENATE(D3755,".",F3755,"-",G3755,".",H3755,"")</f>
        <v>3.2-4.1</v>
      </c>
      <c r="B3755" s="89" t="str">
        <f>IF(CONCATENATE(I3755,Key!F$2)=CONCATENATE(INDEX(Dashboard!J:J,MATCH(I3755,Dashboard!J:J,0),1),INDEX(Dashboard!J:K,MATCH(I3755,Dashboard!J:J,0),2)),"ON",IF(Dashboard!K$32="ALL","ON","-"))</f>
        <v>-</v>
      </c>
      <c r="C3755" s="88" t="s">
        <v>311</v>
      </c>
      <c r="D3755" s="89">
        <f>IF(C3755="ID",1,(IF(C3755="PR",2,(IF(C3755="DE",3,(IF(C3755="RS",4,(IF(C3755="RC",5,0)))))))))</f>
        <v>3</v>
      </c>
      <c r="E3755" s="89" t="s">
        <v>316</v>
      </c>
      <c r="F3755" s="89">
        <f>IF(E3755="AM",1,(IF(E3755="BE",2,(IF(E3755="GV",3,(IF(E3755="RA",4,(IF(E3755="RM",5,(IF(E3755="AC",1,(IF(E3755="AT",2,(IF(E3755="DS",3,(IF(E3755="IP",4,(IF(E3755="MA",5,(IF(E3755="PT",6,(IF(E3755="AE",1,(IF(E3755="CM",2,(IF(E3755="DP",3,(IF(E3755="AN",1,(IF(E3755="CO",2,(IF(E3755="IM",3,(IF(E3755="MI",4,(IF(E3755="RP",5,(IF(E3755="SC",6,0)))))))))))))))))))))))))))))))))))))))</f>
        <v>2</v>
      </c>
      <c r="G3755" s="52">
        <v>4</v>
      </c>
      <c r="H3755" s="99">
        <v>1</v>
      </c>
      <c r="I3755" s="93" t="s">
        <v>37</v>
      </c>
      <c r="J3755" s="86">
        <v>7.8</v>
      </c>
      <c r="K3755" s="102" t="s">
        <v>3746</v>
      </c>
      <c r="L3755" s="117">
        <f>IF(O3755="","",N3755*O3755*M3755)</f>
        <v>0</v>
      </c>
      <c r="M3755" s="108">
        <v>1</v>
      </c>
      <c r="N3755" s="95">
        <v>1</v>
      </c>
      <c r="O3755" s="109">
        <f>IF(Key!D$1="ON",P3755,IF(SUM(Q3755:DL3755)&lt;1,"",SUM(Q3755:DL3755)/COUNTIF(Q3755:DL3755,"&gt;0")))</f>
        <v>0</v>
      </c>
      <c r="P3755" s="109">
        <f>SUMIFS(Q3755:DK3755,Q$1:DK$1,Dashboard!$K$31)</f>
        <v>0</v>
      </c>
      <c r="U3755" s="95">
        <v>33</v>
      </c>
      <c r="AA3755" s="95">
        <v>25</v>
      </c>
      <c r="AH3755" s="95">
        <v>75</v>
      </c>
    </row>
    <row r="3756" spans="1:34" x14ac:dyDescent="0.3">
      <c r="A3756" s="89" t="str">
        <f>CONCATENATE(D3756,".",F3756,"-",G3756,".",H3756,"")</f>
        <v>3.2-4.1</v>
      </c>
      <c r="B3756" s="89" t="str">
        <f>IF(CONCATENATE(I3756,Key!F$2)=CONCATENATE(INDEX(Dashboard!J:J,MATCH(I3756,Dashboard!J:J,0),1),INDEX(Dashboard!J:K,MATCH(I3756,Dashboard!J:J,0),2)),"ON",IF(Dashboard!K$32="ALL","ON","-"))</f>
        <v>-</v>
      </c>
      <c r="C3756" s="88" t="s">
        <v>311</v>
      </c>
      <c r="D3756" s="89">
        <f>IF(C3756="ID",1,(IF(C3756="PR",2,(IF(C3756="DE",3,(IF(C3756="RS",4,(IF(C3756="RC",5,0)))))))))</f>
        <v>3</v>
      </c>
      <c r="E3756" s="89" t="s">
        <v>316</v>
      </c>
      <c r="F3756" s="89">
        <f>IF(E3756="AM",1,(IF(E3756="BE",2,(IF(E3756="GV",3,(IF(E3756="RA",4,(IF(E3756="RM",5,(IF(E3756="AC",1,(IF(E3756="AT",2,(IF(E3756="DS",3,(IF(E3756="IP",4,(IF(E3756="MA",5,(IF(E3756="PT",6,(IF(E3756="AE",1,(IF(E3756="CM",2,(IF(E3756="DP",3,(IF(E3756="AN",1,(IF(E3756="CO",2,(IF(E3756="IM",3,(IF(E3756="MI",4,(IF(E3756="RP",5,(IF(E3756="SC",6,0)))))))))))))))))))))))))))))))))))))))</f>
        <v>2</v>
      </c>
      <c r="G3756" s="52">
        <v>4</v>
      </c>
      <c r="H3756" s="99">
        <v>1</v>
      </c>
      <c r="I3756" s="93" t="s">
        <v>37</v>
      </c>
      <c r="J3756" s="86">
        <v>8</v>
      </c>
      <c r="K3756" s="102" t="s">
        <v>3828</v>
      </c>
      <c r="L3756" s="117">
        <f>IF(O3756="","",N3756*O3756*M3756)</f>
        <v>0</v>
      </c>
      <c r="M3756" s="108">
        <v>1</v>
      </c>
      <c r="N3756" s="95">
        <v>1</v>
      </c>
      <c r="O3756" s="109">
        <f>IF(Key!D$1="ON",P3756,IF(SUM(Q3756:DL3756)&lt;1,"",SUM(Q3756:DL3756)/COUNTIF(Q3756:DL3756,"&gt;0")))</f>
        <v>0</v>
      </c>
      <c r="P3756" s="109">
        <f>SUMIFS(Q3756:DK3756,Q$1:DK$1,Dashboard!$K$31)</f>
        <v>0</v>
      </c>
      <c r="U3756" s="95">
        <v>33</v>
      </c>
      <c r="AA3756" s="95">
        <v>25</v>
      </c>
      <c r="AH3756" s="95">
        <v>75</v>
      </c>
    </row>
    <row r="3757" spans="1:34" ht="15.6" x14ac:dyDescent="0.3">
      <c r="A3757" s="89" t="str">
        <f>CONCATENATE(D3757,".",F3757,"-",G3757,".",H3757,"")</f>
        <v>3.2-4.1</v>
      </c>
      <c r="B3757" s="89" t="str">
        <f>IF(CONCATENATE(I3757,Key!F$2)=CONCATENATE(INDEX(Dashboard!J:J,MATCH(I3757,Dashboard!J:J,0),1),INDEX(Dashboard!J:K,MATCH(I3757,Dashboard!J:J,0),2)),"ON",IF(Dashboard!K$32="ALL","ON","-"))</f>
        <v>-</v>
      </c>
      <c r="C3757" s="88" t="s">
        <v>311</v>
      </c>
      <c r="D3757" s="89">
        <f>IF(C3757="ID",1,(IF(C3757="PR",2,(IF(C3757="DE",3,(IF(C3757="RS",4,(IF(C3757="RC",5,0)))))))))</f>
        <v>3</v>
      </c>
      <c r="E3757" s="89" t="s">
        <v>316</v>
      </c>
      <c r="F3757" s="89">
        <f>IF(E3757="AM",1,(IF(E3757="BE",2,(IF(E3757="GV",3,(IF(E3757="RA",4,(IF(E3757="RM",5,(IF(E3757="AC",1,(IF(E3757="AT",2,(IF(E3757="DS",3,(IF(E3757="IP",4,(IF(E3757="MA",5,(IF(E3757="PT",6,(IF(E3757="AE",1,(IF(E3757="CM",2,(IF(E3757="DP",3,(IF(E3757="AN",1,(IF(E3757="CO",2,(IF(E3757="IM",3,(IF(E3757="MI",4,(IF(E3757="RP",5,(IF(E3757="SC",6,0)))))))))))))))))))))))))))))))))))))))</f>
        <v>2</v>
      </c>
      <c r="G3757" s="52">
        <v>4</v>
      </c>
      <c r="H3757" s="99">
        <v>1</v>
      </c>
      <c r="I3757" s="93" t="s">
        <v>37</v>
      </c>
      <c r="J3757" s="86">
        <v>8.1</v>
      </c>
      <c r="K3757" s="102" t="s">
        <v>3818</v>
      </c>
      <c r="L3757" s="117">
        <f>IF(O3757="","",N3757*O3757*M3757)</f>
        <v>0</v>
      </c>
      <c r="M3757" s="108">
        <v>1</v>
      </c>
      <c r="N3757" s="95">
        <v>1</v>
      </c>
      <c r="O3757" s="109">
        <f>IF(Key!D$1="ON",P3757,IF(SUM(Q3757:DL3757)&lt;1,"",SUM(Q3757:DL3757)/COUNTIF(Q3757:DL3757,"&gt;0")))</f>
        <v>0</v>
      </c>
      <c r="P3757" s="109">
        <f>SUMIFS(Q3757:DK3757,Q$1:DK$1,Dashboard!$K$31)</f>
        <v>0</v>
      </c>
      <c r="U3757" s="95">
        <v>33</v>
      </c>
      <c r="AA3757" s="95">
        <v>25</v>
      </c>
      <c r="AH3757" s="95">
        <v>75</v>
      </c>
    </row>
    <row r="3758" spans="1:34" ht="15.6" x14ac:dyDescent="0.3">
      <c r="A3758" s="89" t="str">
        <f>CONCATENATE(D3758,".",F3758,"-",G3758,".",H3758,"")</f>
        <v>3.2-4.1</v>
      </c>
      <c r="B3758" s="89" t="str">
        <f>IF(CONCATENATE(I3758,Key!F$2)=CONCATENATE(INDEX(Dashboard!J:J,MATCH(I3758,Dashboard!J:J,0),1),INDEX(Dashboard!J:K,MATCH(I3758,Dashboard!J:J,0),2)),"ON",IF(Dashboard!K$32="ALL","ON","-"))</f>
        <v>-</v>
      </c>
      <c r="C3758" s="88" t="s">
        <v>311</v>
      </c>
      <c r="D3758" s="89">
        <f>IF(C3758="ID",1,(IF(C3758="PR",2,(IF(C3758="DE",3,(IF(C3758="RS",4,(IF(C3758="RC",5,0)))))))))</f>
        <v>3</v>
      </c>
      <c r="E3758" s="89" t="s">
        <v>316</v>
      </c>
      <c r="F3758" s="89">
        <f>IF(E3758="AM",1,(IF(E3758="BE",2,(IF(E3758="GV",3,(IF(E3758="RA",4,(IF(E3758="RM",5,(IF(E3758="AC",1,(IF(E3758="AT",2,(IF(E3758="DS",3,(IF(E3758="IP",4,(IF(E3758="MA",5,(IF(E3758="PT",6,(IF(E3758="AE",1,(IF(E3758="CM",2,(IF(E3758="DP",3,(IF(E3758="AN",1,(IF(E3758="CO",2,(IF(E3758="IM",3,(IF(E3758="MI",4,(IF(E3758="RP",5,(IF(E3758="SC",6,0)))))))))))))))))))))))))))))))))))))))</f>
        <v>2</v>
      </c>
      <c r="G3758" s="52">
        <v>4</v>
      </c>
      <c r="H3758" s="99">
        <v>1</v>
      </c>
      <c r="I3758" s="93" t="s">
        <v>37</v>
      </c>
      <c r="J3758" s="86">
        <v>8.1999999999999993</v>
      </c>
      <c r="K3758" s="102" t="s">
        <v>3829</v>
      </c>
      <c r="L3758" s="117">
        <f>IF(O3758="","",N3758*O3758*M3758)</f>
        <v>0</v>
      </c>
      <c r="M3758" s="108">
        <v>1</v>
      </c>
      <c r="N3758" s="95">
        <v>1</v>
      </c>
      <c r="O3758" s="109">
        <f>IF(Key!D$1="ON",P3758,IF(SUM(Q3758:DL3758)&lt;1,"",SUM(Q3758:DL3758)/COUNTIF(Q3758:DL3758,"&gt;0")))</f>
        <v>0</v>
      </c>
      <c r="P3758" s="109">
        <f>SUMIFS(Q3758:DK3758,Q$1:DK$1,Dashboard!$K$31)</f>
        <v>0</v>
      </c>
      <c r="U3758" s="95">
        <v>33</v>
      </c>
      <c r="AA3758" s="95">
        <v>25</v>
      </c>
      <c r="AH3758" s="95">
        <v>75</v>
      </c>
    </row>
    <row r="3759" spans="1:34" ht="15.6" x14ac:dyDescent="0.3">
      <c r="A3759" s="89" t="str">
        <f>CONCATENATE(D3759,".",F3759,"-",G3759,".",H3759,"")</f>
        <v>3.2-4.1</v>
      </c>
      <c r="B3759" s="89" t="str">
        <f>IF(CONCATENATE(I3759,Key!F$2)=CONCATENATE(INDEX(Dashboard!J:J,MATCH(I3759,Dashboard!J:J,0),1),INDEX(Dashboard!J:K,MATCH(I3759,Dashboard!J:J,0),2)),"ON",IF(Dashboard!K$32="ALL","ON","-"))</f>
        <v>-</v>
      </c>
      <c r="C3759" s="88" t="s">
        <v>311</v>
      </c>
      <c r="D3759" s="89">
        <f>IF(C3759="ID",1,(IF(C3759="PR",2,(IF(C3759="DE",3,(IF(C3759="RS",4,(IF(C3759="RC",5,0)))))))))</f>
        <v>3</v>
      </c>
      <c r="E3759" s="89" t="s">
        <v>316</v>
      </c>
      <c r="F3759" s="89">
        <f>IF(E3759="AM",1,(IF(E3759="BE",2,(IF(E3759="GV",3,(IF(E3759="RA",4,(IF(E3759="RM",5,(IF(E3759="AC",1,(IF(E3759="AT",2,(IF(E3759="DS",3,(IF(E3759="IP",4,(IF(E3759="MA",5,(IF(E3759="PT",6,(IF(E3759="AE",1,(IF(E3759="CM",2,(IF(E3759="DP",3,(IF(E3759="AN",1,(IF(E3759="CO",2,(IF(E3759="IM",3,(IF(E3759="MI",4,(IF(E3759="RP",5,(IF(E3759="SC",6,0)))))))))))))))))))))))))))))))))))))))</f>
        <v>2</v>
      </c>
      <c r="G3759" s="52">
        <v>4</v>
      </c>
      <c r="H3759" s="99">
        <v>1</v>
      </c>
      <c r="I3759" s="93" t="s">
        <v>37</v>
      </c>
      <c r="J3759" s="86">
        <v>8.5</v>
      </c>
      <c r="K3759" s="102" t="s">
        <v>3830</v>
      </c>
      <c r="L3759" s="117">
        <f>IF(O3759="","",N3759*O3759*M3759)</f>
        <v>0</v>
      </c>
      <c r="M3759" s="108">
        <v>1</v>
      </c>
      <c r="N3759" s="95">
        <v>1</v>
      </c>
      <c r="O3759" s="109">
        <f>IF(Key!D$1="ON",P3759,IF(SUM(Q3759:DL3759)&lt;1,"",SUM(Q3759:DL3759)/COUNTIF(Q3759:DL3759,"&gt;0")))</f>
        <v>0</v>
      </c>
      <c r="P3759" s="109">
        <f>SUMIFS(Q3759:DK3759,Q$1:DK$1,Dashboard!$K$31)</f>
        <v>0</v>
      </c>
      <c r="U3759" s="95">
        <v>33</v>
      </c>
      <c r="AA3759" s="95">
        <v>25</v>
      </c>
      <c r="AH3759" s="95">
        <v>75</v>
      </c>
    </row>
    <row r="3760" spans="1:34" x14ac:dyDescent="0.3">
      <c r="A3760" s="89" t="str">
        <f>CONCATENATE(D3760,".",F3760,"-",G3760,".",H3760,"")</f>
        <v>3.2-4.1</v>
      </c>
      <c r="B3760" s="89" t="str">
        <f>IF(CONCATENATE(I3760,Key!F$2)=CONCATENATE(INDEX(Dashboard!J:J,MATCH(I3760,Dashboard!J:J,0),1),INDEX(Dashboard!J:K,MATCH(I3760,Dashboard!J:J,0),2)),"ON",IF(Dashboard!K$32="ALL","ON","-"))</f>
        <v>-</v>
      </c>
      <c r="C3760" s="88" t="s">
        <v>311</v>
      </c>
      <c r="D3760" s="89">
        <f>IF(C3760="ID",1,(IF(C3760="PR",2,(IF(C3760="DE",3,(IF(C3760="RS",4,(IF(C3760="RC",5,0)))))))))</f>
        <v>3</v>
      </c>
      <c r="E3760" s="89" t="s">
        <v>316</v>
      </c>
      <c r="F3760" s="89">
        <f>IF(E3760="AM",1,(IF(E3760="BE",2,(IF(E3760="GV",3,(IF(E3760="RA",4,(IF(E3760="RM",5,(IF(E3760="AC",1,(IF(E3760="AT",2,(IF(E3760="DS",3,(IF(E3760="IP",4,(IF(E3760="MA",5,(IF(E3760="PT",6,(IF(E3760="AE",1,(IF(E3760="CM",2,(IF(E3760="DP",3,(IF(E3760="AN",1,(IF(E3760="CO",2,(IF(E3760="IM",3,(IF(E3760="MI",4,(IF(E3760="RP",5,(IF(E3760="SC",6,0)))))))))))))))))))))))))))))))))))))))</f>
        <v>2</v>
      </c>
      <c r="G3760" s="52">
        <v>4</v>
      </c>
      <c r="H3760" s="99">
        <v>1</v>
      </c>
      <c r="I3760" s="93" t="s">
        <v>41</v>
      </c>
      <c r="J3760" s="86">
        <v>8</v>
      </c>
      <c r="K3760" s="103" t="s">
        <v>3511</v>
      </c>
      <c r="L3760" s="117">
        <f>IF(O3760="","",N3760*O3760*M3760)</f>
        <v>0</v>
      </c>
      <c r="M3760" s="108">
        <v>1</v>
      </c>
      <c r="N3760" s="95">
        <v>1</v>
      </c>
      <c r="O3760" s="109">
        <f>IF(Key!D$1="ON",P3760,IF(SUM(Q3760:DL3760)&lt;1,"",SUM(Q3760:DL3760)/COUNTIF(Q3760:DL3760,"&gt;0")))</f>
        <v>0</v>
      </c>
      <c r="P3760" s="109">
        <f>SUMIFS(Q3760:DK3760,Q$1:DK$1,Dashboard!$K$31)</f>
        <v>0</v>
      </c>
      <c r="U3760" s="95">
        <v>33</v>
      </c>
    </row>
    <row r="3761" spans="1:34" x14ac:dyDescent="0.3">
      <c r="A3761" s="89" t="str">
        <f>CONCATENATE(D3761,".",F3761,"-",G3761,".",H3761,"")</f>
        <v>3.2-4.1</v>
      </c>
      <c r="B3761" s="89" t="str">
        <f>IF(CONCATENATE(I3761,Key!F$2)=CONCATENATE(INDEX(Dashboard!J:J,MATCH(I3761,Dashboard!J:J,0),1),INDEX(Dashboard!J:K,MATCH(I3761,Dashboard!J:J,0),2)),"ON",IF(Dashboard!K$32="ALL","ON","-"))</f>
        <v>-</v>
      </c>
      <c r="C3761" s="96" t="s">
        <v>311</v>
      </c>
      <c r="D3761" s="89">
        <f>IF(C3761="ID",1,(IF(C3761="PR",2,(IF(C3761="DE",3,(IF(C3761="RS",4,(IF(C3761="RC",5,0)))))))))</f>
        <v>3</v>
      </c>
      <c r="E3761" s="89" t="s">
        <v>316</v>
      </c>
      <c r="F3761" s="89">
        <f>IF(E3761="AM",1,(IF(E3761="BE",2,(IF(E3761="GV",3,(IF(E3761="RA",4,(IF(E3761="RM",5,(IF(E3761="AC",1,(IF(E3761="AT",2,(IF(E3761="DS",3,(IF(E3761="IP",4,(IF(E3761="MA",5,(IF(E3761="PT",6,(IF(E3761="AE",1,(IF(E3761="CM",2,(IF(E3761="DP",3,(IF(E3761="AN",1,(IF(E3761="CO",2,(IF(E3761="IM",3,(IF(E3761="MI",4,(IF(E3761="RP",5,(IF(E3761="SC",6,0)))))))))))))))))))))))))))))))))))))))</f>
        <v>2</v>
      </c>
      <c r="G3761" s="52">
        <v>4</v>
      </c>
      <c r="H3761" s="99">
        <v>1</v>
      </c>
      <c r="I3761" s="93" t="s">
        <v>41</v>
      </c>
      <c r="J3761" s="86">
        <v>8.1</v>
      </c>
      <c r="K3761" s="103" t="s">
        <v>3512</v>
      </c>
      <c r="L3761" s="117">
        <f>IF(O3761="","",N3761*O3761*M3761)</f>
        <v>0</v>
      </c>
      <c r="M3761" s="108">
        <v>1</v>
      </c>
      <c r="N3761" s="95">
        <v>1</v>
      </c>
      <c r="O3761" s="109">
        <f>IF(Key!D$1="ON",P3761,IF(SUM(Q3761:DL3761)&lt;1,"",SUM(Q3761:DL3761)/COUNTIF(Q3761:DL3761,"&gt;0")))</f>
        <v>0</v>
      </c>
      <c r="P3761" s="109">
        <f>SUMIFS(Q3761:DK3761,Q$1:DK$1,Dashboard!$K$31)</f>
        <v>0</v>
      </c>
      <c r="U3761" s="95">
        <v>33</v>
      </c>
    </row>
    <row r="3762" spans="1:34" x14ac:dyDescent="0.3">
      <c r="A3762" s="89" t="str">
        <f>CONCATENATE(D3762,".",F3762,"-",G3762,".",H3762,"")</f>
        <v>3.2-4.1</v>
      </c>
      <c r="B3762" s="89" t="str">
        <f>IF(CONCATENATE(I3762,Key!F$2)=CONCATENATE(INDEX(Dashboard!J:J,MATCH(I3762,Dashboard!J:J,0),1),INDEX(Dashboard!J:K,MATCH(I3762,Dashboard!J:J,0),2)),"ON",IF(Dashboard!K$32="ALL","ON","-"))</f>
        <v>-</v>
      </c>
      <c r="C3762" s="96" t="s">
        <v>311</v>
      </c>
      <c r="D3762" s="89">
        <f>IF(C3762="ID",1,(IF(C3762="PR",2,(IF(C3762="DE",3,(IF(C3762="RS",4,(IF(C3762="RC",5,0)))))))))</f>
        <v>3</v>
      </c>
      <c r="E3762" s="89" t="s">
        <v>316</v>
      </c>
      <c r="F3762" s="89">
        <f>IF(E3762="AM",1,(IF(E3762="BE",2,(IF(E3762="GV",3,(IF(E3762="RA",4,(IF(E3762="RM",5,(IF(E3762="AC",1,(IF(E3762="AT",2,(IF(E3762="DS",3,(IF(E3762="IP",4,(IF(E3762="MA",5,(IF(E3762="PT",6,(IF(E3762="AE",1,(IF(E3762="CM",2,(IF(E3762="DP",3,(IF(E3762="AN",1,(IF(E3762="CO",2,(IF(E3762="IM",3,(IF(E3762="MI",4,(IF(E3762="RP",5,(IF(E3762="SC",6,0)))))))))))))))))))))))))))))))))))))))</f>
        <v>2</v>
      </c>
      <c r="G3762" s="52">
        <v>4</v>
      </c>
      <c r="H3762" s="99">
        <v>1</v>
      </c>
      <c r="I3762" s="93" t="s">
        <v>41</v>
      </c>
      <c r="J3762" s="86">
        <v>8.1999999999999993</v>
      </c>
      <c r="K3762" s="103" t="s">
        <v>3513</v>
      </c>
      <c r="L3762" s="117">
        <f>IF(O3762="","",N3762*O3762*M3762)</f>
        <v>0</v>
      </c>
      <c r="M3762" s="108">
        <v>1</v>
      </c>
      <c r="N3762" s="95">
        <v>1</v>
      </c>
      <c r="O3762" s="109">
        <f>IF(Key!D$1="ON",P3762,IF(SUM(Q3762:DL3762)&lt;1,"",SUM(Q3762:DL3762)/COUNTIF(Q3762:DL3762,"&gt;0")))</f>
        <v>0</v>
      </c>
      <c r="P3762" s="109">
        <f>SUMIFS(Q3762:DK3762,Q$1:DK$1,Dashboard!$K$31)</f>
        <v>0</v>
      </c>
      <c r="U3762" s="95">
        <v>33</v>
      </c>
    </row>
    <row r="3763" spans="1:34" x14ac:dyDescent="0.3">
      <c r="A3763" s="89" t="str">
        <f>CONCATENATE(D3763,".",F3763,"-",G3763,".",H3763,"")</f>
        <v>3.2-4.1</v>
      </c>
      <c r="B3763" s="89" t="str">
        <f>IF(CONCATENATE(I3763,Key!F$2)=CONCATENATE(INDEX(Dashboard!J:J,MATCH(I3763,Dashboard!J:J,0),1),INDEX(Dashboard!J:K,MATCH(I3763,Dashboard!J:J,0),2)),"ON",IF(Dashboard!K$32="ALL","ON","-"))</f>
        <v>-</v>
      </c>
      <c r="C3763" s="96" t="s">
        <v>311</v>
      </c>
      <c r="D3763" s="89">
        <f>IF(C3763="ID",1,(IF(C3763="PR",2,(IF(C3763="DE",3,(IF(C3763="RS",4,(IF(C3763="RC",5,0)))))))))</f>
        <v>3</v>
      </c>
      <c r="E3763" s="89" t="s">
        <v>316</v>
      </c>
      <c r="F3763" s="89">
        <f>IF(E3763="AM",1,(IF(E3763="BE",2,(IF(E3763="GV",3,(IF(E3763="RA",4,(IF(E3763="RM",5,(IF(E3763="AC",1,(IF(E3763="AT",2,(IF(E3763="DS",3,(IF(E3763="IP",4,(IF(E3763="MA",5,(IF(E3763="PT",6,(IF(E3763="AE",1,(IF(E3763="CM",2,(IF(E3763="DP",3,(IF(E3763="AN",1,(IF(E3763="CO",2,(IF(E3763="IM",3,(IF(E3763="MI",4,(IF(E3763="RP",5,(IF(E3763="SC",6,0)))))))))))))))))))))))))))))))))))))))</f>
        <v>2</v>
      </c>
      <c r="G3763" s="52">
        <v>4</v>
      </c>
      <c r="H3763" s="99">
        <v>1</v>
      </c>
      <c r="I3763" s="93" t="s">
        <v>41</v>
      </c>
      <c r="J3763" s="86">
        <v>8.4</v>
      </c>
      <c r="K3763" s="103" t="s">
        <v>3515</v>
      </c>
      <c r="L3763" s="117">
        <f>IF(O3763="","",N3763*O3763*M3763)</f>
        <v>0</v>
      </c>
      <c r="M3763" s="108">
        <v>1</v>
      </c>
      <c r="N3763" s="95">
        <v>1</v>
      </c>
      <c r="O3763" s="109">
        <f>IF(Key!D$1="ON",P3763,IF(SUM(Q3763:DL3763)&lt;1,"",SUM(Q3763:DL3763)/COUNTIF(Q3763:DL3763,"&gt;0")))</f>
        <v>0</v>
      </c>
      <c r="P3763" s="109">
        <f>SUMIFS(Q3763:DK3763,Q$1:DK$1,Dashboard!$K$31)</f>
        <v>0</v>
      </c>
      <c r="U3763" s="95">
        <v>33</v>
      </c>
    </row>
    <row r="3764" spans="1:34" x14ac:dyDescent="0.3">
      <c r="A3764" s="89" t="str">
        <f>CONCATENATE(D3764,".",F3764,"-",G3764,".",H3764,"")</f>
        <v>3.2-4.1</v>
      </c>
      <c r="B3764" s="89" t="str">
        <f>IF(CONCATENATE(I3764,Key!F$2)=CONCATENATE(INDEX(Dashboard!J:J,MATCH(I3764,Dashboard!J:J,0),1),INDEX(Dashboard!J:K,MATCH(I3764,Dashboard!J:J,0),2)),"ON",IF(Dashboard!K$32="ALL","ON","-"))</f>
        <v>-</v>
      </c>
      <c r="C3764" s="96" t="s">
        <v>311</v>
      </c>
      <c r="D3764" s="89">
        <f>IF(C3764="ID",1,(IF(C3764="PR",2,(IF(C3764="DE",3,(IF(C3764="RS",4,(IF(C3764="RC",5,0)))))))))</f>
        <v>3</v>
      </c>
      <c r="E3764" s="89" t="s">
        <v>316</v>
      </c>
      <c r="F3764" s="89">
        <f>IF(E3764="AM",1,(IF(E3764="BE",2,(IF(E3764="GV",3,(IF(E3764="RA",4,(IF(E3764="RM",5,(IF(E3764="AC",1,(IF(E3764="AT",2,(IF(E3764="DS",3,(IF(E3764="IP",4,(IF(E3764="MA",5,(IF(E3764="PT",6,(IF(E3764="AE",1,(IF(E3764="CM",2,(IF(E3764="DP",3,(IF(E3764="AN",1,(IF(E3764="CO",2,(IF(E3764="IM",3,(IF(E3764="MI",4,(IF(E3764="RP",5,(IF(E3764="SC",6,0)))))))))))))))))))))))))))))))))))))))</f>
        <v>2</v>
      </c>
      <c r="G3764" s="52">
        <v>4</v>
      </c>
      <c r="H3764" s="99">
        <v>1</v>
      </c>
      <c r="I3764" s="93" t="s">
        <v>41</v>
      </c>
      <c r="J3764" s="86">
        <v>8.6</v>
      </c>
      <c r="K3764" s="103" t="s">
        <v>3517</v>
      </c>
      <c r="L3764" s="117">
        <f>IF(O3764="","",N3764*O3764*M3764)</f>
        <v>0</v>
      </c>
      <c r="M3764" s="108">
        <v>1</v>
      </c>
      <c r="N3764" s="95">
        <v>1</v>
      </c>
      <c r="O3764" s="109">
        <f>IF(Key!D$1="ON",P3764,IF(SUM(Q3764:DL3764)&lt;1,"",SUM(Q3764:DL3764)/COUNTIF(Q3764:DL3764,"&gt;0")))</f>
        <v>0</v>
      </c>
      <c r="P3764" s="109">
        <f>SUMIFS(Q3764:DK3764,Q$1:DK$1,Dashboard!$K$31)</f>
        <v>0</v>
      </c>
      <c r="U3764" s="95">
        <v>33</v>
      </c>
    </row>
    <row r="3765" spans="1:34" x14ac:dyDescent="0.3">
      <c r="A3765" s="89" t="str">
        <f>CONCATENATE(D3765,".",F3765,"-",G3765,".",H3765,"")</f>
        <v>3.2-4.1</v>
      </c>
      <c r="B3765" s="89" t="str">
        <f>IF(CONCATENATE(I3765,Key!F$2)=CONCATENATE(INDEX(Dashboard!J:J,MATCH(I3765,Dashboard!J:J,0),1),INDEX(Dashboard!J:K,MATCH(I3765,Dashboard!J:J,0),2)),"ON",IF(Dashboard!K$32="ALL","ON","-"))</f>
        <v>-</v>
      </c>
      <c r="C3765" s="96" t="s">
        <v>311</v>
      </c>
      <c r="D3765" s="89">
        <f>IF(C3765="ID",1,(IF(C3765="PR",2,(IF(C3765="DE",3,(IF(C3765="RS",4,(IF(C3765="RC",5,0)))))))))</f>
        <v>3</v>
      </c>
      <c r="E3765" s="89" t="s">
        <v>316</v>
      </c>
      <c r="F3765" s="89">
        <f>IF(E3765="AM",1,(IF(E3765="BE",2,(IF(E3765="GV",3,(IF(E3765="RA",4,(IF(E3765="RM",5,(IF(E3765="AC",1,(IF(E3765="AT",2,(IF(E3765="DS",3,(IF(E3765="IP",4,(IF(E3765="MA",5,(IF(E3765="PT",6,(IF(E3765="AE",1,(IF(E3765="CM",2,(IF(E3765="DP",3,(IF(E3765="AN",1,(IF(E3765="CO",2,(IF(E3765="IM",3,(IF(E3765="MI",4,(IF(E3765="RP",5,(IF(E3765="SC",6,0)))))))))))))))))))))))))))))))))))))))</f>
        <v>2</v>
      </c>
      <c r="G3765" s="52">
        <v>4</v>
      </c>
      <c r="H3765" s="90" t="s">
        <v>115</v>
      </c>
      <c r="I3765" s="93" t="s">
        <v>52</v>
      </c>
      <c r="J3765" s="88" t="s">
        <v>3446</v>
      </c>
      <c r="K3765" s="103" t="s">
        <v>3447</v>
      </c>
      <c r="L3765" s="117">
        <f>IF(O3765="","",N3765*O3765*M3765)</f>
        <v>0</v>
      </c>
      <c r="M3765" s="108">
        <v>1</v>
      </c>
      <c r="N3765" s="95">
        <v>1</v>
      </c>
      <c r="O3765" s="109">
        <f>IF(Key!D$1="ON",P3765,IF(SUM(Q3765:DL3765)&lt;1,"",SUM(Q3765:DL3765)/COUNTIF(Q3765:DL3765,"&gt;0")))</f>
        <v>0</v>
      </c>
      <c r="P3765" s="109">
        <f>SUMIFS(Q3765:DK3765,Q$1:DK$1,Dashboard!$K$31)</f>
        <v>0</v>
      </c>
      <c r="U3765" s="95">
        <v>33</v>
      </c>
      <c r="AA3765" s="95">
        <v>25</v>
      </c>
      <c r="AH3765" s="95">
        <v>75</v>
      </c>
    </row>
    <row r="3766" spans="1:34" x14ac:dyDescent="0.3">
      <c r="A3766" s="89" t="str">
        <f>CONCATENATE(D3766,".",F3766,"-",G3766,".",H3766,"")</f>
        <v>3.2-4.1</v>
      </c>
      <c r="B3766" s="89" t="str">
        <f>IF(CONCATENATE(I3766,Key!F$2)=CONCATENATE(INDEX(Dashboard!J:J,MATCH(I3766,Dashboard!J:J,0),1),INDEX(Dashboard!J:K,MATCH(I3766,Dashboard!J:J,0),2)),"ON",IF(Dashboard!K$32="ALL","ON","-"))</f>
        <v>-</v>
      </c>
      <c r="C3766" s="96" t="s">
        <v>311</v>
      </c>
      <c r="D3766" s="89">
        <f>IF(C3766="ID",1,(IF(C3766="PR",2,(IF(C3766="DE",3,(IF(C3766="RS",4,(IF(C3766="RC",5,0)))))))))</f>
        <v>3</v>
      </c>
      <c r="E3766" s="89" t="s">
        <v>316</v>
      </c>
      <c r="F3766" s="89">
        <f>IF(E3766="AM",1,(IF(E3766="BE",2,(IF(E3766="GV",3,(IF(E3766="RA",4,(IF(E3766="RM",5,(IF(E3766="AC",1,(IF(E3766="AT",2,(IF(E3766="DS",3,(IF(E3766="IP",4,(IF(E3766="MA",5,(IF(E3766="PT",6,(IF(E3766="AE",1,(IF(E3766="CM",2,(IF(E3766="DP",3,(IF(E3766="AN",1,(IF(E3766="CO",2,(IF(E3766="IM",3,(IF(E3766="MI",4,(IF(E3766="RP",5,(IF(E3766="SC",6,0)))))))))))))))))))))))))))))))))))))))</f>
        <v>2</v>
      </c>
      <c r="G3766" s="52">
        <v>4</v>
      </c>
      <c r="H3766" s="90" t="s">
        <v>115</v>
      </c>
      <c r="I3766" s="93" t="s">
        <v>52</v>
      </c>
      <c r="J3766" s="88" t="s">
        <v>3406</v>
      </c>
      <c r="K3766" s="103" t="s">
        <v>3407</v>
      </c>
      <c r="L3766" s="117">
        <f>IF(O3766="","",N3766*O3766*M3766)</f>
        <v>0</v>
      </c>
      <c r="M3766" s="108">
        <v>1</v>
      </c>
      <c r="N3766" s="95">
        <v>1</v>
      </c>
      <c r="O3766" s="109">
        <f>IF(Key!D$1="ON",P3766,IF(SUM(Q3766:DL3766)&lt;1,"",SUM(Q3766:DL3766)/COUNTIF(Q3766:DL3766,"&gt;0")))</f>
        <v>0</v>
      </c>
      <c r="P3766" s="109">
        <f>SUMIFS(Q3766:DK3766,Q$1:DK$1,Dashboard!$K$31)</f>
        <v>0</v>
      </c>
      <c r="U3766" s="95">
        <v>33</v>
      </c>
      <c r="AA3766" s="95">
        <v>25</v>
      </c>
      <c r="AH3766" s="95">
        <v>75</v>
      </c>
    </row>
    <row r="3767" spans="1:34" x14ac:dyDescent="0.3">
      <c r="A3767" s="89" t="str">
        <f>CONCATENATE(D3767,".",F3767,"-",G3767,".",H3767,"")</f>
        <v>3.2-4.1</v>
      </c>
      <c r="B3767" s="89" t="str">
        <f>IF(CONCATENATE(I3767,Key!F$2)=CONCATENATE(INDEX(Dashboard!J:J,MATCH(I3767,Dashboard!J:J,0),1),INDEX(Dashboard!J:K,MATCH(I3767,Dashboard!J:J,0),2)),"ON",IF(Dashboard!K$32="ALL","ON","-"))</f>
        <v>-</v>
      </c>
      <c r="C3767" s="88" t="s">
        <v>311</v>
      </c>
      <c r="D3767" s="89">
        <f>IF(C3767="ID",1,(IF(C3767="PR",2,(IF(C3767="DE",3,(IF(C3767="RS",4,(IF(C3767="RC",5,0)))))))))</f>
        <v>3</v>
      </c>
      <c r="E3767" s="89" t="s">
        <v>316</v>
      </c>
      <c r="F3767" s="89">
        <f>IF(E3767="AM",1,(IF(E3767="BE",2,(IF(E3767="GV",3,(IF(E3767="RA",4,(IF(E3767="RM",5,(IF(E3767="AC",1,(IF(E3767="AT",2,(IF(E3767="DS",3,(IF(E3767="IP",4,(IF(E3767="MA",5,(IF(E3767="PT",6,(IF(E3767="AE",1,(IF(E3767="CM",2,(IF(E3767="DP",3,(IF(E3767="AN",1,(IF(E3767="CO",2,(IF(E3767="IM",3,(IF(E3767="MI",4,(IF(E3767="RP",5,(IF(E3767="SC",6,0)))))))))))))))))))))))))))))))))))))))</f>
        <v>2</v>
      </c>
      <c r="G3767" s="52">
        <v>4</v>
      </c>
      <c r="H3767" s="89">
        <v>1</v>
      </c>
      <c r="I3767" s="93" t="s">
        <v>60</v>
      </c>
      <c r="J3767" s="87" t="s">
        <v>3270</v>
      </c>
      <c r="K3767" s="51" t="s">
        <v>5383</v>
      </c>
      <c r="L3767" s="117">
        <f>IF(O3767="","",N3767*O3767*M3767)</f>
        <v>0</v>
      </c>
      <c r="M3767" s="108">
        <v>1</v>
      </c>
      <c r="N3767" s="95">
        <v>1</v>
      </c>
      <c r="O3767" s="109">
        <f>IF(Key!D$1="ON",P3767,IF(SUM(Q3767:DL3767)&lt;1,"",SUM(Q3767:DL3767)/COUNTIF(Q3767:DL3767,"&gt;0")))</f>
        <v>0</v>
      </c>
      <c r="P3767" s="109">
        <f>SUMIFS(Q3767:DK3767,Q$1:DK$1,Dashboard!$K$31)</f>
        <v>0</v>
      </c>
      <c r="U3767" s="95">
        <v>33</v>
      </c>
      <c r="AA3767" s="95">
        <v>25</v>
      </c>
      <c r="AH3767" s="95">
        <v>75</v>
      </c>
    </row>
    <row r="3768" spans="1:34" x14ac:dyDescent="0.3">
      <c r="A3768" s="89" t="str">
        <f>CONCATENATE(D3768,".",F3768,"-",G3768,".",H3768,"")</f>
        <v>3.2-4.1</v>
      </c>
      <c r="B3768" s="89" t="str">
        <f>IF(CONCATENATE(I3768,Key!F$2)=CONCATENATE(INDEX(Dashboard!J:J,MATCH(I3768,Dashboard!J:J,0),1),INDEX(Dashboard!J:K,MATCH(I3768,Dashboard!J:J,0),2)),"ON",IF(Dashboard!K$32="ALL","ON","-"))</f>
        <v>-</v>
      </c>
      <c r="C3768" s="88" t="s">
        <v>311</v>
      </c>
      <c r="D3768" s="89">
        <f>IF(C3768="ID",1,(IF(C3768="PR",2,(IF(C3768="DE",3,(IF(C3768="RS",4,(IF(C3768="RC",5,0)))))))))</f>
        <v>3</v>
      </c>
      <c r="E3768" s="89" t="s">
        <v>316</v>
      </c>
      <c r="F3768" s="89">
        <f>IF(E3768="AM",1,(IF(E3768="BE",2,(IF(E3768="GV",3,(IF(E3768="RA",4,(IF(E3768="RM",5,(IF(E3768="AC",1,(IF(E3768="AT",2,(IF(E3768="DS",3,(IF(E3768="IP",4,(IF(E3768="MA",5,(IF(E3768="PT",6,(IF(E3768="AE",1,(IF(E3768="CM",2,(IF(E3768="DP",3,(IF(E3768="AN",1,(IF(E3768="CO",2,(IF(E3768="IM",3,(IF(E3768="MI",4,(IF(E3768="RP",5,(IF(E3768="SC",6,0)))))))))))))))))))))))))))))))))))))))</f>
        <v>2</v>
      </c>
      <c r="G3768" s="52">
        <v>4</v>
      </c>
      <c r="H3768" s="90" t="s">
        <v>115</v>
      </c>
      <c r="I3768" s="93" t="s">
        <v>60</v>
      </c>
      <c r="J3768" s="87" t="s">
        <v>3196</v>
      </c>
      <c r="K3768" s="51" t="s">
        <v>5309</v>
      </c>
      <c r="L3768" s="117">
        <f>IF(O3768="","",N3768*O3768*M3768)</f>
        <v>0</v>
      </c>
      <c r="M3768" s="108">
        <v>1</v>
      </c>
      <c r="N3768" s="95">
        <v>1</v>
      </c>
      <c r="O3768" s="109">
        <f>IF(Key!D$1="ON",P3768,IF(SUM(Q3768:DL3768)&lt;1,"",SUM(Q3768:DL3768)/COUNTIF(Q3768:DL3768,"&gt;0")))</f>
        <v>0</v>
      </c>
      <c r="P3768" s="109">
        <f>SUMIFS(Q3768:DK3768,Q$1:DK$1,Dashboard!$K$31)</f>
        <v>0</v>
      </c>
      <c r="U3768" s="95">
        <v>33</v>
      </c>
      <c r="AA3768" s="95">
        <v>25</v>
      </c>
      <c r="AH3768" s="95">
        <v>75</v>
      </c>
    </row>
    <row r="3769" spans="1:34" ht="15.6" x14ac:dyDescent="0.3">
      <c r="A3769" s="89" t="str">
        <f>CONCATENATE(D3769,".",F3769,"-",G3769,".",H3769,"")</f>
        <v>3.2-4.1</v>
      </c>
      <c r="B3769" s="89" t="str">
        <f>IF(CONCATENATE(I3769,Key!F$2)=CONCATENATE(INDEX(Dashboard!J:J,MATCH(I3769,Dashboard!J:J,0),1),INDEX(Dashboard!J:K,MATCH(I3769,Dashboard!J:J,0),2)),"ON",IF(Dashboard!K$32="ALL","ON","-"))</f>
        <v>-</v>
      </c>
      <c r="C3769" s="88" t="s">
        <v>311</v>
      </c>
      <c r="D3769" s="89">
        <f>IF(C3769="ID",1,(IF(C3769="PR",2,(IF(C3769="DE",3,(IF(C3769="RS",4,(IF(C3769="RC",5,0)))))))))</f>
        <v>3</v>
      </c>
      <c r="E3769" s="89" t="s">
        <v>316</v>
      </c>
      <c r="F3769" s="89">
        <f>IF(E3769="AM",1,(IF(E3769="BE",2,(IF(E3769="GV",3,(IF(E3769="RA",4,(IF(E3769="RM",5,(IF(E3769="AC",1,(IF(E3769="AT",2,(IF(E3769="DS",3,(IF(E3769="IP",4,(IF(E3769="MA",5,(IF(E3769="PT",6,(IF(E3769="AE",1,(IF(E3769="CM",2,(IF(E3769="DP",3,(IF(E3769="AN",1,(IF(E3769="CO",2,(IF(E3769="IM",3,(IF(E3769="MI",4,(IF(E3769="RP",5,(IF(E3769="SC",6,0)))))))))))))))))))))))))))))))))))))))</f>
        <v>2</v>
      </c>
      <c r="G3769" s="52">
        <v>4</v>
      </c>
      <c r="H3769" s="89">
        <v>1</v>
      </c>
      <c r="I3769" s="93" t="s">
        <v>60</v>
      </c>
      <c r="J3769" s="88" t="s">
        <v>3147</v>
      </c>
      <c r="K3769" s="51" t="s">
        <v>5260</v>
      </c>
      <c r="L3769" s="117">
        <f>IF(O3769="","",N3769*O3769*M3769)</f>
        <v>0</v>
      </c>
      <c r="M3769" s="108">
        <v>1</v>
      </c>
      <c r="N3769" s="95">
        <v>1</v>
      </c>
      <c r="O3769" s="109">
        <f>IF(Key!D$1="ON",P3769,IF(SUM(Q3769:DL3769)&lt;1,"",SUM(Q3769:DL3769)/COUNTIF(Q3769:DL3769,"&gt;0")))</f>
        <v>0</v>
      </c>
      <c r="P3769" s="109">
        <f>SUMIFS(Q3769:DK3769,Q$1:DK$1,Dashboard!$K$31)</f>
        <v>0</v>
      </c>
      <c r="U3769" s="95">
        <v>33</v>
      </c>
      <c r="AA3769" s="95">
        <v>25</v>
      </c>
      <c r="AH3769" s="95">
        <v>75</v>
      </c>
    </row>
    <row r="3770" spans="1:34" ht="15.6" x14ac:dyDescent="0.3">
      <c r="A3770" s="89" t="str">
        <f>CONCATENATE(D3770,".",F3770,"-",G3770,".",H3770,"")</f>
        <v>3.2-4.1</v>
      </c>
      <c r="B3770" s="89" t="str">
        <f>IF(CONCATENATE(I3770,Key!F$2)=CONCATENATE(INDEX(Dashboard!J:J,MATCH(I3770,Dashboard!J:J,0),1),INDEX(Dashboard!J:K,MATCH(I3770,Dashboard!J:J,0),2)),"ON",IF(Dashboard!K$32="ALL","ON","-"))</f>
        <v>-</v>
      </c>
      <c r="C3770" s="88" t="s">
        <v>311</v>
      </c>
      <c r="D3770" s="89">
        <f>IF(C3770="ID",1,(IF(C3770="PR",2,(IF(C3770="DE",3,(IF(C3770="RS",4,(IF(C3770="RC",5,0)))))))))</f>
        <v>3</v>
      </c>
      <c r="E3770" s="89" t="s">
        <v>316</v>
      </c>
      <c r="F3770" s="89">
        <f>IF(E3770="AM",1,(IF(E3770="BE",2,(IF(E3770="GV",3,(IF(E3770="RA",4,(IF(E3770="RM",5,(IF(E3770="AC",1,(IF(E3770="AT",2,(IF(E3770="DS",3,(IF(E3770="IP",4,(IF(E3770="MA",5,(IF(E3770="PT",6,(IF(E3770="AE",1,(IF(E3770="CM",2,(IF(E3770="DP",3,(IF(E3770="AN",1,(IF(E3770="CO",2,(IF(E3770="IM",3,(IF(E3770="MI",4,(IF(E3770="RP",5,(IF(E3770="SC",6,0)))))))))))))))))))))))))))))))))))))))</f>
        <v>2</v>
      </c>
      <c r="G3770" s="52">
        <v>4</v>
      </c>
      <c r="H3770" s="90" t="s">
        <v>115</v>
      </c>
      <c r="I3770" s="93" t="s">
        <v>73</v>
      </c>
      <c r="J3770" s="86" t="s">
        <v>4241</v>
      </c>
      <c r="K3770" s="101" t="s">
        <v>5203</v>
      </c>
      <c r="L3770" s="117">
        <f>IF(O3770="","",N3770*O3770*M3770)</f>
        <v>0</v>
      </c>
      <c r="M3770" s="108">
        <v>1</v>
      </c>
      <c r="N3770" s="95">
        <v>1</v>
      </c>
      <c r="O3770" s="109">
        <f>IF(Key!D$1="ON",P3770,IF(SUM(Q3770:DL3770)&lt;1,"",SUM(Q3770:DL3770)/COUNTIF(Q3770:DL3770,"&gt;0")))</f>
        <v>0</v>
      </c>
      <c r="P3770" s="109">
        <f>SUMIFS(Q3770:DK3770,Q$1:DK$1,Dashboard!$K$31)</f>
        <v>0</v>
      </c>
      <c r="U3770" s="95">
        <v>33</v>
      </c>
      <c r="AA3770" s="95">
        <v>25</v>
      </c>
      <c r="AH3770" s="95">
        <v>75</v>
      </c>
    </row>
    <row r="3771" spans="1:34" ht="15.6" x14ac:dyDescent="0.3">
      <c r="A3771" s="89" t="str">
        <f>CONCATENATE(D3771,".",F3771,"-",G3771,".",H3771,"")</f>
        <v>3.2-4.1</v>
      </c>
      <c r="B3771" s="89" t="str">
        <f>IF(CONCATENATE(I3771,Key!F$2)=CONCATENATE(INDEX(Dashboard!J:J,MATCH(I3771,Dashboard!J:J,0),1),INDEX(Dashboard!J:K,MATCH(I3771,Dashboard!J:J,0),2)),"ON",IF(Dashboard!K$32="ALL","ON","-"))</f>
        <v>-</v>
      </c>
      <c r="C3771" s="88" t="s">
        <v>311</v>
      </c>
      <c r="D3771" s="89">
        <f>IF(C3771="ID",1,(IF(C3771="PR",2,(IF(C3771="DE",3,(IF(C3771="RS",4,(IF(C3771="RC",5,0)))))))))</f>
        <v>3</v>
      </c>
      <c r="E3771" s="89" t="s">
        <v>316</v>
      </c>
      <c r="F3771" s="89">
        <f>IF(E3771="AM",1,(IF(E3771="BE",2,(IF(E3771="GV",3,(IF(E3771="RA",4,(IF(E3771="RM",5,(IF(E3771="AC",1,(IF(E3771="AT",2,(IF(E3771="DS",3,(IF(E3771="IP",4,(IF(E3771="MA",5,(IF(E3771="PT",6,(IF(E3771="AE",1,(IF(E3771="CM",2,(IF(E3771="DP",3,(IF(E3771="AN",1,(IF(E3771="CO",2,(IF(E3771="IM",3,(IF(E3771="MI",4,(IF(E3771="RP",5,(IF(E3771="SC",6,0)))))))))))))))))))))))))))))))))))))))</f>
        <v>2</v>
      </c>
      <c r="G3771" s="52">
        <v>4</v>
      </c>
      <c r="H3771" s="90" t="s">
        <v>115</v>
      </c>
      <c r="I3771" s="93" t="s">
        <v>73</v>
      </c>
      <c r="J3771" s="86" t="s">
        <v>4242</v>
      </c>
      <c r="K3771" s="101" t="s">
        <v>5204</v>
      </c>
      <c r="L3771" s="117">
        <f>IF(O3771="","",N3771*O3771*M3771)</f>
        <v>0</v>
      </c>
      <c r="M3771" s="108">
        <v>1</v>
      </c>
      <c r="N3771" s="95">
        <v>1</v>
      </c>
      <c r="O3771" s="109">
        <f>IF(Key!D$1="ON",P3771,IF(SUM(Q3771:DL3771)&lt;1,"",SUM(Q3771:DL3771)/COUNTIF(Q3771:DL3771,"&gt;0")))</f>
        <v>0</v>
      </c>
      <c r="P3771" s="109">
        <f>SUMIFS(Q3771:DK3771,Q$1:DK$1,Dashboard!$K$31)</f>
        <v>0</v>
      </c>
      <c r="U3771" s="95">
        <v>33</v>
      </c>
      <c r="AA3771" s="95">
        <v>25</v>
      </c>
      <c r="AH3771" s="95">
        <v>75</v>
      </c>
    </row>
    <row r="3772" spans="1:34" ht="15.6" x14ac:dyDescent="0.3">
      <c r="A3772" s="89" t="str">
        <f>CONCATENATE(D3772,".",F3772,"-",G3772,".",H3772,"")</f>
        <v>3.2-4.1</v>
      </c>
      <c r="B3772" s="89" t="str">
        <f>IF(CONCATENATE(I3772,Key!F$2)=CONCATENATE(INDEX(Dashboard!J:J,MATCH(I3772,Dashboard!J:J,0),1),INDEX(Dashboard!J:K,MATCH(I3772,Dashboard!J:J,0),2)),"ON",IF(Dashboard!K$32="ALL","ON","-"))</f>
        <v>-</v>
      </c>
      <c r="C3772" s="88" t="s">
        <v>311</v>
      </c>
      <c r="D3772" s="89">
        <f>IF(C3772="ID",1,(IF(C3772="PR",2,(IF(C3772="DE",3,(IF(C3772="RS",4,(IF(C3772="RC",5,0)))))))))</f>
        <v>3</v>
      </c>
      <c r="E3772" s="89" t="s">
        <v>316</v>
      </c>
      <c r="F3772" s="89">
        <f>IF(E3772="AM",1,(IF(E3772="BE",2,(IF(E3772="GV",3,(IF(E3772="RA",4,(IF(E3772="RM",5,(IF(E3772="AC",1,(IF(E3772="AT",2,(IF(E3772="DS",3,(IF(E3772="IP",4,(IF(E3772="MA",5,(IF(E3772="PT",6,(IF(E3772="AE",1,(IF(E3772="CM",2,(IF(E3772="DP",3,(IF(E3772="AN",1,(IF(E3772="CO",2,(IF(E3772="IM",3,(IF(E3772="MI",4,(IF(E3772="RP",5,(IF(E3772="SC",6,0)))))))))))))))))))))))))))))))))))))))</f>
        <v>2</v>
      </c>
      <c r="G3772" s="52">
        <v>4</v>
      </c>
      <c r="H3772" s="90" t="s">
        <v>115</v>
      </c>
      <c r="I3772" s="93" t="s">
        <v>73</v>
      </c>
      <c r="J3772" s="86" t="s">
        <v>4244</v>
      </c>
      <c r="K3772" s="101" t="s">
        <v>5185</v>
      </c>
      <c r="L3772" s="117">
        <f>IF(O3772="","",N3772*O3772*M3772)</f>
        <v>0</v>
      </c>
      <c r="M3772" s="108">
        <v>1</v>
      </c>
      <c r="N3772" s="95">
        <v>1</v>
      </c>
      <c r="O3772" s="109">
        <f>IF(Key!D$1="ON",P3772,IF(SUM(Q3772:DL3772)&lt;1,"",SUM(Q3772:DL3772)/COUNTIF(Q3772:DL3772,"&gt;0")))</f>
        <v>0</v>
      </c>
      <c r="P3772" s="109">
        <f>SUMIFS(Q3772:DK3772,Q$1:DK$1,Dashboard!$K$31)</f>
        <v>0</v>
      </c>
      <c r="U3772" s="95">
        <v>33</v>
      </c>
      <c r="AA3772" s="95">
        <v>25</v>
      </c>
      <c r="AH3772" s="95">
        <v>75</v>
      </c>
    </row>
    <row r="3773" spans="1:34" x14ac:dyDescent="0.3">
      <c r="A3773" s="89" t="str">
        <f>CONCATENATE(D3773,".",F3773,"-",G3773,".",H3773,"")</f>
        <v>3.2-4.1</v>
      </c>
      <c r="B3773" s="89" t="str">
        <f>IF(CONCATENATE(I3773,Key!F$2)=CONCATENATE(INDEX(Dashboard!J:J,MATCH(I3773,Dashboard!J:J,0),1),INDEX(Dashboard!J:K,MATCH(I3773,Dashboard!J:J,0),2)),"ON",IF(Dashboard!K$32="ALL","ON","-"))</f>
        <v>-</v>
      </c>
      <c r="C3773" s="88" t="s">
        <v>311</v>
      </c>
      <c r="D3773" s="89">
        <f>IF(C3773="ID",1,(IF(C3773="PR",2,(IF(C3773="DE",3,(IF(C3773="RS",4,(IF(C3773="RC",5,0)))))))))</f>
        <v>3</v>
      </c>
      <c r="E3773" s="89" t="s">
        <v>316</v>
      </c>
      <c r="F3773" s="89">
        <f>IF(E3773="AM",1,(IF(E3773="BE",2,(IF(E3773="GV",3,(IF(E3773="RA",4,(IF(E3773="RM",5,(IF(E3773="AC",1,(IF(E3773="AT",2,(IF(E3773="DS",3,(IF(E3773="IP",4,(IF(E3773="MA",5,(IF(E3773="PT",6,(IF(E3773="AE",1,(IF(E3773="CM",2,(IF(E3773="DP",3,(IF(E3773="AN",1,(IF(E3773="CO",2,(IF(E3773="IM",3,(IF(E3773="MI",4,(IF(E3773="RP",5,(IF(E3773="SC",6,0)))))))))))))))))))))))))))))))))))))))</f>
        <v>2</v>
      </c>
      <c r="G3773" s="98">
        <v>4</v>
      </c>
      <c r="H3773" s="99">
        <v>1</v>
      </c>
      <c r="I3773" s="93" t="s">
        <v>73</v>
      </c>
      <c r="J3773" s="86" t="s">
        <v>4245</v>
      </c>
      <c r="K3773" s="107" t="s">
        <v>4350</v>
      </c>
      <c r="L3773" s="117">
        <f>IF(O3773="","",N3773*O3773*M3773)</f>
        <v>0</v>
      </c>
      <c r="M3773" s="108">
        <v>1</v>
      </c>
      <c r="N3773" s="95">
        <v>1</v>
      </c>
      <c r="O3773" s="109">
        <f>IF(Key!D$1="ON",P3773,IF(SUM(Q3773:DL3773)&lt;1,"",SUM(Q3773:DL3773)/COUNTIF(Q3773:DL3773,"&gt;0")))</f>
        <v>0</v>
      </c>
      <c r="P3773" s="109">
        <f>SUMIFS(Q3773:DK3773,Q$1:DK$1,Dashboard!$K$31)</f>
        <v>0</v>
      </c>
      <c r="U3773" s="95">
        <v>33</v>
      </c>
      <c r="AA3773" s="95">
        <v>25</v>
      </c>
      <c r="AH3773" s="95">
        <v>75</v>
      </c>
    </row>
    <row r="3774" spans="1:34" x14ac:dyDescent="0.3">
      <c r="A3774" s="89" t="str">
        <f>CONCATENATE(D3774,".",F3774,"-",G3774,".",H3774,"")</f>
        <v>3.2-4.1</v>
      </c>
      <c r="B3774" s="89" t="str">
        <f>IF(CONCATENATE(I3774,Key!F$2)=CONCATENATE(INDEX(Dashboard!J:J,MATCH(I3774,Dashboard!J:J,0),1),INDEX(Dashboard!J:K,MATCH(I3774,Dashboard!J:J,0),2)),"ON",IF(Dashboard!K$32="ALL","ON","-"))</f>
        <v>-</v>
      </c>
      <c r="C3774" s="88" t="s">
        <v>311</v>
      </c>
      <c r="D3774" s="89">
        <f>IF(C3774="ID",1,(IF(C3774="PR",2,(IF(C3774="DE",3,(IF(C3774="RS",4,(IF(C3774="RC",5,0)))))))))</f>
        <v>3</v>
      </c>
      <c r="E3774" s="89" t="s">
        <v>316</v>
      </c>
      <c r="F3774" s="89">
        <f>IF(E3774="AM",1,(IF(E3774="BE",2,(IF(E3774="GV",3,(IF(E3774="RA",4,(IF(E3774="RM",5,(IF(E3774="AC",1,(IF(E3774="AT",2,(IF(E3774="DS",3,(IF(E3774="IP",4,(IF(E3774="MA",5,(IF(E3774="PT",6,(IF(E3774="AE",1,(IF(E3774="CM",2,(IF(E3774="DP",3,(IF(E3774="AN",1,(IF(E3774="CO",2,(IF(E3774="IM",3,(IF(E3774="MI",4,(IF(E3774="RP",5,(IF(E3774="SC",6,0)))))))))))))))))))))))))))))))))))))))</f>
        <v>2</v>
      </c>
      <c r="G3774" s="98">
        <v>4</v>
      </c>
      <c r="H3774" s="99">
        <v>1</v>
      </c>
      <c r="I3774" s="93" t="s">
        <v>73</v>
      </c>
      <c r="J3774" s="86" t="s">
        <v>4247</v>
      </c>
      <c r="K3774" s="107" t="s">
        <v>4351</v>
      </c>
      <c r="L3774" s="117">
        <f>IF(O3774="","",N3774*O3774*M3774)</f>
        <v>0</v>
      </c>
      <c r="M3774" s="108">
        <v>1</v>
      </c>
      <c r="N3774" s="95">
        <v>1</v>
      </c>
      <c r="O3774" s="109">
        <f>IF(Key!D$1="ON",P3774,IF(SUM(Q3774:DL3774)&lt;1,"",SUM(Q3774:DL3774)/COUNTIF(Q3774:DL3774,"&gt;0")))</f>
        <v>0</v>
      </c>
      <c r="P3774" s="109">
        <f>SUMIFS(Q3774:DK3774,Q$1:DK$1,Dashboard!$K$31)</f>
        <v>0</v>
      </c>
      <c r="U3774" s="95">
        <v>33</v>
      </c>
      <c r="AA3774" s="95">
        <v>25</v>
      </c>
      <c r="AH3774" s="95">
        <v>75</v>
      </c>
    </row>
    <row r="3775" spans="1:34" x14ac:dyDescent="0.3">
      <c r="A3775" s="89" t="str">
        <f>CONCATENATE(D3775,".",F3775,"-",G3775,".",H3775,"")</f>
        <v>3.2-4.1</v>
      </c>
      <c r="B3775" s="89" t="str">
        <f>IF(CONCATENATE(I3775,Key!F$2)=CONCATENATE(INDEX(Dashboard!J:J,MATCH(I3775,Dashboard!J:J,0),1),INDEX(Dashboard!J:K,MATCH(I3775,Dashboard!J:J,0),2)),"ON",IF(Dashboard!K$32="ALL","ON","-"))</f>
        <v>-</v>
      </c>
      <c r="C3775" s="96" t="s">
        <v>311</v>
      </c>
      <c r="D3775" s="89">
        <f>IF(C3775="ID",1,(IF(C3775="PR",2,(IF(C3775="DE",3,(IF(C3775="RS",4,(IF(C3775="RC",5,0)))))))))</f>
        <v>3</v>
      </c>
      <c r="E3775" s="89" t="s">
        <v>316</v>
      </c>
      <c r="F3775" s="89">
        <f>IF(E3775="AM",1,(IF(E3775="BE",2,(IF(E3775="GV",3,(IF(E3775="RA",4,(IF(E3775="RM",5,(IF(E3775="AC",1,(IF(E3775="AT",2,(IF(E3775="DS",3,(IF(E3775="IP",4,(IF(E3775="MA",5,(IF(E3775="PT",6,(IF(E3775="AE",1,(IF(E3775="CM",2,(IF(E3775="DP",3,(IF(E3775="AN",1,(IF(E3775="CO",2,(IF(E3775="IM",3,(IF(E3775="MI",4,(IF(E3775="RP",5,(IF(E3775="SC",6,0)))))))))))))))))))))))))))))))))))))))</f>
        <v>2</v>
      </c>
      <c r="G3775" s="52">
        <v>4</v>
      </c>
      <c r="H3775" s="90" t="s">
        <v>115</v>
      </c>
      <c r="I3775" s="93" t="s">
        <v>77</v>
      </c>
      <c r="J3775" s="87" t="s">
        <v>1858</v>
      </c>
      <c r="K3775" s="102" t="s">
        <v>2762</v>
      </c>
      <c r="L3775" s="117">
        <f>IF(O3775="","",N3775*O3775*M3775)</f>
        <v>0</v>
      </c>
      <c r="M3775" s="108">
        <v>1</v>
      </c>
      <c r="N3775" s="95">
        <v>1</v>
      </c>
      <c r="O3775" s="109">
        <f>IF(Key!D$1="ON",P3775,IF(SUM(Q3775:DL3775)&lt;1,"",SUM(Q3775:DL3775)/COUNTIF(Q3775:DL3775,"&gt;0")))</f>
        <v>0</v>
      </c>
      <c r="P3775" s="109">
        <f>SUMIFS(Q3775:DK3775,Q$1:DK$1,Dashboard!$K$31)</f>
        <v>0</v>
      </c>
      <c r="U3775" s="95">
        <v>33</v>
      </c>
      <c r="AA3775" s="95">
        <v>25</v>
      </c>
      <c r="AH3775" s="95">
        <v>75</v>
      </c>
    </row>
    <row r="3776" spans="1:34" x14ac:dyDescent="0.3">
      <c r="A3776" s="89" t="str">
        <f>CONCATENATE(D3776,".",F3776,"-",G3776,".",H3776,"")</f>
        <v>3.2-4.1</v>
      </c>
      <c r="B3776" s="89" t="str">
        <f>IF(CONCATENATE(I3776,Key!F$2)=CONCATENATE(INDEX(Dashboard!J:J,MATCH(I3776,Dashboard!J:J,0),1),INDEX(Dashboard!J:K,MATCH(I3776,Dashboard!J:J,0),2)),"ON",IF(Dashboard!K$32="ALL","ON","-"))</f>
        <v>-</v>
      </c>
      <c r="C3776" s="88" t="s">
        <v>311</v>
      </c>
      <c r="D3776" s="89">
        <f>IF(C3776="ID",1,(IF(C3776="PR",2,(IF(C3776="DE",3,(IF(C3776="RS",4,(IF(C3776="RC",5,0)))))))))</f>
        <v>3</v>
      </c>
      <c r="E3776" s="89" t="s">
        <v>316</v>
      </c>
      <c r="F3776" s="89">
        <f>IF(E3776="AM",1,(IF(E3776="BE",2,(IF(E3776="GV",3,(IF(E3776="RA",4,(IF(E3776="RM",5,(IF(E3776="AC",1,(IF(E3776="AT",2,(IF(E3776="DS",3,(IF(E3776="IP",4,(IF(E3776="MA",5,(IF(E3776="PT",6,(IF(E3776="AE",1,(IF(E3776="CM",2,(IF(E3776="DP",3,(IF(E3776="AN",1,(IF(E3776="CO",2,(IF(E3776="IM",3,(IF(E3776="MI",4,(IF(E3776="RP",5,(IF(E3776="SC",6,0)))))))))))))))))))))))))))))))))))))))</f>
        <v>2</v>
      </c>
      <c r="G3776" s="52">
        <v>4</v>
      </c>
      <c r="H3776" s="90" t="s">
        <v>115</v>
      </c>
      <c r="I3776" s="93" t="s">
        <v>77</v>
      </c>
      <c r="J3776" s="87" t="s">
        <v>1860</v>
      </c>
      <c r="K3776" s="102" t="s">
        <v>2763</v>
      </c>
      <c r="L3776" s="117">
        <f>IF(O3776="","",N3776*O3776*M3776)</f>
        <v>0</v>
      </c>
      <c r="M3776" s="108">
        <v>1</v>
      </c>
      <c r="N3776" s="95">
        <v>1</v>
      </c>
      <c r="O3776" s="109">
        <f>IF(Key!D$1="ON",P3776,IF(SUM(Q3776:DL3776)&lt;1,"",SUM(Q3776:DL3776)/COUNTIF(Q3776:DL3776,"&gt;0")))</f>
        <v>0</v>
      </c>
      <c r="P3776" s="109">
        <f>SUMIFS(Q3776:DK3776,Q$1:DK$1,Dashboard!$K$31)</f>
        <v>0</v>
      </c>
      <c r="U3776" s="95">
        <v>33</v>
      </c>
      <c r="AA3776" s="95">
        <v>25</v>
      </c>
      <c r="AH3776" s="95">
        <v>75</v>
      </c>
    </row>
    <row r="3777" spans="1:34" ht="15.6" x14ac:dyDescent="0.3">
      <c r="A3777" s="89" t="str">
        <f>CONCATENATE(D3777,".",F3777,"-",G3777,".",H3777,"")</f>
        <v>3.2-4.1</v>
      </c>
      <c r="B3777" s="89" t="str">
        <f>IF(CONCATENATE(I3777,Key!F$2)=CONCATENATE(INDEX(Dashboard!J:J,MATCH(I3777,Dashboard!J:J,0),1),INDEX(Dashboard!J:K,MATCH(I3777,Dashboard!J:J,0),2)),"ON",IF(Dashboard!K$32="ALL","ON","-"))</f>
        <v>-</v>
      </c>
      <c r="C3777" s="88" t="s">
        <v>311</v>
      </c>
      <c r="D3777" s="89">
        <f>IF(C3777="ID",1,(IF(C3777="PR",2,(IF(C3777="DE",3,(IF(C3777="RS",4,(IF(C3777="RC",5,0)))))))))</f>
        <v>3</v>
      </c>
      <c r="E3777" s="89" t="s">
        <v>316</v>
      </c>
      <c r="F3777" s="89">
        <f>IF(E3777="AM",1,(IF(E3777="BE",2,(IF(E3777="GV",3,(IF(E3777="RA",4,(IF(E3777="RM",5,(IF(E3777="AC",1,(IF(E3777="AT",2,(IF(E3777="DS",3,(IF(E3777="IP",4,(IF(E3777="MA",5,(IF(E3777="PT",6,(IF(E3777="AE",1,(IF(E3777="CM",2,(IF(E3777="DP",3,(IF(E3777="AN",1,(IF(E3777="CO",2,(IF(E3777="IM",3,(IF(E3777="MI",4,(IF(E3777="RP",5,(IF(E3777="SC",6,0)))))))))))))))))))))))))))))))))))))))</f>
        <v>2</v>
      </c>
      <c r="G3777" s="52">
        <v>4</v>
      </c>
      <c r="H3777" s="90" t="s">
        <v>115</v>
      </c>
      <c r="I3777" s="93" t="s">
        <v>77</v>
      </c>
      <c r="J3777" s="87" t="s">
        <v>1861</v>
      </c>
      <c r="K3777" s="102" t="s">
        <v>2764</v>
      </c>
      <c r="L3777" s="117">
        <f>IF(O3777="","",N3777*O3777*M3777)</f>
        <v>0</v>
      </c>
      <c r="M3777" s="108">
        <v>1</v>
      </c>
      <c r="N3777" s="95">
        <v>1</v>
      </c>
      <c r="O3777" s="109">
        <f>IF(Key!D$1="ON",P3777,IF(SUM(Q3777:DL3777)&lt;1,"",SUM(Q3777:DL3777)/COUNTIF(Q3777:DL3777,"&gt;0")))</f>
        <v>0</v>
      </c>
      <c r="P3777" s="109">
        <f>SUMIFS(Q3777:DK3777,Q$1:DK$1,Dashboard!$K$31)</f>
        <v>0</v>
      </c>
      <c r="U3777" s="95">
        <v>33</v>
      </c>
      <c r="AA3777" s="95">
        <v>25</v>
      </c>
      <c r="AH3777" s="95">
        <v>75</v>
      </c>
    </row>
    <row r="3778" spans="1:34" x14ac:dyDescent="0.3">
      <c r="A3778" s="89" t="str">
        <f>CONCATENATE(D3778,".",F3778,"-",G3778,".",H3778,"")</f>
        <v>3.2-4.1</v>
      </c>
      <c r="B3778" s="89" t="str">
        <f>IF(CONCATENATE(I3778,Key!F$2)=CONCATENATE(INDEX(Dashboard!J:J,MATCH(I3778,Dashboard!J:J,0),1),INDEX(Dashboard!J:K,MATCH(I3778,Dashboard!J:J,0),2)),"ON",IF(Dashboard!K$32="ALL","ON","-"))</f>
        <v>-</v>
      </c>
      <c r="C3778" s="88" t="s">
        <v>311</v>
      </c>
      <c r="D3778" s="89">
        <f>IF(C3778="ID",1,(IF(C3778="PR",2,(IF(C3778="DE",3,(IF(C3778="RS",4,(IF(C3778="RC",5,0)))))))))</f>
        <v>3</v>
      </c>
      <c r="E3778" s="89" t="s">
        <v>316</v>
      </c>
      <c r="F3778" s="89">
        <f>IF(E3778="AM",1,(IF(E3778="BE",2,(IF(E3778="GV",3,(IF(E3778="RA",4,(IF(E3778="RM",5,(IF(E3778="AC",1,(IF(E3778="AT",2,(IF(E3778="DS",3,(IF(E3778="IP",4,(IF(E3778="MA",5,(IF(E3778="PT",6,(IF(E3778="AE",1,(IF(E3778="CM",2,(IF(E3778="DP",3,(IF(E3778="AN",1,(IF(E3778="CO",2,(IF(E3778="IM",3,(IF(E3778="MI",4,(IF(E3778="RP",5,(IF(E3778="SC",6,0)))))))))))))))))))))))))))))))))))))))</f>
        <v>2</v>
      </c>
      <c r="G3778" s="52">
        <v>4</v>
      </c>
      <c r="H3778" s="90" t="s">
        <v>115</v>
      </c>
      <c r="I3778" s="93" t="s">
        <v>77</v>
      </c>
      <c r="J3778" s="87" t="s">
        <v>1862</v>
      </c>
      <c r="K3778" s="102" t="s">
        <v>2765</v>
      </c>
      <c r="L3778" s="117">
        <f>IF(O3778="","",N3778*O3778*M3778)</f>
        <v>0</v>
      </c>
      <c r="M3778" s="108">
        <v>1</v>
      </c>
      <c r="N3778" s="95">
        <v>1</v>
      </c>
      <c r="O3778" s="109">
        <f>IF(Key!D$1="ON",P3778,IF(SUM(Q3778:DL3778)&lt;1,"",SUM(Q3778:DL3778)/COUNTIF(Q3778:DL3778,"&gt;0")))</f>
        <v>0</v>
      </c>
      <c r="P3778" s="109">
        <f>SUMIFS(Q3778:DK3778,Q$1:DK$1,Dashboard!$K$31)</f>
        <v>0</v>
      </c>
      <c r="U3778" s="95">
        <v>33</v>
      </c>
      <c r="AA3778" s="95">
        <v>25</v>
      </c>
      <c r="AH3778" s="95">
        <v>75</v>
      </c>
    </row>
    <row r="3779" spans="1:34" x14ac:dyDescent="0.3">
      <c r="A3779" s="89" t="str">
        <f>CONCATENATE(D3779,".",F3779,"-",G3779,".",H3779,"")</f>
        <v>3.2-4.1</v>
      </c>
      <c r="B3779" s="89" t="str">
        <f>IF(CONCATENATE(I3779,Key!F$2)=CONCATENATE(INDEX(Dashboard!J:J,MATCH(I3779,Dashboard!J:J,0),1),INDEX(Dashboard!J:K,MATCH(I3779,Dashboard!J:J,0),2)),"ON",IF(Dashboard!K$32="ALL","ON","-"))</f>
        <v>-</v>
      </c>
      <c r="C3779" s="88" t="s">
        <v>311</v>
      </c>
      <c r="D3779" s="89">
        <f>IF(C3779="ID",1,(IF(C3779="PR",2,(IF(C3779="DE",3,(IF(C3779="RS",4,(IF(C3779="RC",5,0)))))))))</f>
        <v>3</v>
      </c>
      <c r="E3779" s="89" t="s">
        <v>316</v>
      </c>
      <c r="F3779" s="89">
        <f>IF(E3779="AM",1,(IF(E3779="BE",2,(IF(E3779="GV",3,(IF(E3779="RA",4,(IF(E3779="RM",5,(IF(E3779="AC",1,(IF(E3779="AT",2,(IF(E3779="DS",3,(IF(E3779="IP",4,(IF(E3779="MA",5,(IF(E3779="PT",6,(IF(E3779="AE",1,(IF(E3779="CM",2,(IF(E3779="DP",3,(IF(E3779="AN",1,(IF(E3779="CO",2,(IF(E3779="IM",3,(IF(E3779="MI",4,(IF(E3779="RP",5,(IF(E3779="SC",6,0)))))))))))))))))))))))))))))))))))))))</f>
        <v>2</v>
      </c>
      <c r="G3779" s="52">
        <v>4</v>
      </c>
      <c r="H3779" s="90" t="s">
        <v>115</v>
      </c>
      <c r="I3779" s="93" t="s">
        <v>77</v>
      </c>
      <c r="J3779" s="87" t="s">
        <v>1863</v>
      </c>
      <c r="K3779" s="102" t="s">
        <v>2766</v>
      </c>
      <c r="L3779" s="117">
        <f>IF(O3779="","",N3779*O3779*M3779)</f>
        <v>0</v>
      </c>
      <c r="M3779" s="108">
        <v>1</v>
      </c>
      <c r="N3779" s="95">
        <v>1</v>
      </c>
      <c r="O3779" s="109">
        <f>IF(Key!D$1="ON",P3779,IF(SUM(Q3779:DL3779)&lt;1,"",SUM(Q3779:DL3779)/COUNTIF(Q3779:DL3779,"&gt;0")))</f>
        <v>0</v>
      </c>
      <c r="P3779" s="109">
        <f>SUMIFS(Q3779:DK3779,Q$1:DK$1,Dashboard!$K$31)</f>
        <v>0</v>
      </c>
      <c r="U3779" s="95">
        <v>33</v>
      </c>
      <c r="AA3779" s="95">
        <v>25</v>
      </c>
      <c r="AH3779" s="95">
        <v>75</v>
      </c>
    </row>
    <row r="3780" spans="1:34" x14ac:dyDescent="0.3">
      <c r="A3780" s="89" t="str">
        <f>CONCATENATE(D3780,".",F3780,"-",G3780,".",H3780,"")</f>
        <v>3.2-4.1</v>
      </c>
      <c r="B3780" s="89" t="str">
        <f>IF(CONCATENATE(I3780,Key!F$2)=CONCATENATE(INDEX(Dashboard!J:J,MATCH(I3780,Dashboard!J:J,0),1),INDEX(Dashboard!J:K,MATCH(I3780,Dashboard!J:J,0),2)),"ON",IF(Dashboard!K$32="ALL","ON","-"))</f>
        <v>-</v>
      </c>
      <c r="C3780" s="88" t="s">
        <v>311</v>
      </c>
      <c r="D3780" s="89">
        <f>IF(C3780="ID",1,(IF(C3780="PR",2,(IF(C3780="DE",3,(IF(C3780="RS",4,(IF(C3780="RC",5,0)))))))))</f>
        <v>3</v>
      </c>
      <c r="E3780" s="89" t="s">
        <v>316</v>
      </c>
      <c r="F3780" s="89">
        <f>IF(E3780="AM",1,(IF(E3780="BE",2,(IF(E3780="GV",3,(IF(E3780="RA",4,(IF(E3780="RM",5,(IF(E3780="AC",1,(IF(E3780="AT",2,(IF(E3780="DS",3,(IF(E3780="IP",4,(IF(E3780="MA",5,(IF(E3780="PT",6,(IF(E3780="AE",1,(IF(E3780="CM",2,(IF(E3780="DP",3,(IF(E3780="AN",1,(IF(E3780="CO",2,(IF(E3780="IM",3,(IF(E3780="MI",4,(IF(E3780="RP",5,(IF(E3780="SC",6,0)))))))))))))))))))))))))))))))))))))))</f>
        <v>2</v>
      </c>
      <c r="G3780" s="52">
        <v>4</v>
      </c>
      <c r="H3780" s="90" t="s">
        <v>115</v>
      </c>
      <c r="I3780" s="93" t="s">
        <v>77</v>
      </c>
      <c r="J3780" s="87" t="s">
        <v>1864</v>
      </c>
      <c r="K3780" s="102" t="s">
        <v>2767</v>
      </c>
      <c r="L3780" s="117">
        <f>IF(O3780="","",N3780*O3780*M3780)</f>
        <v>0</v>
      </c>
      <c r="M3780" s="108">
        <v>1</v>
      </c>
      <c r="N3780" s="95">
        <v>1</v>
      </c>
      <c r="O3780" s="109">
        <f>IF(Key!D$1="ON",P3780,IF(SUM(Q3780:DL3780)&lt;1,"",SUM(Q3780:DL3780)/COUNTIF(Q3780:DL3780,"&gt;0")))</f>
        <v>0</v>
      </c>
      <c r="P3780" s="109">
        <f>SUMIFS(Q3780:DK3780,Q$1:DK$1,Dashboard!$K$31)</f>
        <v>0</v>
      </c>
      <c r="U3780" s="95">
        <v>33</v>
      </c>
      <c r="AA3780" s="95">
        <v>25</v>
      </c>
      <c r="AH3780" s="95">
        <v>75</v>
      </c>
    </row>
    <row r="3781" spans="1:34" x14ac:dyDescent="0.3">
      <c r="A3781" s="89" t="str">
        <f>CONCATENATE(D3781,".",F3781,"-",G3781,".",H3781,"")</f>
        <v>3.2-4.1</v>
      </c>
      <c r="B3781" s="89" t="str">
        <f>IF(CONCATENATE(I3781,Key!F$2)=CONCATENATE(INDEX(Dashboard!J:J,MATCH(I3781,Dashboard!J:J,0),1),INDEX(Dashboard!J:K,MATCH(I3781,Dashboard!J:J,0),2)),"ON",IF(Dashboard!K$32="ALL","ON","-"))</f>
        <v>-</v>
      </c>
      <c r="C3781" s="88" t="s">
        <v>311</v>
      </c>
      <c r="D3781" s="89">
        <f>IF(C3781="ID",1,(IF(C3781="PR",2,(IF(C3781="DE",3,(IF(C3781="RS",4,(IF(C3781="RC",5,0)))))))))</f>
        <v>3</v>
      </c>
      <c r="E3781" s="89" t="s">
        <v>316</v>
      </c>
      <c r="F3781" s="89">
        <f>IF(E3781="AM",1,(IF(E3781="BE",2,(IF(E3781="GV",3,(IF(E3781="RA",4,(IF(E3781="RM",5,(IF(E3781="AC",1,(IF(E3781="AT",2,(IF(E3781="DS",3,(IF(E3781="IP",4,(IF(E3781="MA",5,(IF(E3781="PT",6,(IF(E3781="AE",1,(IF(E3781="CM",2,(IF(E3781="DP",3,(IF(E3781="AN",1,(IF(E3781="CO",2,(IF(E3781="IM",3,(IF(E3781="MI",4,(IF(E3781="RP",5,(IF(E3781="SC",6,0)))))))))))))))))))))))))))))))))))))))</f>
        <v>2</v>
      </c>
      <c r="G3781" s="52">
        <v>4</v>
      </c>
      <c r="H3781" s="90" t="s">
        <v>115</v>
      </c>
      <c r="I3781" s="93" t="s">
        <v>77</v>
      </c>
      <c r="J3781" s="87" t="s">
        <v>1865</v>
      </c>
      <c r="K3781" s="102" t="s">
        <v>2768</v>
      </c>
      <c r="L3781" s="117">
        <f>IF(O3781="","",N3781*O3781*M3781)</f>
        <v>0</v>
      </c>
      <c r="M3781" s="108">
        <v>1</v>
      </c>
      <c r="N3781" s="95">
        <v>1</v>
      </c>
      <c r="O3781" s="109">
        <f>IF(Key!D$1="ON",P3781,IF(SUM(Q3781:DL3781)&lt;1,"",SUM(Q3781:DL3781)/COUNTIF(Q3781:DL3781,"&gt;0")))</f>
        <v>0</v>
      </c>
      <c r="P3781" s="109">
        <f>SUMIFS(Q3781:DK3781,Q$1:DK$1,Dashboard!$K$31)</f>
        <v>0</v>
      </c>
      <c r="U3781" s="95">
        <v>33</v>
      </c>
      <c r="AA3781" s="95">
        <v>25</v>
      </c>
      <c r="AH3781" s="95">
        <v>75</v>
      </c>
    </row>
    <row r="3782" spans="1:34" x14ac:dyDescent="0.3">
      <c r="A3782" s="89" t="str">
        <f>CONCATENATE(D3782,".",F3782,"-",G3782,".",H3782,"")</f>
        <v>3.2-4.1</v>
      </c>
      <c r="B3782" s="89" t="str">
        <f>IF(CONCATENATE(I3782,Key!F$2)=CONCATENATE(INDEX(Dashboard!J:J,MATCH(I3782,Dashboard!J:J,0),1),INDEX(Dashboard!J:K,MATCH(I3782,Dashboard!J:J,0),2)),"ON",IF(Dashboard!K$32="ALL","ON","-"))</f>
        <v>-</v>
      </c>
      <c r="C3782" s="88" t="s">
        <v>311</v>
      </c>
      <c r="D3782" s="89">
        <f>IF(C3782="ID",1,(IF(C3782="PR",2,(IF(C3782="DE",3,(IF(C3782="RS",4,(IF(C3782="RC",5,0)))))))))</f>
        <v>3</v>
      </c>
      <c r="E3782" s="89" t="s">
        <v>316</v>
      </c>
      <c r="F3782" s="89">
        <f>IF(E3782="AM",1,(IF(E3782="BE",2,(IF(E3782="GV",3,(IF(E3782="RA",4,(IF(E3782="RM",5,(IF(E3782="AC",1,(IF(E3782="AT",2,(IF(E3782="DS",3,(IF(E3782="IP",4,(IF(E3782="MA",5,(IF(E3782="PT",6,(IF(E3782="AE",1,(IF(E3782="CM",2,(IF(E3782="DP",3,(IF(E3782="AN",1,(IF(E3782="CO",2,(IF(E3782="IM",3,(IF(E3782="MI",4,(IF(E3782="RP",5,(IF(E3782="SC",6,0)))))))))))))))))))))))))))))))))))))))</f>
        <v>2</v>
      </c>
      <c r="G3782" s="52">
        <v>4</v>
      </c>
      <c r="H3782" s="90" t="s">
        <v>115</v>
      </c>
      <c r="I3782" s="93" t="s">
        <v>77</v>
      </c>
      <c r="J3782" s="87" t="s">
        <v>1866</v>
      </c>
      <c r="K3782" s="102" t="s">
        <v>2769</v>
      </c>
      <c r="L3782" s="117">
        <f>IF(O3782="","",N3782*O3782*M3782)</f>
        <v>0</v>
      </c>
      <c r="M3782" s="108">
        <v>1</v>
      </c>
      <c r="N3782" s="95">
        <v>1</v>
      </c>
      <c r="O3782" s="109">
        <f>IF(Key!D$1="ON",P3782,IF(SUM(Q3782:DL3782)&lt;1,"",SUM(Q3782:DL3782)/COUNTIF(Q3782:DL3782,"&gt;0")))</f>
        <v>0</v>
      </c>
      <c r="P3782" s="109">
        <f>SUMIFS(Q3782:DK3782,Q$1:DK$1,Dashboard!$K$31)</f>
        <v>0</v>
      </c>
      <c r="U3782" s="95">
        <v>33</v>
      </c>
      <c r="AA3782" s="95">
        <v>25</v>
      </c>
      <c r="AH3782" s="95">
        <v>75</v>
      </c>
    </row>
    <row r="3783" spans="1:34" x14ac:dyDescent="0.3">
      <c r="A3783" s="89" t="str">
        <f>CONCATENATE(D3783,".",F3783,"-",G3783,".",H3783,"")</f>
        <v>3.2-4.1</v>
      </c>
      <c r="B3783" s="89" t="str">
        <f>IF(CONCATENATE(I3783,Key!F$2)=CONCATENATE(INDEX(Dashboard!J:J,MATCH(I3783,Dashboard!J:J,0),1),INDEX(Dashboard!J:K,MATCH(I3783,Dashboard!J:J,0),2)),"ON",IF(Dashboard!K$32="ALL","ON","-"))</f>
        <v>-</v>
      </c>
      <c r="C3783" s="88" t="s">
        <v>311</v>
      </c>
      <c r="D3783" s="89">
        <f>IF(C3783="ID",1,(IF(C3783="PR",2,(IF(C3783="DE",3,(IF(C3783="RS",4,(IF(C3783="RC",5,0)))))))))</f>
        <v>3</v>
      </c>
      <c r="E3783" s="89" t="s">
        <v>316</v>
      </c>
      <c r="F3783" s="89">
        <f>IF(E3783="AM",1,(IF(E3783="BE",2,(IF(E3783="GV",3,(IF(E3783="RA",4,(IF(E3783="RM",5,(IF(E3783="AC",1,(IF(E3783="AT",2,(IF(E3783="DS",3,(IF(E3783="IP",4,(IF(E3783="MA",5,(IF(E3783="PT",6,(IF(E3783="AE",1,(IF(E3783="CM",2,(IF(E3783="DP",3,(IF(E3783="AN",1,(IF(E3783="CO",2,(IF(E3783="IM",3,(IF(E3783="MI",4,(IF(E3783="RP",5,(IF(E3783="SC",6,0)))))))))))))))))))))))))))))))))))))))</f>
        <v>2</v>
      </c>
      <c r="G3783" s="52">
        <v>4</v>
      </c>
      <c r="H3783" s="90" t="s">
        <v>115</v>
      </c>
      <c r="I3783" s="93" t="s">
        <v>77</v>
      </c>
      <c r="J3783" s="87" t="s">
        <v>1867</v>
      </c>
      <c r="K3783" s="102" t="s">
        <v>2770</v>
      </c>
      <c r="L3783" s="117">
        <f>IF(O3783="","",N3783*O3783*M3783)</f>
        <v>0</v>
      </c>
      <c r="M3783" s="108">
        <v>1</v>
      </c>
      <c r="N3783" s="95">
        <v>1</v>
      </c>
      <c r="O3783" s="109">
        <f>IF(Key!D$1="ON",P3783,IF(SUM(Q3783:DL3783)&lt;1,"",SUM(Q3783:DL3783)/COUNTIF(Q3783:DL3783,"&gt;0")))</f>
        <v>0</v>
      </c>
      <c r="P3783" s="109">
        <f>SUMIFS(Q3783:DK3783,Q$1:DK$1,Dashboard!$K$31)</f>
        <v>0</v>
      </c>
      <c r="U3783" s="95">
        <v>33</v>
      </c>
      <c r="AA3783" s="95">
        <v>25</v>
      </c>
      <c r="AH3783" s="95">
        <v>75</v>
      </c>
    </row>
    <row r="3784" spans="1:34" x14ac:dyDescent="0.3">
      <c r="A3784" s="89" t="str">
        <f>CONCATENATE(D3784,".",F3784,"-",G3784,".",H3784,"")</f>
        <v>3.2-4.1</v>
      </c>
      <c r="B3784" s="89" t="str">
        <f>IF(CONCATENATE(I3784,Key!F$2)=CONCATENATE(INDEX(Dashboard!J:J,MATCH(I3784,Dashboard!J:J,0),1),INDEX(Dashboard!J:K,MATCH(I3784,Dashboard!J:J,0),2)),"ON",IF(Dashboard!K$32="ALL","ON","-"))</f>
        <v>-</v>
      </c>
      <c r="C3784" s="88" t="s">
        <v>311</v>
      </c>
      <c r="D3784" s="89">
        <f>IF(C3784="ID",1,(IF(C3784="PR",2,(IF(C3784="DE",3,(IF(C3784="RS",4,(IF(C3784="RC",5,0)))))))))</f>
        <v>3</v>
      </c>
      <c r="E3784" s="89" t="s">
        <v>316</v>
      </c>
      <c r="F3784" s="89">
        <f>IF(E3784="AM",1,(IF(E3784="BE",2,(IF(E3784="GV",3,(IF(E3784="RA",4,(IF(E3784="RM",5,(IF(E3784="AC",1,(IF(E3784="AT",2,(IF(E3784="DS",3,(IF(E3784="IP",4,(IF(E3784="MA",5,(IF(E3784="PT",6,(IF(E3784="AE",1,(IF(E3784="CM",2,(IF(E3784="DP",3,(IF(E3784="AN",1,(IF(E3784="CO",2,(IF(E3784="IM",3,(IF(E3784="MI",4,(IF(E3784="RP",5,(IF(E3784="SC",6,0)))))))))))))))))))))))))))))))))))))))</f>
        <v>2</v>
      </c>
      <c r="G3784" s="52">
        <v>4</v>
      </c>
      <c r="H3784" s="90" t="s">
        <v>115</v>
      </c>
      <c r="I3784" s="93" t="s">
        <v>85</v>
      </c>
      <c r="J3784" s="86" t="s">
        <v>829</v>
      </c>
      <c r="K3784" s="119" t="s">
        <v>830</v>
      </c>
      <c r="L3784" s="117">
        <f>IF(O3784="","",N3784*O3784*M3784)</f>
        <v>0</v>
      </c>
      <c r="M3784" s="108">
        <v>1</v>
      </c>
      <c r="N3784" s="95">
        <v>1</v>
      </c>
      <c r="O3784" s="109">
        <f>IF(Key!D$1="ON",P3784,IF(SUM(Q3784:DL3784)&lt;1,"",SUM(Q3784:DL3784)/COUNTIF(Q3784:DL3784,"&gt;0")))</f>
        <v>0</v>
      </c>
      <c r="P3784" s="109">
        <f>SUMIFS(Q3784:DK3784,Q$1:DK$1,Dashboard!$K$31)</f>
        <v>0</v>
      </c>
      <c r="U3784" s="95">
        <v>33</v>
      </c>
      <c r="AA3784" s="95">
        <v>25</v>
      </c>
      <c r="AH3784" s="95">
        <v>75</v>
      </c>
    </row>
    <row r="3785" spans="1:34" x14ac:dyDescent="0.3">
      <c r="A3785" s="89" t="str">
        <f>CONCATENATE(D3785,".",F3785,"-",G3785,".",H3785,"")</f>
        <v>3.2-4.1</v>
      </c>
      <c r="B3785" s="89" t="str">
        <f>IF(CONCATENATE(I3785,Key!F$2)=CONCATENATE(INDEX(Dashboard!J:J,MATCH(I3785,Dashboard!J:J,0),1),INDEX(Dashboard!J:K,MATCH(I3785,Dashboard!J:J,0),2)),"ON",IF(Dashboard!K$32="ALL","ON","-"))</f>
        <v>-</v>
      </c>
      <c r="C3785" s="88" t="s">
        <v>311</v>
      </c>
      <c r="D3785" s="89">
        <f>IF(C3785="ID",1,(IF(C3785="PR",2,(IF(C3785="DE",3,(IF(C3785="RS",4,(IF(C3785="RC",5,0)))))))))</f>
        <v>3</v>
      </c>
      <c r="E3785" s="89" t="s">
        <v>316</v>
      </c>
      <c r="F3785" s="89">
        <f>IF(E3785="AM",1,(IF(E3785="BE",2,(IF(E3785="GV",3,(IF(E3785="RA",4,(IF(E3785="RM",5,(IF(E3785="AC",1,(IF(E3785="AT",2,(IF(E3785="DS",3,(IF(E3785="IP",4,(IF(E3785="MA",5,(IF(E3785="PT",6,(IF(E3785="AE",1,(IF(E3785="CM",2,(IF(E3785="DP",3,(IF(E3785="AN",1,(IF(E3785="CO",2,(IF(E3785="IM",3,(IF(E3785="MI",4,(IF(E3785="RP",5,(IF(E3785="SC",6,0)))))))))))))))))))))))))))))))))))))))</f>
        <v>2</v>
      </c>
      <c r="G3785" s="52">
        <v>4</v>
      </c>
      <c r="H3785" s="90" t="s">
        <v>115</v>
      </c>
      <c r="I3785" s="93" t="s">
        <v>85</v>
      </c>
      <c r="J3785" s="87" t="s">
        <v>1866</v>
      </c>
      <c r="K3785" s="119" t="s">
        <v>5097</v>
      </c>
      <c r="L3785" s="117">
        <f>IF(O3785="","",N3785*O3785*M3785)</f>
        <v>0</v>
      </c>
      <c r="M3785" s="108">
        <v>1</v>
      </c>
      <c r="N3785" s="95">
        <v>1</v>
      </c>
      <c r="O3785" s="109">
        <f>IF(Key!D$1="ON",P3785,IF(SUM(Q3785:DL3785)&lt;1,"",SUM(Q3785:DL3785)/COUNTIF(Q3785:DL3785,"&gt;0")))</f>
        <v>0</v>
      </c>
      <c r="P3785" s="109">
        <f>SUMIFS(Q3785:DK3785,Q$1:DK$1,Dashboard!$K$31)</f>
        <v>0</v>
      </c>
      <c r="U3785" s="95">
        <v>33</v>
      </c>
      <c r="AA3785" s="95">
        <v>25</v>
      </c>
      <c r="AH3785" s="95">
        <v>75</v>
      </c>
    </row>
    <row r="3786" spans="1:34" x14ac:dyDescent="0.3">
      <c r="A3786" s="89" t="str">
        <f>CONCATENATE(D3786,".",F3786,"-",G3786,".",H3786,"")</f>
        <v>3.2-4.1</v>
      </c>
      <c r="B3786" s="89" t="str">
        <f>IF(CONCATENATE(I3786,Key!F$2)=CONCATENATE(INDEX(Dashboard!J:J,MATCH(I3786,Dashboard!J:J,0),1),INDEX(Dashboard!J:K,MATCH(I3786,Dashboard!J:J,0),2)),"ON",IF(Dashboard!K$32="ALL","ON","-"))</f>
        <v>-</v>
      </c>
      <c r="C3786" s="88" t="s">
        <v>311</v>
      </c>
      <c r="D3786" s="89">
        <f>IF(C3786="ID",1,(IF(C3786="PR",2,(IF(C3786="DE",3,(IF(C3786="RS",4,(IF(C3786="RC",5,0)))))))))</f>
        <v>3</v>
      </c>
      <c r="E3786" s="89" t="s">
        <v>316</v>
      </c>
      <c r="F3786" s="89">
        <f>IF(E3786="AM",1,(IF(E3786="BE",2,(IF(E3786="GV",3,(IF(E3786="RA",4,(IF(E3786="RM",5,(IF(E3786="AC",1,(IF(E3786="AT",2,(IF(E3786="DS",3,(IF(E3786="IP",4,(IF(E3786="MA",5,(IF(E3786="PT",6,(IF(E3786="AE",1,(IF(E3786="CM",2,(IF(E3786="DP",3,(IF(E3786="AN",1,(IF(E3786="CO",2,(IF(E3786="IM",3,(IF(E3786="MI",4,(IF(E3786="RP",5,(IF(E3786="SC",6,0)))))))))))))))))))))))))))))))))))))))</f>
        <v>2</v>
      </c>
      <c r="G3786" s="52">
        <v>4</v>
      </c>
      <c r="H3786" s="90" t="s">
        <v>115</v>
      </c>
      <c r="I3786" s="93" t="s">
        <v>85</v>
      </c>
      <c r="J3786" s="87" t="s">
        <v>1861</v>
      </c>
      <c r="K3786" s="119" t="s">
        <v>5098</v>
      </c>
      <c r="L3786" s="117">
        <f>IF(O3786="","",N3786*O3786*M3786)</f>
        <v>0</v>
      </c>
      <c r="M3786" s="108">
        <v>1</v>
      </c>
      <c r="N3786" s="95">
        <v>1</v>
      </c>
      <c r="O3786" s="109">
        <f>IF(Key!D$1="ON",P3786,IF(SUM(Q3786:DL3786)&lt;1,"",SUM(Q3786:DL3786)/COUNTIF(Q3786:DL3786,"&gt;0")))</f>
        <v>0</v>
      </c>
      <c r="P3786" s="109">
        <f>SUMIFS(Q3786:DK3786,Q$1:DK$1,Dashboard!$K$31)</f>
        <v>0</v>
      </c>
      <c r="U3786" s="95">
        <v>33</v>
      </c>
      <c r="AA3786" s="95">
        <v>25</v>
      </c>
      <c r="AH3786" s="95">
        <v>75</v>
      </c>
    </row>
    <row r="3787" spans="1:34" x14ac:dyDescent="0.3">
      <c r="A3787" s="89" t="str">
        <f>CONCATENATE(D3787,".",F3787,"-",G3787,".",H3787,"")</f>
        <v>3.2-4.1</v>
      </c>
      <c r="B3787" s="89" t="str">
        <f>IF(CONCATENATE(I3787,Key!F$2)=CONCATENATE(INDEX(Dashboard!J:J,MATCH(I3787,Dashboard!J:J,0),1),INDEX(Dashboard!J:K,MATCH(I3787,Dashboard!J:J,0),2)),"ON",IF(Dashboard!K$32="ALL","ON","-"))</f>
        <v>-</v>
      </c>
      <c r="C3787" s="88" t="s">
        <v>311</v>
      </c>
      <c r="D3787" s="89">
        <f>IF(C3787="ID",1,(IF(C3787="PR",2,(IF(C3787="DE",3,(IF(C3787="RS",4,(IF(C3787="RC",5,0)))))))))</f>
        <v>3</v>
      </c>
      <c r="E3787" s="89" t="s">
        <v>316</v>
      </c>
      <c r="F3787" s="89">
        <f>IF(E3787="AM",1,(IF(E3787="BE",2,(IF(E3787="GV",3,(IF(E3787="RA",4,(IF(E3787="RM",5,(IF(E3787="AC",1,(IF(E3787="AT",2,(IF(E3787="DS",3,(IF(E3787="IP",4,(IF(E3787="MA",5,(IF(E3787="PT",6,(IF(E3787="AE",1,(IF(E3787="CM",2,(IF(E3787="DP",3,(IF(E3787="AN",1,(IF(E3787="CO",2,(IF(E3787="IM",3,(IF(E3787="MI",4,(IF(E3787="RP",5,(IF(E3787="SC",6,0)))))))))))))))))))))))))))))))))))))))</f>
        <v>2</v>
      </c>
      <c r="G3787" s="52">
        <v>4</v>
      </c>
      <c r="H3787" s="90" t="s">
        <v>115</v>
      </c>
      <c r="I3787" s="93" t="s">
        <v>85</v>
      </c>
      <c r="J3787" s="86" t="s">
        <v>700</v>
      </c>
      <c r="K3787" s="119" t="s">
        <v>4801</v>
      </c>
      <c r="L3787" s="117">
        <f>IF(O3787="","",N3787*O3787*M3787)</f>
        <v>0</v>
      </c>
      <c r="M3787" s="108">
        <v>1</v>
      </c>
      <c r="N3787" s="95">
        <v>1</v>
      </c>
      <c r="O3787" s="109">
        <f>IF(Key!D$1="ON",P3787,IF(SUM(Q3787:DL3787)&lt;1,"",SUM(Q3787:DL3787)/COUNTIF(Q3787:DL3787,"&gt;0")))</f>
        <v>0</v>
      </c>
      <c r="P3787" s="109">
        <f>SUMIFS(Q3787:DK3787,Q$1:DK$1,Dashboard!$K$31)</f>
        <v>0</v>
      </c>
      <c r="U3787" s="95">
        <v>33</v>
      </c>
      <c r="AA3787" s="95">
        <v>25</v>
      </c>
      <c r="AH3787" s="95">
        <v>75</v>
      </c>
    </row>
    <row r="3788" spans="1:34" x14ac:dyDescent="0.3">
      <c r="A3788" s="89" t="str">
        <f>CONCATENATE(D3788,".",F3788,"-",G3788,".",H3788,"")</f>
        <v>3.2-4.1</v>
      </c>
      <c r="B3788" s="89" t="str">
        <f>IF(CONCATENATE(I3788,Key!F$2)=CONCATENATE(INDEX(Dashboard!J:J,MATCH(I3788,Dashboard!J:J,0),1),INDEX(Dashboard!J:K,MATCH(I3788,Dashboard!J:J,0),2)),"ON",IF(Dashboard!K$32="ALL","ON","-"))</f>
        <v>-</v>
      </c>
      <c r="C3788" s="96" t="s">
        <v>311</v>
      </c>
      <c r="D3788" s="89">
        <f>IF(C3788="ID",1,(IF(C3788="PR",2,(IF(C3788="DE",3,(IF(C3788="RS",4,(IF(C3788="RC",5,0)))))))))</f>
        <v>3</v>
      </c>
      <c r="E3788" s="89" t="s">
        <v>316</v>
      </c>
      <c r="F3788" s="89">
        <f>IF(E3788="AM",1,(IF(E3788="BE",2,(IF(E3788="GV",3,(IF(E3788="RA",4,(IF(E3788="RM",5,(IF(E3788="AC",1,(IF(E3788="AT",2,(IF(E3788="DS",3,(IF(E3788="IP",4,(IF(E3788="MA",5,(IF(E3788="PT",6,(IF(E3788="AE",1,(IF(E3788="CM",2,(IF(E3788="DP",3,(IF(E3788="AN",1,(IF(E3788="CO",2,(IF(E3788="IM",3,(IF(E3788="MI",4,(IF(E3788="RP",5,(IF(E3788="SC",6,0)))))))))))))))))))))))))))))))))))))))</f>
        <v>2</v>
      </c>
      <c r="G3788" s="52">
        <v>4</v>
      </c>
      <c r="H3788" s="90" t="s">
        <v>115</v>
      </c>
      <c r="I3788" s="93" t="s">
        <v>85</v>
      </c>
      <c r="J3788" s="87" t="s">
        <v>1858</v>
      </c>
      <c r="K3788" s="119" t="s">
        <v>1859</v>
      </c>
      <c r="L3788" s="117">
        <f>IF(O3788="","",N3788*O3788*M3788)</f>
        <v>0</v>
      </c>
      <c r="M3788" s="108">
        <v>1</v>
      </c>
      <c r="N3788" s="95">
        <v>1</v>
      </c>
      <c r="O3788" s="109">
        <f>IF(Key!D$1="ON",P3788,IF(SUM(Q3788:DL3788)&lt;1,"",SUM(Q3788:DL3788)/COUNTIF(Q3788:DL3788,"&gt;0")))</f>
        <v>0</v>
      </c>
      <c r="P3788" s="109">
        <f>SUMIFS(Q3788:DK3788,Q$1:DK$1,Dashboard!$K$31)</f>
        <v>0</v>
      </c>
      <c r="U3788" s="95">
        <v>33</v>
      </c>
      <c r="AA3788" s="95">
        <v>25</v>
      </c>
      <c r="AH3788" s="95">
        <v>75</v>
      </c>
    </row>
    <row r="3789" spans="1:34" x14ac:dyDescent="0.3">
      <c r="A3789" s="89" t="str">
        <f>CONCATENATE(D3789,".",F3789,"-",G3789,".",H3789,"")</f>
        <v>3.2-4.1</v>
      </c>
      <c r="B3789" s="89" t="str">
        <f>IF(CONCATENATE(I3789,Key!F$2)=CONCATENATE(INDEX(Dashboard!J:J,MATCH(I3789,Dashboard!J:J,0),1),INDEX(Dashboard!J:K,MATCH(I3789,Dashboard!J:J,0),2)),"ON",IF(Dashboard!K$32="ALL","ON","-"))</f>
        <v>-</v>
      </c>
      <c r="C3789" s="88" t="s">
        <v>311</v>
      </c>
      <c r="D3789" s="89">
        <f>IF(C3789="ID",1,(IF(C3789="PR",2,(IF(C3789="DE",3,(IF(C3789="RS",4,(IF(C3789="RC",5,0)))))))))</f>
        <v>3</v>
      </c>
      <c r="E3789" s="89" t="s">
        <v>316</v>
      </c>
      <c r="F3789" s="89">
        <f>IF(E3789="AM",1,(IF(E3789="BE",2,(IF(E3789="GV",3,(IF(E3789="RA",4,(IF(E3789="RM",5,(IF(E3789="AC",1,(IF(E3789="AT",2,(IF(E3789="DS",3,(IF(E3789="IP",4,(IF(E3789="MA",5,(IF(E3789="PT",6,(IF(E3789="AE",1,(IF(E3789="CM",2,(IF(E3789="DP",3,(IF(E3789="AN",1,(IF(E3789="CO",2,(IF(E3789="IM",3,(IF(E3789="MI",4,(IF(E3789="RP",5,(IF(E3789="SC",6,0)))))))))))))))))))))))))))))))))))))))</f>
        <v>2</v>
      </c>
      <c r="G3789" s="52">
        <v>4</v>
      </c>
      <c r="H3789" s="90" t="s">
        <v>115</v>
      </c>
      <c r="I3789" s="93" t="s">
        <v>85</v>
      </c>
      <c r="J3789" s="87" t="s">
        <v>1864</v>
      </c>
      <c r="K3789" s="119" t="s">
        <v>5096</v>
      </c>
      <c r="L3789" s="117">
        <f>IF(O3789="","",N3789*O3789*M3789)</f>
        <v>0</v>
      </c>
      <c r="M3789" s="108">
        <v>1</v>
      </c>
      <c r="N3789" s="95">
        <v>1</v>
      </c>
      <c r="O3789" s="109">
        <f>IF(Key!D$1="ON",P3789,IF(SUM(Q3789:DL3789)&lt;1,"",SUM(Q3789:DL3789)/COUNTIF(Q3789:DL3789,"&gt;0")))</f>
        <v>0</v>
      </c>
      <c r="P3789" s="109">
        <f>SUMIFS(Q3789:DK3789,Q$1:DK$1,Dashboard!$K$31)</f>
        <v>0</v>
      </c>
      <c r="U3789" s="95">
        <v>33</v>
      </c>
      <c r="AA3789" s="95">
        <v>25</v>
      </c>
      <c r="AH3789" s="95">
        <v>75</v>
      </c>
    </row>
    <row r="3790" spans="1:34" ht="15.6" x14ac:dyDescent="0.3">
      <c r="A3790" s="89" t="str">
        <f>CONCATENATE(D3790,".",F3790,"-",G3790,".",H3790,"")</f>
        <v>3.2-4.1</v>
      </c>
      <c r="B3790" s="89" t="str">
        <f>IF(CONCATENATE(I3790,Key!F$2)=CONCATENATE(INDEX(Dashboard!J:J,MATCH(I3790,Dashboard!J:J,0),1),INDEX(Dashboard!J:K,MATCH(I3790,Dashboard!J:J,0),2)),"ON",IF(Dashboard!K$32="ALL","ON","-"))</f>
        <v>-</v>
      </c>
      <c r="C3790" s="88" t="s">
        <v>311</v>
      </c>
      <c r="D3790" s="89">
        <f>IF(C3790="ID",1,(IF(C3790="PR",2,(IF(C3790="DE",3,(IF(C3790="RS",4,(IF(C3790="RC",5,0)))))))))</f>
        <v>3</v>
      </c>
      <c r="E3790" s="89" t="s">
        <v>316</v>
      </c>
      <c r="F3790" s="89">
        <f>IF(E3790="AM",1,(IF(E3790="BE",2,(IF(E3790="GV",3,(IF(E3790="RA",4,(IF(E3790="RM",5,(IF(E3790="AC",1,(IF(E3790="AT",2,(IF(E3790="DS",3,(IF(E3790="IP",4,(IF(E3790="MA",5,(IF(E3790="PT",6,(IF(E3790="AE",1,(IF(E3790="CM",2,(IF(E3790="DP",3,(IF(E3790="AN",1,(IF(E3790="CO",2,(IF(E3790="IM",3,(IF(E3790="MI",4,(IF(E3790="RP",5,(IF(E3790="SC",6,0)))))))))))))))))))))))))))))))))))))))</f>
        <v>2</v>
      </c>
      <c r="G3790" s="52">
        <v>4</v>
      </c>
      <c r="H3790" s="90" t="s">
        <v>115</v>
      </c>
      <c r="I3790" s="93" t="s">
        <v>85</v>
      </c>
      <c r="J3790" s="87" t="s">
        <v>1863</v>
      </c>
      <c r="K3790" s="119" t="s">
        <v>5095</v>
      </c>
      <c r="L3790" s="117">
        <f>IF(O3790="","",N3790*O3790*M3790)</f>
        <v>0</v>
      </c>
      <c r="M3790" s="108">
        <v>1</v>
      </c>
      <c r="N3790" s="95">
        <v>1</v>
      </c>
      <c r="O3790" s="109">
        <f>IF(Key!D$1="ON",P3790,IF(SUM(Q3790:DL3790)&lt;1,"",SUM(Q3790:DL3790)/COUNTIF(Q3790:DL3790,"&gt;0")))</f>
        <v>0</v>
      </c>
      <c r="P3790" s="109">
        <f>SUMIFS(Q3790:DK3790,Q$1:DK$1,Dashboard!$K$31)</f>
        <v>0</v>
      </c>
      <c r="U3790" s="95">
        <v>33</v>
      </c>
      <c r="AA3790" s="95">
        <v>25</v>
      </c>
      <c r="AH3790" s="95">
        <v>75</v>
      </c>
    </row>
    <row r="3791" spans="1:34" ht="15.6" x14ac:dyDescent="0.3">
      <c r="A3791" s="89" t="str">
        <f>CONCATENATE(D3791,".",F3791,"-",G3791,".",H3791,"")</f>
        <v>3.2-4.1</v>
      </c>
      <c r="B3791" s="89" t="str">
        <f>IF(CONCATENATE(I3791,Key!F$2)=CONCATENATE(INDEX(Dashboard!J:J,MATCH(I3791,Dashboard!J:J,0),1),INDEX(Dashboard!J:K,MATCH(I3791,Dashboard!J:J,0),2)),"ON",IF(Dashboard!K$32="ALL","ON","-"))</f>
        <v>-</v>
      </c>
      <c r="C3791" s="88" t="s">
        <v>311</v>
      </c>
      <c r="D3791" s="89">
        <f>IF(C3791="ID",1,(IF(C3791="PR",2,(IF(C3791="DE",3,(IF(C3791="RS",4,(IF(C3791="RC",5,0)))))))))</f>
        <v>3</v>
      </c>
      <c r="E3791" s="89" t="s">
        <v>316</v>
      </c>
      <c r="F3791" s="89">
        <f>IF(E3791="AM",1,(IF(E3791="BE",2,(IF(E3791="GV",3,(IF(E3791="RA",4,(IF(E3791="RM",5,(IF(E3791="AC",1,(IF(E3791="AT",2,(IF(E3791="DS",3,(IF(E3791="IP",4,(IF(E3791="MA",5,(IF(E3791="PT",6,(IF(E3791="AE",1,(IF(E3791="CM",2,(IF(E3791="DP",3,(IF(E3791="AN",1,(IF(E3791="CO",2,(IF(E3791="IM",3,(IF(E3791="MI",4,(IF(E3791="RP",5,(IF(E3791="SC",6,0)))))))))))))))))))))))))))))))))))))))</f>
        <v>2</v>
      </c>
      <c r="G3791" s="52">
        <v>4</v>
      </c>
      <c r="H3791" s="90" t="s">
        <v>115</v>
      </c>
      <c r="I3791" s="93" t="s">
        <v>92</v>
      </c>
      <c r="J3791" s="88">
        <v>5</v>
      </c>
      <c r="K3791" s="102" t="s">
        <v>5226</v>
      </c>
      <c r="L3791" s="117">
        <f>IF(O3791="","",N3791*O3791*M3791)</f>
        <v>0</v>
      </c>
      <c r="M3791" s="108">
        <v>1</v>
      </c>
      <c r="N3791" s="95">
        <v>1</v>
      </c>
      <c r="O3791" s="109">
        <f>IF(Key!D$1="ON",P3791,IF(SUM(Q3791:DL3791)&lt;1,"",SUM(Q3791:DL3791)/COUNTIF(Q3791:DL3791,"&gt;0")))</f>
        <v>0</v>
      </c>
      <c r="P3791" s="109">
        <f>SUMIFS(Q3791:DK3791,Q$1:DK$1,Dashboard!$K$31)</f>
        <v>0</v>
      </c>
      <c r="U3791" s="95">
        <v>33</v>
      </c>
      <c r="AA3791" s="95">
        <v>25</v>
      </c>
      <c r="AH3791" s="95">
        <v>75</v>
      </c>
    </row>
    <row r="3792" spans="1:34" ht="15.6" x14ac:dyDescent="0.3">
      <c r="A3792" s="89" t="str">
        <f>CONCATENATE(D3792,".",F3792,"-",G3792,".",H3792,"")</f>
        <v>3.2-4.1</v>
      </c>
      <c r="B3792" s="89" t="str">
        <f>IF(CONCATENATE(I3792,Key!F$2)=CONCATENATE(INDEX(Dashboard!J:J,MATCH(I3792,Dashboard!J:J,0),1),INDEX(Dashboard!J:K,MATCH(I3792,Dashboard!J:J,0),2)),"ON",IF(Dashboard!K$32="ALL","ON","-"))</f>
        <v>-</v>
      </c>
      <c r="C3792" s="96" t="s">
        <v>311</v>
      </c>
      <c r="D3792" s="89">
        <f>IF(C3792="ID",1,(IF(C3792="PR",2,(IF(C3792="DE",3,(IF(C3792="RS",4,(IF(C3792="RC",5,0)))))))))</f>
        <v>3</v>
      </c>
      <c r="E3792" s="89" t="s">
        <v>316</v>
      </c>
      <c r="F3792" s="89">
        <f>IF(E3792="AM",1,(IF(E3792="BE",2,(IF(E3792="GV",3,(IF(E3792="RA",4,(IF(E3792="RM",5,(IF(E3792="AC",1,(IF(E3792="AT",2,(IF(E3792="DS",3,(IF(E3792="IP",4,(IF(E3792="MA",5,(IF(E3792="PT",6,(IF(E3792="AE",1,(IF(E3792="CM",2,(IF(E3792="DP",3,(IF(E3792="AN",1,(IF(E3792="CO",2,(IF(E3792="IM",3,(IF(E3792="MI",4,(IF(E3792="RP",5,(IF(E3792="SC",6,0)))))))))))))))))))))))))))))))))))))))</f>
        <v>2</v>
      </c>
      <c r="G3792" s="52">
        <v>4</v>
      </c>
      <c r="H3792" s="90" t="s">
        <v>115</v>
      </c>
      <c r="I3792" s="93" t="s">
        <v>92</v>
      </c>
      <c r="J3792" s="88">
        <v>5.0999999999999996</v>
      </c>
      <c r="K3792" s="102" t="s">
        <v>5226</v>
      </c>
      <c r="L3792" s="117">
        <f>IF(O3792="","",N3792*O3792*M3792)</f>
        <v>0</v>
      </c>
      <c r="M3792" s="108">
        <v>1</v>
      </c>
      <c r="N3792" s="95">
        <v>1</v>
      </c>
      <c r="O3792" s="109">
        <f>IF(Key!D$1="ON",P3792,IF(SUM(Q3792:DL3792)&lt;1,"",SUM(Q3792:DL3792)/COUNTIF(Q3792:DL3792,"&gt;0")))</f>
        <v>0</v>
      </c>
      <c r="P3792" s="109">
        <f>SUMIFS(Q3792:DK3792,Q$1:DK$1,Dashboard!$K$31)</f>
        <v>0</v>
      </c>
      <c r="U3792" s="95">
        <v>33</v>
      </c>
      <c r="AA3792" s="95">
        <v>25</v>
      </c>
      <c r="AH3792" s="95">
        <v>75</v>
      </c>
    </row>
    <row r="3793" spans="1:34" x14ac:dyDescent="0.3">
      <c r="A3793" s="89" t="str">
        <f>CONCATENATE(D3793,".",F3793,"-",G3793,".",H3793,"")</f>
        <v>3.2-4.1</v>
      </c>
      <c r="B3793" s="89" t="str">
        <f>IF(CONCATENATE(I3793,Key!F$2)=CONCATENATE(INDEX(Dashboard!J:J,MATCH(I3793,Dashboard!J:J,0),1),INDEX(Dashboard!J:K,MATCH(I3793,Dashboard!J:J,0),2)),"ON",IF(Dashboard!K$32="ALL","ON","-"))</f>
        <v>-</v>
      </c>
      <c r="C3793" s="96" t="s">
        <v>311</v>
      </c>
      <c r="D3793" s="89">
        <f>IF(C3793="ID",1,(IF(C3793="PR",2,(IF(C3793="DE",3,(IF(C3793="RS",4,(IF(C3793="RC",5,0)))))))))</f>
        <v>3</v>
      </c>
      <c r="E3793" s="89" t="s">
        <v>316</v>
      </c>
      <c r="F3793" s="89">
        <f>IF(E3793="AM",1,(IF(E3793="BE",2,(IF(E3793="GV",3,(IF(E3793="RA",4,(IF(E3793="RM",5,(IF(E3793="AC",1,(IF(E3793="AT",2,(IF(E3793="DS",3,(IF(E3793="IP",4,(IF(E3793="MA",5,(IF(E3793="PT",6,(IF(E3793="AE",1,(IF(E3793="CM",2,(IF(E3793="DP",3,(IF(E3793="AN",1,(IF(E3793="CO",2,(IF(E3793="IM",3,(IF(E3793="MI",4,(IF(E3793="RP",5,(IF(E3793="SC",6,0)))))))))))))))))))))))))))))))))))))))</f>
        <v>2</v>
      </c>
      <c r="G3793" s="52">
        <v>4</v>
      </c>
      <c r="H3793" s="90" t="s">
        <v>115</v>
      </c>
      <c r="I3793" s="93" t="s">
        <v>92</v>
      </c>
      <c r="J3793" s="87">
        <v>5.2</v>
      </c>
      <c r="K3793" s="102" t="s">
        <v>5226</v>
      </c>
      <c r="L3793" s="117">
        <f>IF(O3793="","",N3793*O3793*M3793)</f>
        <v>0</v>
      </c>
      <c r="M3793" s="108">
        <v>1</v>
      </c>
      <c r="N3793" s="95">
        <v>1</v>
      </c>
      <c r="O3793" s="109">
        <f>IF(Key!D$1="ON",P3793,IF(SUM(Q3793:DL3793)&lt;1,"",SUM(Q3793:DL3793)/COUNTIF(Q3793:DL3793,"&gt;0")))</f>
        <v>0</v>
      </c>
      <c r="P3793" s="109">
        <f>SUMIFS(Q3793:DK3793,Q$1:DK$1,Dashboard!$K$31)</f>
        <v>0</v>
      </c>
      <c r="U3793" s="95">
        <v>33</v>
      </c>
      <c r="AA3793" s="95">
        <v>25</v>
      </c>
      <c r="AH3793" s="95">
        <v>75</v>
      </c>
    </row>
    <row r="3794" spans="1:34" x14ac:dyDescent="0.3">
      <c r="A3794" s="89" t="str">
        <f>CONCATENATE(D3794,".",F3794,"-",G3794,".",H3794,"")</f>
        <v>3.2-4.1</v>
      </c>
      <c r="B3794" s="89" t="str">
        <f>IF(CONCATENATE(I3794,Key!F$2)=CONCATENATE(INDEX(Dashboard!J:J,MATCH(I3794,Dashboard!J:J,0),1),INDEX(Dashboard!J:K,MATCH(I3794,Dashboard!J:J,0),2)),"ON",IF(Dashboard!K$32="ALL","ON","-"))</f>
        <v>-</v>
      </c>
      <c r="C3794" s="96" t="s">
        <v>311</v>
      </c>
      <c r="D3794" s="89">
        <f>IF(C3794="ID",1,(IF(C3794="PR",2,(IF(C3794="DE",3,(IF(C3794="RS",4,(IF(C3794="RC",5,0)))))))))</f>
        <v>3</v>
      </c>
      <c r="E3794" s="89" t="s">
        <v>316</v>
      </c>
      <c r="F3794" s="89">
        <f>IF(E3794="AM",1,(IF(E3794="BE",2,(IF(E3794="GV",3,(IF(E3794="RA",4,(IF(E3794="RM",5,(IF(E3794="AC",1,(IF(E3794="AT",2,(IF(E3794="DS",3,(IF(E3794="IP",4,(IF(E3794="MA",5,(IF(E3794="PT",6,(IF(E3794="AE",1,(IF(E3794="CM",2,(IF(E3794="DP",3,(IF(E3794="AN",1,(IF(E3794="CO",2,(IF(E3794="IM",3,(IF(E3794="MI",4,(IF(E3794="RP",5,(IF(E3794="SC",6,0)))))))))))))))))))))))))))))))))))))))</f>
        <v>2</v>
      </c>
      <c r="G3794" s="52">
        <v>4</v>
      </c>
      <c r="H3794" s="90" t="s">
        <v>115</v>
      </c>
      <c r="I3794" s="93" t="s">
        <v>92</v>
      </c>
      <c r="J3794" s="87" t="s">
        <v>319</v>
      </c>
      <c r="K3794" s="102" t="s">
        <v>5226</v>
      </c>
      <c r="L3794" s="117">
        <f>IF(O3794="","",N3794*O3794*M3794)</f>
        <v>0</v>
      </c>
      <c r="M3794" s="108">
        <v>1</v>
      </c>
      <c r="N3794" s="95">
        <v>1</v>
      </c>
      <c r="O3794" s="109">
        <f>IF(Key!D$1="ON",P3794,IF(SUM(Q3794:DL3794)&lt;1,"",SUM(Q3794:DL3794)/COUNTIF(Q3794:DL3794,"&gt;0")))</f>
        <v>0</v>
      </c>
      <c r="P3794" s="109">
        <f>SUMIFS(Q3794:DK3794,Q$1:DK$1,Dashboard!$K$31)</f>
        <v>0</v>
      </c>
      <c r="U3794" s="95">
        <v>33</v>
      </c>
      <c r="AA3794" s="95">
        <v>25</v>
      </c>
      <c r="AH3794" s="95">
        <v>75</v>
      </c>
    </row>
    <row r="3795" spans="1:34" x14ac:dyDescent="0.3">
      <c r="A3795" s="89" t="str">
        <f>CONCATENATE(D3795,".",F3795,"-",G3795,".",H3795,"")</f>
        <v>3.2-4.1</v>
      </c>
      <c r="B3795" s="89" t="str">
        <f>IF(CONCATENATE(I3795,Key!F$2)=CONCATENATE(INDEX(Dashboard!J:J,MATCH(I3795,Dashboard!J:J,0),1),INDEX(Dashboard!J:K,MATCH(I3795,Dashboard!J:J,0),2)),"ON",IF(Dashboard!K$32="ALL","ON","-"))</f>
        <v>-</v>
      </c>
      <c r="C3795" s="88" t="s">
        <v>311</v>
      </c>
      <c r="D3795" s="89">
        <f>IF(C3795="ID",1,(IF(C3795="PR",2,(IF(C3795="DE",3,(IF(C3795="RS",4,(IF(C3795="RC",5,0)))))))))</f>
        <v>3</v>
      </c>
      <c r="E3795" s="89" t="s">
        <v>316</v>
      </c>
      <c r="F3795" s="89">
        <f>IF(E3795="AM",1,(IF(E3795="BE",2,(IF(E3795="GV",3,(IF(E3795="RA",4,(IF(E3795="RM",5,(IF(E3795="AC",1,(IF(E3795="AT",2,(IF(E3795="DS",3,(IF(E3795="IP",4,(IF(E3795="MA",5,(IF(E3795="PT",6,(IF(E3795="AE",1,(IF(E3795="CM",2,(IF(E3795="DP",3,(IF(E3795="AN",1,(IF(E3795="CO",2,(IF(E3795="IM",3,(IF(E3795="MI",4,(IF(E3795="RP",5,(IF(E3795="SC",6,0)))))))))))))))))))))))))))))))))))))))</f>
        <v>2</v>
      </c>
      <c r="G3795" s="52">
        <v>4</v>
      </c>
      <c r="H3795" s="90" t="s">
        <v>115</v>
      </c>
      <c r="I3795" s="93" t="s">
        <v>92</v>
      </c>
      <c r="J3795" s="88" t="s">
        <v>320</v>
      </c>
      <c r="K3795" s="102" t="s">
        <v>5226</v>
      </c>
      <c r="L3795" s="117">
        <f>IF(O3795="","",N3795*O3795*M3795)</f>
        <v>0</v>
      </c>
      <c r="M3795" s="108">
        <v>1</v>
      </c>
      <c r="N3795" s="95">
        <v>1</v>
      </c>
      <c r="O3795" s="109">
        <f>IF(Key!D$1="ON",P3795,IF(SUM(Q3795:DL3795)&lt;1,"",SUM(Q3795:DL3795)/COUNTIF(Q3795:DL3795,"&gt;0")))</f>
        <v>0</v>
      </c>
      <c r="P3795" s="109">
        <f>SUMIFS(Q3795:DK3795,Q$1:DK$1,Dashboard!$K$31)</f>
        <v>0</v>
      </c>
      <c r="U3795" s="95">
        <v>33</v>
      </c>
      <c r="AA3795" s="95">
        <v>25</v>
      </c>
      <c r="AH3795" s="95">
        <v>75</v>
      </c>
    </row>
    <row r="3796" spans="1:34" x14ac:dyDescent="0.3">
      <c r="A3796" s="89" t="str">
        <f>CONCATENATE(D3796,".",F3796,"-",G3796,".",H3796,"")</f>
        <v>3.2-4.5</v>
      </c>
      <c r="B3796" s="89" t="str">
        <f>IF(CONCATENATE(I3796,Key!F$2)=CONCATENATE(INDEX(Dashboard!J:J,MATCH(I3796,Dashboard!J:J,0),1),INDEX(Dashboard!J:K,MATCH(I3796,Dashboard!J:J,0),2)),"ON",IF(Dashboard!K$32="ALL","ON","-"))</f>
        <v>-</v>
      </c>
      <c r="C3796" s="88" t="s">
        <v>311</v>
      </c>
      <c r="D3796" s="89">
        <f>IF(C3796="ID",1,(IF(C3796="PR",2,(IF(C3796="DE",3,(IF(C3796="RS",4,(IF(C3796="RC",5,0)))))))))</f>
        <v>3</v>
      </c>
      <c r="E3796" s="89" t="s">
        <v>316</v>
      </c>
      <c r="F3796" s="89">
        <f>IF(E3796="AM",1,(IF(E3796="BE",2,(IF(E3796="GV",3,(IF(E3796="RA",4,(IF(E3796="RM",5,(IF(E3796="AC",1,(IF(E3796="AT",2,(IF(E3796="DS",3,(IF(E3796="IP",4,(IF(E3796="MA",5,(IF(E3796="PT",6,(IF(E3796="AE",1,(IF(E3796="CM",2,(IF(E3796="DP",3,(IF(E3796="AN",1,(IF(E3796="CO",2,(IF(E3796="IM",3,(IF(E3796="MI",4,(IF(E3796="RP",5,(IF(E3796="SC",6,0)))))))))))))))))))))))))))))))))))))))</f>
        <v>2</v>
      </c>
      <c r="G3796" s="52">
        <v>4</v>
      </c>
      <c r="H3796" s="90" t="s">
        <v>123</v>
      </c>
      <c r="I3796" s="93" t="s">
        <v>77</v>
      </c>
      <c r="J3796" s="87" t="s">
        <v>829</v>
      </c>
      <c r="K3796" s="102" t="s">
        <v>2771</v>
      </c>
      <c r="L3796" s="117">
        <f>IF(O3796="","",N3796*O3796*M3796)</f>
        <v>0</v>
      </c>
      <c r="M3796" s="108">
        <v>1</v>
      </c>
      <c r="N3796" s="95">
        <v>1</v>
      </c>
      <c r="O3796" s="109">
        <f>IF(Key!D$1="ON",P3796,IF(SUM(Q3796:DL3796)&lt;1,"",SUM(Q3796:DL3796)/COUNTIF(Q3796:DL3796,"&gt;0")))</f>
        <v>0</v>
      </c>
      <c r="P3796" s="109">
        <f>SUMIFS(Q3796:DK3796,Q$1:DK$1,Dashboard!$K$31)</f>
        <v>0</v>
      </c>
      <c r="U3796" s="95">
        <v>33</v>
      </c>
      <c r="AA3796" s="95">
        <v>25</v>
      </c>
      <c r="AH3796" s="95">
        <v>75</v>
      </c>
    </row>
    <row r="3797" spans="1:34" x14ac:dyDescent="0.3">
      <c r="A3797" s="89" t="str">
        <f>CONCATENATE(D3797,".",F3797,"-",G3797,".",H3797,"")</f>
        <v>3.2-5.0</v>
      </c>
      <c r="B3797" s="89" t="str">
        <f>IF(CONCATENATE(I3797,Key!F$2)=CONCATENATE(INDEX(Dashboard!J:J,MATCH(I3797,Dashboard!J:J,0),1),INDEX(Dashboard!J:K,MATCH(I3797,Dashboard!J:J,0),2)),"ON",IF(Dashboard!K$32="ALL","ON","-"))</f>
        <v>-</v>
      </c>
      <c r="C3797" s="96" t="s">
        <v>311</v>
      </c>
      <c r="D3797" s="89">
        <f>IF(C3797="ID",1,(IF(C3797="PR",2,(IF(C3797="DE",3,(IF(C3797="RS",4,(IF(C3797="RC",5,0)))))))))</f>
        <v>3</v>
      </c>
      <c r="E3797" s="89" t="s">
        <v>316</v>
      </c>
      <c r="F3797" s="89">
        <f>IF(E3797="AM",1,(IF(E3797="BE",2,(IF(E3797="GV",3,(IF(E3797="RA",4,(IF(E3797="RM",5,(IF(E3797="AC",1,(IF(E3797="AT",2,(IF(E3797="DS",3,(IF(E3797="IP",4,(IF(E3797="MA",5,(IF(E3797="PT",6,(IF(E3797="AE",1,(IF(E3797="CM",2,(IF(E3797="DP",3,(IF(E3797="AN",1,(IF(E3797="CO",2,(IF(E3797="IM",3,(IF(E3797="MI",4,(IF(E3797="RP",5,(IF(E3797="SC",6,0)))))))))))))))))))))))))))))))))))))))</f>
        <v>2</v>
      </c>
      <c r="G3797" s="52">
        <v>5</v>
      </c>
      <c r="H3797" s="90" t="s">
        <v>347</v>
      </c>
      <c r="I3797" s="93" t="s">
        <v>2835</v>
      </c>
      <c r="J3797" s="53" t="s">
        <v>3030</v>
      </c>
      <c r="K3797" s="58" t="s">
        <v>3031</v>
      </c>
      <c r="L3797" s="117">
        <f>IF(O3797="","",N3797*O3797*M3797)</f>
        <v>0</v>
      </c>
      <c r="M3797" s="108">
        <v>1</v>
      </c>
      <c r="N3797" s="95">
        <v>1</v>
      </c>
      <c r="O3797" s="109">
        <f>IF(Key!D$1="ON",P3797,IF(SUM(Q3797:DL3797)&lt;1,"",SUM(Q3797:DL3797)/COUNTIF(Q3797:DL3797,"&gt;0")))</f>
        <v>0</v>
      </c>
      <c r="P3797" s="109">
        <f>SUMIFS(Q3797:DK3797,Q$1:DK$1,Dashboard!$K$31)</f>
        <v>0</v>
      </c>
      <c r="U3797" s="95">
        <v>33</v>
      </c>
    </row>
    <row r="3798" spans="1:34" x14ac:dyDescent="0.3">
      <c r="A3798" s="89" t="str">
        <f>CONCATENATE(D3798,".",F3798,"-",G3798,".",H3798,"")</f>
        <v>3.2-5.1</v>
      </c>
      <c r="B3798" s="89" t="str">
        <f>IF(CONCATENATE(I3798,Key!F$2)=CONCATENATE(INDEX(Dashboard!J:J,MATCH(I3798,Dashboard!J:J,0),1),INDEX(Dashboard!J:K,MATCH(I3798,Dashboard!J:J,0),2)),"ON",IF(Dashboard!K$32="ALL","ON","-"))</f>
        <v>ON</v>
      </c>
      <c r="C3798" s="130" t="s">
        <v>311</v>
      </c>
      <c r="D3798" s="89">
        <f>IF(C3798="ID",1,(IF(C3798="PR",2,(IF(C3798="DE",3,(IF(C3798="RS",4,(IF(C3798="RC",5,0)))))))))</f>
        <v>3</v>
      </c>
      <c r="E3798" s="95" t="s">
        <v>316</v>
      </c>
      <c r="F3798" s="89">
        <f>IF(E3798="AM",1,(IF(E3798="BE",2,(IF(E3798="GV",3,(IF(E3798="RA",4,(IF(E3798="RM",5,(IF(E3798="AC",1,(IF(E3798="AT",2,(IF(E3798="DS",3,(IF(E3798="IP",4,(IF(E3798="MA",5,(IF(E3798="PT",6,(IF(E3798="AE",1,(IF(E3798="CM",2,(IF(E3798="DP",3,(IF(E3798="AN",1,(IF(E3798="CO",2,(IF(E3798="IM",3,(IF(E3798="MI",4,(IF(E3798="RP",5,(IF(E3798="SC",6,0)))))))))))))))))))))))))))))))))))))))</f>
        <v>2</v>
      </c>
      <c r="G3798" s="52">
        <v>5</v>
      </c>
      <c r="H3798" s="90" t="s">
        <v>115</v>
      </c>
      <c r="I3798" s="93" t="s">
        <v>4107</v>
      </c>
      <c r="J3798" s="86" t="s">
        <v>4065</v>
      </c>
      <c r="K3798" s="101" t="s">
        <v>4469</v>
      </c>
      <c r="L3798" s="117">
        <f>IF(O3798="","",N3798*O3798*M3798)</f>
        <v>0</v>
      </c>
      <c r="M3798" s="108">
        <v>1</v>
      </c>
      <c r="N3798" s="95">
        <v>1</v>
      </c>
      <c r="O3798" s="109">
        <f>IF(Key!D$1="ON",P3798,IF(SUM(Q3798:DL3798)&lt;1,"",SUM(Q3798:DL3798)/COUNTIF(Q3798:DL3798,"&gt;0")))</f>
        <v>0</v>
      </c>
      <c r="P3798" s="109">
        <f>SUMIFS(Q3798:DK3798,Q$1:DK$1,Dashboard!$K$31)</f>
        <v>0</v>
      </c>
      <c r="U3798" s="95">
        <v>33</v>
      </c>
      <c r="AA3798" s="95">
        <v>25</v>
      </c>
      <c r="AH3798" s="95">
        <v>75</v>
      </c>
    </row>
    <row r="3799" spans="1:34" x14ac:dyDescent="0.3">
      <c r="A3799" s="89" t="str">
        <f>CONCATENATE(D3799,".",F3799,"-",G3799,".",H3799,"")</f>
        <v>3.2-5.1</v>
      </c>
      <c r="B3799" s="89" t="str">
        <f>IF(CONCATENATE(I3799,Key!F$2)=CONCATENATE(INDEX(Dashboard!J:J,MATCH(I3799,Dashboard!J:J,0),1),INDEX(Dashboard!J:K,MATCH(I3799,Dashboard!J:J,0),2)),"ON",IF(Dashboard!K$32="ALL","ON","-"))</f>
        <v>ON</v>
      </c>
      <c r="C3799" s="130" t="s">
        <v>311</v>
      </c>
      <c r="D3799" s="89">
        <f>IF(C3799="ID",1,(IF(C3799="PR",2,(IF(C3799="DE",3,(IF(C3799="RS",4,(IF(C3799="RC",5,0)))))))))</f>
        <v>3</v>
      </c>
      <c r="E3799" s="95" t="s">
        <v>316</v>
      </c>
      <c r="F3799" s="89">
        <f>IF(E3799="AM",1,(IF(E3799="BE",2,(IF(E3799="GV",3,(IF(E3799="RA",4,(IF(E3799="RM",5,(IF(E3799="AC",1,(IF(E3799="AT",2,(IF(E3799="DS",3,(IF(E3799="IP",4,(IF(E3799="MA",5,(IF(E3799="PT",6,(IF(E3799="AE",1,(IF(E3799="CM",2,(IF(E3799="DP",3,(IF(E3799="AN",1,(IF(E3799="CO",2,(IF(E3799="IM",3,(IF(E3799="MI",4,(IF(E3799="RP",5,(IF(E3799="SC",6,0)))))))))))))))))))))))))))))))))))))))</f>
        <v>2</v>
      </c>
      <c r="G3799" s="52">
        <v>5</v>
      </c>
      <c r="H3799" s="90" t="s">
        <v>115</v>
      </c>
      <c r="I3799" s="93" t="s">
        <v>4107</v>
      </c>
      <c r="J3799" s="86" t="s">
        <v>4080</v>
      </c>
      <c r="K3799" s="101" t="s">
        <v>4234</v>
      </c>
      <c r="L3799" s="117">
        <f>IF(O3799="","",N3799*O3799*M3799)</f>
        <v>0</v>
      </c>
      <c r="M3799" s="108">
        <v>1</v>
      </c>
      <c r="N3799" s="95">
        <v>1</v>
      </c>
      <c r="O3799" s="109">
        <f>IF(Key!D$1="ON",P3799,IF(SUM(Q3799:DL3799)&lt;1,"",SUM(Q3799:DL3799)/COUNTIF(Q3799:DL3799,"&gt;0")))</f>
        <v>0</v>
      </c>
      <c r="P3799" s="109">
        <f>SUMIFS(Q3799:DK3799,Q$1:DK$1,Dashboard!$K$31)</f>
        <v>0</v>
      </c>
      <c r="U3799" s="95">
        <v>33</v>
      </c>
      <c r="AA3799" s="95">
        <v>25</v>
      </c>
      <c r="AH3799" s="95">
        <v>75</v>
      </c>
    </row>
    <row r="3800" spans="1:34" x14ac:dyDescent="0.3">
      <c r="A3800" s="89" t="str">
        <f>CONCATENATE(D3800,".",F3800,"-",G3800,".",H3800,"")</f>
        <v>3.2-5.1</v>
      </c>
      <c r="B3800" s="89" t="str">
        <f>IF(CONCATENATE(I3800,Key!F$2)=CONCATENATE(INDEX(Dashboard!J:J,MATCH(I3800,Dashboard!J:J,0),1),INDEX(Dashboard!J:K,MATCH(I3800,Dashboard!J:J,0),2)),"ON",IF(Dashboard!K$32="ALL","ON","-"))</f>
        <v>ON</v>
      </c>
      <c r="C3800" s="96" t="s">
        <v>311</v>
      </c>
      <c r="D3800" s="89">
        <f>IF(C3800="ID",1,(IF(C3800="PR",2,(IF(C3800="DE",3,(IF(C3800="RS",4,(IF(C3800="RC",5,0)))))))))</f>
        <v>3</v>
      </c>
      <c r="E3800" s="89" t="s">
        <v>316</v>
      </c>
      <c r="F3800" s="89">
        <f>IF(E3800="AM",1,(IF(E3800="BE",2,(IF(E3800="GV",3,(IF(E3800="RA",4,(IF(E3800="RM",5,(IF(E3800="AC",1,(IF(E3800="AT",2,(IF(E3800="DS",3,(IF(E3800="IP",4,(IF(E3800="MA",5,(IF(E3800="PT",6,(IF(E3800="AE",1,(IF(E3800="CM",2,(IF(E3800="DP",3,(IF(E3800="AN",1,(IF(E3800="CO",2,(IF(E3800="IM",3,(IF(E3800="MI",4,(IF(E3800="RP",5,(IF(E3800="SC",6,0)))))))))))))))))))))))))))))))))))))))</f>
        <v>2</v>
      </c>
      <c r="G3800" s="52">
        <v>5</v>
      </c>
      <c r="H3800" s="90" t="s">
        <v>115</v>
      </c>
      <c r="I3800" s="93" t="s">
        <v>4107</v>
      </c>
      <c r="J3800" s="86" t="s">
        <v>4089</v>
      </c>
      <c r="K3800" s="101" t="s">
        <v>4478</v>
      </c>
      <c r="L3800" s="117">
        <f>IF(O3800="","",N3800*O3800*M3800)</f>
        <v>0</v>
      </c>
      <c r="M3800" s="108">
        <v>1</v>
      </c>
      <c r="N3800" s="95">
        <v>1</v>
      </c>
      <c r="O3800" s="109">
        <f>IF(Key!D$1="ON",P3800,IF(SUM(Q3800:DL3800)&lt;1,"",SUM(Q3800:DL3800)/COUNTIF(Q3800:DL3800,"&gt;0")))</f>
        <v>0</v>
      </c>
      <c r="P3800" s="109">
        <f>SUMIFS(Q3800:DK3800,Q$1:DK$1,Dashboard!$K$31)</f>
        <v>0</v>
      </c>
      <c r="U3800" s="95">
        <v>33</v>
      </c>
      <c r="AA3800" s="95">
        <v>25</v>
      </c>
      <c r="AH3800" s="95">
        <v>75</v>
      </c>
    </row>
    <row r="3801" spans="1:34" x14ac:dyDescent="0.3">
      <c r="A3801" s="89" t="str">
        <f>CONCATENATE(D3801,".",F3801,"-",G3801,".",H3801,"")</f>
        <v>3.2-5.1</v>
      </c>
      <c r="B3801" s="89" t="str">
        <f>IF(CONCATENATE(I3801,Key!F$2)=CONCATENATE(INDEX(Dashboard!J:J,MATCH(I3801,Dashboard!J:J,0),1),INDEX(Dashboard!J:K,MATCH(I3801,Dashboard!J:J,0),2)),"ON",IF(Dashboard!K$32="ALL","ON","-"))</f>
        <v>ON</v>
      </c>
      <c r="C3801" s="96" t="s">
        <v>311</v>
      </c>
      <c r="D3801" s="89">
        <f>IF(C3801="ID",1,(IF(C3801="PR",2,(IF(C3801="DE",3,(IF(C3801="RS",4,(IF(C3801="RC",5,0)))))))))</f>
        <v>3</v>
      </c>
      <c r="E3801" s="89" t="s">
        <v>316</v>
      </c>
      <c r="F3801" s="89">
        <f>IF(E3801="AM",1,(IF(E3801="BE",2,(IF(E3801="GV",3,(IF(E3801="RA",4,(IF(E3801="RM",5,(IF(E3801="AC",1,(IF(E3801="AT",2,(IF(E3801="DS",3,(IF(E3801="IP",4,(IF(E3801="MA",5,(IF(E3801="PT",6,(IF(E3801="AE",1,(IF(E3801="CM",2,(IF(E3801="DP",3,(IF(E3801="AN",1,(IF(E3801="CO",2,(IF(E3801="IM",3,(IF(E3801="MI",4,(IF(E3801="RP",5,(IF(E3801="SC",6,0)))))))))))))))))))))))))))))))))))))))</f>
        <v>2</v>
      </c>
      <c r="G3801" s="52">
        <v>5</v>
      </c>
      <c r="H3801" s="90" t="s">
        <v>115</v>
      </c>
      <c r="I3801" s="93" t="s">
        <v>4107</v>
      </c>
      <c r="J3801" s="86" t="s">
        <v>4103</v>
      </c>
      <c r="K3801" s="101" t="s">
        <v>4419</v>
      </c>
      <c r="L3801" s="117">
        <f>IF(O3801="","",N3801*O3801*M3801)</f>
        <v>0</v>
      </c>
      <c r="M3801" s="108">
        <v>1</v>
      </c>
      <c r="N3801" s="95">
        <v>1</v>
      </c>
      <c r="O3801" s="109">
        <f>IF(Key!D$1="ON",P3801,IF(SUM(Q3801:DL3801)&lt;1,"",SUM(Q3801:DL3801)/COUNTIF(Q3801:DL3801,"&gt;0")))</f>
        <v>0</v>
      </c>
      <c r="P3801" s="109">
        <f>SUMIFS(Q3801:DK3801,Q$1:DK$1,Dashboard!$K$31)</f>
        <v>0</v>
      </c>
      <c r="U3801" s="95">
        <v>33</v>
      </c>
      <c r="AA3801" s="95">
        <v>25</v>
      </c>
      <c r="AH3801" s="95">
        <v>75</v>
      </c>
    </row>
    <row r="3802" spans="1:34" x14ac:dyDescent="0.3">
      <c r="A3802" s="89" t="str">
        <f>CONCATENATE(D3802,".",F3802,"-",G3802,".",H3802,"")</f>
        <v>3.2-5.1</v>
      </c>
      <c r="B3802" s="89" t="str">
        <f>IF(CONCATENATE(I3802,Key!F$2)=CONCATENATE(INDEX(Dashboard!J:J,MATCH(I3802,Dashboard!J:J,0),1),INDEX(Dashboard!J:K,MATCH(I3802,Dashboard!J:J,0),2)),"ON",IF(Dashboard!K$32="ALL","ON","-"))</f>
        <v>-</v>
      </c>
      <c r="C3802" s="96" t="s">
        <v>311</v>
      </c>
      <c r="D3802" s="89">
        <f>IF(C3802="ID",1,(IF(C3802="PR",2,(IF(C3802="DE",3,(IF(C3802="RS",4,(IF(C3802="RC",5,0)))))))))</f>
        <v>3</v>
      </c>
      <c r="E3802" s="89" t="s">
        <v>316</v>
      </c>
      <c r="F3802" s="89">
        <f>IF(E3802="AM",1,(IF(E3802="BE",2,(IF(E3802="GV",3,(IF(E3802="RA",4,(IF(E3802="RM",5,(IF(E3802="AC",1,(IF(E3802="AT",2,(IF(E3802="DS",3,(IF(E3802="IP",4,(IF(E3802="MA",5,(IF(E3802="PT",6,(IF(E3802="AE",1,(IF(E3802="CM",2,(IF(E3802="DP",3,(IF(E3802="AN",1,(IF(E3802="CO",2,(IF(E3802="IM",3,(IF(E3802="MI",4,(IF(E3802="RP",5,(IF(E3802="SC",6,0)))))))))))))))))))))))))))))))))))))))</f>
        <v>2</v>
      </c>
      <c r="G3802" s="52">
        <v>5</v>
      </c>
      <c r="H3802" s="90" t="s">
        <v>115</v>
      </c>
      <c r="I3802" s="93" t="s">
        <v>52</v>
      </c>
      <c r="J3802" s="88" t="s">
        <v>3446</v>
      </c>
      <c r="K3802" s="103" t="s">
        <v>3447</v>
      </c>
      <c r="L3802" s="117">
        <f>IF(O3802="","",N3802*O3802*M3802)</f>
        <v>0</v>
      </c>
      <c r="M3802" s="108">
        <v>1</v>
      </c>
      <c r="N3802" s="95">
        <v>1</v>
      </c>
      <c r="O3802" s="109">
        <f>IF(Key!D$1="ON",P3802,IF(SUM(Q3802:DL3802)&lt;1,"",SUM(Q3802:DL3802)/COUNTIF(Q3802:DL3802,"&gt;0")))</f>
        <v>0</v>
      </c>
      <c r="P3802" s="109">
        <f>SUMIFS(Q3802:DK3802,Q$1:DK$1,Dashboard!$K$31)</f>
        <v>0</v>
      </c>
      <c r="U3802" s="95">
        <v>33</v>
      </c>
      <c r="AA3802" s="95">
        <v>25</v>
      </c>
      <c r="AH3802" s="95">
        <v>75</v>
      </c>
    </row>
    <row r="3803" spans="1:34" x14ac:dyDescent="0.3">
      <c r="A3803" s="89" t="str">
        <f>CONCATENATE(D3803,".",F3803,"-",G3803,".",H3803,"")</f>
        <v>3.2-5.1</v>
      </c>
      <c r="B3803" s="89" t="str">
        <f>IF(CONCATENATE(I3803,Key!F$2)=CONCATENATE(INDEX(Dashboard!J:J,MATCH(I3803,Dashboard!J:J,0),1),INDEX(Dashboard!J:K,MATCH(I3803,Dashboard!J:J,0),2)),"ON",IF(Dashboard!K$32="ALL","ON","-"))</f>
        <v>-</v>
      </c>
      <c r="C3803" s="88" t="s">
        <v>311</v>
      </c>
      <c r="D3803" s="89">
        <f>IF(C3803="ID",1,(IF(C3803="PR",2,(IF(C3803="DE",3,(IF(C3803="RS",4,(IF(C3803="RC",5,0)))))))))</f>
        <v>3</v>
      </c>
      <c r="E3803" s="89" t="s">
        <v>316</v>
      </c>
      <c r="F3803" s="89">
        <f>IF(E3803="AM",1,(IF(E3803="BE",2,(IF(E3803="GV",3,(IF(E3803="RA",4,(IF(E3803="RM",5,(IF(E3803="AC",1,(IF(E3803="AT",2,(IF(E3803="DS",3,(IF(E3803="IP",4,(IF(E3803="MA",5,(IF(E3803="PT",6,(IF(E3803="AE",1,(IF(E3803="CM",2,(IF(E3803="DP",3,(IF(E3803="AN",1,(IF(E3803="CO",2,(IF(E3803="IM",3,(IF(E3803="MI",4,(IF(E3803="RP",5,(IF(E3803="SC",6,0)))))))))))))))))))))))))))))))))))))))</f>
        <v>2</v>
      </c>
      <c r="G3803" s="52">
        <v>5</v>
      </c>
      <c r="H3803" s="89">
        <v>1</v>
      </c>
      <c r="I3803" s="93" t="s">
        <v>60</v>
      </c>
      <c r="J3803" s="87" t="s">
        <v>3271</v>
      </c>
      <c r="K3803" s="51" t="s">
        <v>5384</v>
      </c>
      <c r="L3803" s="117">
        <f>IF(O3803="","",N3803*O3803*M3803)</f>
        <v>0</v>
      </c>
      <c r="M3803" s="108">
        <v>1</v>
      </c>
      <c r="N3803" s="95">
        <v>1</v>
      </c>
      <c r="O3803" s="109">
        <f>IF(Key!D$1="ON",P3803,IF(SUM(Q3803:DL3803)&lt;1,"",SUM(Q3803:DL3803)/COUNTIF(Q3803:DL3803,"&gt;0")))</f>
        <v>0</v>
      </c>
      <c r="P3803" s="109">
        <f>SUMIFS(Q3803:DK3803,Q$1:DK$1,Dashboard!$K$31)</f>
        <v>0</v>
      </c>
      <c r="U3803" s="95">
        <v>33</v>
      </c>
      <c r="AA3803" s="95">
        <v>25</v>
      </c>
      <c r="AH3803" s="95">
        <v>75</v>
      </c>
    </row>
    <row r="3804" spans="1:34" x14ac:dyDescent="0.3">
      <c r="A3804" s="89" t="str">
        <f>CONCATENATE(D3804,".",F3804,"-",G3804,".",H3804,"")</f>
        <v>3.2-5.1</v>
      </c>
      <c r="B3804" s="89" t="str">
        <f>IF(CONCATENATE(I3804,Key!F$2)=CONCATENATE(INDEX(Dashboard!J:J,MATCH(I3804,Dashboard!J:J,0),1),INDEX(Dashboard!J:K,MATCH(I3804,Dashboard!J:J,0),2)),"ON",IF(Dashboard!K$32="ALL","ON","-"))</f>
        <v>-</v>
      </c>
      <c r="C3804" s="88" t="s">
        <v>311</v>
      </c>
      <c r="D3804" s="89">
        <f>IF(C3804="ID",1,(IF(C3804="PR",2,(IF(C3804="DE",3,(IF(C3804="RS",4,(IF(C3804="RC",5,0)))))))))</f>
        <v>3</v>
      </c>
      <c r="E3804" s="89" t="s">
        <v>316</v>
      </c>
      <c r="F3804" s="89">
        <f>IF(E3804="AM",1,(IF(E3804="BE",2,(IF(E3804="GV",3,(IF(E3804="RA",4,(IF(E3804="RM",5,(IF(E3804="AC",1,(IF(E3804="AT",2,(IF(E3804="DS",3,(IF(E3804="IP",4,(IF(E3804="MA",5,(IF(E3804="PT",6,(IF(E3804="AE",1,(IF(E3804="CM",2,(IF(E3804="DP",3,(IF(E3804="AN",1,(IF(E3804="CO",2,(IF(E3804="IM",3,(IF(E3804="MI",4,(IF(E3804="RP",5,(IF(E3804="SC",6,0)))))))))))))))))))))))))))))))))))))))</f>
        <v>2</v>
      </c>
      <c r="G3804" s="98">
        <v>5</v>
      </c>
      <c r="H3804" s="99">
        <v>1</v>
      </c>
      <c r="I3804" s="93" t="s">
        <v>73</v>
      </c>
      <c r="J3804" s="86" t="s">
        <v>4233</v>
      </c>
      <c r="K3804" s="107" t="s">
        <v>4344</v>
      </c>
      <c r="L3804" s="117">
        <f>IF(O3804="","",N3804*O3804*M3804)</f>
        <v>0</v>
      </c>
      <c r="M3804" s="108">
        <v>1</v>
      </c>
      <c r="N3804" s="95">
        <v>1</v>
      </c>
      <c r="O3804" s="109">
        <f>IF(Key!D$1="ON",P3804,IF(SUM(Q3804:DL3804)&lt;1,"",SUM(Q3804:DL3804)/COUNTIF(Q3804:DL3804,"&gt;0")))</f>
        <v>0</v>
      </c>
      <c r="P3804" s="109">
        <f>SUMIFS(Q3804:DK3804,Q$1:DK$1,Dashboard!$K$31)</f>
        <v>0</v>
      </c>
      <c r="U3804" s="95">
        <v>33</v>
      </c>
      <c r="AA3804" s="95">
        <v>25</v>
      </c>
      <c r="AH3804" s="95">
        <v>75</v>
      </c>
    </row>
    <row r="3805" spans="1:34" x14ac:dyDescent="0.3">
      <c r="A3805" s="89" t="str">
        <f>CONCATENATE(D3805,".",F3805,"-",G3805,".",H3805,"")</f>
        <v>3.2-5.1</v>
      </c>
      <c r="B3805" s="89" t="str">
        <f>IF(CONCATENATE(I3805,Key!F$2)=CONCATENATE(INDEX(Dashboard!J:J,MATCH(I3805,Dashboard!J:J,0),1),INDEX(Dashboard!J:K,MATCH(I3805,Dashboard!J:J,0),2)),"ON",IF(Dashboard!K$32="ALL","ON","-"))</f>
        <v>-</v>
      </c>
      <c r="C3805" s="96" t="s">
        <v>311</v>
      </c>
      <c r="D3805" s="89">
        <f>IF(C3805="ID",1,(IF(C3805="PR",2,(IF(C3805="DE",3,(IF(C3805="RS",4,(IF(C3805="RC",5,0)))))))))</f>
        <v>3</v>
      </c>
      <c r="E3805" s="89" t="s">
        <v>316</v>
      </c>
      <c r="F3805" s="89">
        <f>IF(E3805="AM",1,(IF(E3805="BE",2,(IF(E3805="GV",3,(IF(E3805="RA",4,(IF(E3805="RM",5,(IF(E3805="AC",1,(IF(E3805="AT",2,(IF(E3805="DS",3,(IF(E3805="IP",4,(IF(E3805="MA",5,(IF(E3805="PT",6,(IF(E3805="AE",1,(IF(E3805="CM",2,(IF(E3805="DP",3,(IF(E3805="AN",1,(IF(E3805="CO",2,(IF(E3805="IM",3,(IF(E3805="MI",4,(IF(E3805="RP",5,(IF(E3805="SC",6,0)))))))))))))))))))))))))))))))))))))))</f>
        <v>2</v>
      </c>
      <c r="G3805" s="52">
        <v>5</v>
      </c>
      <c r="H3805" s="90" t="s">
        <v>115</v>
      </c>
      <c r="I3805" s="93" t="s">
        <v>77</v>
      </c>
      <c r="J3805" s="87" t="s">
        <v>1868</v>
      </c>
      <c r="K3805" s="102" t="s">
        <v>2772</v>
      </c>
      <c r="L3805" s="117">
        <f>IF(O3805="","",N3805*O3805*M3805)</f>
        <v>0</v>
      </c>
      <c r="M3805" s="108">
        <v>1</v>
      </c>
      <c r="N3805" s="95">
        <v>1</v>
      </c>
      <c r="O3805" s="109">
        <f>IF(Key!D$1="ON",P3805,IF(SUM(Q3805:DL3805)&lt;1,"",SUM(Q3805:DL3805)/COUNTIF(Q3805:DL3805,"&gt;0")))</f>
        <v>0</v>
      </c>
      <c r="P3805" s="109">
        <f>SUMIFS(Q3805:DK3805,Q$1:DK$1,Dashboard!$K$31)</f>
        <v>0</v>
      </c>
      <c r="U3805" s="95">
        <v>33</v>
      </c>
      <c r="AA3805" s="95">
        <v>25</v>
      </c>
      <c r="AH3805" s="95">
        <v>75</v>
      </c>
    </row>
    <row r="3806" spans="1:34" x14ac:dyDescent="0.3">
      <c r="A3806" s="89" t="str">
        <f>CONCATENATE(D3806,".",F3806,"-",G3806,".",H3806,"")</f>
        <v>3.2-5.1</v>
      </c>
      <c r="B3806" s="89" t="str">
        <f>IF(CONCATENATE(I3806,Key!F$2)=CONCATENATE(INDEX(Dashboard!J:J,MATCH(I3806,Dashboard!J:J,0),1),INDEX(Dashboard!J:K,MATCH(I3806,Dashboard!J:J,0),2)),"ON",IF(Dashboard!K$32="ALL","ON","-"))</f>
        <v>-</v>
      </c>
      <c r="C3806" s="88" t="s">
        <v>311</v>
      </c>
      <c r="D3806" s="89">
        <f>IF(C3806="ID",1,(IF(C3806="PR",2,(IF(C3806="DE",3,(IF(C3806="RS",4,(IF(C3806="RC",5,0)))))))))</f>
        <v>3</v>
      </c>
      <c r="E3806" s="89" t="s">
        <v>316</v>
      </c>
      <c r="F3806" s="89">
        <f>IF(E3806="AM",1,(IF(E3806="BE",2,(IF(E3806="GV",3,(IF(E3806="RA",4,(IF(E3806="RM",5,(IF(E3806="AC",1,(IF(E3806="AT",2,(IF(E3806="DS",3,(IF(E3806="IP",4,(IF(E3806="MA",5,(IF(E3806="PT",6,(IF(E3806="AE",1,(IF(E3806="CM",2,(IF(E3806="DP",3,(IF(E3806="AN",1,(IF(E3806="CO",2,(IF(E3806="IM",3,(IF(E3806="MI",4,(IF(E3806="RP",5,(IF(E3806="SC",6,0)))))))))))))))))))))))))))))))))))))))</f>
        <v>2</v>
      </c>
      <c r="G3806" s="52">
        <v>5</v>
      </c>
      <c r="H3806" s="90" t="s">
        <v>115</v>
      </c>
      <c r="I3806" s="93" t="s">
        <v>77</v>
      </c>
      <c r="J3806" s="87" t="s">
        <v>1870</v>
      </c>
      <c r="K3806" s="102" t="s">
        <v>2773</v>
      </c>
      <c r="L3806" s="117">
        <f>IF(O3806="","",N3806*O3806*M3806)</f>
        <v>0</v>
      </c>
      <c r="M3806" s="108">
        <v>1</v>
      </c>
      <c r="N3806" s="95">
        <v>1</v>
      </c>
      <c r="O3806" s="109">
        <f>IF(Key!D$1="ON",P3806,IF(SUM(Q3806:DL3806)&lt;1,"",SUM(Q3806:DL3806)/COUNTIF(Q3806:DL3806,"&gt;0")))</f>
        <v>0</v>
      </c>
      <c r="P3806" s="109">
        <f>SUMIFS(Q3806:DK3806,Q$1:DK$1,Dashboard!$K$31)</f>
        <v>0</v>
      </c>
      <c r="U3806" s="95">
        <v>33</v>
      </c>
      <c r="AA3806" s="95">
        <v>25</v>
      </c>
      <c r="AH3806" s="95">
        <v>75</v>
      </c>
    </row>
    <row r="3807" spans="1:34" x14ac:dyDescent="0.3">
      <c r="A3807" s="89" t="str">
        <f>CONCATENATE(D3807,".",F3807,"-",G3807,".",H3807,"")</f>
        <v>3.2-5.1</v>
      </c>
      <c r="B3807" s="89" t="str">
        <f>IF(CONCATENATE(I3807,Key!F$2)=CONCATENATE(INDEX(Dashboard!J:J,MATCH(I3807,Dashboard!J:J,0),1),INDEX(Dashboard!J:K,MATCH(I3807,Dashboard!J:J,0),2)),"ON",IF(Dashboard!K$32="ALL","ON","-"))</f>
        <v>-</v>
      </c>
      <c r="C3807" s="88" t="s">
        <v>311</v>
      </c>
      <c r="D3807" s="89">
        <f>IF(C3807="ID",1,(IF(C3807="PR",2,(IF(C3807="DE",3,(IF(C3807="RS",4,(IF(C3807="RC",5,0)))))))))</f>
        <v>3</v>
      </c>
      <c r="E3807" s="89" t="s">
        <v>316</v>
      </c>
      <c r="F3807" s="89">
        <f>IF(E3807="AM",1,(IF(E3807="BE",2,(IF(E3807="GV",3,(IF(E3807="RA",4,(IF(E3807="RM",5,(IF(E3807="AC",1,(IF(E3807="AT",2,(IF(E3807="DS",3,(IF(E3807="IP",4,(IF(E3807="MA",5,(IF(E3807="PT",6,(IF(E3807="AE",1,(IF(E3807="CM",2,(IF(E3807="DP",3,(IF(E3807="AN",1,(IF(E3807="CO",2,(IF(E3807="IM",3,(IF(E3807="MI",4,(IF(E3807="RP",5,(IF(E3807="SC",6,0)))))))))))))))))))))))))))))))))))))))</f>
        <v>2</v>
      </c>
      <c r="G3807" s="52">
        <v>5</v>
      </c>
      <c r="H3807" s="90" t="s">
        <v>115</v>
      </c>
      <c r="I3807" s="93" t="s">
        <v>77</v>
      </c>
      <c r="J3807" s="87" t="s">
        <v>1871</v>
      </c>
      <c r="K3807" s="102" t="s">
        <v>2774</v>
      </c>
      <c r="L3807" s="117">
        <f>IF(O3807="","",N3807*O3807*M3807)</f>
        <v>0</v>
      </c>
      <c r="M3807" s="108">
        <v>1</v>
      </c>
      <c r="N3807" s="95">
        <v>1</v>
      </c>
      <c r="O3807" s="109">
        <f>IF(Key!D$1="ON",P3807,IF(SUM(Q3807:DL3807)&lt;1,"",SUM(Q3807:DL3807)/COUNTIF(Q3807:DL3807,"&gt;0")))</f>
        <v>0</v>
      </c>
      <c r="P3807" s="109">
        <f>SUMIFS(Q3807:DK3807,Q$1:DK$1,Dashboard!$K$31)</f>
        <v>0</v>
      </c>
      <c r="U3807" s="95">
        <v>33</v>
      </c>
      <c r="AA3807" s="95">
        <v>25</v>
      </c>
      <c r="AH3807" s="95">
        <v>75</v>
      </c>
    </row>
    <row r="3808" spans="1:34" x14ac:dyDescent="0.3">
      <c r="A3808" s="89" t="str">
        <f>CONCATENATE(D3808,".",F3808,"-",G3808,".",H3808,"")</f>
        <v>3.2-5.1</v>
      </c>
      <c r="B3808" s="89" t="str">
        <f>IF(CONCATENATE(I3808,Key!F$2)=CONCATENATE(INDEX(Dashboard!J:J,MATCH(I3808,Dashboard!J:J,0),1),INDEX(Dashboard!J:K,MATCH(I3808,Dashboard!J:J,0),2)),"ON",IF(Dashboard!K$32="ALL","ON","-"))</f>
        <v>-</v>
      </c>
      <c r="C3808" s="88" t="s">
        <v>311</v>
      </c>
      <c r="D3808" s="89">
        <f>IF(C3808="ID",1,(IF(C3808="PR",2,(IF(C3808="DE",3,(IF(C3808="RS",4,(IF(C3808="RC",5,0)))))))))</f>
        <v>3</v>
      </c>
      <c r="E3808" s="89" t="s">
        <v>316</v>
      </c>
      <c r="F3808" s="89">
        <f>IF(E3808="AM",1,(IF(E3808="BE",2,(IF(E3808="GV",3,(IF(E3808="RA",4,(IF(E3808="RM",5,(IF(E3808="AC",1,(IF(E3808="AT",2,(IF(E3808="DS",3,(IF(E3808="IP",4,(IF(E3808="MA",5,(IF(E3808="PT",6,(IF(E3808="AE",1,(IF(E3808="CM",2,(IF(E3808="DP",3,(IF(E3808="AN",1,(IF(E3808="CO",2,(IF(E3808="IM",3,(IF(E3808="MI",4,(IF(E3808="RP",5,(IF(E3808="SC",6,0)))))))))))))))))))))))))))))))))))))))</f>
        <v>2</v>
      </c>
      <c r="G3808" s="52">
        <v>5</v>
      </c>
      <c r="H3808" s="90" t="s">
        <v>115</v>
      </c>
      <c r="I3808" s="93" t="s">
        <v>77</v>
      </c>
      <c r="J3808" s="87" t="s">
        <v>1872</v>
      </c>
      <c r="K3808" s="102" t="s">
        <v>2775</v>
      </c>
      <c r="L3808" s="117">
        <f>IF(O3808="","",N3808*O3808*M3808)</f>
        <v>0</v>
      </c>
      <c r="M3808" s="108">
        <v>1</v>
      </c>
      <c r="N3808" s="95">
        <v>1</v>
      </c>
      <c r="O3808" s="109">
        <f>IF(Key!D$1="ON",P3808,IF(SUM(Q3808:DL3808)&lt;1,"",SUM(Q3808:DL3808)/COUNTIF(Q3808:DL3808,"&gt;0")))</f>
        <v>0</v>
      </c>
      <c r="P3808" s="109">
        <f>SUMIFS(Q3808:DK3808,Q$1:DK$1,Dashboard!$K$31)</f>
        <v>0</v>
      </c>
      <c r="U3808" s="95">
        <v>33</v>
      </c>
      <c r="AA3808" s="95">
        <v>25</v>
      </c>
      <c r="AH3808" s="95">
        <v>75</v>
      </c>
    </row>
    <row r="3809" spans="1:34" x14ac:dyDescent="0.3">
      <c r="A3809" s="89" t="str">
        <f>CONCATENATE(D3809,".",F3809,"-",G3809,".",H3809,"")</f>
        <v>3.2-5.1</v>
      </c>
      <c r="B3809" s="89" t="str">
        <f>IF(CONCATENATE(I3809,Key!F$2)=CONCATENATE(INDEX(Dashboard!J:J,MATCH(I3809,Dashboard!J:J,0),1),INDEX(Dashboard!J:K,MATCH(I3809,Dashboard!J:J,0),2)),"ON",IF(Dashboard!K$32="ALL","ON","-"))</f>
        <v>-</v>
      </c>
      <c r="C3809" s="88" t="s">
        <v>311</v>
      </c>
      <c r="D3809" s="89">
        <f>IF(C3809="ID",1,(IF(C3809="PR",2,(IF(C3809="DE",3,(IF(C3809="RS",4,(IF(C3809="RC",5,0)))))))))</f>
        <v>3</v>
      </c>
      <c r="E3809" s="89" t="s">
        <v>316</v>
      </c>
      <c r="F3809" s="89">
        <f>IF(E3809="AM",1,(IF(E3809="BE",2,(IF(E3809="GV",3,(IF(E3809="RA",4,(IF(E3809="RM",5,(IF(E3809="AC",1,(IF(E3809="AT",2,(IF(E3809="DS",3,(IF(E3809="IP",4,(IF(E3809="MA",5,(IF(E3809="PT",6,(IF(E3809="AE",1,(IF(E3809="CM",2,(IF(E3809="DP",3,(IF(E3809="AN",1,(IF(E3809="CO",2,(IF(E3809="IM",3,(IF(E3809="MI",4,(IF(E3809="RP",5,(IF(E3809="SC",6,0)))))))))))))))))))))))))))))))))))))))</f>
        <v>2</v>
      </c>
      <c r="G3809" s="52">
        <v>5</v>
      </c>
      <c r="H3809" s="90" t="s">
        <v>115</v>
      </c>
      <c r="I3809" s="93" t="s">
        <v>77</v>
      </c>
      <c r="J3809" s="87" t="s">
        <v>1873</v>
      </c>
      <c r="K3809" s="102" t="s">
        <v>2776</v>
      </c>
      <c r="L3809" s="117">
        <f>IF(O3809="","",N3809*O3809*M3809)</f>
        <v>0</v>
      </c>
      <c r="M3809" s="108">
        <v>1</v>
      </c>
      <c r="N3809" s="95">
        <v>1</v>
      </c>
      <c r="O3809" s="109">
        <f>IF(Key!D$1="ON",P3809,IF(SUM(Q3809:DL3809)&lt;1,"",SUM(Q3809:DL3809)/COUNTIF(Q3809:DL3809,"&gt;0")))</f>
        <v>0</v>
      </c>
      <c r="P3809" s="109">
        <f>SUMIFS(Q3809:DK3809,Q$1:DK$1,Dashboard!$K$31)</f>
        <v>0</v>
      </c>
      <c r="U3809" s="95">
        <v>33</v>
      </c>
      <c r="AA3809" s="95">
        <v>25</v>
      </c>
      <c r="AH3809" s="95">
        <v>75</v>
      </c>
    </row>
    <row r="3810" spans="1:34" x14ac:dyDescent="0.3">
      <c r="A3810" s="89" t="str">
        <f>CONCATENATE(D3810,".",F3810,"-",G3810,".",H3810,"")</f>
        <v>3.2-5.1</v>
      </c>
      <c r="B3810" s="89" t="str">
        <f>IF(CONCATENATE(I3810,Key!F$2)=CONCATENATE(INDEX(Dashboard!J:J,MATCH(I3810,Dashboard!J:J,0),1),INDEX(Dashboard!J:K,MATCH(I3810,Dashboard!J:J,0),2)),"ON",IF(Dashboard!K$32="ALL","ON","-"))</f>
        <v>-</v>
      </c>
      <c r="C3810" s="88" t="s">
        <v>311</v>
      </c>
      <c r="D3810" s="89">
        <f>IF(C3810="ID",1,(IF(C3810="PR",2,(IF(C3810="DE",3,(IF(C3810="RS",4,(IF(C3810="RC",5,0)))))))))</f>
        <v>3</v>
      </c>
      <c r="E3810" s="89" t="s">
        <v>316</v>
      </c>
      <c r="F3810" s="89">
        <f>IF(E3810="AM",1,(IF(E3810="BE",2,(IF(E3810="GV",3,(IF(E3810="RA",4,(IF(E3810="RM",5,(IF(E3810="AC",1,(IF(E3810="AT",2,(IF(E3810="DS",3,(IF(E3810="IP",4,(IF(E3810="MA",5,(IF(E3810="PT",6,(IF(E3810="AE",1,(IF(E3810="CM",2,(IF(E3810="DP",3,(IF(E3810="AN",1,(IF(E3810="CO",2,(IF(E3810="IM",3,(IF(E3810="MI",4,(IF(E3810="RP",5,(IF(E3810="SC",6,0)))))))))))))))))))))))))))))))))))))))</f>
        <v>2</v>
      </c>
      <c r="G3810" s="52">
        <v>5</v>
      </c>
      <c r="H3810" s="90" t="s">
        <v>115</v>
      </c>
      <c r="I3810" s="93" t="s">
        <v>77</v>
      </c>
      <c r="J3810" s="87" t="s">
        <v>1874</v>
      </c>
      <c r="K3810" s="102" t="s">
        <v>2777</v>
      </c>
      <c r="L3810" s="117">
        <f>IF(O3810="","",N3810*O3810*M3810)</f>
        <v>0</v>
      </c>
      <c r="M3810" s="108">
        <v>1</v>
      </c>
      <c r="N3810" s="95">
        <v>1</v>
      </c>
      <c r="O3810" s="109">
        <f>IF(Key!D$1="ON",P3810,IF(SUM(Q3810:DL3810)&lt;1,"",SUM(Q3810:DL3810)/COUNTIF(Q3810:DL3810,"&gt;0")))</f>
        <v>0</v>
      </c>
      <c r="P3810" s="109">
        <f>SUMIFS(Q3810:DK3810,Q$1:DK$1,Dashboard!$K$31)</f>
        <v>0</v>
      </c>
      <c r="U3810" s="95">
        <v>33</v>
      </c>
      <c r="AA3810" s="95">
        <v>25</v>
      </c>
      <c r="AH3810" s="95">
        <v>75</v>
      </c>
    </row>
    <row r="3811" spans="1:34" x14ac:dyDescent="0.3">
      <c r="A3811" s="89" t="str">
        <f>CONCATENATE(D3811,".",F3811,"-",G3811,".",H3811,"")</f>
        <v>3.2-5.1</v>
      </c>
      <c r="B3811" s="89" t="str">
        <f>IF(CONCATENATE(I3811,Key!F$2)=CONCATENATE(INDEX(Dashboard!J:J,MATCH(I3811,Dashboard!J:J,0),1),INDEX(Dashboard!J:K,MATCH(I3811,Dashboard!J:J,0),2)),"ON",IF(Dashboard!K$32="ALL","ON","-"))</f>
        <v>-</v>
      </c>
      <c r="C3811" s="96" t="s">
        <v>311</v>
      </c>
      <c r="D3811" s="89">
        <f>IF(C3811="ID",1,(IF(C3811="PR",2,(IF(C3811="DE",3,(IF(C3811="RS",4,(IF(C3811="RC",5,0)))))))))</f>
        <v>3</v>
      </c>
      <c r="E3811" s="89" t="s">
        <v>316</v>
      </c>
      <c r="F3811" s="89">
        <f>IF(E3811="AM",1,(IF(E3811="BE",2,(IF(E3811="GV",3,(IF(E3811="RA",4,(IF(E3811="RM",5,(IF(E3811="AC",1,(IF(E3811="AT",2,(IF(E3811="DS",3,(IF(E3811="IP",4,(IF(E3811="MA",5,(IF(E3811="PT",6,(IF(E3811="AE",1,(IF(E3811="CM",2,(IF(E3811="DP",3,(IF(E3811="AN",1,(IF(E3811="CO",2,(IF(E3811="IM",3,(IF(E3811="MI",4,(IF(E3811="RP",5,(IF(E3811="SC",6,0)))))))))))))))))))))))))))))))))))))))</f>
        <v>2</v>
      </c>
      <c r="G3811" s="52">
        <v>5</v>
      </c>
      <c r="H3811" s="90" t="s">
        <v>115</v>
      </c>
      <c r="I3811" s="93" t="s">
        <v>77</v>
      </c>
      <c r="J3811" s="87" t="s">
        <v>1875</v>
      </c>
      <c r="K3811" s="102" t="s">
        <v>2778</v>
      </c>
      <c r="L3811" s="117">
        <f>IF(O3811="","",N3811*O3811*M3811)</f>
        <v>0</v>
      </c>
      <c r="M3811" s="108">
        <v>1</v>
      </c>
      <c r="N3811" s="95">
        <v>1</v>
      </c>
      <c r="O3811" s="109">
        <f>IF(Key!D$1="ON",P3811,IF(SUM(Q3811:DL3811)&lt;1,"",SUM(Q3811:DL3811)/COUNTIF(Q3811:DL3811,"&gt;0")))</f>
        <v>0</v>
      </c>
      <c r="P3811" s="109">
        <f>SUMIFS(Q3811:DK3811,Q$1:DK$1,Dashboard!$K$31)</f>
        <v>0</v>
      </c>
      <c r="U3811" s="95">
        <v>33</v>
      </c>
      <c r="AA3811" s="95">
        <v>25</v>
      </c>
      <c r="AH3811" s="95">
        <v>75</v>
      </c>
    </row>
    <row r="3812" spans="1:34" x14ac:dyDescent="0.3">
      <c r="A3812" s="89" t="str">
        <f>CONCATENATE(D3812,".",F3812,"-",G3812,".",H3812,"")</f>
        <v>3.2-5.1</v>
      </c>
      <c r="B3812" s="89" t="str">
        <f>IF(CONCATENATE(I3812,Key!F$2)=CONCATENATE(INDEX(Dashboard!J:J,MATCH(I3812,Dashboard!J:J,0),1),INDEX(Dashboard!J:K,MATCH(I3812,Dashboard!J:J,0),2)),"ON",IF(Dashboard!K$32="ALL","ON","-"))</f>
        <v>-</v>
      </c>
      <c r="C3812" s="88" t="s">
        <v>311</v>
      </c>
      <c r="D3812" s="89">
        <f>IF(C3812="ID",1,(IF(C3812="PR",2,(IF(C3812="DE",3,(IF(C3812="RS",4,(IF(C3812="RC",5,0)))))))))</f>
        <v>3</v>
      </c>
      <c r="E3812" s="89" t="s">
        <v>316</v>
      </c>
      <c r="F3812" s="89">
        <f>IF(E3812="AM",1,(IF(E3812="BE",2,(IF(E3812="GV",3,(IF(E3812="RA",4,(IF(E3812="RM",5,(IF(E3812="AC",1,(IF(E3812="AT",2,(IF(E3812="DS",3,(IF(E3812="IP",4,(IF(E3812="MA",5,(IF(E3812="PT",6,(IF(E3812="AE",1,(IF(E3812="CM",2,(IF(E3812="DP",3,(IF(E3812="AN",1,(IF(E3812="CO",2,(IF(E3812="IM",3,(IF(E3812="MI",4,(IF(E3812="RP",5,(IF(E3812="SC",6,0)))))))))))))))))))))))))))))))))))))))</f>
        <v>2</v>
      </c>
      <c r="G3812" s="52">
        <v>5</v>
      </c>
      <c r="H3812" s="90" t="s">
        <v>115</v>
      </c>
      <c r="I3812" s="93" t="s">
        <v>85</v>
      </c>
      <c r="J3812" s="87" t="s">
        <v>1871</v>
      </c>
      <c r="K3812" s="119" t="s">
        <v>5049</v>
      </c>
      <c r="L3812" s="117">
        <f>IF(O3812="","",N3812*O3812*M3812)</f>
        <v>0</v>
      </c>
      <c r="M3812" s="108">
        <v>1</v>
      </c>
      <c r="N3812" s="95">
        <v>1</v>
      </c>
      <c r="O3812" s="109">
        <f>IF(Key!D$1="ON",P3812,IF(SUM(Q3812:DL3812)&lt;1,"",SUM(Q3812:DL3812)/COUNTIF(Q3812:DL3812,"&gt;0")))</f>
        <v>0</v>
      </c>
      <c r="P3812" s="109">
        <f>SUMIFS(Q3812:DK3812,Q$1:DK$1,Dashboard!$K$31)</f>
        <v>0</v>
      </c>
      <c r="U3812" s="95">
        <v>33</v>
      </c>
      <c r="AA3812" s="95">
        <v>25</v>
      </c>
      <c r="AH3812" s="95">
        <v>75</v>
      </c>
    </row>
    <row r="3813" spans="1:34" x14ac:dyDescent="0.3">
      <c r="A3813" s="89" t="str">
        <f>CONCATENATE(D3813,".",F3813,"-",G3813,".",H3813,"")</f>
        <v>3.2-5.1</v>
      </c>
      <c r="B3813" s="89" t="str">
        <f>IF(CONCATENATE(I3813,Key!F$2)=CONCATENATE(INDEX(Dashboard!J:J,MATCH(I3813,Dashboard!J:J,0),1),INDEX(Dashboard!J:K,MATCH(I3813,Dashboard!J:J,0),2)),"ON",IF(Dashboard!K$32="ALL","ON","-"))</f>
        <v>-</v>
      </c>
      <c r="C3813" s="88" t="s">
        <v>311</v>
      </c>
      <c r="D3813" s="89">
        <f>IF(C3813="ID",1,(IF(C3813="PR",2,(IF(C3813="DE",3,(IF(C3813="RS",4,(IF(C3813="RC",5,0)))))))))</f>
        <v>3</v>
      </c>
      <c r="E3813" s="89" t="s">
        <v>316</v>
      </c>
      <c r="F3813" s="89">
        <f>IF(E3813="AM",1,(IF(E3813="BE",2,(IF(E3813="GV",3,(IF(E3813="RA",4,(IF(E3813="RM",5,(IF(E3813="AC",1,(IF(E3813="AT",2,(IF(E3813="DS",3,(IF(E3813="IP",4,(IF(E3813="MA",5,(IF(E3813="PT",6,(IF(E3813="AE",1,(IF(E3813="CM",2,(IF(E3813="DP",3,(IF(E3813="AN",1,(IF(E3813="CO",2,(IF(E3813="IM",3,(IF(E3813="MI",4,(IF(E3813="RP",5,(IF(E3813="SC",6,0)))))))))))))))))))))))))))))))))))))))</f>
        <v>2</v>
      </c>
      <c r="G3813" s="52">
        <v>5</v>
      </c>
      <c r="H3813" s="90" t="s">
        <v>115</v>
      </c>
      <c r="I3813" s="93" t="s">
        <v>85</v>
      </c>
      <c r="J3813" s="87" t="s">
        <v>1874</v>
      </c>
      <c r="K3813" s="119" t="s">
        <v>5052</v>
      </c>
      <c r="L3813" s="117">
        <f>IF(O3813="","",N3813*O3813*M3813)</f>
        <v>0</v>
      </c>
      <c r="M3813" s="108">
        <v>1</v>
      </c>
      <c r="N3813" s="95">
        <v>1</v>
      </c>
      <c r="O3813" s="109">
        <f>IF(Key!D$1="ON",P3813,IF(SUM(Q3813:DL3813)&lt;1,"",SUM(Q3813:DL3813)/COUNTIF(Q3813:DL3813,"&gt;0")))</f>
        <v>0</v>
      </c>
      <c r="P3813" s="109">
        <f>SUMIFS(Q3813:DK3813,Q$1:DK$1,Dashboard!$K$31)</f>
        <v>0</v>
      </c>
      <c r="U3813" s="95">
        <v>33</v>
      </c>
      <c r="AA3813" s="95">
        <v>25</v>
      </c>
      <c r="AH3813" s="95">
        <v>75</v>
      </c>
    </row>
    <row r="3814" spans="1:34" x14ac:dyDescent="0.3">
      <c r="A3814" s="89" t="str">
        <f>CONCATENATE(D3814,".",F3814,"-",G3814,".",H3814,"")</f>
        <v>3.2-5.1</v>
      </c>
      <c r="B3814" s="89" t="str">
        <f>IF(CONCATENATE(I3814,Key!F$2)=CONCATENATE(INDEX(Dashboard!J:J,MATCH(I3814,Dashboard!J:J,0),1),INDEX(Dashboard!J:K,MATCH(I3814,Dashboard!J:J,0),2)),"ON",IF(Dashboard!K$32="ALL","ON","-"))</f>
        <v>-</v>
      </c>
      <c r="C3814" s="96" t="s">
        <v>311</v>
      </c>
      <c r="D3814" s="89">
        <f>IF(C3814="ID",1,(IF(C3814="PR",2,(IF(C3814="DE",3,(IF(C3814="RS",4,(IF(C3814="RC",5,0)))))))))</f>
        <v>3</v>
      </c>
      <c r="E3814" s="89" t="s">
        <v>316</v>
      </c>
      <c r="F3814" s="89">
        <f>IF(E3814="AM",1,(IF(E3814="BE",2,(IF(E3814="GV",3,(IF(E3814="RA",4,(IF(E3814="RM",5,(IF(E3814="AC",1,(IF(E3814="AT",2,(IF(E3814="DS",3,(IF(E3814="IP",4,(IF(E3814="MA",5,(IF(E3814="PT",6,(IF(E3814="AE",1,(IF(E3814="CM",2,(IF(E3814="DP",3,(IF(E3814="AN",1,(IF(E3814="CO",2,(IF(E3814="IM",3,(IF(E3814="MI",4,(IF(E3814="RP",5,(IF(E3814="SC",6,0)))))))))))))))))))))))))))))))))))))))</f>
        <v>2</v>
      </c>
      <c r="G3814" s="52">
        <v>5</v>
      </c>
      <c r="H3814" s="90" t="s">
        <v>115</v>
      </c>
      <c r="I3814" s="93" t="s">
        <v>85</v>
      </c>
      <c r="J3814" s="87" t="s">
        <v>1875</v>
      </c>
      <c r="K3814" s="119" t="s">
        <v>1876</v>
      </c>
      <c r="L3814" s="117">
        <f>IF(O3814="","",N3814*O3814*M3814)</f>
        <v>0</v>
      </c>
      <c r="M3814" s="108">
        <v>1</v>
      </c>
      <c r="N3814" s="95">
        <v>1</v>
      </c>
      <c r="O3814" s="109">
        <f>IF(Key!D$1="ON",P3814,IF(SUM(Q3814:DL3814)&lt;1,"",SUM(Q3814:DL3814)/COUNTIF(Q3814:DL3814,"&gt;0")))</f>
        <v>0</v>
      </c>
      <c r="P3814" s="109">
        <f>SUMIFS(Q3814:DK3814,Q$1:DK$1,Dashboard!$K$31)</f>
        <v>0</v>
      </c>
      <c r="U3814" s="95">
        <v>33</v>
      </c>
      <c r="AA3814" s="95">
        <v>25</v>
      </c>
      <c r="AH3814" s="95">
        <v>75</v>
      </c>
    </row>
    <row r="3815" spans="1:34" x14ac:dyDescent="0.3">
      <c r="A3815" s="89" t="str">
        <f>CONCATENATE(D3815,".",F3815,"-",G3815,".",H3815,"")</f>
        <v>3.2-5.1</v>
      </c>
      <c r="B3815" s="89" t="str">
        <f>IF(CONCATENATE(I3815,Key!F$2)=CONCATENATE(INDEX(Dashboard!J:J,MATCH(I3815,Dashboard!J:J,0),1),INDEX(Dashboard!J:K,MATCH(I3815,Dashboard!J:J,0),2)),"ON",IF(Dashboard!K$32="ALL","ON","-"))</f>
        <v>-</v>
      </c>
      <c r="C3815" s="88" t="s">
        <v>311</v>
      </c>
      <c r="D3815" s="89">
        <f>IF(C3815="ID",1,(IF(C3815="PR",2,(IF(C3815="DE",3,(IF(C3815="RS",4,(IF(C3815="RC",5,0)))))))))</f>
        <v>3</v>
      </c>
      <c r="E3815" s="89" t="s">
        <v>316</v>
      </c>
      <c r="F3815" s="89">
        <f>IF(E3815="AM",1,(IF(E3815="BE",2,(IF(E3815="GV",3,(IF(E3815="RA",4,(IF(E3815="RM",5,(IF(E3815="AC",1,(IF(E3815="AT",2,(IF(E3815="DS",3,(IF(E3815="IP",4,(IF(E3815="MA",5,(IF(E3815="PT",6,(IF(E3815="AE",1,(IF(E3815="CM",2,(IF(E3815="DP",3,(IF(E3815="AN",1,(IF(E3815="CO",2,(IF(E3815="IM",3,(IF(E3815="MI",4,(IF(E3815="RP",5,(IF(E3815="SC",6,0)))))))))))))))))))))))))))))))))))))))</f>
        <v>2</v>
      </c>
      <c r="G3815" s="52">
        <v>5</v>
      </c>
      <c r="H3815" s="90" t="s">
        <v>115</v>
      </c>
      <c r="I3815" s="93" t="s">
        <v>85</v>
      </c>
      <c r="J3815" s="87" t="s">
        <v>1870</v>
      </c>
      <c r="K3815" s="119" t="s">
        <v>5048</v>
      </c>
      <c r="L3815" s="117">
        <f>IF(O3815="","",N3815*O3815*M3815)</f>
        <v>0</v>
      </c>
      <c r="M3815" s="108">
        <v>1</v>
      </c>
      <c r="N3815" s="95">
        <v>1</v>
      </c>
      <c r="O3815" s="109">
        <f>IF(Key!D$1="ON",P3815,IF(SUM(Q3815:DL3815)&lt;1,"",SUM(Q3815:DL3815)/COUNTIF(Q3815:DL3815,"&gt;0")))</f>
        <v>0</v>
      </c>
      <c r="P3815" s="109">
        <f>SUMIFS(Q3815:DK3815,Q$1:DK$1,Dashboard!$K$31)</f>
        <v>0</v>
      </c>
      <c r="U3815" s="95">
        <v>33</v>
      </c>
      <c r="AA3815" s="95">
        <v>25</v>
      </c>
      <c r="AH3815" s="95">
        <v>75</v>
      </c>
    </row>
    <row r="3816" spans="1:34" ht="15.6" x14ac:dyDescent="0.3">
      <c r="A3816" s="89" t="str">
        <f>CONCATENATE(D3816,".",F3816,"-",G3816,".",H3816,"")</f>
        <v>3.2-5.1</v>
      </c>
      <c r="B3816" s="89" t="str">
        <f>IF(CONCATENATE(I3816,Key!F$2)=CONCATENATE(INDEX(Dashboard!J:J,MATCH(I3816,Dashboard!J:J,0),1),INDEX(Dashboard!J:K,MATCH(I3816,Dashboard!J:J,0),2)),"ON",IF(Dashboard!K$32="ALL","ON","-"))</f>
        <v>-</v>
      </c>
      <c r="C3816" s="96" t="s">
        <v>311</v>
      </c>
      <c r="D3816" s="89">
        <f>IF(C3816="ID",1,(IF(C3816="PR",2,(IF(C3816="DE",3,(IF(C3816="RS",4,(IF(C3816="RC",5,0)))))))))</f>
        <v>3</v>
      </c>
      <c r="E3816" s="89" t="s">
        <v>316</v>
      </c>
      <c r="F3816" s="89">
        <f>IF(E3816="AM",1,(IF(E3816="BE",2,(IF(E3816="GV",3,(IF(E3816="RA",4,(IF(E3816="RM",5,(IF(E3816="AC",1,(IF(E3816="AT",2,(IF(E3816="DS",3,(IF(E3816="IP",4,(IF(E3816="MA",5,(IF(E3816="PT",6,(IF(E3816="AE",1,(IF(E3816="CM",2,(IF(E3816="DP",3,(IF(E3816="AN",1,(IF(E3816="CO",2,(IF(E3816="IM",3,(IF(E3816="MI",4,(IF(E3816="RP",5,(IF(E3816="SC",6,0)))))))))))))))))))))))))))))))))))))))</f>
        <v>2</v>
      </c>
      <c r="G3816" s="52">
        <v>5</v>
      </c>
      <c r="H3816" s="90" t="s">
        <v>115</v>
      </c>
      <c r="I3816" s="93" t="s">
        <v>85</v>
      </c>
      <c r="J3816" s="87" t="s">
        <v>1868</v>
      </c>
      <c r="K3816" s="119" t="s">
        <v>1869</v>
      </c>
      <c r="L3816" s="117">
        <f>IF(O3816="","",N3816*O3816*M3816)</f>
        <v>0</v>
      </c>
      <c r="M3816" s="108">
        <v>1</v>
      </c>
      <c r="N3816" s="95">
        <v>1</v>
      </c>
      <c r="O3816" s="109">
        <f>IF(Key!D$1="ON",P3816,IF(SUM(Q3816:DL3816)&lt;1,"",SUM(Q3816:DL3816)/COUNTIF(Q3816:DL3816,"&gt;0")))</f>
        <v>0</v>
      </c>
      <c r="P3816" s="109">
        <f>SUMIFS(Q3816:DK3816,Q$1:DK$1,Dashboard!$K$31)</f>
        <v>0</v>
      </c>
      <c r="U3816" s="95">
        <v>33</v>
      </c>
      <c r="AA3816" s="95">
        <v>25</v>
      </c>
      <c r="AH3816" s="95">
        <v>75</v>
      </c>
    </row>
    <row r="3817" spans="1:34" ht="15.6" x14ac:dyDescent="0.3">
      <c r="A3817" s="89" t="str">
        <f>CONCATENATE(D3817,".",F3817,"-",G3817,".",H3817,"")</f>
        <v>3.2-5.1</v>
      </c>
      <c r="B3817" s="89" t="str">
        <f>IF(CONCATENATE(I3817,Key!F$2)=CONCATENATE(INDEX(Dashboard!J:J,MATCH(I3817,Dashboard!J:J,0),1),INDEX(Dashboard!J:K,MATCH(I3817,Dashboard!J:J,0),2)),"ON",IF(Dashboard!K$32="ALL","ON","-"))</f>
        <v>-</v>
      </c>
      <c r="C3817" s="88" t="s">
        <v>311</v>
      </c>
      <c r="D3817" s="89">
        <f>IF(C3817="ID",1,(IF(C3817="PR",2,(IF(C3817="DE",3,(IF(C3817="RS",4,(IF(C3817="RC",5,0)))))))))</f>
        <v>3</v>
      </c>
      <c r="E3817" s="89" t="s">
        <v>316</v>
      </c>
      <c r="F3817" s="89">
        <f>IF(E3817="AM",1,(IF(E3817="BE",2,(IF(E3817="GV",3,(IF(E3817="RA",4,(IF(E3817="RM",5,(IF(E3817="AC",1,(IF(E3817="AT",2,(IF(E3817="DS",3,(IF(E3817="IP",4,(IF(E3817="MA",5,(IF(E3817="PT",6,(IF(E3817="AE",1,(IF(E3817="CM",2,(IF(E3817="DP",3,(IF(E3817="AN",1,(IF(E3817="CO",2,(IF(E3817="IM",3,(IF(E3817="MI",4,(IF(E3817="RP",5,(IF(E3817="SC",6,0)))))))))))))))))))))))))))))))))))))))</f>
        <v>2</v>
      </c>
      <c r="G3817" s="52">
        <v>5</v>
      </c>
      <c r="H3817" s="90" t="s">
        <v>115</v>
      </c>
      <c r="I3817" s="93" t="s">
        <v>85</v>
      </c>
      <c r="J3817" s="87" t="s">
        <v>1873</v>
      </c>
      <c r="K3817" s="119" t="s">
        <v>5051</v>
      </c>
      <c r="L3817" s="117">
        <f>IF(O3817="","",N3817*O3817*M3817)</f>
        <v>0</v>
      </c>
      <c r="M3817" s="108">
        <v>1</v>
      </c>
      <c r="N3817" s="95">
        <v>1</v>
      </c>
      <c r="O3817" s="109">
        <f>IF(Key!D$1="ON",P3817,IF(SUM(Q3817:DL3817)&lt;1,"",SUM(Q3817:DL3817)/COUNTIF(Q3817:DL3817,"&gt;0")))</f>
        <v>0</v>
      </c>
      <c r="P3817" s="109">
        <f>SUMIFS(Q3817:DK3817,Q$1:DK$1,Dashboard!$K$31)</f>
        <v>0</v>
      </c>
      <c r="U3817" s="95">
        <v>33</v>
      </c>
      <c r="AA3817" s="95">
        <v>25</v>
      </c>
      <c r="AH3817" s="95">
        <v>75</v>
      </c>
    </row>
    <row r="3818" spans="1:34" ht="15.6" x14ac:dyDescent="0.3">
      <c r="A3818" s="89" t="str">
        <f>CONCATENATE(D3818,".",F3818,"-",G3818,".",H3818,"")</f>
        <v>3.2-5.1</v>
      </c>
      <c r="B3818" s="89" t="str">
        <f>IF(CONCATENATE(I3818,Key!F$2)=CONCATENATE(INDEX(Dashboard!J:J,MATCH(I3818,Dashboard!J:J,0),1),INDEX(Dashboard!J:K,MATCH(I3818,Dashboard!J:J,0),2)),"ON",IF(Dashboard!K$32="ALL","ON","-"))</f>
        <v>-</v>
      </c>
      <c r="C3818" s="88" t="s">
        <v>311</v>
      </c>
      <c r="D3818" s="89">
        <f>IF(C3818="ID",1,(IF(C3818="PR",2,(IF(C3818="DE",3,(IF(C3818="RS",4,(IF(C3818="RC",5,0)))))))))</f>
        <v>3</v>
      </c>
      <c r="E3818" s="89" t="s">
        <v>316</v>
      </c>
      <c r="F3818" s="89">
        <f>IF(E3818="AM",1,(IF(E3818="BE",2,(IF(E3818="GV",3,(IF(E3818="RA",4,(IF(E3818="RM",5,(IF(E3818="AC",1,(IF(E3818="AT",2,(IF(E3818="DS",3,(IF(E3818="IP",4,(IF(E3818="MA",5,(IF(E3818="PT",6,(IF(E3818="AE",1,(IF(E3818="CM",2,(IF(E3818="DP",3,(IF(E3818="AN",1,(IF(E3818="CO",2,(IF(E3818="IM",3,(IF(E3818="MI",4,(IF(E3818="RP",5,(IF(E3818="SC",6,0)))))))))))))))))))))))))))))))))))))))</f>
        <v>2</v>
      </c>
      <c r="G3818" s="52">
        <v>5</v>
      </c>
      <c r="H3818" s="90" t="s">
        <v>115</v>
      </c>
      <c r="I3818" s="93" t="s">
        <v>85</v>
      </c>
      <c r="J3818" s="87" t="s">
        <v>1872</v>
      </c>
      <c r="K3818" s="119" t="s">
        <v>5050</v>
      </c>
      <c r="L3818" s="117">
        <f>IF(O3818="","",N3818*O3818*M3818)</f>
        <v>0</v>
      </c>
      <c r="M3818" s="108">
        <v>1</v>
      </c>
      <c r="N3818" s="95">
        <v>1</v>
      </c>
      <c r="O3818" s="109">
        <f>IF(Key!D$1="ON",P3818,IF(SUM(Q3818:DL3818)&lt;1,"",SUM(Q3818:DL3818)/COUNTIF(Q3818:DL3818,"&gt;0")))</f>
        <v>0</v>
      </c>
      <c r="P3818" s="109">
        <f>SUMIFS(Q3818:DK3818,Q$1:DK$1,Dashboard!$K$31)</f>
        <v>0</v>
      </c>
      <c r="U3818" s="95">
        <v>33</v>
      </c>
      <c r="AA3818" s="95">
        <v>25</v>
      </c>
      <c r="AH3818" s="95">
        <v>75</v>
      </c>
    </row>
    <row r="3819" spans="1:34" ht="15.6" x14ac:dyDescent="0.3">
      <c r="A3819" s="89" t="str">
        <f>CONCATENATE(D3819,".",F3819,"-",G3819,".",H3819,"")</f>
        <v>3.2-5.1</v>
      </c>
      <c r="B3819" s="89" t="str">
        <f>IF(CONCATENATE(I3819,Key!F$2)=CONCATENATE(INDEX(Dashboard!J:J,MATCH(I3819,Dashboard!J:J,0),1),INDEX(Dashboard!J:K,MATCH(I3819,Dashboard!J:J,0),2)),"ON",IF(Dashboard!K$32="ALL","ON","-"))</f>
        <v>-</v>
      </c>
      <c r="C3819" s="88" t="s">
        <v>311</v>
      </c>
      <c r="D3819" s="89">
        <f>IF(C3819="ID",1,(IF(C3819="PR",2,(IF(C3819="DE",3,(IF(C3819="RS",4,(IF(C3819="RC",5,0)))))))))</f>
        <v>3</v>
      </c>
      <c r="E3819" s="89" t="s">
        <v>316</v>
      </c>
      <c r="F3819" s="89">
        <f>IF(E3819="AM",1,(IF(E3819="BE",2,(IF(E3819="GV",3,(IF(E3819="RA",4,(IF(E3819="RM",5,(IF(E3819="AC",1,(IF(E3819="AT",2,(IF(E3819="DS",3,(IF(E3819="IP",4,(IF(E3819="MA",5,(IF(E3819="PT",6,(IF(E3819="AE",1,(IF(E3819="CM",2,(IF(E3819="DP",3,(IF(E3819="AN",1,(IF(E3819="CO",2,(IF(E3819="IM",3,(IF(E3819="MI",4,(IF(E3819="RP",5,(IF(E3819="SC",6,0)))))))))))))))))))))))))))))))))))))))</f>
        <v>2</v>
      </c>
      <c r="G3819" s="52">
        <v>5</v>
      </c>
      <c r="H3819" s="90" t="s">
        <v>115</v>
      </c>
      <c r="I3819" s="93" t="s">
        <v>92</v>
      </c>
      <c r="J3819" s="88">
        <v>5.3</v>
      </c>
      <c r="K3819" s="102" t="s">
        <v>5226</v>
      </c>
      <c r="L3819" s="117">
        <f>IF(O3819="","",N3819*O3819*M3819)</f>
        <v>0</v>
      </c>
      <c r="M3819" s="108">
        <v>1</v>
      </c>
      <c r="N3819" s="95">
        <v>1</v>
      </c>
      <c r="O3819" s="109">
        <f>IF(Key!D$1="ON",P3819,IF(SUM(Q3819:DL3819)&lt;1,"",SUM(Q3819:DL3819)/COUNTIF(Q3819:DL3819,"&gt;0")))</f>
        <v>0</v>
      </c>
      <c r="P3819" s="109">
        <f>SUMIFS(Q3819:DK3819,Q$1:DK$1,Dashboard!$K$31)</f>
        <v>0</v>
      </c>
      <c r="U3819" s="95">
        <v>33</v>
      </c>
      <c r="AA3819" s="95">
        <v>25</v>
      </c>
      <c r="AH3819" s="95">
        <v>75</v>
      </c>
    </row>
    <row r="3820" spans="1:34" ht="15.6" x14ac:dyDescent="0.3">
      <c r="A3820" s="89" t="str">
        <f>CONCATENATE(D3820,".",F3820,"-",G3820,".",H3820,"")</f>
        <v>3.2-6.0</v>
      </c>
      <c r="B3820" s="89" t="str">
        <f>IF(CONCATENATE(I3820,Key!F$2)=CONCATENATE(INDEX(Dashboard!J:J,MATCH(I3820,Dashboard!J:J,0),1),INDEX(Dashboard!J:K,MATCH(I3820,Dashboard!J:J,0),2)),"ON",IF(Dashboard!K$32="ALL","ON","-"))</f>
        <v>-</v>
      </c>
      <c r="C3820" s="96" t="s">
        <v>311</v>
      </c>
      <c r="D3820" s="89">
        <f>IF(C3820="ID",1,(IF(C3820="PR",2,(IF(C3820="DE",3,(IF(C3820="RS",4,(IF(C3820="RC",5,0)))))))))</f>
        <v>3</v>
      </c>
      <c r="E3820" s="89" t="s">
        <v>316</v>
      </c>
      <c r="F3820" s="89">
        <f>IF(E3820="AM",1,(IF(E3820="BE",2,(IF(E3820="GV",3,(IF(E3820="RA",4,(IF(E3820="RM",5,(IF(E3820="AC",1,(IF(E3820="AT",2,(IF(E3820="DS",3,(IF(E3820="IP",4,(IF(E3820="MA",5,(IF(E3820="PT",6,(IF(E3820="AE",1,(IF(E3820="CM",2,(IF(E3820="DP",3,(IF(E3820="AN",1,(IF(E3820="CO",2,(IF(E3820="IM",3,(IF(E3820="MI",4,(IF(E3820="RP",5,(IF(E3820="SC",6,0)))))))))))))))))))))))))))))))))))))))</f>
        <v>2</v>
      </c>
      <c r="G3820" s="52">
        <v>6</v>
      </c>
      <c r="H3820" s="90" t="s">
        <v>347</v>
      </c>
      <c r="I3820" s="93" t="s">
        <v>2835</v>
      </c>
      <c r="J3820" s="53" t="s">
        <v>3032</v>
      </c>
      <c r="K3820" s="58" t="s">
        <v>3033</v>
      </c>
      <c r="L3820" s="117">
        <f>IF(O3820="","",N3820*O3820*M3820)</f>
        <v>0</v>
      </c>
      <c r="M3820" s="108">
        <v>1</v>
      </c>
      <c r="N3820" s="95">
        <v>1</v>
      </c>
      <c r="O3820" s="109">
        <f>IF(Key!D$1="ON",P3820,IF(SUM(Q3820:DL3820)&lt;1,"",SUM(Q3820:DL3820)/COUNTIF(Q3820:DL3820,"&gt;0")))</f>
        <v>0</v>
      </c>
      <c r="P3820" s="109">
        <f>SUMIFS(Q3820:DK3820,Q$1:DK$1,Dashboard!$K$31)</f>
        <v>0</v>
      </c>
      <c r="U3820" s="95">
        <v>33</v>
      </c>
    </row>
    <row r="3821" spans="1:34" ht="15.6" x14ac:dyDescent="0.3">
      <c r="A3821" s="89" t="str">
        <f>CONCATENATE(D3821,".",F3821,"-",G3821,".",H3821,"")</f>
        <v>3.2-6.1</v>
      </c>
      <c r="B3821" s="89" t="str">
        <f>IF(CONCATENATE(I3821,Key!F$2)=CONCATENATE(INDEX(Dashboard!J:J,MATCH(I3821,Dashboard!J:J,0),1),INDEX(Dashboard!J:K,MATCH(I3821,Dashboard!J:J,0),2)),"ON",IF(Dashboard!K$32="ALL","ON","-"))</f>
        <v>ON</v>
      </c>
      <c r="C3821" s="130" t="s">
        <v>311</v>
      </c>
      <c r="D3821" s="89">
        <f>IF(C3821="ID",1,(IF(C3821="PR",2,(IF(C3821="DE",3,(IF(C3821="RS",4,(IF(C3821="RC",5,0)))))))))</f>
        <v>3</v>
      </c>
      <c r="E3821" s="95" t="s">
        <v>316</v>
      </c>
      <c r="F3821" s="89">
        <f>IF(E3821="AM",1,(IF(E3821="BE",2,(IF(E3821="GV",3,(IF(E3821="RA",4,(IF(E3821="RM",5,(IF(E3821="AC",1,(IF(E3821="AT",2,(IF(E3821="DS",3,(IF(E3821="IP",4,(IF(E3821="MA",5,(IF(E3821="PT",6,(IF(E3821="AE",1,(IF(E3821="CM",2,(IF(E3821="DP",3,(IF(E3821="AN",1,(IF(E3821="CO",2,(IF(E3821="IM",3,(IF(E3821="MI",4,(IF(E3821="RP",5,(IF(E3821="SC",6,0)))))))))))))))))))))))))))))))))))))))</f>
        <v>2</v>
      </c>
      <c r="G3821" s="52">
        <v>6</v>
      </c>
      <c r="H3821" s="90" t="s">
        <v>115</v>
      </c>
      <c r="I3821" s="93" t="s">
        <v>4107</v>
      </c>
      <c r="J3821" s="86" t="s">
        <v>4065</v>
      </c>
      <c r="K3821" s="101" t="s">
        <v>4469</v>
      </c>
      <c r="L3821" s="117">
        <f>IF(O3821="","",N3821*O3821*M3821)</f>
        <v>0</v>
      </c>
      <c r="M3821" s="108">
        <v>1</v>
      </c>
      <c r="N3821" s="95">
        <v>1</v>
      </c>
      <c r="O3821" s="109">
        <f>IF(Key!D$1="ON",P3821,IF(SUM(Q3821:DL3821)&lt;1,"",SUM(Q3821:DL3821)/COUNTIF(Q3821:DL3821,"&gt;0")))</f>
        <v>0</v>
      </c>
      <c r="P3821" s="109">
        <f>SUMIFS(Q3821:DK3821,Q$1:DK$1,Dashboard!$K$31)</f>
        <v>0</v>
      </c>
      <c r="U3821" s="95">
        <v>33</v>
      </c>
      <c r="AA3821" s="95">
        <v>25</v>
      </c>
      <c r="AH3821" s="95">
        <v>75</v>
      </c>
    </row>
    <row r="3822" spans="1:34" x14ac:dyDescent="0.3">
      <c r="A3822" s="89" t="str">
        <f>CONCATENATE(D3822,".",F3822,"-",G3822,".",H3822,"")</f>
        <v>3.2-6.1</v>
      </c>
      <c r="B3822" s="89" t="str">
        <f>IF(CONCATENATE(I3822,Key!F$2)=CONCATENATE(INDEX(Dashboard!J:J,MATCH(I3822,Dashboard!J:J,0),1),INDEX(Dashboard!J:K,MATCH(I3822,Dashboard!J:J,0),2)),"ON",IF(Dashboard!K$32="ALL","ON","-"))</f>
        <v>-</v>
      </c>
      <c r="C3822" s="96" t="s">
        <v>311</v>
      </c>
      <c r="D3822" s="89">
        <f>IF(C3822="ID",1,(IF(C3822="PR",2,(IF(C3822="DE",3,(IF(C3822="RS",4,(IF(C3822="RC",5,0)))))))))</f>
        <v>3</v>
      </c>
      <c r="E3822" s="89" t="s">
        <v>316</v>
      </c>
      <c r="F3822" s="89">
        <f>IF(E3822="AM",1,(IF(E3822="BE",2,(IF(E3822="GV",3,(IF(E3822="RA",4,(IF(E3822="RM",5,(IF(E3822="AC",1,(IF(E3822="AT",2,(IF(E3822="DS",3,(IF(E3822="IP",4,(IF(E3822="MA",5,(IF(E3822="PT",6,(IF(E3822="AE",1,(IF(E3822="CM",2,(IF(E3822="DP",3,(IF(E3822="AN",1,(IF(E3822="CO",2,(IF(E3822="IM",3,(IF(E3822="MI",4,(IF(E3822="RP",5,(IF(E3822="SC",6,0)))))))))))))))))))))))))))))))))))))))</f>
        <v>2</v>
      </c>
      <c r="G3822" s="98">
        <v>6</v>
      </c>
      <c r="H3822" s="90" t="s">
        <v>115</v>
      </c>
      <c r="I3822" s="93" t="s">
        <v>52</v>
      </c>
      <c r="J3822" s="88" t="s">
        <v>3446</v>
      </c>
      <c r="K3822" s="103" t="s">
        <v>3447</v>
      </c>
      <c r="L3822" s="117">
        <f>IF(O3822="","",N3822*O3822*M3822)</f>
        <v>0</v>
      </c>
      <c r="M3822" s="108">
        <v>1</v>
      </c>
      <c r="N3822" s="95">
        <v>1</v>
      </c>
      <c r="O3822" s="109">
        <f>IF(Key!D$1="ON",P3822,IF(SUM(Q3822:DL3822)&lt;1,"",SUM(Q3822:DL3822)/COUNTIF(Q3822:DL3822,"&gt;0")))</f>
        <v>0</v>
      </c>
      <c r="P3822" s="109">
        <f>SUMIFS(Q3822:DK3822,Q$1:DK$1,Dashboard!$K$31)</f>
        <v>0</v>
      </c>
      <c r="U3822" s="95">
        <v>33</v>
      </c>
      <c r="AA3822" s="95">
        <v>25</v>
      </c>
      <c r="AH3822" s="95">
        <v>75</v>
      </c>
    </row>
    <row r="3823" spans="1:34" x14ac:dyDescent="0.3">
      <c r="A3823" s="89" t="str">
        <f>CONCATENATE(D3823,".",F3823,"-",G3823,".",H3823,"")</f>
        <v>3.2-6.1</v>
      </c>
      <c r="B3823" s="89" t="str">
        <f>IF(CONCATENATE(I3823,Key!F$2)=CONCATENATE(INDEX(Dashboard!J:J,MATCH(I3823,Dashboard!J:J,0),1),INDEX(Dashboard!J:K,MATCH(I3823,Dashboard!J:J,0),2)),"ON",IF(Dashboard!K$32="ALL","ON","-"))</f>
        <v>-</v>
      </c>
      <c r="C3823" s="88" t="s">
        <v>311</v>
      </c>
      <c r="D3823" s="89">
        <f>IF(C3823="ID",1,(IF(C3823="PR",2,(IF(C3823="DE",3,(IF(C3823="RS",4,(IF(C3823="RC",5,0)))))))))</f>
        <v>3</v>
      </c>
      <c r="E3823" s="89" t="s">
        <v>316</v>
      </c>
      <c r="F3823" s="89">
        <f>IF(E3823="AM",1,(IF(E3823="BE",2,(IF(E3823="GV",3,(IF(E3823="RA",4,(IF(E3823="RM",5,(IF(E3823="AC",1,(IF(E3823="AT",2,(IF(E3823="DS",3,(IF(E3823="IP",4,(IF(E3823="MA",5,(IF(E3823="PT",6,(IF(E3823="AE",1,(IF(E3823="CM",2,(IF(E3823="DP",3,(IF(E3823="AN",1,(IF(E3823="CO",2,(IF(E3823="IM",3,(IF(E3823="MI",4,(IF(E3823="RP",5,(IF(E3823="SC",6,0)))))))))))))))))))))))))))))))))))))))</f>
        <v>2</v>
      </c>
      <c r="G3823" s="52">
        <v>6</v>
      </c>
      <c r="H3823" s="90" t="s">
        <v>115</v>
      </c>
      <c r="I3823" s="93" t="s">
        <v>60</v>
      </c>
      <c r="J3823" s="87" t="s">
        <v>3121</v>
      </c>
      <c r="K3823" s="51" t="s">
        <v>5234</v>
      </c>
      <c r="L3823" s="117">
        <f>IF(O3823="","",N3823*O3823*M3823)</f>
        <v>0</v>
      </c>
      <c r="M3823" s="108">
        <v>1</v>
      </c>
      <c r="N3823" s="95">
        <v>1</v>
      </c>
      <c r="O3823" s="109">
        <f>IF(Key!D$1="ON",P3823,IF(SUM(Q3823:DL3823)&lt;1,"",SUM(Q3823:DL3823)/COUNTIF(Q3823:DL3823,"&gt;0")))</f>
        <v>0</v>
      </c>
      <c r="P3823" s="109">
        <f>SUMIFS(Q3823:DK3823,Q$1:DK$1,Dashboard!$K$31)</f>
        <v>0</v>
      </c>
      <c r="U3823" s="95">
        <v>33</v>
      </c>
      <c r="AA3823" s="95">
        <v>25</v>
      </c>
      <c r="AH3823" s="95">
        <v>75</v>
      </c>
    </row>
    <row r="3824" spans="1:34" x14ac:dyDescent="0.3">
      <c r="A3824" s="89" t="str">
        <f>CONCATENATE(D3824,".",F3824,"-",G3824,".",H3824,"")</f>
        <v>3.2-6.1</v>
      </c>
      <c r="B3824" s="89" t="str">
        <f>IF(CONCATENATE(I3824,Key!F$2)=CONCATENATE(INDEX(Dashboard!J:J,MATCH(I3824,Dashboard!J:J,0),1),INDEX(Dashboard!J:K,MATCH(I3824,Dashboard!J:J,0),2)),"ON",IF(Dashboard!K$32="ALL","ON","-"))</f>
        <v>-</v>
      </c>
      <c r="C3824" s="88" t="s">
        <v>311</v>
      </c>
      <c r="D3824" s="89">
        <f>IF(C3824="ID",1,(IF(C3824="PR",2,(IF(C3824="DE",3,(IF(C3824="RS",4,(IF(C3824="RC",5,0)))))))))</f>
        <v>3</v>
      </c>
      <c r="E3824" s="89" t="s">
        <v>316</v>
      </c>
      <c r="F3824" s="89">
        <f>IF(E3824="AM",1,(IF(E3824="BE",2,(IF(E3824="GV",3,(IF(E3824="RA",4,(IF(E3824="RM",5,(IF(E3824="AC",1,(IF(E3824="AT",2,(IF(E3824="DS",3,(IF(E3824="IP",4,(IF(E3824="MA",5,(IF(E3824="PT",6,(IF(E3824="AE",1,(IF(E3824="CM",2,(IF(E3824="DP",3,(IF(E3824="AN",1,(IF(E3824="CO",2,(IF(E3824="IM",3,(IF(E3824="MI",4,(IF(E3824="RP",5,(IF(E3824="SC",6,0)))))))))))))))))))))))))))))))))))))))</f>
        <v>2</v>
      </c>
      <c r="G3824" s="52">
        <v>6</v>
      </c>
      <c r="H3824" s="90" t="s">
        <v>115</v>
      </c>
      <c r="I3824" s="93" t="s">
        <v>60</v>
      </c>
      <c r="J3824" s="87" t="s">
        <v>3165</v>
      </c>
      <c r="K3824" s="51" t="s">
        <v>5278</v>
      </c>
      <c r="L3824" s="117">
        <f>IF(O3824="","",N3824*O3824*M3824)</f>
        <v>0</v>
      </c>
      <c r="M3824" s="108">
        <v>1</v>
      </c>
      <c r="N3824" s="95">
        <v>1</v>
      </c>
      <c r="O3824" s="109">
        <f>IF(Key!D$1="ON",P3824,IF(SUM(Q3824:DL3824)&lt;1,"",SUM(Q3824:DL3824)/COUNTIF(Q3824:DL3824,"&gt;0")))</f>
        <v>0</v>
      </c>
      <c r="P3824" s="109">
        <f>SUMIFS(Q3824:DK3824,Q$1:DK$1,Dashboard!$K$31)</f>
        <v>0</v>
      </c>
      <c r="U3824" s="95">
        <v>33</v>
      </c>
      <c r="AA3824" s="95">
        <v>25</v>
      </c>
      <c r="AH3824" s="95">
        <v>75</v>
      </c>
    </row>
    <row r="3825" spans="1:34" ht="15.6" x14ac:dyDescent="0.3">
      <c r="A3825" s="89" t="str">
        <f>CONCATENATE(D3825,".",F3825,"-",G3825,".",H3825,"")</f>
        <v>3.2-6.1</v>
      </c>
      <c r="B3825" s="89" t="str">
        <f>IF(CONCATENATE(I3825,Key!F$2)=CONCATENATE(INDEX(Dashboard!J:J,MATCH(I3825,Dashboard!J:J,0),1),INDEX(Dashboard!J:K,MATCH(I3825,Dashboard!J:J,0),2)),"ON",IF(Dashboard!K$32="ALL","ON","-"))</f>
        <v>-</v>
      </c>
      <c r="C3825" s="88" t="s">
        <v>311</v>
      </c>
      <c r="D3825" s="89">
        <f>IF(C3825="ID",1,(IF(C3825="PR",2,(IF(C3825="DE",3,(IF(C3825="RS",4,(IF(C3825="RC",5,0)))))))))</f>
        <v>3</v>
      </c>
      <c r="E3825" s="89" t="s">
        <v>316</v>
      </c>
      <c r="F3825" s="89">
        <f>IF(E3825="AM",1,(IF(E3825="BE",2,(IF(E3825="GV",3,(IF(E3825="RA",4,(IF(E3825="RM",5,(IF(E3825="AC",1,(IF(E3825="AT",2,(IF(E3825="DS",3,(IF(E3825="IP",4,(IF(E3825="MA",5,(IF(E3825="PT",6,(IF(E3825="AE",1,(IF(E3825="CM",2,(IF(E3825="DP",3,(IF(E3825="AN",1,(IF(E3825="CO",2,(IF(E3825="IM",3,(IF(E3825="MI",4,(IF(E3825="RP",5,(IF(E3825="SC",6,0)))))))))))))))))))))))))))))))))))))))</f>
        <v>2</v>
      </c>
      <c r="G3825" s="52">
        <v>6</v>
      </c>
      <c r="H3825" s="90" t="s">
        <v>115</v>
      </c>
      <c r="I3825" s="93" t="s">
        <v>64</v>
      </c>
      <c r="J3825" s="87" t="s">
        <v>1878</v>
      </c>
      <c r="K3825" s="102" t="s">
        <v>2780</v>
      </c>
      <c r="L3825" s="117">
        <f>IF(O3825="","",N3825*O3825*M3825)</f>
        <v>0</v>
      </c>
      <c r="M3825" s="108">
        <v>1</v>
      </c>
      <c r="N3825" s="95">
        <v>1</v>
      </c>
      <c r="O3825" s="109">
        <f>IF(Key!D$1="ON",P3825,IF(SUM(Q3825:DL3825)&lt;1,"",SUM(Q3825:DL3825)/COUNTIF(Q3825:DL3825,"&gt;0")))</f>
        <v>0</v>
      </c>
      <c r="P3825" s="109">
        <f>SUMIFS(Q3825:DK3825,Q$1:DK$1,Dashboard!$K$31)</f>
        <v>0</v>
      </c>
      <c r="U3825" s="95">
        <v>33</v>
      </c>
      <c r="AA3825" s="95">
        <v>25</v>
      </c>
      <c r="AH3825" s="95">
        <v>75</v>
      </c>
    </row>
    <row r="3826" spans="1:34" ht="15.6" x14ac:dyDescent="0.3">
      <c r="A3826" s="89" t="str">
        <f>CONCATENATE(D3826,".",F3826,"-",G3826,".",H3826,"")</f>
        <v>3.2-6.1</v>
      </c>
      <c r="B3826" s="89" t="str">
        <f>IF(CONCATENATE(I3826,Key!F$2)=CONCATENATE(INDEX(Dashboard!J:J,MATCH(I3826,Dashboard!J:J,0),1),INDEX(Dashboard!J:K,MATCH(I3826,Dashboard!J:J,0),2)),"ON",IF(Dashboard!K$32="ALL","ON","-"))</f>
        <v>-</v>
      </c>
      <c r="C3826" s="88" t="s">
        <v>311</v>
      </c>
      <c r="D3826" s="89">
        <f>IF(C3826="ID",1,(IF(C3826="PR",2,(IF(C3826="DE",3,(IF(C3826="RS",4,(IF(C3826="RC",5,0)))))))))</f>
        <v>3</v>
      </c>
      <c r="E3826" s="89" t="s">
        <v>316</v>
      </c>
      <c r="F3826" s="89">
        <f>IF(E3826="AM",1,(IF(E3826="BE",2,(IF(E3826="GV",3,(IF(E3826="RA",4,(IF(E3826="RM",5,(IF(E3826="AC",1,(IF(E3826="AT",2,(IF(E3826="DS",3,(IF(E3826="IP",4,(IF(E3826="MA",5,(IF(E3826="PT",6,(IF(E3826="AE",1,(IF(E3826="CM",2,(IF(E3826="DP",3,(IF(E3826="AN",1,(IF(E3826="CO",2,(IF(E3826="IM",3,(IF(E3826="MI",4,(IF(E3826="RP",5,(IF(E3826="SC",6,0)))))))))))))))))))))))))))))))))))))))</f>
        <v>2</v>
      </c>
      <c r="G3826" s="52">
        <v>6</v>
      </c>
      <c r="H3826" s="90" t="s">
        <v>115</v>
      </c>
      <c r="I3826" s="93" t="s">
        <v>64</v>
      </c>
      <c r="J3826" s="87" t="s">
        <v>1116</v>
      </c>
      <c r="K3826" s="102" t="s">
        <v>2152</v>
      </c>
      <c r="L3826" s="117">
        <f>IF(O3826="","",N3826*O3826*M3826)</f>
        <v>0</v>
      </c>
      <c r="M3826" s="108">
        <v>1</v>
      </c>
      <c r="N3826" s="95">
        <v>1</v>
      </c>
      <c r="O3826" s="109">
        <f>IF(Key!D$1="ON",P3826,IF(SUM(Q3826:DL3826)&lt;1,"",SUM(Q3826:DL3826)/COUNTIF(Q3826:DL3826,"&gt;0")))</f>
        <v>0</v>
      </c>
      <c r="P3826" s="109">
        <f>SUMIFS(Q3826:DK3826,Q$1:DK$1,Dashboard!$K$31)</f>
        <v>0</v>
      </c>
      <c r="U3826" s="95">
        <v>33</v>
      </c>
      <c r="AA3826" s="95">
        <v>25</v>
      </c>
      <c r="AH3826" s="95">
        <v>75</v>
      </c>
    </row>
    <row r="3827" spans="1:34" ht="15.6" x14ac:dyDescent="0.3">
      <c r="A3827" s="89" t="str">
        <f>CONCATENATE(D3827,".",F3827,"-",G3827,".",H3827,"")</f>
        <v>3.2-6.1</v>
      </c>
      <c r="B3827" s="89" t="str">
        <f>IF(CONCATENATE(I3827,Key!F$2)=CONCATENATE(INDEX(Dashboard!J:J,MATCH(I3827,Dashboard!J:J,0),1),INDEX(Dashboard!J:K,MATCH(I3827,Dashboard!J:J,0),2)),"ON",IF(Dashboard!K$32="ALL","ON","-"))</f>
        <v>-</v>
      </c>
      <c r="C3827" s="88" t="s">
        <v>311</v>
      </c>
      <c r="D3827" s="89">
        <f>IF(C3827="ID",1,(IF(C3827="PR",2,(IF(C3827="DE",3,(IF(C3827="RS",4,(IF(C3827="RC",5,0)))))))))</f>
        <v>3</v>
      </c>
      <c r="E3827" s="89" t="s">
        <v>316</v>
      </c>
      <c r="F3827" s="89">
        <f>IF(E3827="AM",1,(IF(E3827="BE",2,(IF(E3827="GV",3,(IF(E3827="RA",4,(IF(E3827="RM",5,(IF(E3827="AC",1,(IF(E3827="AT",2,(IF(E3827="DS",3,(IF(E3827="IP",4,(IF(E3827="MA",5,(IF(E3827="PT",6,(IF(E3827="AE",1,(IF(E3827="CM",2,(IF(E3827="DP",3,(IF(E3827="AN",1,(IF(E3827="CO",2,(IF(E3827="IM",3,(IF(E3827="MI",4,(IF(E3827="RP",5,(IF(E3827="SC",6,0)))))))))))))))))))))))))))))))))))))))</f>
        <v>2</v>
      </c>
      <c r="G3827" s="52">
        <v>6</v>
      </c>
      <c r="H3827" s="90" t="s">
        <v>115</v>
      </c>
      <c r="I3827" s="93" t="s">
        <v>73</v>
      </c>
      <c r="J3827" s="86" t="s">
        <v>4248</v>
      </c>
      <c r="K3827" s="101" t="s">
        <v>5186</v>
      </c>
      <c r="L3827" s="117">
        <f>IF(O3827="","",N3827*O3827*M3827)</f>
        <v>0</v>
      </c>
      <c r="M3827" s="108">
        <v>1</v>
      </c>
      <c r="N3827" s="95">
        <v>1</v>
      </c>
      <c r="O3827" s="109">
        <f>IF(Key!D$1="ON",P3827,IF(SUM(Q3827:DL3827)&lt;1,"",SUM(Q3827:DL3827)/COUNTIF(Q3827:DL3827,"&gt;0")))</f>
        <v>0</v>
      </c>
      <c r="P3827" s="109">
        <f>SUMIFS(Q3827:DK3827,Q$1:DK$1,Dashboard!$K$31)</f>
        <v>0</v>
      </c>
      <c r="U3827" s="95">
        <v>33</v>
      </c>
      <c r="AA3827" s="95">
        <v>25</v>
      </c>
      <c r="AH3827" s="95">
        <v>75</v>
      </c>
    </row>
    <row r="3828" spans="1:34" ht="15.6" x14ac:dyDescent="0.3">
      <c r="A3828" s="89" t="str">
        <f>CONCATENATE(D3828,".",F3828,"-",G3828,".",H3828,"")</f>
        <v>3.2-6.1</v>
      </c>
      <c r="B3828" s="89" t="str">
        <f>IF(CONCATENATE(I3828,Key!F$2)=CONCATENATE(INDEX(Dashboard!J:J,MATCH(I3828,Dashboard!J:J,0),1),INDEX(Dashboard!J:K,MATCH(I3828,Dashboard!J:J,0),2)),"ON",IF(Dashboard!K$32="ALL","ON","-"))</f>
        <v>-</v>
      </c>
      <c r="C3828" s="88" t="s">
        <v>311</v>
      </c>
      <c r="D3828" s="89">
        <f>IF(C3828="ID",1,(IF(C3828="PR",2,(IF(C3828="DE",3,(IF(C3828="RS",4,(IF(C3828="RC",5,0)))))))))</f>
        <v>3</v>
      </c>
      <c r="E3828" s="89" t="s">
        <v>316</v>
      </c>
      <c r="F3828" s="89">
        <f>IF(E3828="AM",1,(IF(E3828="BE",2,(IF(E3828="GV",3,(IF(E3828="RA",4,(IF(E3828="RM",5,(IF(E3828="AC",1,(IF(E3828="AT",2,(IF(E3828="DS",3,(IF(E3828="IP",4,(IF(E3828="MA",5,(IF(E3828="PT",6,(IF(E3828="AE",1,(IF(E3828="CM",2,(IF(E3828="DP",3,(IF(E3828="AN",1,(IF(E3828="CO",2,(IF(E3828="IM",3,(IF(E3828="MI",4,(IF(E3828="RP",5,(IF(E3828="SC",6,0)))))))))))))))))))))))))))))))))))))))</f>
        <v>2</v>
      </c>
      <c r="G3828" s="52">
        <v>6</v>
      </c>
      <c r="H3828" s="90" t="s">
        <v>115</v>
      </c>
      <c r="I3828" s="93" t="s">
        <v>73</v>
      </c>
      <c r="J3828" s="86" t="s">
        <v>4249</v>
      </c>
      <c r="K3828" s="101" t="s">
        <v>4416</v>
      </c>
      <c r="L3828" s="117">
        <f>IF(O3828="","",N3828*O3828*M3828)</f>
        <v>0</v>
      </c>
      <c r="M3828" s="108">
        <v>1</v>
      </c>
      <c r="N3828" s="95">
        <v>1</v>
      </c>
      <c r="O3828" s="109">
        <f>IF(Key!D$1="ON",P3828,IF(SUM(Q3828:DL3828)&lt;1,"",SUM(Q3828:DL3828)/COUNTIF(Q3828:DL3828,"&gt;0")))</f>
        <v>0</v>
      </c>
      <c r="P3828" s="109">
        <f>SUMIFS(Q3828:DK3828,Q$1:DK$1,Dashboard!$K$31)</f>
        <v>0</v>
      </c>
      <c r="U3828" s="95">
        <v>33</v>
      </c>
      <c r="AA3828" s="95">
        <v>25</v>
      </c>
      <c r="AH3828" s="95">
        <v>75</v>
      </c>
    </row>
    <row r="3829" spans="1:34" x14ac:dyDescent="0.3">
      <c r="A3829" s="89" t="str">
        <f>CONCATENATE(D3829,".",F3829,"-",G3829,".",H3829,"")</f>
        <v>3.2-6.1</v>
      </c>
      <c r="B3829" s="89" t="str">
        <f>IF(CONCATENATE(I3829,Key!F$2)=CONCATENATE(INDEX(Dashboard!J:J,MATCH(I3829,Dashboard!J:J,0),1),INDEX(Dashboard!J:K,MATCH(I3829,Dashboard!J:J,0),2)),"ON",IF(Dashboard!K$32="ALL","ON","-"))</f>
        <v>-</v>
      </c>
      <c r="C3829" s="88" t="s">
        <v>311</v>
      </c>
      <c r="D3829" s="89">
        <f>IF(C3829="ID",1,(IF(C3829="PR",2,(IF(C3829="DE",3,(IF(C3829="RS",4,(IF(C3829="RC",5,0)))))))))</f>
        <v>3</v>
      </c>
      <c r="E3829" s="89" t="s">
        <v>316</v>
      </c>
      <c r="F3829" s="89">
        <f>IF(E3829="AM",1,(IF(E3829="BE",2,(IF(E3829="GV",3,(IF(E3829="RA",4,(IF(E3829="RM",5,(IF(E3829="AC",1,(IF(E3829="AT",2,(IF(E3829="DS",3,(IF(E3829="IP",4,(IF(E3829="MA",5,(IF(E3829="PT",6,(IF(E3829="AE",1,(IF(E3829="CM",2,(IF(E3829="DP",3,(IF(E3829="AN",1,(IF(E3829="CO",2,(IF(E3829="IM",3,(IF(E3829="MI",4,(IF(E3829="RP",5,(IF(E3829="SC",6,0)))))))))))))))))))))))))))))))))))))))</f>
        <v>2</v>
      </c>
      <c r="G3829" s="52">
        <v>6</v>
      </c>
      <c r="H3829" s="90" t="s">
        <v>115</v>
      </c>
      <c r="I3829" s="93" t="s">
        <v>77</v>
      </c>
      <c r="J3829" s="87" t="s">
        <v>1877</v>
      </c>
      <c r="K3829" s="102" t="s">
        <v>2779</v>
      </c>
      <c r="L3829" s="117">
        <f>IF(O3829="","",N3829*O3829*M3829)</f>
        <v>0</v>
      </c>
      <c r="M3829" s="108">
        <v>1</v>
      </c>
      <c r="N3829" s="95">
        <v>1</v>
      </c>
      <c r="O3829" s="109">
        <f>IF(Key!D$1="ON",P3829,IF(SUM(Q3829:DL3829)&lt;1,"",SUM(Q3829:DL3829)/COUNTIF(Q3829:DL3829,"&gt;0")))</f>
        <v>0</v>
      </c>
      <c r="P3829" s="109">
        <f>SUMIFS(Q3829:DK3829,Q$1:DK$1,Dashboard!$K$31)</f>
        <v>0</v>
      </c>
      <c r="U3829" s="95">
        <v>33</v>
      </c>
      <c r="AA3829" s="95">
        <v>25</v>
      </c>
      <c r="AH3829" s="95">
        <v>75</v>
      </c>
    </row>
    <row r="3830" spans="1:34" x14ac:dyDescent="0.3">
      <c r="A3830" s="89" t="str">
        <f>CONCATENATE(D3830,".",F3830,"-",G3830,".",H3830,"")</f>
        <v>3.2-6.1</v>
      </c>
      <c r="B3830" s="89" t="str">
        <f>IF(CONCATENATE(I3830,Key!F$2)=CONCATENATE(INDEX(Dashboard!J:J,MATCH(I3830,Dashboard!J:J,0),1),INDEX(Dashboard!J:K,MATCH(I3830,Dashboard!J:J,0),2)),"ON",IF(Dashboard!K$32="ALL","ON","-"))</f>
        <v>-</v>
      </c>
      <c r="C3830" s="88" t="s">
        <v>311</v>
      </c>
      <c r="D3830" s="89">
        <f>IF(C3830="ID",1,(IF(C3830="PR",2,(IF(C3830="DE",3,(IF(C3830="RS",4,(IF(C3830="RC",5,0)))))))))</f>
        <v>3</v>
      </c>
      <c r="E3830" s="89" t="s">
        <v>316</v>
      </c>
      <c r="F3830" s="89">
        <f>IF(E3830="AM",1,(IF(E3830="BE",2,(IF(E3830="GV",3,(IF(E3830="RA",4,(IF(E3830="RM",5,(IF(E3830="AC",1,(IF(E3830="AT",2,(IF(E3830="DS",3,(IF(E3830="IP",4,(IF(E3830="MA",5,(IF(E3830="PT",6,(IF(E3830="AE",1,(IF(E3830="CM",2,(IF(E3830="DP",3,(IF(E3830="AN",1,(IF(E3830="CO",2,(IF(E3830="IM",3,(IF(E3830="MI",4,(IF(E3830="RP",5,(IF(E3830="SC",6,0)))))))))))))))))))))))))))))))))))))))</f>
        <v>2</v>
      </c>
      <c r="G3830" s="52">
        <v>6</v>
      </c>
      <c r="H3830" s="90" t="s">
        <v>115</v>
      </c>
      <c r="I3830" s="93" t="s">
        <v>77</v>
      </c>
      <c r="J3830" s="87" t="s">
        <v>1878</v>
      </c>
      <c r="K3830" s="102" t="s">
        <v>2780</v>
      </c>
      <c r="L3830" s="117">
        <f>IF(O3830="","",N3830*O3830*M3830)</f>
        <v>0</v>
      </c>
      <c r="M3830" s="108">
        <v>1</v>
      </c>
      <c r="N3830" s="95">
        <v>1</v>
      </c>
      <c r="O3830" s="109">
        <f>IF(Key!D$1="ON",P3830,IF(SUM(Q3830:DL3830)&lt;1,"",SUM(Q3830:DL3830)/COUNTIF(Q3830:DL3830,"&gt;0")))</f>
        <v>0</v>
      </c>
      <c r="P3830" s="109">
        <f>SUMIFS(Q3830:DK3830,Q$1:DK$1,Dashboard!$K$31)</f>
        <v>0</v>
      </c>
      <c r="U3830" s="95">
        <v>33</v>
      </c>
      <c r="AA3830" s="95">
        <v>25</v>
      </c>
      <c r="AH3830" s="95">
        <v>75</v>
      </c>
    </row>
    <row r="3831" spans="1:34" ht="15.6" x14ac:dyDescent="0.3">
      <c r="A3831" s="89" t="str">
        <f>CONCATENATE(D3831,".",F3831,"-",G3831,".",H3831,"")</f>
        <v>3.2-6.1</v>
      </c>
      <c r="B3831" s="89" t="str">
        <f>IF(CONCATENATE(I3831,Key!F$2)=CONCATENATE(INDEX(Dashboard!J:J,MATCH(I3831,Dashboard!J:J,0),1),INDEX(Dashboard!J:K,MATCH(I3831,Dashboard!J:J,0),2)),"ON",IF(Dashboard!K$32="ALL","ON","-"))</f>
        <v>-</v>
      </c>
      <c r="C3831" s="88" t="s">
        <v>311</v>
      </c>
      <c r="D3831" s="89">
        <f>IF(C3831="ID",1,(IF(C3831="PR",2,(IF(C3831="DE",3,(IF(C3831="RS",4,(IF(C3831="RC",5,0)))))))))</f>
        <v>3</v>
      </c>
      <c r="E3831" s="89" t="s">
        <v>316</v>
      </c>
      <c r="F3831" s="89">
        <f>IF(E3831="AM",1,(IF(E3831="BE",2,(IF(E3831="GV",3,(IF(E3831="RA",4,(IF(E3831="RM",5,(IF(E3831="AC",1,(IF(E3831="AT",2,(IF(E3831="DS",3,(IF(E3831="IP",4,(IF(E3831="MA",5,(IF(E3831="PT",6,(IF(E3831="AE",1,(IF(E3831="CM",2,(IF(E3831="DP",3,(IF(E3831="AN",1,(IF(E3831="CO",2,(IF(E3831="IM",3,(IF(E3831="MI",4,(IF(E3831="RP",5,(IF(E3831="SC",6,0)))))))))))))))))))))))))))))))))))))))</f>
        <v>2</v>
      </c>
      <c r="G3831" s="52">
        <v>6</v>
      </c>
      <c r="H3831" s="90" t="s">
        <v>115</v>
      </c>
      <c r="I3831" s="93" t="s">
        <v>77</v>
      </c>
      <c r="J3831" s="87" t="s">
        <v>1116</v>
      </c>
      <c r="K3831" s="102" t="s">
        <v>2152</v>
      </c>
      <c r="L3831" s="117">
        <f>IF(O3831="","",N3831*O3831*M3831)</f>
        <v>0</v>
      </c>
      <c r="M3831" s="108">
        <v>1</v>
      </c>
      <c r="N3831" s="95">
        <v>1</v>
      </c>
      <c r="O3831" s="109">
        <f>IF(Key!D$1="ON",P3831,IF(SUM(Q3831:DL3831)&lt;1,"",SUM(Q3831:DL3831)/COUNTIF(Q3831:DL3831,"&gt;0")))</f>
        <v>0</v>
      </c>
      <c r="P3831" s="109">
        <f>SUMIFS(Q3831:DK3831,Q$1:DK$1,Dashboard!$K$31)</f>
        <v>0</v>
      </c>
      <c r="U3831" s="95">
        <v>33</v>
      </c>
      <c r="AA3831" s="95">
        <v>25</v>
      </c>
      <c r="AH3831" s="95">
        <v>75</v>
      </c>
    </row>
    <row r="3832" spans="1:34" ht="15.6" x14ac:dyDescent="0.3">
      <c r="A3832" s="89" t="str">
        <f>CONCATENATE(D3832,".",F3832,"-",G3832,".",H3832,"")</f>
        <v>3.2-6.1</v>
      </c>
      <c r="B3832" s="89" t="str">
        <f>IF(CONCATENATE(I3832,Key!F$2)=CONCATENATE(INDEX(Dashboard!J:J,MATCH(I3832,Dashboard!J:J,0),1),INDEX(Dashboard!J:K,MATCH(I3832,Dashboard!J:J,0),2)),"ON",IF(Dashboard!K$32="ALL","ON","-"))</f>
        <v>-</v>
      </c>
      <c r="C3832" s="88" t="s">
        <v>311</v>
      </c>
      <c r="D3832" s="89">
        <f>IF(C3832="ID",1,(IF(C3832="PR",2,(IF(C3832="DE",3,(IF(C3832="RS",4,(IF(C3832="RC",5,0)))))))))</f>
        <v>3</v>
      </c>
      <c r="E3832" s="89" t="s">
        <v>316</v>
      </c>
      <c r="F3832" s="89">
        <f>IF(E3832="AM",1,(IF(E3832="BE",2,(IF(E3832="GV",3,(IF(E3832="RA",4,(IF(E3832="RM",5,(IF(E3832="AC",1,(IF(E3832="AT",2,(IF(E3832="DS",3,(IF(E3832="IP",4,(IF(E3832="MA",5,(IF(E3832="PT",6,(IF(E3832="AE",1,(IF(E3832="CM",2,(IF(E3832="DP",3,(IF(E3832="AN",1,(IF(E3832="CO",2,(IF(E3832="IM",3,(IF(E3832="MI",4,(IF(E3832="RP",5,(IF(E3832="SC",6,0)))))))))))))))))))))))))))))))))))))))</f>
        <v>2</v>
      </c>
      <c r="G3832" s="52">
        <v>6</v>
      </c>
      <c r="H3832" s="90" t="s">
        <v>115</v>
      </c>
      <c r="I3832" s="93" t="s">
        <v>85</v>
      </c>
      <c r="J3832" s="87" t="s">
        <v>1877</v>
      </c>
      <c r="K3832" s="119" t="s">
        <v>4646</v>
      </c>
      <c r="L3832" s="117">
        <f>IF(O3832="","",N3832*O3832*M3832)</f>
        <v>0</v>
      </c>
      <c r="M3832" s="108">
        <v>1</v>
      </c>
      <c r="N3832" s="95">
        <v>1</v>
      </c>
      <c r="O3832" s="109">
        <f>IF(Key!D$1="ON",P3832,IF(SUM(Q3832:DL3832)&lt;1,"",SUM(Q3832:DL3832)/COUNTIF(Q3832:DL3832,"&gt;0")))</f>
        <v>0</v>
      </c>
      <c r="P3832" s="109">
        <f>SUMIFS(Q3832:DK3832,Q$1:DK$1,Dashboard!$K$31)</f>
        <v>0</v>
      </c>
      <c r="U3832" s="95">
        <v>33</v>
      </c>
      <c r="AA3832" s="95">
        <v>25</v>
      </c>
      <c r="AH3832" s="95">
        <v>75</v>
      </c>
    </row>
    <row r="3833" spans="1:34" ht="15.6" x14ac:dyDescent="0.3">
      <c r="A3833" s="89" t="str">
        <f>CONCATENATE(D3833,".",F3833,"-",G3833,".",H3833,"")</f>
        <v>3.2-6.1</v>
      </c>
      <c r="B3833" s="89" t="str">
        <f>IF(CONCATENATE(I3833,Key!F$2)=CONCATENATE(INDEX(Dashboard!J:J,MATCH(I3833,Dashboard!J:J,0),1),INDEX(Dashboard!J:K,MATCH(I3833,Dashboard!J:J,0),2)),"ON",IF(Dashboard!K$32="ALL","ON","-"))</f>
        <v>-</v>
      </c>
      <c r="C3833" s="88" t="s">
        <v>311</v>
      </c>
      <c r="D3833" s="89">
        <f>IF(C3833="ID",1,(IF(C3833="PR",2,(IF(C3833="DE",3,(IF(C3833="RS",4,(IF(C3833="RC",5,0)))))))))</f>
        <v>3</v>
      </c>
      <c r="E3833" s="89" t="s">
        <v>316</v>
      </c>
      <c r="F3833" s="89">
        <f>IF(E3833="AM",1,(IF(E3833="BE",2,(IF(E3833="GV",3,(IF(E3833="RA",4,(IF(E3833="RM",5,(IF(E3833="AC",1,(IF(E3833="AT",2,(IF(E3833="DS",3,(IF(E3833="IP",4,(IF(E3833="MA",5,(IF(E3833="PT",6,(IF(E3833="AE",1,(IF(E3833="CM",2,(IF(E3833="DP",3,(IF(E3833="AN",1,(IF(E3833="CO",2,(IF(E3833="IM",3,(IF(E3833="MI",4,(IF(E3833="RP",5,(IF(E3833="SC",6,0)))))))))))))))))))))))))))))))))))))))</f>
        <v>2</v>
      </c>
      <c r="G3833" s="98">
        <v>6</v>
      </c>
      <c r="H3833" s="90" t="s">
        <v>115</v>
      </c>
      <c r="I3833" s="93" t="s">
        <v>85</v>
      </c>
      <c r="J3833" s="87" t="s">
        <v>896</v>
      </c>
      <c r="K3833" s="119" t="s">
        <v>897</v>
      </c>
      <c r="L3833" s="117">
        <f>IF(O3833="","",N3833*O3833*M3833)</f>
        <v>0</v>
      </c>
      <c r="M3833" s="108">
        <v>1</v>
      </c>
      <c r="N3833" s="95">
        <v>1</v>
      </c>
      <c r="O3833" s="109">
        <f>IF(Key!D$1="ON",P3833,IF(SUM(Q3833:DL3833)&lt;1,"",SUM(Q3833:DL3833)/COUNTIF(Q3833:DL3833,"&gt;0")))</f>
        <v>0</v>
      </c>
      <c r="P3833" s="109">
        <f>SUMIFS(Q3833:DK3833,Q$1:DK$1,Dashboard!$K$31)</f>
        <v>0</v>
      </c>
      <c r="U3833" s="95">
        <v>33</v>
      </c>
      <c r="AA3833" s="95">
        <v>25</v>
      </c>
      <c r="AH3833" s="95">
        <v>75</v>
      </c>
    </row>
    <row r="3834" spans="1:34" ht="15.6" x14ac:dyDescent="0.3">
      <c r="A3834" s="89" t="str">
        <f>CONCATENATE(D3834,".",F3834,"-",G3834,".",H3834,"")</f>
        <v>3.2-6.1</v>
      </c>
      <c r="B3834" s="89" t="str">
        <f>IF(CONCATENATE(I3834,Key!F$2)=CONCATENATE(INDEX(Dashboard!J:J,MATCH(I3834,Dashboard!J:J,0),1),INDEX(Dashboard!J:K,MATCH(I3834,Dashboard!J:J,0),2)),"ON",IF(Dashboard!K$32="ALL","ON","-"))</f>
        <v>-</v>
      </c>
      <c r="C3834" s="88" t="s">
        <v>311</v>
      </c>
      <c r="D3834" s="89">
        <f>IF(C3834="ID",1,(IF(C3834="PR",2,(IF(C3834="DE",3,(IF(C3834="RS",4,(IF(C3834="RC",5,0)))))))))</f>
        <v>3</v>
      </c>
      <c r="E3834" s="89" t="s">
        <v>316</v>
      </c>
      <c r="F3834" s="89">
        <f>IF(E3834="AM",1,(IF(E3834="BE",2,(IF(E3834="GV",3,(IF(E3834="RA",4,(IF(E3834="RM",5,(IF(E3834="AC",1,(IF(E3834="AT",2,(IF(E3834="DS",3,(IF(E3834="IP",4,(IF(E3834="MA",5,(IF(E3834="PT",6,(IF(E3834="AE",1,(IF(E3834="CM",2,(IF(E3834="DP",3,(IF(E3834="AN",1,(IF(E3834="CO",2,(IF(E3834="IM",3,(IF(E3834="MI",4,(IF(E3834="RP",5,(IF(E3834="SC",6,0)))))))))))))))))))))))))))))))))))))))</f>
        <v>2</v>
      </c>
      <c r="G3834" s="52">
        <v>6</v>
      </c>
      <c r="H3834" s="90" t="s">
        <v>115</v>
      </c>
      <c r="I3834" s="93" t="s">
        <v>85</v>
      </c>
      <c r="J3834" s="87" t="s">
        <v>911</v>
      </c>
      <c r="K3834" s="119" t="s">
        <v>912</v>
      </c>
      <c r="L3834" s="117">
        <f>IF(O3834="","",N3834*O3834*M3834)</f>
        <v>0</v>
      </c>
      <c r="M3834" s="108">
        <v>1</v>
      </c>
      <c r="N3834" s="95">
        <v>1</v>
      </c>
      <c r="O3834" s="109">
        <f>IF(Key!D$1="ON",P3834,IF(SUM(Q3834:DL3834)&lt;1,"",SUM(Q3834:DL3834)/COUNTIF(Q3834:DL3834,"&gt;0")))</f>
        <v>0</v>
      </c>
      <c r="P3834" s="109">
        <f>SUMIFS(Q3834:DK3834,Q$1:DK$1,Dashboard!$K$31)</f>
        <v>0</v>
      </c>
      <c r="U3834" s="95">
        <v>33</v>
      </c>
      <c r="AA3834" s="95">
        <v>25</v>
      </c>
      <c r="AH3834" s="95">
        <v>75</v>
      </c>
    </row>
    <row r="3835" spans="1:34" ht="15.6" x14ac:dyDescent="0.3">
      <c r="A3835" s="89" t="str">
        <f>CONCATENATE(D3835,".",F3835,"-",G3835,".",H3835,"")</f>
        <v>3.2-6.1</v>
      </c>
      <c r="B3835" s="89" t="str">
        <f>IF(CONCATENATE(I3835,Key!F$2)=CONCATENATE(INDEX(Dashboard!J:J,MATCH(I3835,Dashboard!J:J,0),1),INDEX(Dashboard!J:K,MATCH(I3835,Dashboard!J:J,0),2)),"ON",IF(Dashboard!K$32="ALL","ON","-"))</f>
        <v>-</v>
      </c>
      <c r="C3835" s="96" t="s">
        <v>311</v>
      </c>
      <c r="D3835" s="89">
        <f>IF(C3835="ID",1,(IF(C3835="PR",2,(IF(C3835="DE",3,(IF(C3835="RS",4,(IF(C3835="RC",5,0)))))))))</f>
        <v>3</v>
      </c>
      <c r="E3835" s="89" t="s">
        <v>316</v>
      </c>
      <c r="F3835" s="89">
        <f>IF(E3835="AM",1,(IF(E3835="BE",2,(IF(E3835="GV",3,(IF(E3835="RA",4,(IF(E3835="RM",5,(IF(E3835="AC",1,(IF(E3835="AT",2,(IF(E3835="DS",3,(IF(E3835="IP",4,(IF(E3835="MA",5,(IF(E3835="PT",6,(IF(E3835="AE",1,(IF(E3835="CM",2,(IF(E3835="DP",3,(IF(E3835="AN",1,(IF(E3835="CO",2,(IF(E3835="IM",3,(IF(E3835="MI",4,(IF(E3835="RP",5,(IF(E3835="SC",6,0)))))))))))))))))))))))))))))))))))))))</f>
        <v>2</v>
      </c>
      <c r="G3835" s="98">
        <v>6</v>
      </c>
      <c r="H3835" s="90" t="s">
        <v>115</v>
      </c>
      <c r="I3835" s="93" t="s">
        <v>92</v>
      </c>
      <c r="J3835" s="87">
        <v>11.4</v>
      </c>
      <c r="K3835" s="102" t="s">
        <v>5226</v>
      </c>
      <c r="L3835" s="117">
        <f>IF(O3835="","",N3835*O3835*M3835)</f>
        <v>0</v>
      </c>
      <c r="M3835" s="108">
        <v>1</v>
      </c>
      <c r="N3835" s="95">
        <v>1</v>
      </c>
      <c r="O3835" s="109">
        <f>IF(Key!D$1="ON",P3835,IF(SUM(Q3835:DL3835)&lt;1,"",SUM(Q3835:DL3835)/COUNTIF(Q3835:DL3835,"&gt;0")))</f>
        <v>0</v>
      </c>
      <c r="P3835" s="109">
        <f>SUMIFS(Q3835:DK3835,Q$1:DK$1,Dashboard!$K$31)</f>
        <v>0</v>
      </c>
      <c r="U3835" s="95">
        <v>33</v>
      </c>
      <c r="AA3835" s="95">
        <v>25</v>
      </c>
      <c r="AH3835" s="95">
        <v>75</v>
      </c>
    </row>
    <row r="3836" spans="1:34" x14ac:dyDescent="0.3">
      <c r="A3836" s="89" t="str">
        <f>CONCATENATE(D3836,".",F3836,"-",G3836,".",H3836,"")</f>
        <v>3.2-6.1</v>
      </c>
      <c r="B3836" s="89" t="str">
        <f>IF(CONCATENATE(I3836,Key!F$2)=CONCATENATE(INDEX(Dashboard!J:J,MATCH(I3836,Dashboard!J:J,0),1),INDEX(Dashboard!J:K,MATCH(I3836,Dashboard!J:J,0),2)),"ON",IF(Dashboard!K$32="ALL","ON","-"))</f>
        <v>-</v>
      </c>
      <c r="C3836" s="88" t="s">
        <v>311</v>
      </c>
      <c r="D3836" s="89">
        <f>IF(C3836="ID",1,(IF(C3836="PR",2,(IF(C3836="DE",3,(IF(C3836="RS",4,(IF(C3836="RC",5,0)))))))))</f>
        <v>3</v>
      </c>
      <c r="E3836" s="89" t="s">
        <v>316</v>
      </c>
      <c r="F3836" s="89">
        <f>IF(E3836="AM",1,(IF(E3836="BE",2,(IF(E3836="GV",3,(IF(E3836="RA",4,(IF(E3836="RM",5,(IF(E3836="AC",1,(IF(E3836="AT",2,(IF(E3836="DS",3,(IF(E3836="IP",4,(IF(E3836="MA",5,(IF(E3836="PT",6,(IF(E3836="AE",1,(IF(E3836="CM",2,(IF(E3836="DP",3,(IF(E3836="AN",1,(IF(E3836="CO",2,(IF(E3836="IM",3,(IF(E3836="MI",4,(IF(E3836="RP",5,(IF(E3836="SC",6,0)))))))))))))))))))))))))))))))))))))))</f>
        <v>2</v>
      </c>
      <c r="G3836" s="52">
        <v>6</v>
      </c>
      <c r="H3836" s="90" t="s">
        <v>115</v>
      </c>
      <c r="I3836" s="93" t="s">
        <v>92</v>
      </c>
      <c r="J3836" s="88" t="s">
        <v>321</v>
      </c>
      <c r="K3836" s="102" t="s">
        <v>5226</v>
      </c>
      <c r="L3836" s="117">
        <f>IF(O3836="","",N3836*O3836*M3836)</f>
        <v>0</v>
      </c>
      <c r="M3836" s="108">
        <v>1</v>
      </c>
      <c r="N3836" s="95">
        <v>1</v>
      </c>
      <c r="O3836" s="109">
        <f>IF(Key!D$1="ON",P3836,IF(SUM(Q3836:DL3836)&lt;1,"",SUM(Q3836:DL3836)/COUNTIF(Q3836:DL3836,"&gt;0")))</f>
        <v>0</v>
      </c>
      <c r="P3836" s="109">
        <f>SUMIFS(Q3836:DK3836,Q$1:DK$1,Dashboard!$K$31)</f>
        <v>0</v>
      </c>
      <c r="U3836" s="95">
        <v>33</v>
      </c>
      <c r="AA3836" s="95">
        <v>25</v>
      </c>
      <c r="AH3836" s="95">
        <v>75</v>
      </c>
    </row>
    <row r="3837" spans="1:34" x14ac:dyDescent="0.3">
      <c r="A3837" s="89" t="str">
        <f>CONCATENATE(D3837,".",F3837,"-",G3837,".",H3837,"")</f>
        <v>3.2-6.1</v>
      </c>
      <c r="B3837" s="89" t="str">
        <f>IF(CONCATENATE(I3837,Key!F$2)=CONCATENATE(INDEX(Dashboard!J:J,MATCH(I3837,Dashboard!J:J,0),1),INDEX(Dashboard!J:K,MATCH(I3837,Dashboard!J:J,0),2)),"ON",IF(Dashboard!K$32="ALL","ON","-"))</f>
        <v>-</v>
      </c>
      <c r="C3837" s="96" t="s">
        <v>311</v>
      </c>
      <c r="D3837" s="89">
        <f>IF(C3837="ID",1,(IF(C3837="PR",2,(IF(C3837="DE",3,(IF(C3837="RS",4,(IF(C3837="RC",5,0)))))))))</f>
        <v>3</v>
      </c>
      <c r="E3837" s="89" t="s">
        <v>316</v>
      </c>
      <c r="F3837" s="89">
        <f>IF(E3837="AM",1,(IF(E3837="BE",2,(IF(E3837="GV",3,(IF(E3837="RA",4,(IF(E3837="RM",5,(IF(E3837="AC",1,(IF(E3837="AT",2,(IF(E3837="DS",3,(IF(E3837="IP",4,(IF(E3837="MA",5,(IF(E3837="PT",6,(IF(E3837="AE",1,(IF(E3837="CM",2,(IF(E3837="DP",3,(IF(E3837="AN",1,(IF(E3837="CO",2,(IF(E3837="IM",3,(IF(E3837="MI",4,(IF(E3837="RP",5,(IF(E3837="SC",6,0)))))))))))))))))))))))))))))))))))))))</f>
        <v>2</v>
      </c>
      <c r="G3837" s="98">
        <v>6</v>
      </c>
      <c r="H3837" s="90" t="s">
        <v>115</v>
      </c>
      <c r="I3837" s="93" t="s">
        <v>92</v>
      </c>
      <c r="J3837" s="87" t="s">
        <v>314</v>
      </c>
      <c r="K3837" s="102" t="s">
        <v>5226</v>
      </c>
      <c r="L3837" s="117">
        <f>IF(O3837="","",N3837*O3837*M3837)</f>
        <v>0</v>
      </c>
      <c r="M3837" s="108">
        <v>1</v>
      </c>
      <c r="N3837" s="95">
        <v>1</v>
      </c>
      <c r="O3837" s="109">
        <f>IF(Key!D$1="ON",P3837,IF(SUM(Q3837:DL3837)&lt;1,"",SUM(Q3837:DL3837)/COUNTIF(Q3837:DL3837,"&gt;0")))</f>
        <v>0</v>
      </c>
      <c r="P3837" s="109">
        <f>SUMIFS(Q3837:DK3837,Q$1:DK$1,Dashboard!$K$31)</f>
        <v>0</v>
      </c>
      <c r="U3837" s="95">
        <v>33</v>
      </c>
      <c r="AA3837" s="95">
        <v>25</v>
      </c>
      <c r="AH3837" s="95">
        <v>75</v>
      </c>
    </row>
    <row r="3838" spans="1:34" x14ac:dyDescent="0.3">
      <c r="A3838" s="89" t="str">
        <f>CONCATENATE(D3838,".",F3838,"-",G3838,".",H3838,"")</f>
        <v>3.2-6.1</v>
      </c>
      <c r="B3838" s="89" t="str">
        <f>IF(CONCATENATE(I3838,Key!F$2)=CONCATENATE(INDEX(Dashboard!J:J,MATCH(I3838,Dashboard!J:J,0),1),INDEX(Dashboard!J:K,MATCH(I3838,Dashboard!J:J,0),2)),"ON",IF(Dashboard!K$32="ALL","ON","-"))</f>
        <v>-</v>
      </c>
      <c r="C3838" s="96" t="s">
        <v>311</v>
      </c>
      <c r="D3838" s="89">
        <f>IF(C3838="ID",1,(IF(C3838="PR",2,(IF(C3838="DE",3,(IF(C3838="RS",4,(IF(C3838="RC",5,0)))))))))</f>
        <v>3</v>
      </c>
      <c r="E3838" s="89" t="s">
        <v>316</v>
      </c>
      <c r="F3838" s="89">
        <f>IF(E3838="AM",1,(IF(E3838="BE",2,(IF(E3838="GV",3,(IF(E3838="RA",4,(IF(E3838="RM",5,(IF(E3838="AC",1,(IF(E3838="AT",2,(IF(E3838="DS",3,(IF(E3838="IP",4,(IF(E3838="MA",5,(IF(E3838="PT",6,(IF(E3838="AE",1,(IF(E3838="CM",2,(IF(E3838="DP",3,(IF(E3838="AN",1,(IF(E3838="CO",2,(IF(E3838="IM",3,(IF(E3838="MI",4,(IF(E3838="RP",5,(IF(E3838="SC",6,0)))))))))))))))))))))))))))))))))))))))</f>
        <v>2</v>
      </c>
      <c r="G3838" s="98">
        <v>6</v>
      </c>
      <c r="H3838" s="90" t="s">
        <v>115</v>
      </c>
      <c r="I3838" s="93" t="s">
        <v>92</v>
      </c>
      <c r="J3838" s="87" t="s">
        <v>317</v>
      </c>
      <c r="K3838" s="102" t="s">
        <v>5226</v>
      </c>
      <c r="L3838" s="117">
        <f>IF(O3838="","",N3838*O3838*M3838)</f>
        <v>0</v>
      </c>
      <c r="M3838" s="108">
        <v>1</v>
      </c>
      <c r="N3838" s="95">
        <v>1</v>
      </c>
      <c r="O3838" s="109">
        <f>IF(Key!D$1="ON",P3838,IF(SUM(Q3838:DL3838)&lt;1,"",SUM(Q3838:DL3838)/COUNTIF(Q3838:DL3838,"&gt;0")))</f>
        <v>0</v>
      </c>
      <c r="P3838" s="109">
        <f>SUMIFS(Q3838:DK3838,Q$1:DK$1,Dashboard!$K$31)</f>
        <v>0</v>
      </c>
      <c r="U3838" s="95">
        <v>33</v>
      </c>
      <c r="AA3838" s="95">
        <v>25</v>
      </c>
      <c r="AH3838" s="95">
        <v>75</v>
      </c>
    </row>
    <row r="3839" spans="1:34" ht="15.6" x14ac:dyDescent="0.3">
      <c r="A3839" s="89" t="str">
        <f>CONCATENATE(D3839,".",F3839,"-",G3839,".",H3839,"")</f>
        <v>3.2-6.1</v>
      </c>
      <c r="B3839" s="89" t="str">
        <f>IF(CONCATENATE(I3839,Key!F$2)=CONCATENATE(INDEX(Dashboard!J:J,MATCH(I3839,Dashboard!J:J,0),1),INDEX(Dashboard!J:K,MATCH(I3839,Dashboard!J:J,0),2)),"ON",IF(Dashboard!K$32="ALL","ON","-"))</f>
        <v>-</v>
      </c>
      <c r="C3839" s="88" t="s">
        <v>311</v>
      </c>
      <c r="D3839" s="89">
        <f>IF(C3839="ID",1,(IF(C3839="PR",2,(IF(C3839="DE",3,(IF(C3839="RS",4,(IF(C3839="RC",5,0)))))))))</f>
        <v>3</v>
      </c>
      <c r="E3839" s="89" t="s">
        <v>316</v>
      </c>
      <c r="F3839" s="89">
        <f>IF(E3839="AM",1,(IF(E3839="BE",2,(IF(E3839="GV",3,(IF(E3839="RA",4,(IF(E3839="RM",5,(IF(E3839="AC",1,(IF(E3839="AT",2,(IF(E3839="DS",3,(IF(E3839="IP",4,(IF(E3839="MA",5,(IF(E3839="PT",6,(IF(E3839="AE",1,(IF(E3839="CM",2,(IF(E3839="DP",3,(IF(E3839="AN",1,(IF(E3839="CO",2,(IF(E3839="IM",3,(IF(E3839="MI",4,(IF(E3839="RP",5,(IF(E3839="SC",6,0)))))))))))))))))))))))))))))))))))))))</f>
        <v>2</v>
      </c>
      <c r="G3839" s="52">
        <v>6</v>
      </c>
      <c r="H3839" s="90" t="s">
        <v>115</v>
      </c>
      <c r="I3839" s="93" t="s">
        <v>92</v>
      </c>
      <c r="J3839" s="88" t="s">
        <v>322</v>
      </c>
      <c r="K3839" s="102" t="s">
        <v>5226</v>
      </c>
      <c r="L3839" s="117">
        <f>IF(O3839="","",N3839*O3839*M3839)</f>
        <v>0</v>
      </c>
      <c r="M3839" s="108">
        <v>1</v>
      </c>
      <c r="N3839" s="95">
        <v>1</v>
      </c>
      <c r="O3839" s="109">
        <f>IF(Key!D$1="ON",P3839,IF(SUM(Q3839:DL3839)&lt;1,"",SUM(Q3839:DL3839)/COUNTIF(Q3839:DL3839,"&gt;0")))</f>
        <v>0</v>
      </c>
      <c r="P3839" s="109">
        <f>SUMIFS(Q3839:DK3839,Q$1:DK$1,Dashboard!$K$31)</f>
        <v>0</v>
      </c>
      <c r="U3839" s="95">
        <v>33</v>
      </c>
      <c r="AA3839" s="95">
        <v>25</v>
      </c>
      <c r="AH3839" s="95">
        <v>75</v>
      </c>
    </row>
    <row r="3840" spans="1:34" x14ac:dyDescent="0.3">
      <c r="A3840" s="89" t="str">
        <f>CONCATENATE(D3840,".",F3840,"-",G3840,".",H3840,"")</f>
        <v>3.2-7.0</v>
      </c>
      <c r="B3840" s="89" t="str">
        <f>IF(CONCATENATE(I3840,Key!F$2)=CONCATENATE(INDEX(Dashboard!J:J,MATCH(I3840,Dashboard!J:J,0),1),INDEX(Dashboard!J:K,MATCH(I3840,Dashboard!J:J,0),2)),"ON",IF(Dashboard!K$32="ALL","ON","-"))</f>
        <v>-</v>
      </c>
      <c r="C3840" s="96" t="s">
        <v>311</v>
      </c>
      <c r="D3840" s="89">
        <f>IF(C3840="ID",1,(IF(C3840="PR",2,(IF(C3840="DE",3,(IF(C3840="RS",4,(IF(C3840="RC",5,0)))))))))</f>
        <v>3</v>
      </c>
      <c r="E3840" s="89" t="s">
        <v>316</v>
      </c>
      <c r="F3840" s="89">
        <f>IF(E3840="AM",1,(IF(E3840="BE",2,(IF(E3840="GV",3,(IF(E3840="RA",4,(IF(E3840="RM",5,(IF(E3840="AC",1,(IF(E3840="AT",2,(IF(E3840="DS",3,(IF(E3840="IP",4,(IF(E3840="MA",5,(IF(E3840="PT",6,(IF(E3840="AE",1,(IF(E3840="CM",2,(IF(E3840="DP",3,(IF(E3840="AN",1,(IF(E3840="CO",2,(IF(E3840="IM",3,(IF(E3840="MI",4,(IF(E3840="RP",5,(IF(E3840="SC",6,0)))))))))))))))))))))))))))))))))))))))</f>
        <v>2</v>
      </c>
      <c r="G3840" s="52">
        <v>7</v>
      </c>
      <c r="H3840" s="90" t="s">
        <v>347</v>
      </c>
      <c r="I3840" s="93" t="s">
        <v>2835</v>
      </c>
      <c r="J3840" s="53" t="s">
        <v>3034</v>
      </c>
      <c r="K3840" s="58" t="s">
        <v>3035</v>
      </c>
      <c r="L3840" s="117">
        <f>IF(O3840="","",N3840*O3840*M3840)</f>
        <v>0</v>
      </c>
      <c r="M3840" s="108">
        <v>1</v>
      </c>
      <c r="N3840" s="95">
        <v>1</v>
      </c>
      <c r="O3840" s="109">
        <f>IF(Key!D$1="ON",P3840,IF(SUM(Q3840:DL3840)&lt;1,"",SUM(Q3840:DL3840)/COUNTIF(Q3840:DL3840,"&gt;0")))</f>
        <v>0</v>
      </c>
      <c r="P3840" s="109">
        <f>SUMIFS(Q3840:DK3840,Q$1:DK$1,Dashboard!$K$31)</f>
        <v>0</v>
      </c>
      <c r="U3840" s="95">
        <v>33</v>
      </c>
    </row>
    <row r="3841" spans="1:34" ht="15.6" x14ac:dyDescent="0.3">
      <c r="A3841" s="89" t="str">
        <f>CONCATENATE(D3841,".",F3841,"-",G3841,".",H3841,"")</f>
        <v>3.2-7.1</v>
      </c>
      <c r="B3841" s="89" t="str">
        <f>IF(CONCATENATE(I3841,Key!F$2)=CONCATENATE(INDEX(Dashboard!J:J,MATCH(I3841,Dashboard!J:J,0),1),INDEX(Dashboard!J:K,MATCH(I3841,Dashboard!J:J,0),2)),"ON",IF(Dashboard!K$32="ALL","ON","-"))</f>
        <v>ON</v>
      </c>
      <c r="C3841" s="88" t="s">
        <v>311</v>
      </c>
      <c r="D3841" s="89">
        <f>IF(C3841="ID",1,(IF(C3841="PR",2,(IF(C3841="DE",3,(IF(C3841="RS",4,(IF(C3841="RC",5,0)))))))))</f>
        <v>3</v>
      </c>
      <c r="E3841" s="89" t="s">
        <v>316</v>
      </c>
      <c r="F3841" s="89">
        <f>IF(E3841="AM",1,(IF(E3841="BE",2,(IF(E3841="GV",3,(IF(E3841="RA",4,(IF(E3841="RM",5,(IF(E3841="AC",1,(IF(E3841="AT",2,(IF(E3841="DS",3,(IF(E3841="IP",4,(IF(E3841="MA",5,(IF(E3841="PT",6,(IF(E3841="AE",1,(IF(E3841="CM",2,(IF(E3841="DP",3,(IF(E3841="AN",1,(IF(E3841="CO",2,(IF(E3841="IM",3,(IF(E3841="MI",4,(IF(E3841="RP",5,(IF(E3841="SC",6,0)))))))))))))))))))))))))))))))))))))))</f>
        <v>2</v>
      </c>
      <c r="G3841" s="98">
        <v>7</v>
      </c>
      <c r="H3841" s="90" t="s">
        <v>115</v>
      </c>
      <c r="I3841" s="93" t="s">
        <v>4107</v>
      </c>
      <c r="J3841" s="86" t="s">
        <v>3958</v>
      </c>
      <c r="K3841" s="101" t="s">
        <v>4360</v>
      </c>
      <c r="L3841" s="117">
        <f>IF(O3841="","",N3841*O3841*M3841)</f>
        <v>0</v>
      </c>
      <c r="M3841" s="108">
        <v>1</v>
      </c>
      <c r="N3841" s="95">
        <v>1</v>
      </c>
      <c r="O3841" s="109">
        <f>IF(Key!D$1="ON",P3841,IF(SUM(Q3841:DL3841)&lt;1,"",SUM(Q3841:DL3841)/COUNTIF(Q3841:DL3841,"&gt;0")))</f>
        <v>0</v>
      </c>
      <c r="P3841" s="109">
        <f>SUMIFS(Q3841:DK3841,Q$1:DK$1,Dashboard!$K$31)</f>
        <v>0</v>
      </c>
      <c r="U3841" s="95">
        <v>33</v>
      </c>
      <c r="AA3841" s="95">
        <v>25</v>
      </c>
      <c r="AH3841" s="95">
        <v>75</v>
      </c>
    </row>
    <row r="3842" spans="1:34" ht="15.6" x14ac:dyDescent="0.3">
      <c r="A3842" s="89" t="str">
        <f>CONCATENATE(D3842,".",F3842,"-",G3842,".",H3842,"")</f>
        <v>3.2-7.1</v>
      </c>
      <c r="B3842" s="89" t="str">
        <f>IF(CONCATENATE(I3842,Key!F$2)=CONCATENATE(INDEX(Dashboard!J:J,MATCH(I3842,Dashboard!J:J,0),1),INDEX(Dashboard!J:K,MATCH(I3842,Dashboard!J:J,0),2)),"ON",IF(Dashboard!K$32="ALL","ON","-"))</f>
        <v>ON</v>
      </c>
      <c r="C3842" s="130" t="s">
        <v>311</v>
      </c>
      <c r="D3842" s="89">
        <f>IF(C3842="ID",1,(IF(C3842="PR",2,(IF(C3842="DE",3,(IF(C3842="RS",4,(IF(C3842="RC",5,0)))))))))</f>
        <v>3</v>
      </c>
      <c r="E3842" s="95" t="s">
        <v>316</v>
      </c>
      <c r="F3842" s="89">
        <f>IF(E3842="AM",1,(IF(E3842="BE",2,(IF(E3842="GV",3,(IF(E3842="RA",4,(IF(E3842="RM",5,(IF(E3842="AC",1,(IF(E3842="AT",2,(IF(E3842="DS",3,(IF(E3842="IP",4,(IF(E3842="MA",5,(IF(E3842="PT",6,(IF(E3842="AE",1,(IF(E3842="CM",2,(IF(E3842="DP",3,(IF(E3842="AN",1,(IF(E3842="CO",2,(IF(E3842="IM",3,(IF(E3842="MI",4,(IF(E3842="RP",5,(IF(E3842="SC",6,0)))))))))))))))))))))))))))))))))))))))</f>
        <v>2</v>
      </c>
      <c r="G3842" s="52">
        <v>7</v>
      </c>
      <c r="H3842" s="90" t="s">
        <v>115</v>
      </c>
      <c r="I3842" s="93" t="s">
        <v>4107</v>
      </c>
      <c r="J3842" s="86" t="s">
        <v>3961</v>
      </c>
      <c r="K3842" s="101" t="s">
        <v>4362</v>
      </c>
      <c r="L3842" s="117">
        <f>IF(O3842="","",N3842*O3842*M3842)</f>
        <v>0</v>
      </c>
      <c r="M3842" s="108">
        <v>1</v>
      </c>
      <c r="N3842" s="95">
        <v>1</v>
      </c>
      <c r="O3842" s="109">
        <f>IF(Key!D$1="ON",P3842,IF(SUM(Q3842:DL3842)&lt;1,"",SUM(Q3842:DL3842)/COUNTIF(Q3842:DL3842,"&gt;0")))</f>
        <v>0</v>
      </c>
      <c r="P3842" s="109">
        <f>SUMIFS(Q3842:DK3842,Q$1:DK$1,Dashboard!$K$31)</f>
        <v>0</v>
      </c>
      <c r="U3842" s="95">
        <v>33</v>
      </c>
      <c r="AA3842" s="95">
        <v>25</v>
      </c>
      <c r="AH3842" s="95">
        <v>75</v>
      </c>
    </row>
    <row r="3843" spans="1:34" x14ac:dyDescent="0.3">
      <c r="A3843" s="89" t="str">
        <f>CONCATENATE(D3843,".",F3843,"-",G3843,".",H3843,"")</f>
        <v>3.2-7.1</v>
      </c>
      <c r="B3843" s="89" t="str">
        <f>IF(CONCATENATE(I3843,Key!F$2)=CONCATENATE(INDEX(Dashboard!J:J,MATCH(I3843,Dashboard!J:J,0),1),INDEX(Dashboard!J:K,MATCH(I3843,Dashboard!J:J,0),2)),"ON",IF(Dashboard!K$32="ALL","ON","-"))</f>
        <v>ON</v>
      </c>
      <c r="C3843" s="130" t="s">
        <v>311</v>
      </c>
      <c r="D3843" s="89">
        <f>IF(C3843="ID",1,(IF(C3843="PR",2,(IF(C3843="DE",3,(IF(C3843="RS",4,(IF(C3843="RC",5,0)))))))))</f>
        <v>3</v>
      </c>
      <c r="E3843" s="95" t="s">
        <v>316</v>
      </c>
      <c r="F3843" s="89">
        <f>IF(E3843="AM",1,(IF(E3843="BE",2,(IF(E3843="GV",3,(IF(E3843="RA",4,(IF(E3843="RM",5,(IF(E3843="AC",1,(IF(E3843="AT",2,(IF(E3843="DS",3,(IF(E3843="IP",4,(IF(E3843="MA",5,(IF(E3843="PT",6,(IF(E3843="AE",1,(IF(E3843="CM",2,(IF(E3843="DP",3,(IF(E3843="AN",1,(IF(E3843="CO",2,(IF(E3843="IM",3,(IF(E3843="MI",4,(IF(E3843="RP",5,(IF(E3843="SC",6,0)))))))))))))))))))))))))))))))))))))))</f>
        <v>2</v>
      </c>
      <c r="G3843" s="52">
        <v>7</v>
      </c>
      <c r="H3843" s="90" t="s">
        <v>115</v>
      </c>
      <c r="I3843" s="93" t="s">
        <v>4107</v>
      </c>
      <c r="J3843" s="86" t="s">
        <v>3964</v>
      </c>
      <c r="K3843" s="101" t="s">
        <v>4364</v>
      </c>
      <c r="L3843" s="117">
        <f>IF(O3843="","",N3843*O3843*M3843)</f>
        <v>0</v>
      </c>
      <c r="M3843" s="108">
        <v>1</v>
      </c>
      <c r="N3843" s="95">
        <v>1</v>
      </c>
      <c r="O3843" s="109">
        <f>IF(Key!D$1="ON",P3843,IF(SUM(Q3843:DL3843)&lt;1,"",SUM(Q3843:DL3843)/COUNTIF(Q3843:DL3843,"&gt;0")))</f>
        <v>0</v>
      </c>
      <c r="P3843" s="109">
        <f>SUMIFS(Q3843:DK3843,Q$1:DK$1,Dashboard!$K$31)</f>
        <v>0</v>
      </c>
      <c r="U3843" s="95">
        <v>33</v>
      </c>
      <c r="AA3843" s="95">
        <v>25</v>
      </c>
      <c r="AH3843" s="95">
        <v>75</v>
      </c>
    </row>
    <row r="3844" spans="1:34" ht="15.6" x14ac:dyDescent="0.3">
      <c r="A3844" s="89" t="str">
        <f>CONCATENATE(D3844,".",F3844,"-",G3844,".",H3844,"")</f>
        <v>3.2-7.1</v>
      </c>
      <c r="B3844" s="89" t="str">
        <f>IF(CONCATENATE(I3844,Key!F$2)=CONCATENATE(INDEX(Dashboard!J:J,MATCH(I3844,Dashboard!J:J,0),1),INDEX(Dashboard!J:K,MATCH(I3844,Dashboard!J:J,0),2)),"ON",IF(Dashboard!K$32="ALL","ON","-"))</f>
        <v>ON</v>
      </c>
      <c r="C3844" s="130" t="s">
        <v>311</v>
      </c>
      <c r="D3844" s="89">
        <f>IF(C3844="ID",1,(IF(C3844="PR",2,(IF(C3844="DE",3,(IF(C3844="RS",4,(IF(C3844="RC",5,0)))))))))</f>
        <v>3</v>
      </c>
      <c r="E3844" s="95" t="s">
        <v>316</v>
      </c>
      <c r="F3844" s="89">
        <f>IF(E3844="AM",1,(IF(E3844="BE",2,(IF(E3844="GV",3,(IF(E3844="RA",4,(IF(E3844="RM",5,(IF(E3844="AC",1,(IF(E3844="AT",2,(IF(E3844="DS",3,(IF(E3844="IP",4,(IF(E3844="MA",5,(IF(E3844="PT",6,(IF(E3844="AE",1,(IF(E3844="CM",2,(IF(E3844="DP",3,(IF(E3844="AN",1,(IF(E3844="CO",2,(IF(E3844="IM",3,(IF(E3844="MI",4,(IF(E3844="RP",5,(IF(E3844="SC",6,0)))))))))))))))))))))))))))))))))))))))</f>
        <v>2</v>
      </c>
      <c r="G3844" s="52">
        <v>7</v>
      </c>
      <c r="H3844" s="90" t="s">
        <v>115</v>
      </c>
      <c r="I3844" s="93" t="s">
        <v>4107</v>
      </c>
      <c r="J3844" s="86" t="s">
        <v>3965</v>
      </c>
      <c r="K3844" s="101" t="s">
        <v>4429</v>
      </c>
      <c r="L3844" s="117">
        <f>IF(O3844="","",N3844*O3844*M3844)</f>
        <v>0</v>
      </c>
      <c r="M3844" s="108">
        <v>1</v>
      </c>
      <c r="N3844" s="95">
        <v>1</v>
      </c>
      <c r="O3844" s="109">
        <f>IF(Key!D$1="ON",P3844,IF(SUM(Q3844:DL3844)&lt;1,"",SUM(Q3844:DL3844)/COUNTIF(Q3844:DL3844,"&gt;0")))</f>
        <v>0</v>
      </c>
      <c r="P3844" s="109">
        <f>SUMIFS(Q3844:DK3844,Q$1:DK$1,Dashboard!$K$31)</f>
        <v>0</v>
      </c>
      <c r="U3844" s="95">
        <v>33</v>
      </c>
      <c r="AA3844" s="95">
        <v>25</v>
      </c>
      <c r="AH3844" s="95">
        <v>75</v>
      </c>
    </row>
    <row r="3845" spans="1:34" ht="15.6" x14ac:dyDescent="0.3">
      <c r="A3845" s="89" t="str">
        <f>CONCATENATE(D3845,".",F3845,"-",G3845,".",H3845,"")</f>
        <v>3.2-7.1</v>
      </c>
      <c r="B3845" s="89" t="str">
        <f>IF(CONCATENATE(I3845,Key!F$2)=CONCATENATE(INDEX(Dashboard!J:J,MATCH(I3845,Dashboard!J:J,0),1),INDEX(Dashboard!J:K,MATCH(I3845,Dashboard!J:J,0),2)),"ON",IF(Dashboard!K$32="ALL","ON","-"))</f>
        <v>ON</v>
      </c>
      <c r="C3845" s="130" t="s">
        <v>311</v>
      </c>
      <c r="D3845" s="89">
        <f>IF(C3845="ID",1,(IF(C3845="PR",2,(IF(C3845="DE",3,(IF(C3845="RS",4,(IF(C3845="RC",5,0)))))))))</f>
        <v>3</v>
      </c>
      <c r="E3845" s="95" t="s">
        <v>316</v>
      </c>
      <c r="F3845" s="89">
        <f>IF(E3845="AM",1,(IF(E3845="BE",2,(IF(E3845="GV",3,(IF(E3845="RA",4,(IF(E3845="RM",5,(IF(E3845="AC",1,(IF(E3845="AT",2,(IF(E3845="DS",3,(IF(E3845="IP",4,(IF(E3845="MA",5,(IF(E3845="PT",6,(IF(E3845="AE",1,(IF(E3845="CM",2,(IF(E3845="DP",3,(IF(E3845="AN",1,(IF(E3845="CO",2,(IF(E3845="IM",3,(IF(E3845="MI",4,(IF(E3845="RP",5,(IF(E3845="SC",6,0)))))))))))))))))))))))))))))))))))))))</f>
        <v>2</v>
      </c>
      <c r="G3845" s="52">
        <v>7</v>
      </c>
      <c r="H3845" s="90" t="s">
        <v>115</v>
      </c>
      <c r="I3845" s="93" t="s">
        <v>4107</v>
      </c>
      <c r="J3845" s="86" t="s">
        <v>4052</v>
      </c>
      <c r="K3845" s="101" t="s">
        <v>4398</v>
      </c>
      <c r="L3845" s="117">
        <f>IF(O3845="","",N3845*O3845*M3845)</f>
        <v>0</v>
      </c>
      <c r="M3845" s="108">
        <v>1</v>
      </c>
      <c r="N3845" s="95">
        <v>1</v>
      </c>
      <c r="O3845" s="109">
        <f>IF(Key!D$1="ON",P3845,IF(SUM(Q3845:DL3845)&lt;1,"",SUM(Q3845:DL3845)/COUNTIF(Q3845:DL3845,"&gt;0")))</f>
        <v>0</v>
      </c>
      <c r="P3845" s="109">
        <f>SUMIFS(Q3845:DK3845,Q$1:DK$1,Dashboard!$K$31)</f>
        <v>0</v>
      </c>
      <c r="U3845" s="95">
        <v>33</v>
      </c>
      <c r="AA3845" s="95">
        <v>25</v>
      </c>
      <c r="AH3845" s="95">
        <v>75</v>
      </c>
    </row>
    <row r="3846" spans="1:34" ht="15.6" x14ac:dyDescent="0.3">
      <c r="A3846" s="89" t="str">
        <f>CONCATENATE(D3846,".",F3846,"-",G3846,".",H3846,"")</f>
        <v>3.2-7.1</v>
      </c>
      <c r="B3846" s="89" t="str">
        <f>IF(CONCATENATE(I3846,Key!F$2)=CONCATENATE(INDEX(Dashboard!J:J,MATCH(I3846,Dashboard!J:J,0),1),INDEX(Dashboard!J:K,MATCH(I3846,Dashboard!J:J,0),2)),"ON",IF(Dashboard!K$32="ALL","ON","-"))</f>
        <v>ON</v>
      </c>
      <c r="C3846" s="130" t="s">
        <v>311</v>
      </c>
      <c r="D3846" s="89">
        <f>IF(C3846="ID",1,(IF(C3846="PR",2,(IF(C3846="DE",3,(IF(C3846="RS",4,(IF(C3846="RC",5,0)))))))))</f>
        <v>3</v>
      </c>
      <c r="E3846" s="95" t="s">
        <v>316</v>
      </c>
      <c r="F3846" s="89">
        <f>IF(E3846="AM",1,(IF(E3846="BE",2,(IF(E3846="GV",3,(IF(E3846="RA",4,(IF(E3846="RM",5,(IF(E3846="AC",1,(IF(E3846="AT",2,(IF(E3846="DS",3,(IF(E3846="IP",4,(IF(E3846="MA",5,(IF(E3846="PT",6,(IF(E3846="AE",1,(IF(E3846="CM",2,(IF(E3846="DP",3,(IF(E3846="AN",1,(IF(E3846="CO",2,(IF(E3846="IM",3,(IF(E3846="MI",4,(IF(E3846="RP",5,(IF(E3846="SC",6,0)))))))))))))))))))))))))))))))))))))))</f>
        <v>2</v>
      </c>
      <c r="G3846" s="52">
        <v>7</v>
      </c>
      <c r="H3846" s="90" t="s">
        <v>115</v>
      </c>
      <c r="I3846" s="93" t="s">
        <v>4107</v>
      </c>
      <c r="J3846" s="86" t="s">
        <v>4065</v>
      </c>
      <c r="K3846" s="101" t="s">
        <v>4469</v>
      </c>
      <c r="L3846" s="117">
        <f>IF(O3846="","",N3846*O3846*M3846)</f>
        <v>0</v>
      </c>
      <c r="M3846" s="108">
        <v>1</v>
      </c>
      <c r="N3846" s="95">
        <v>1</v>
      </c>
      <c r="O3846" s="109">
        <f>IF(Key!D$1="ON",P3846,IF(SUM(Q3846:DL3846)&lt;1,"",SUM(Q3846:DL3846)/COUNTIF(Q3846:DL3846,"&gt;0")))</f>
        <v>0</v>
      </c>
      <c r="P3846" s="109">
        <f>SUMIFS(Q3846:DK3846,Q$1:DK$1,Dashboard!$K$31)</f>
        <v>0</v>
      </c>
      <c r="U3846" s="95">
        <v>33</v>
      </c>
      <c r="AA3846" s="95">
        <v>25</v>
      </c>
      <c r="AH3846" s="95">
        <v>75</v>
      </c>
    </row>
    <row r="3847" spans="1:34" x14ac:dyDescent="0.3">
      <c r="A3847" s="89" t="str">
        <f>CONCATENATE(D3847,".",F3847,"-",G3847,".",H3847,"")</f>
        <v>3.2-7.1</v>
      </c>
      <c r="B3847" s="89" t="str">
        <f>IF(CONCATENATE(I3847,Key!F$2)=CONCATENATE(INDEX(Dashboard!J:J,MATCH(I3847,Dashboard!J:J,0),1),INDEX(Dashboard!J:K,MATCH(I3847,Dashboard!J:J,0),2)),"ON",IF(Dashboard!K$32="ALL","ON","-"))</f>
        <v>ON</v>
      </c>
      <c r="C3847" s="130" t="s">
        <v>311</v>
      </c>
      <c r="D3847" s="89">
        <f>IF(C3847="ID",1,(IF(C3847="PR",2,(IF(C3847="DE",3,(IF(C3847="RS",4,(IF(C3847="RC",5,0)))))))))</f>
        <v>3</v>
      </c>
      <c r="E3847" s="95" t="s">
        <v>316</v>
      </c>
      <c r="F3847" s="89">
        <f>IF(E3847="AM",1,(IF(E3847="BE",2,(IF(E3847="GV",3,(IF(E3847="RA",4,(IF(E3847="RM",5,(IF(E3847="AC",1,(IF(E3847="AT",2,(IF(E3847="DS",3,(IF(E3847="IP",4,(IF(E3847="MA",5,(IF(E3847="PT",6,(IF(E3847="AE",1,(IF(E3847="CM",2,(IF(E3847="DP",3,(IF(E3847="AN",1,(IF(E3847="CO",2,(IF(E3847="IM",3,(IF(E3847="MI",4,(IF(E3847="RP",5,(IF(E3847="SC",6,0)))))))))))))))))))))))))))))))))))))))</f>
        <v>2</v>
      </c>
      <c r="G3847" s="52">
        <v>7</v>
      </c>
      <c r="H3847" s="90" t="s">
        <v>115</v>
      </c>
      <c r="I3847" s="93" t="s">
        <v>4107</v>
      </c>
      <c r="J3847" s="86" t="s">
        <v>4100</v>
      </c>
      <c r="K3847" s="101" t="s">
        <v>4416</v>
      </c>
      <c r="L3847" s="117">
        <f>IF(O3847="","",N3847*O3847*M3847)</f>
        <v>0</v>
      </c>
      <c r="M3847" s="108">
        <v>1</v>
      </c>
      <c r="N3847" s="95">
        <v>1</v>
      </c>
      <c r="O3847" s="109">
        <f>IF(Key!D$1="ON",P3847,IF(SUM(Q3847:DL3847)&lt;1,"",SUM(Q3847:DL3847)/COUNTIF(Q3847:DL3847,"&gt;0")))</f>
        <v>0</v>
      </c>
      <c r="P3847" s="109">
        <f>SUMIFS(Q3847:DK3847,Q$1:DK$1,Dashboard!$K$31)</f>
        <v>0</v>
      </c>
      <c r="U3847" s="95">
        <v>33</v>
      </c>
      <c r="AA3847" s="95">
        <v>25</v>
      </c>
      <c r="AH3847" s="95">
        <v>75</v>
      </c>
    </row>
    <row r="3848" spans="1:34" x14ac:dyDescent="0.3">
      <c r="A3848" s="89" t="str">
        <f>CONCATENATE(D3848,".",F3848,"-",G3848,".",H3848,"")</f>
        <v>3.2-7.1</v>
      </c>
      <c r="B3848" s="89" t="str">
        <f>IF(CONCATENATE(I3848,Key!F$2)=CONCATENATE(INDEX(Dashboard!J:J,MATCH(I3848,Dashboard!J:J,0),1),INDEX(Dashboard!J:K,MATCH(I3848,Dashboard!J:J,0),2)),"ON",IF(Dashboard!K$32="ALL","ON","-"))</f>
        <v>ON</v>
      </c>
      <c r="C3848" s="88" t="s">
        <v>311</v>
      </c>
      <c r="D3848" s="89">
        <f>IF(C3848="ID",1,(IF(C3848="PR",2,(IF(C3848="DE",3,(IF(C3848="RS",4,(IF(C3848="RC",5,0)))))))))</f>
        <v>3</v>
      </c>
      <c r="E3848" s="89" t="s">
        <v>316</v>
      </c>
      <c r="F3848" s="89">
        <f>IF(E3848="AM",1,(IF(E3848="BE",2,(IF(E3848="GV",3,(IF(E3848="RA",4,(IF(E3848="RM",5,(IF(E3848="AC",1,(IF(E3848="AT",2,(IF(E3848="DS",3,(IF(E3848="IP",4,(IF(E3848="MA",5,(IF(E3848="PT",6,(IF(E3848="AE",1,(IF(E3848="CM",2,(IF(E3848="DP",3,(IF(E3848="AN",1,(IF(E3848="CO",2,(IF(E3848="IM",3,(IF(E3848="MI",4,(IF(E3848="RP",5,(IF(E3848="SC",6,0)))))))))))))))))))))))))))))))))))))))</f>
        <v>2</v>
      </c>
      <c r="G3848" s="52">
        <v>7</v>
      </c>
      <c r="H3848" s="89">
        <v>1</v>
      </c>
      <c r="I3848" s="93" t="s">
        <v>4107</v>
      </c>
      <c r="J3848" s="86" t="s">
        <v>4105</v>
      </c>
      <c r="K3848" s="101" t="s">
        <v>4421</v>
      </c>
      <c r="L3848" s="117">
        <f>IF(O3848="","",N3848*O3848*M3848)</f>
        <v>0</v>
      </c>
      <c r="M3848" s="108">
        <v>1</v>
      </c>
      <c r="N3848" s="95">
        <v>1</v>
      </c>
      <c r="O3848" s="109">
        <f>IF(Key!D$1="ON",P3848,IF(SUM(Q3848:DL3848)&lt;1,"",SUM(Q3848:DL3848)/COUNTIF(Q3848:DL3848,"&gt;0")))</f>
        <v>0</v>
      </c>
      <c r="P3848" s="109">
        <f>SUMIFS(Q3848:DK3848,Q$1:DK$1,Dashboard!$K$31)</f>
        <v>0</v>
      </c>
      <c r="U3848" s="95">
        <v>33</v>
      </c>
      <c r="AA3848" s="95">
        <v>25</v>
      </c>
      <c r="AH3848" s="95">
        <v>75</v>
      </c>
    </row>
    <row r="3849" spans="1:34" x14ac:dyDescent="0.3">
      <c r="A3849" s="89" t="str">
        <f>CONCATENATE(D3849,".",F3849,"-",G3849,".",H3849,"")</f>
        <v>3.2-7.1</v>
      </c>
      <c r="B3849" s="89" t="str">
        <f>IF(CONCATENATE(I3849,Key!F$2)=CONCATENATE(INDEX(Dashboard!J:J,MATCH(I3849,Dashboard!J:J,0),1),INDEX(Dashboard!J:K,MATCH(I3849,Dashboard!J:J,0),2)),"ON",IF(Dashboard!K$32="ALL","ON","-"))</f>
        <v>-</v>
      </c>
      <c r="C3849" s="88" t="s">
        <v>311</v>
      </c>
      <c r="D3849" s="89">
        <f>IF(C3849="ID",1,(IF(C3849="PR",2,(IF(C3849="DE",3,(IF(C3849="RS",4,(IF(C3849="RC",5,0)))))))))</f>
        <v>3</v>
      </c>
      <c r="E3849" s="89" t="s">
        <v>316</v>
      </c>
      <c r="F3849" s="89">
        <f>IF(E3849="AM",1,(IF(E3849="BE",2,(IF(E3849="GV",3,(IF(E3849="RA",4,(IF(E3849="RM",5,(IF(E3849="AC",1,(IF(E3849="AT",2,(IF(E3849="DS",3,(IF(E3849="IP",4,(IF(E3849="MA",5,(IF(E3849="PT",6,(IF(E3849="AE",1,(IF(E3849="CM",2,(IF(E3849="DP",3,(IF(E3849="AN",1,(IF(E3849="CO",2,(IF(E3849="IM",3,(IF(E3849="MI",4,(IF(E3849="RP",5,(IF(E3849="SC",6,0)))))))))))))))))))))))))))))))))))))))</f>
        <v>2</v>
      </c>
      <c r="G3849" s="52">
        <v>7</v>
      </c>
      <c r="H3849" s="99">
        <v>1</v>
      </c>
      <c r="I3849" s="93" t="s">
        <v>37</v>
      </c>
      <c r="J3849" s="86">
        <v>5.5</v>
      </c>
      <c r="K3849" s="102" t="s">
        <v>3737</v>
      </c>
      <c r="L3849" s="117">
        <f>IF(O3849="","",N3849*O3849*M3849)</f>
        <v>0</v>
      </c>
      <c r="M3849" s="108">
        <v>1</v>
      </c>
      <c r="N3849" s="95">
        <v>1</v>
      </c>
      <c r="O3849" s="109">
        <f>IF(Key!D$1="ON",P3849,IF(SUM(Q3849:DL3849)&lt;1,"",SUM(Q3849:DL3849)/COUNTIF(Q3849:DL3849,"&gt;0")))</f>
        <v>0</v>
      </c>
      <c r="P3849" s="109">
        <f>SUMIFS(Q3849:DK3849,Q$1:DK$1,Dashboard!$K$31)</f>
        <v>0</v>
      </c>
      <c r="U3849" s="95">
        <v>33</v>
      </c>
      <c r="AA3849" s="95">
        <v>25</v>
      </c>
      <c r="AH3849" s="95">
        <v>75</v>
      </c>
    </row>
    <row r="3850" spans="1:34" ht="15.6" x14ac:dyDescent="0.3">
      <c r="A3850" s="89" t="str">
        <f>CONCATENATE(D3850,".",F3850,"-",G3850,".",H3850,"")</f>
        <v>3.2-7.1</v>
      </c>
      <c r="B3850" s="89" t="str">
        <f>IF(CONCATENATE(I3850,Key!F$2)=CONCATENATE(INDEX(Dashboard!J:J,MATCH(I3850,Dashboard!J:J,0),1),INDEX(Dashboard!J:K,MATCH(I3850,Dashboard!J:J,0),2)),"ON",IF(Dashboard!K$32="ALL","ON","-"))</f>
        <v>-</v>
      </c>
      <c r="C3850" s="96" t="s">
        <v>311</v>
      </c>
      <c r="D3850" s="89">
        <f>IF(C3850="ID",1,(IF(C3850="PR",2,(IF(C3850="DE",3,(IF(C3850="RS",4,(IF(C3850="RC",5,0)))))))))</f>
        <v>3</v>
      </c>
      <c r="E3850" s="131" t="s">
        <v>316</v>
      </c>
      <c r="F3850" s="89">
        <f>IF(E3850="AM",1,(IF(E3850="BE",2,(IF(E3850="GV",3,(IF(E3850="RA",4,(IF(E3850="RM",5,(IF(E3850="AC",1,(IF(E3850="AT",2,(IF(E3850="DS",3,(IF(E3850="IP",4,(IF(E3850="MA",5,(IF(E3850="PT",6,(IF(E3850="AE",1,(IF(E3850="CM",2,(IF(E3850="DP",3,(IF(E3850="AN",1,(IF(E3850="CO",2,(IF(E3850="IM",3,(IF(E3850="MI",4,(IF(E3850="RP",5,(IF(E3850="SC",6,0)))))))))))))))))))))))))))))))))))))))</f>
        <v>2</v>
      </c>
      <c r="G3850" s="52">
        <v>7</v>
      </c>
      <c r="H3850" s="99">
        <v>1</v>
      </c>
      <c r="I3850" s="93" t="s">
        <v>37</v>
      </c>
      <c r="J3850" s="86">
        <v>9.3000000000000007</v>
      </c>
      <c r="K3850" s="102" t="s">
        <v>3765</v>
      </c>
      <c r="L3850" s="117">
        <f>IF(O3850="","",N3850*O3850*M3850)</f>
        <v>0</v>
      </c>
      <c r="M3850" s="108">
        <v>1</v>
      </c>
      <c r="N3850" s="95">
        <v>1</v>
      </c>
      <c r="O3850" s="109">
        <f>IF(Key!D$1="ON",P3850,IF(SUM(Q3850:DL3850)&lt;1,"",SUM(Q3850:DL3850)/COUNTIF(Q3850:DL3850,"&gt;0")))</f>
        <v>0</v>
      </c>
      <c r="P3850" s="109">
        <f>SUMIFS(Q3850:DK3850,Q$1:DK$1,Dashboard!$K$31)</f>
        <v>0</v>
      </c>
      <c r="U3850" s="95">
        <v>33</v>
      </c>
      <c r="AA3850" s="95">
        <v>25</v>
      </c>
      <c r="AH3850" s="95">
        <v>75</v>
      </c>
    </row>
    <row r="3851" spans="1:34" x14ac:dyDescent="0.3">
      <c r="A3851" s="89" t="str">
        <f>CONCATENATE(D3851,".",F3851,"-",G3851,".",H3851,"")</f>
        <v>3.2-7.1</v>
      </c>
      <c r="B3851" s="89" t="str">
        <f>IF(CONCATENATE(I3851,Key!F$2)=CONCATENATE(INDEX(Dashboard!J:J,MATCH(I3851,Dashboard!J:J,0),1),INDEX(Dashboard!J:K,MATCH(I3851,Dashboard!J:J,0),2)),"ON",IF(Dashboard!K$32="ALL","ON","-"))</f>
        <v>-</v>
      </c>
      <c r="C3851" s="88" t="s">
        <v>311</v>
      </c>
      <c r="D3851" s="89">
        <f>IF(C3851="ID",1,(IF(C3851="PR",2,(IF(C3851="DE",3,(IF(C3851="RS",4,(IF(C3851="RC",5,0)))))))))</f>
        <v>3</v>
      </c>
      <c r="E3851" s="89" t="s">
        <v>316</v>
      </c>
      <c r="F3851" s="89">
        <f>IF(E3851="AM",1,(IF(E3851="BE",2,(IF(E3851="GV",3,(IF(E3851="RA",4,(IF(E3851="RM",5,(IF(E3851="AC",1,(IF(E3851="AT",2,(IF(E3851="DS",3,(IF(E3851="IP",4,(IF(E3851="MA",5,(IF(E3851="PT",6,(IF(E3851="AE",1,(IF(E3851="CM",2,(IF(E3851="DP",3,(IF(E3851="AN",1,(IF(E3851="CO",2,(IF(E3851="IM",3,(IF(E3851="MI",4,(IF(E3851="RP",5,(IF(E3851="SC",6,0)))))))))))))))))))))))))))))))))))))))</f>
        <v>2</v>
      </c>
      <c r="G3851" s="52">
        <v>7</v>
      </c>
      <c r="H3851" s="99">
        <v>1</v>
      </c>
      <c r="I3851" s="93" t="s">
        <v>37</v>
      </c>
      <c r="J3851" s="86">
        <v>14.6</v>
      </c>
      <c r="K3851" s="102" t="s">
        <v>3710</v>
      </c>
      <c r="L3851" s="117">
        <f>IF(O3851="","",N3851*O3851*M3851)</f>
        <v>0</v>
      </c>
      <c r="M3851" s="108">
        <v>1</v>
      </c>
      <c r="N3851" s="95">
        <v>1</v>
      </c>
      <c r="O3851" s="109">
        <f>IF(Key!D$1="ON",P3851,IF(SUM(Q3851:DL3851)&lt;1,"",SUM(Q3851:DL3851)/COUNTIF(Q3851:DL3851,"&gt;0")))</f>
        <v>0</v>
      </c>
      <c r="P3851" s="109">
        <f>SUMIFS(Q3851:DK3851,Q$1:DK$1,Dashboard!$K$31)</f>
        <v>0</v>
      </c>
      <c r="U3851" s="95">
        <v>33</v>
      </c>
      <c r="AA3851" s="95">
        <v>25</v>
      </c>
      <c r="AH3851" s="95">
        <v>75</v>
      </c>
    </row>
    <row r="3852" spans="1:34" x14ac:dyDescent="0.3">
      <c r="A3852" s="89" t="str">
        <f>CONCATENATE(D3852,".",F3852,"-",G3852,".",H3852,"")</f>
        <v>3.2-7.1</v>
      </c>
      <c r="B3852" s="89" t="str">
        <f>IF(CONCATENATE(I3852,Key!F$2)=CONCATENATE(INDEX(Dashboard!J:J,MATCH(I3852,Dashboard!J:J,0),1),INDEX(Dashboard!J:K,MATCH(I3852,Dashboard!J:J,0),2)),"ON",IF(Dashboard!K$32="ALL","ON","-"))</f>
        <v>-</v>
      </c>
      <c r="C3852" s="88" t="s">
        <v>311</v>
      </c>
      <c r="D3852" s="89">
        <f>IF(C3852="ID",1,(IF(C3852="PR",2,(IF(C3852="DE",3,(IF(C3852="RS",4,(IF(C3852="RC",5,0)))))))))</f>
        <v>3</v>
      </c>
      <c r="E3852" s="89" t="s">
        <v>316</v>
      </c>
      <c r="F3852" s="89">
        <f>IF(E3852="AM",1,(IF(E3852="BE",2,(IF(E3852="GV",3,(IF(E3852="RA",4,(IF(E3852="RM",5,(IF(E3852="AC",1,(IF(E3852="AT",2,(IF(E3852="DS",3,(IF(E3852="IP",4,(IF(E3852="MA",5,(IF(E3852="PT",6,(IF(E3852="AE",1,(IF(E3852="CM",2,(IF(E3852="DP",3,(IF(E3852="AN",1,(IF(E3852="CO",2,(IF(E3852="IM",3,(IF(E3852="MI",4,(IF(E3852="RP",5,(IF(E3852="SC",6,0)))))))))))))))))))))))))))))))))))))))</f>
        <v>2</v>
      </c>
      <c r="G3852" s="52">
        <v>7</v>
      </c>
      <c r="H3852" s="99">
        <v>1</v>
      </c>
      <c r="I3852" s="93" t="s">
        <v>37</v>
      </c>
      <c r="J3852" s="86">
        <v>15.2</v>
      </c>
      <c r="K3852" s="102" t="s">
        <v>3834</v>
      </c>
      <c r="L3852" s="117">
        <f>IF(O3852="","",N3852*O3852*M3852)</f>
        <v>0</v>
      </c>
      <c r="M3852" s="108">
        <v>1</v>
      </c>
      <c r="N3852" s="95">
        <v>1</v>
      </c>
      <c r="O3852" s="109">
        <f>IF(Key!D$1="ON",P3852,IF(SUM(Q3852:DL3852)&lt;1,"",SUM(Q3852:DL3852)/COUNTIF(Q3852:DL3852,"&gt;0")))</f>
        <v>0</v>
      </c>
      <c r="P3852" s="109">
        <f>SUMIFS(Q3852:DK3852,Q$1:DK$1,Dashboard!$K$31)</f>
        <v>0</v>
      </c>
      <c r="U3852" s="95">
        <v>33</v>
      </c>
      <c r="AA3852" s="95">
        <v>25</v>
      </c>
      <c r="AH3852" s="95">
        <v>75</v>
      </c>
    </row>
    <row r="3853" spans="1:34" x14ac:dyDescent="0.3">
      <c r="A3853" s="89" t="str">
        <f>CONCATENATE(D3853,".",F3853,"-",G3853,".",H3853,"")</f>
        <v>3.2-7.1</v>
      </c>
      <c r="B3853" s="89" t="str">
        <f>IF(CONCATENATE(I3853,Key!F$2)=CONCATENATE(INDEX(Dashboard!J:J,MATCH(I3853,Dashboard!J:J,0),1),INDEX(Dashboard!J:K,MATCH(I3853,Dashboard!J:J,0),2)),"ON",IF(Dashboard!K$32="ALL","ON","-"))</f>
        <v>-</v>
      </c>
      <c r="C3853" s="88" t="s">
        <v>311</v>
      </c>
      <c r="D3853" s="89">
        <f>IF(C3853="ID",1,(IF(C3853="PR",2,(IF(C3853="DE",3,(IF(C3853="RS",4,(IF(C3853="RC",5,0)))))))))</f>
        <v>3</v>
      </c>
      <c r="E3853" s="89" t="s">
        <v>316</v>
      </c>
      <c r="F3853" s="89">
        <f>IF(E3853="AM",1,(IF(E3853="BE",2,(IF(E3853="GV",3,(IF(E3853="RA",4,(IF(E3853="RM",5,(IF(E3853="AC",1,(IF(E3853="AT",2,(IF(E3853="DS",3,(IF(E3853="IP",4,(IF(E3853="MA",5,(IF(E3853="PT",6,(IF(E3853="AE",1,(IF(E3853="CM",2,(IF(E3853="DP",3,(IF(E3853="AN",1,(IF(E3853="CO",2,(IF(E3853="IM",3,(IF(E3853="MI",4,(IF(E3853="RP",5,(IF(E3853="SC",6,0)))))))))))))))))))))))))))))))))))))))</f>
        <v>2</v>
      </c>
      <c r="G3853" s="52">
        <v>7</v>
      </c>
      <c r="H3853" s="99">
        <v>1</v>
      </c>
      <c r="I3853" s="93" t="s">
        <v>37</v>
      </c>
      <c r="J3853" s="86">
        <v>5.4</v>
      </c>
      <c r="K3853" s="102" t="s">
        <v>3831</v>
      </c>
      <c r="L3853" s="117">
        <f>IF(O3853="","",N3853*O3853*M3853)</f>
        <v>0</v>
      </c>
      <c r="M3853" s="108">
        <v>1</v>
      </c>
      <c r="N3853" s="95">
        <v>1</v>
      </c>
      <c r="O3853" s="109">
        <f>IF(Key!D$1="ON",P3853,IF(SUM(Q3853:DL3853)&lt;1,"",SUM(Q3853:DL3853)/COUNTIF(Q3853:DL3853,"&gt;0")))</f>
        <v>0</v>
      </c>
      <c r="P3853" s="109">
        <f>SUMIFS(Q3853:DK3853,Q$1:DK$1,Dashboard!$K$31)</f>
        <v>0</v>
      </c>
      <c r="U3853" s="95">
        <v>33</v>
      </c>
      <c r="AA3853" s="95">
        <v>25</v>
      </c>
      <c r="AH3853" s="95">
        <v>75</v>
      </c>
    </row>
    <row r="3854" spans="1:34" x14ac:dyDescent="0.3">
      <c r="A3854" s="89" t="str">
        <f>CONCATENATE(D3854,".",F3854,"-",G3854,".",H3854,"")</f>
        <v>3.2-7.1</v>
      </c>
      <c r="B3854" s="89" t="str">
        <f>IF(CONCATENATE(I3854,Key!F$2)=CONCATENATE(INDEX(Dashboard!J:J,MATCH(I3854,Dashboard!J:J,0),1),INDEX(Dashboard!J:K,MATCH(I3854,Dashboard!J:J,0),2)),"ON",IF(Dashboard!K$32="ALL","ON","-"))</f>
        <v>-</v>
      </c>
      <c r="C3854" s="88" t="s">
        <v>311</v>
      </c>
      <c r="D3854" s="89">
        <f>IF(C3854="ID",1,(IF(C3854="PR",2,(IF(C3854="DE",3,(IF(C3854="RS",4,(IF(C3854="RC",5,0)))))))))</f>
        <v>3</v>
      </c>
      <c r="E3854" s="89" t="s">
        <v>316</v>
      </c>
      <c r="F3854" s="89">
        <f>IF(E3854="AM",1,(IF(E3854="BE",2,(IF(E3854="GV",3,(IF(E3854="RA",4,(IF(E3854="RM",5,(IF(E3854="AC",1,(IF(E3854="AT",2,(IF(E3854="DS",3,(IF(E3854="IP",4,(IF(E3854="MA",5,(IF(E3854="PT",6,(IF(E3854="AE",1,(IF(E3854="CM",2,(IF(E3854="DP",3,(IF(E3854="AN",1,(IF(E3854="CO",2,(IF(E3854="IM",3,(IF(E3854="MI",4,(IF(E3854="RP",5,(IF(E3854="SC",6,0)))))))))))))))))))))))))))))))))))))))</f>
        <v>2</v>
      </c>
      <c r="G3854" s="52">
        <v>7</v>
      </c>
      <c r="H3854" s="99">
        <v>1</v>
      </c>
      <c r="I3854" s="93" t="s">
        <v>37</v>
      </c>
      <c r="J3854" s="86">
        <v>12.8</v>
      </c>
      <c r="K3854" s="102" t="s">
        <v>3832</v>
      </c>
      <c r="L3854" s="117">
        <f>IF(O3854="","",N3854*O3854*M3854)</f>
        <v>0</v>
      </c>
      <c r="M3854" s="108">
        <v>1</v>
      </c>
      <c r="N3854" s="95">
        <v>1</v>
      </c>
      <c r="O3854" s="109">
        <f>IF(Key!D$1="ON",P3854,IF(SUM(Q3854:DL3854)&lt;1,"",SUM(Q3854:DL3854)/COUNTIF(Q3854:DL3854,"&gt;0")))</f>
        <v>0</v>
      </c>
      <c r="P3854" s="109">
        <f>SUMIFS(Q3854:DK3854,Q$1:DK$1,Dashboard!$K$31)</f>
        <v>0</v>
      </c>
      <c r="U3854" s="95">
        <v>33</v>
      </c>
      <c r="AA3854" s="95">
        <v>25</v>
      </c>
      <c r="AH3854" s="95">
        <v>75</v>
      </c>
    </row>
    <row r="3855" spans="1:34" x14ac:dyDescent="0.3">
      <c r="A3855" s="89" t="str">
        <f>CONCATENATE(D3855,".",F3855,"-",G3855,".",H3855,"")</f>
        <v>3.2-7.1</v>
      </c>
      <c r="B3855" s="89" t="str">
        <f>IF(CONCATENATE(I3855,Key!F$2)=CONCATENATE(INDEX(Dashboard!J:J,MATCH(I3855,Dashboard!J:J,0),1),INDEX(Dashboard!J:K,MATCH(I3855,Dashboard!J:J,0),2)),"ON",IF(Dashboard!K$32="ALL","ON","-"))</f>
        <v>-</v>
      </c>
      <c r="C3855" s="88" t="s">
        <v>311</v>
      </c>
      <c r="D3855" s="89">
        <f>IF(C3855="ID",1,(IF(C3855="PR",2,(IF(C3855="DE",3,(IF(C3855="RS",4,(IF(C3855="RC",5,0)))))))))</f>
        <v>3</v>
      </c>
      <c r="E3855" s="89" t="s">
        <v>316</v>
      </c>
      <c r="F3855" s="89">
        <f>IF(E3855="AM",1,(IF(E3855="BE",2,(IF(E3855="GV",3,(IF(E3855="RA",4,(IF(E3855="RM",5,(IF(E3855="AC",1,(IF(E3855="AT",2,(IF(E3855="DS",3,(IF(E3855="IP",4,(IF(E3855="MA",5,(IF(E3855="PT",6,(IF(E3855="AE",1,(IF(E3855="CM",2,(IF(E3855="DP",3,(IF(E3855="AN",1,(IF(E3855="CO",2,(IF(E3855="IM",3,(IF(E3855="MI",4,(IF(E3855="RP",5,(IF(E3855="SC",6,0)))))))))))))))))))))))))))))))))))))))</f>
        <v>2</v>
      </c>
      <c r="G3855" s="52">
        <v>7</v>
      </c>
      <c r="H3855" s="99">
        <v>1</v>
      </c>
      <c r="I3855" s="93" t="s">
        <v>37</v>
      </c>
      <c r="J3855" s="86">
        <v>13.4</v>
      </c>
      <c r="K3855" s="102" t="s">
        <v>3833</v>
      </c>
      <c r="L3855" s="117">
        <f>IF(O3855="","",N3855*O3855*M3855)</f>
        <v>0</v>
      </c>
      <c r="M3855" s="108">
        <v>1</v>
      </c>
      <c r="N3855" s="95">
        <v>1</v>
      </c>
      <c r="O3855" s="109">
        <f>IF(Key!D$1="ON",P3855,IF(SUM(Q3855:DL3855)&lt;1,"",SUM(Q3855:DL3855)/COUNTIF(Q3855:DL3855,"&gt;0")))</f>
        <v>0</v>
      </c>
      <c r="P3855" s="109">
        <f>SUMIFS(Q3855:DK3855,Q$1:DK$1,Dashboard!$K$31)</f>
        <v>0</v>
      </c>
      <c r="U3855" s="95">
        <v>33</v>
      </c>
      <c r="AA3855" s="95">
        <v>25</v>
      </c>
      <c r="AH3855" s="95">
        <v>75</v>
      </c>
    </row>
    <row r="3856" spans="1:34" x14ac:dyDescent="0.3">
      <c r="A3856" s="89" t="str">
        <f>CONCATENATE(D3856,".",F3856,"-",G3856,".",H3856,"")</f>
        <v>3.2-7.1</v>
      </c>
      <c r="B3856" s="89" t="str">
        <f>IF(CONCATENATE(I3856,Key!F$2)=CONCATENATE(INDEX(Dashboard!J:J,MATCH(I3856,Dashboard!J:J,0),1),INDEX(Dashboard!J:K,MATCH(I3856,Dashboard!J:J,0),2)),"ON",IF(Dashboard!K$32="ALL","ON","-"))</f>
        <v>-</v>
      </c>
      <c r="C3856" s="96" t="s">
        <v>311</v>
      </c>
      <c r="D3856" s="89">
        <f>IF(C3856="ID",1,(IF(C3856="PR",2,(IF(C3856="DE",3,(IF(C3856="RS",4,(IF(C3856="RC",5,0)))))))))</f>
        <v>3</v>
      </c>
      <c r="E3856" s="89" t="s">
        <v>316</v>
      </c>
      <c r="F3856" s="89">
        <f>IF(E3856="AM",1,(IF(E3856="BE",2,(IF(E3856="GV",3,(IF(E3856="RA",4,(IF(E3856="RM",5,(IF(E3856="AC",1,(IF(E3856="AT",2,(IF(E3856="DS",3,(IF(E3856="IP",4,(IF(E3856="MA",5,(IF(E3856="PT",6,(IF(E3856="AE",1,(IF(E3856="CM",2,(IF(E3856="DP",3,(IF(E3856="AN",1,(IF(E3856="CO",2,(IF(E3856="IM",3,(IF(E3856="MI",4,(IF(E3856="RP",5,(IF(E3856="SC",6,0)))))))))))))))))))))))))))))))))))))))</f>
        <v>2</v>
      </c>
      <c r="G3856" s="52">
        <v>7</v>
      </c>
      <c r="H3856" s="99">
        <v>1</v>
      </c>
      <c r="I3856" s="93" t="s">
        <v>41</v>
      </c>
      <c r="J3856" s="86">
        <v>2.6</v>
      </c>
      <c r="K3856" s="103" t="s">
        <v>3466</v>
      </c>
      <c r="L3856" s="117">
        <f>IF(O3856="","",N3856*O3856*M3856)</f>
        <v>0</v>
      </c>
      <c r="M3856" s="108">
        <v>1</v>
      </c>
      <c r="N3856" s="95">
        <v>1</v>
      </c>
      <c r="O3856" s="109">
        <f>IF(Key!D$1="ON",P3856,IF(SUM(Q3856:DL3856)&lt;1,"",SUM(Q3856:DL3856)/COUNTIF(Q3856:DL3856,"&gt;0")))</f>
        <v>0</v>
      </c>
      <c r="P3856" s="109">
        <f>SUMIFS(Q3856:DK3856,Q$1:DK$1,Dashboard!$K$31)</f>
        <v>0</v>
      </c>
      <c r="U3856" s="95">
        <v>33</v>
      </c>
    </row>
    <row r="3857" spans="1:34" x14ac:dyDescent="0.3">
      <c r="A3857" s="89" t="str">
        <f>CONCATENATE(D3857,".",F3857,"-",G3857,".",H3857,"")</f>
        <v>3.2-7.1</v>
      </c>
      <c r="B3857" s="89" t="str">
        <f>IF(CONCATENATE(I3857,Key!F$2)=CONCATENATE(INDEX(Dashboard!J:J,MATCH(I3857,Dashboard!J:J,0),1),INDEX(Dashboard!J:K,MATCH(I3857,Dashboard!J:J,0),2)),"ON",IF(Dashboard!K$32="ALL","ON","-"))</f>
        <v>-</v>
      </c>
      <c r="C3857" s="96" t="s">
        <v>311</v>
      </c>
      <c r="D3857" s="89">
        <f>IF(C3857="ID",1,(IF(C3857="PR",2,(IF(C3857="DE",3,(IF(C3857="RS",4,(IF(C3857="RC",5,0)))))))))</f>
        <v>3</v>
      </c>
      <c r="E3857" s="131" t="s">
        <v>316</v>
      </c>
      <c r="F3857" s="89">
        <f>IF(E3857="AM",1,(IF(E3857="BE",2,(IF(E3857="GV",3,(IF(E3857="RA",4,(IF(E3857="RM",5,(IF(E3857="AC",1,(IF(E3857="AT",2,(IF(E3857="DS",3,(IF(E3857="IP",4,(IF(E3857="MA",5,(IF(E3857="PT",6,(IF(E3857="AE",1,(IF(E3857="CM",2,(IF(E3857="DP",3,(IF(E3857="AN",1,(IF(E3857="CO",2,(IF(E3857="IM",3,(IF(E3857="MI",4,(IF(E3857="RP",5,(IF(E3857="SC",6,0)))))))))))))))))))))))))))))))))))))))</f>
        <v>2</v>
      </c>
      <c r="G3857" s="52">
        <v>7</v>
      </c>
      <c r="H3857" s="99">
        <v>1</v>
      </c>
      <c r="I3857" s="93" t="s">
        <v>41</v>
      </c>
      <c r="J3857" s="86">
        <v>9.3000000000000007</v>
      </c>
      <c r="K3857" s="103" t="s">
        <v>3523</v>
      </c>
      <c r="L3857" s="117">
        <f>IF(O3857="","",N3857*O3857*M3857)</f>
        <v>0</v>
      </c>
      <c r="M3857" s="108">
        <v>1</v>
      </c>
      <c r="N3857" s="95">
        <v>1</v>
      </c>
      <c r="O3857" s="109">
        <f>IF(Key!D$1="ON",P3857,IF(SUM(Q3857:DL3857)&lt;1,"",SUM(Q3857:DL3857)/COUNTIF(Q3857:DL3857,"&gt;0")))</f>
        <v>0</v>
      </c>
      <c r="P3857" s="109">
        <f>SUMIFS(Q3857:DK3857,Q$1:DK$1,Dashboard!$K$31)</f>
        <v>0</v>
      </c>
      <c r="U3857" s="95">
        <v>33</v>
      </c>
    </row>
    <row r="3858" spans="1:34" x14ac:dyDescent="0.3">
      <c r="A3858" s="89" t="str">
        <f>CONCATENATE(D3858,".",F3858,"-",G3858,".",H3858,"")</f>
        <v>3.2-7.1</v>
      </c>
      <c r="B3858" s="89" t="str">
        <f>IF(CONCATENATE(I3858,Key!F$2)=CONCATENATE(INDEX(Dashboard!J:J,MATCH(I3858,Dashboard!J:J,0),1),INDEX(Dashboard!J:K,MATCH(I3858,Dashboard!J:J,0),2)),"ON",IF(Dashboard!K$32="ALL","ON","-"))</f>
        <v>-</v>
      </c>
      <c r="C3858" s="88" t="s">
        <v>311</v>
      </c>
      <c r="D3858" s="89">
        <f>IF(C3858="ID",1,(IF(C3858="PR",2,(IF(C3858="DE",3,(IF(C3858="RS",4,(IF(C3858="RC",5,0)))))))))</f>
        <v>3</v>
      </c>
      <c r="E3858" s="89" t="s">
        <v>316</v>
      </c>
      <c r="F3858" s="89">
        <f>IF(E3858="AM",1,(IF(E3858="BE",2,(IF(E3858="GV",3,(IF(E3858="RA",4,(IF(E3858="RM",5,(IF(E3858="AC",1,(IF(E3858="AT",2,(IF(E3858="DS",3,(IF(E3858="IP",4,(IF(E3858="MA",5,(IF(E3858="PT",6,(IF(E3858="AE",1,(IF(E3858="CM",2,(IF(E3858="DP",3,(IF(E3858="AN",1,(IF(E3858="CO",2,(IF(E3858="IM",3,(IF(E3858="MI",4,(IF(E3858="RP",5,(IF(E3858="SC",6,0)))))))))))))))))))))))))))))))))))))))</f>
        <v>2</v>
      </c>
      <c r="G3858" s="52">
        <v>7</v>
      </c>
      <c r="H3858" s="99">
        <v>1</v>
      </c>
      <c r="I3858" s="93" t="s">
        <v>41</v>
      </c>
      <c r="J3858" s="86">
        <v>14.9</v>
      </c>
      <c r="K3858" s="103" t="s">
        <v>3571</v>
      </c>
      <c r="L3858" s="117">
        <f>IF(O3858="","",N3858*O3858*M3858)</f>
        <v>0</v>
      </c>
      <c r="M3858" s="108">
        <v>1</v>
      </c>
      <c r="N3858" s="95">
        <v>1</v>
      </c>
      <c r="O3858" s="109">
        <f>IF(Key!D$1="ON",P3858,IF(SUM(Q3858:DL3858)&lt;1,"",SUM(Q3858:DL3858)/COUNTIF(Q3858:DL3858,"&gt;0")))</f>
        <v>0</v>
      </c>
      <c r="P3858" s="109">
        <f>SUMIFS(Q3858:DK3858,Q$1:DK$1,Dashboard!$K$31)</f>
        <v>0</v>
      </c>
      <c r="U3858" s="95">
        <v>33</v>
      </c>
    </row>
    <row r="3859" spans="1:34" x14ac:dyDescent="0.3">
      <c r="A3859" s="89" t="str">
        <f>CONCATENATE(D3859,".",F3859,"-",G3859,".",H3859,"")</f>
        <v>3.2-7.1</v>
      </c>
      <c r="B3859" s="89" t="str">
        <f>IF(CONCATENATE(I3859,Key!F$2)=CONCATENATE(INDEX(Dashboard!J:J,MATCH(I3859,Dashboard!J:J,0),1),INDEX(Dashboard!J:K,MATCH(I3859,Dashboard!J:J,0),2)),"ON",IF(Dashboard!K$32="ALL","ON","-"))</f>
        <v>-</v>
      </c>
      <c r="C3859" s="88" t="s">
        <v>311</v>
      </c>
      <c r="D3859" s="89">
        <f>IF(C3859="ID",1,(IF(C3859="PR",2,(IF(C3859="DE",3,(IF(C3859="RS",4,(IF(C3859="RC",5,0)))))))))</f>
        <v>3</v>
      </c>
      <c r="E3859" s="89" t="s">
        <v>316</v>
      </c>
      <c r="F3859" s="89">
        <f>IF(E3859="AM",1,(IF(E3859="BE",2,(IF(E3859="GV",3,(IF(E3859="RA",4,(IF(E3859="RM",5,(IF(E3859="AC",1,(IF(E3859="AT",2,(IF(E3859="DS",3,(IF(E3859="IP",4,(IF(E3859="MA",5,(IF(E3859="PT",6,(IF(E3859="AE",1,(IF(E3859="CM",2,(IF(E3859="DP",3,(IF(E3859="AN",1,(IF(E3859="CO",2,(IF(E3859="IM",3,(IF(E3859="MI",4,(IF(E3859="RP",5,(IF(E3859="SC",6,0)))))))))))))))))))))))))))))))))))))))</f>
        <v>2</v>
      </c>
      <c r="G3859" s="52">
        <v>7</v>
      </c>
      <c r="H3859" s="99">
        <v>1</v>
      </c>
      <c r="I3859" s="93" t="s">
        <v>41</v>
      </c>
      <c r="J3859" s="86">
        <v>15.2</v>
      </c>
      <c r="K3859" s="103" t="s">
        <v>3574</v>
      </c>
      <c r="L3859" s="117">
        <f>IF(O3859="","",N3859*O3859*M3859)</f>
        <v>0</v>
      </c>
      <c r="M3859" s="108">
        <v>1</v>
      </c>
      <c r="N3859" s="95">
        <v>1</v>
      </c>
      <c r="O3859" s="109">
        <f>IF(Key!D$1="ON",P3859,IF(SUM(Q3859:DL3859)&lt;1,"",SUM(Q3859:DL3859)/COUNTIF(Q3859:DL3859,"&gt;0")))</f>
        <v>0</v>
      </c>
      <c r="P3859" s="109">
        <f>SUMIFS(Q3859:DK3859,Q$1:DK$1,Dashboard!$K$31)</f>
        <v>0</v>
      </c>
      <c r="U3859" s="95">
        <v>33</v>
      </c>
    </row>
    <row r="3860" spans="1:34" ht="15.6" x14ac:dyDescent="0.3">
      <c r="A3860" s="89" t="str">
        <f>CONCATENATE(D3860,".",F3860,"-",G3860,".",H3860,"")</f>
        <v>3.2-7.1</v>
      </c>
      <c r="B3860" s="89" t="str">
        <f>IF(CONCATENATE(I3860,Key!F$2)=CONCATENATE(INDEX(Dashboard!J:J,MATCH(I3860,Dashboard!J:J,0),1),INDEX(Dashboard!J:K,MATCH(I3860,Dashboard!J:J,0),2)),"ON",IF(Dashboard!K$32="ALL","ON","-"))</f>
        <v>-</v>
      </c>
      <c r="C3860" s="96" t="s">
        <v>311</v>
      </c>
      <c r="D3860" s="89">
        <f>IF(C3860="ID",1,(IF(C3860="PR",2,(IF(C3860="DE",3,(IF(C3860="RS",4,(IF(C3860="RC",5,0)))))))))</f>
        <v>3</v>
      </c>
      <c r="E3860" s="89" t="s">
        <v>316</v>
      </c>
      <c r="F3860" s="89">
        <f>IF(E3860="AM",1,(IF(E3860="BE",2,(IF(E3860="GV",3,(IF(E3860="RA",4,(IF(E3860="RM",5,(IF(E3860="AC",1,(IF(E3860="AT",2,(IF(E3860="DS",3,(IF(E3860="IP",4,(IF(E3860="MA",5,(IF(E3860="PT",6,(IF(E3860="AE",1,(IF(E3860="CM",2,(IF(E3860="DP",3,(IF(E3860="AN",1,(IF(E3860="CO",2,(IF(E3860="IM",3,(IF(E3860="MI",4,(IF(E3860="RP",5,(IF(E3860="SC",6,0)))))))))))))))))))))))))))))))))))))))</f>
        <v>2</v>
      </c>
      <c r="G3860" s="98">
        <v>7</v>
      </c>
      <c r="H3860" s="90" t="s">
        <v>115</v>
      </c>
      <c r="I3860" s="93" t="s">
        <v>52</v>
      </c>
      <c r="J3860" s="88" t="s">
        <v>3446</v>
      </c>
      <c r="K3860" s="103" t="s">
        <v>3447</v>
      </c>
      <c r="L3860" s="117">
        <f>IF(O3860="","",N3860*O3860*M3860)</f>
        <v>0</v>
      </c>
      <c r="M3860" s="108">
        <v>1</v>
      </c>
      <c r="N3860" s="95">
        <v>1</v>
      </c>
      <c r="O3860" s="109">
        <f>IF(Key!D$1="ON",P3860,IF(SUM(Q3860:DL3860)&lt;1,"",SUM(Q3860:DL3860)/COUNTIF(Q3860:DL3860,"&gt;0")))</f>
        <v>0</v>
      </c>
      <c r="P3860" s="109">
        <f>SUMIFS(Q3860:DK3860,Q$1:DK$1,Dashboard!$K$31)</f>
        <v>0</v>
      </c>
      <c r="U3860" s="95">
        <v>33</v>
      </c>
      <c r="AA3860" s="95">
        <v>25</v>
      </c>
      <c r="AH3860" s="95">
        <v>75</v>
      </c>
    </row>
    <row r="3861" spans="1:34" x14ac:dyDescent="0.3">
      <c r="A3861" s="89" t="str">
        <f>CONCATENATE(D3861,".",F3861,"-",G3861,".",H3861,"")</f>
        <v>3.2-7.1</v>
      </c>
      <c r="B3861" s="89" t="str">
        <f>IF(CONCATENATE(I3861,Key!F$2)=CONCATENATE(INDEX(Dashboard!J:J,MATCH(I3861,Dashboard!J:J,0),1),INDEX(Dashboard!J:K,MATCH(I3861,Dashboard!J:J,0),2)),"ON",IF(Dashboard!K$32="ALL","ON","-"))</f>
        <v>-</v>
      </c>
      <c r="C3861" s="96" t="s">
        <v>311</v>
      </c>
      <c r="D3861" s="89">
        <f>IF(C3861="ID",1,(IF(C3861="PR",2,(IF(C3861="DE",3,(IF(C3861="RS",4,(IF(C3861="RC",5,0)))))))))</f>
        <v>3</v>
      </c>
      <c r="E3861" s="89" t="s">
        <v>316</v>
      </c>
      <c r="F3861" s="89">
        <f>IF(E3861="AM",1,(IF(E3861="BE",2,(IF(E3861="GV",3,(IF(E3861="RA",4,(IF(E3861="RM",5,(IF(E3861="AC",1,(IF(E3861="AT",2,(IF(E3861="DS",3,(IF(E3861="IP",4,(IF(E3861="MA",5,(IF(E3861="PT",6,(IF(E3861="AE",1,(IF(E3861="CM",2,(IF(E3861="DP",3,(IF(E3861="AN",1,(IF(E3861="CO",2,(IF(E3861="IM",3,(IF(E3861="MI",4,(IF(E3861="RP",5,(IF(E3861="SC",6,0)))))))))))))))))))))))))))))))))))))))</f>
        <v>2</v>
      </c>
      <c r="G3861" s="98">
        <v>7</v>
      </c>
      <c r="H3861" s="90" t="s">
        <v>115</v>
      </c>
      <c r="I3861" s="93" t="s">
        <v>52</v>
      </c>
      <c r="J3861" s="88" t="s">
        <v>3406</v>
      </c>
      <c r="K3861" s="103" t="s">
        <v>3407</v>
      </c>
      <c r="L3861" s="117">
        <f>IF(O3861="","",N3861*O3861*M3861)</f>
        <v>0</v>
      </c>
      <c r="M3861" s="108">
        <v>1</v>
      </c>
      <c r="N3861" s="95">
        <v>1</v>
      </c>
      <c r="O3861" s="109">
        <f>IF(Key!D$1="ON",P3861,IF(SUM(Q3861:DL3861)&lt;1,"",SUM(Q3861:DL3861)/COUNTIF(Q3861:DL3861,"&gt;0")))</f>
        <v>0</v>
      </c>
      <c r="P3861" s="109">
        <f>SUMIFS(Q3861:DK3861,Q$1:DK$1,Dashboard!$K$31)</f>
        <v>0</v>
      </c>
      <c r="U3861" s="95">
        <v>33</v>
      </c>
      <c r="AA3861" s="95">
        <v>25</v>
      </c>
      <c r="AH3861" s="95">
        <v>75</v>
      </c>
    </row>
    <row r="3862" spans="1:34" ht="15.6" x14ac:dyDescent="0.3">
      <c r="A3862" s="89" t="str">
        <f>CONCATENATE(D3862,".",F3862,"-",G3862,".",H3862,"")</f>
        <v>3.2-7.1</v>
      </c>
      <c r="B3862" s="89" t="str">
        <f>IF(CONCATENATE(I3862,Key!F$2)=CONCATENATE(INDEX(Dashboard!J:J,MATCH(I3862,Dashboard!J:J,0),1),INDEX(Dashboard!J:K,MATCH(I3862,Dashboard!J:J,0),2)),"ON",IF(Dashboard!K$32="ALL","ON","-"))</f>
        <v>-</v>
      </c>
      <c r="C3862" s="96" t="s">
        <v>311</v>
      </c>
      <c r="D3862" s="89">
        <f>IF(C3862="ID",1,(IF(C3862="PR",2,(IF(C3862="DE",3,(IF(C3862="RS",4,(IF(C3862="RC",5,0)))))))))</f>
        <v>3</v>
      </c>
      <c r="E3862" s="89" t="s">
        <v>316</v>
      </c>
      <c r="F3862" s="89">
        <f>IF(E3862="AM",1,(IF(E3862="BE",2,(IF(E3862="GV",3,(IF(E3862="RA",4,(IF(E3862="RM",5,(IF(E3862="AC",1,(IF(E3862="AT",2,(IF(E3862="DS",3,(IF(E3862="IP",4,(IF(E3862="MA",5,(IF(E3862="PT",6,(IF(E3862="AE",1,(IF(E3862="CM",2,(IF(E3862="DP",3,(IF(E3862="AN",1,(IF(E3862="CO",2,(IF(E3862="IM",3,(IF(E3862="MI",4,(IF(E3862="RP",5,(IF(E3862="SC",6,0)))))))))))))))))))))))))))))))))))))))</f>
        <v>2</v>
      </c>
      <c r="G3862" s="98">
        <v>7</v>
      </c>
      <c r="H3862" s="90" t="s">
        <v>115</v>
      </c>
      <c r="I3862" s="93" t="s">
        <v>52</v>
      </c>
      <c r="J3862" s="88" t="s">
        <v>3443</v>
      </c>
      <c r="K3862" s="103" t="s">
        <v>3444</v>
      </c>
      <c r="L3862" s="117">
        <f>IF(O3862="","",N3862*O3862*M3862)</f>
        <v>0</v>
      </c>
      <c r="M3862" s="108">
        <v>1</v>
      </c>
      <c r="N3862" s="95">
        <v>1</v>
      </c>
      <c r="O3862" s="109">
        <f>IF(Key!D$1="ON",P3862,IF(SUM(Q3862:DL3862)&lt;1,"",SUM(Q3862:DL3862)/COUNTIF(Q3862:DL3862,"&gt;0")))</f>
        <v>0</v>
      </c>
      <c r="P3862" s="109">
        <f>SUMIFS(Q3862:DK3862,Q$1:DK$1,Dashboard!$K$31)</f>
        <v>0</v>
      </c>
      <c r="U3862" s="95">
        <v>33</v>
      </c>
      <c r="AA3862" s="95">
        <v>25</v>
      </c>
      <c r="AH3862" s="95">
        <v>75</v>
      </c>
    </row>
    <row r="3863" spans="1:34" ht="15.6" x14ac:dyDescent="0.3">
      <c r="A3863" s="89" t="str">
        <f>CONCATENATE(D3863,".",F3863,"-",G3863,".",H3863,"")</f>
        <v>3.2-7.1</v>
      </c>
      <c r="B3863" s="89" t="str">
        <f>IF(CONCATENATE(I3863,Key!F$2)=CONCATENATE(INDEX(Dashboard!J:J,MATCH(I3863,Dashboard!J:J,0),1),INDEX(Dashboard!J:K,MATCH(I3863,Dashboard!J:J,0),2)),"ON",IF(Dashboard!K$32="ALL","ON","-"))</f>
        <v>-</v>
      </c>
      <c r="C3863" s="96" t="s">
        <v>311</v>
      </c>
      <c r="D3863" s="89">
        <f>IF(C3863="ID",1,(IF(C3863="PR",2,(IF(C3863="DE",3,(IF(C3863="RS",4,(IF(C3863="RC",5,0)))))))))</f>
        <v>3</v>
      </c>
      <c r="E3863" s="89" t="s">
        <v>316</v>
      </c>
      <c r="F3863" s="89">
        <f>IF(E3863="AM",1,(IF(E3863="BE",2,(IF(E3863="GV",3,(IF(E3863="RA",4,(IF(E3863="RM",5,(IF(E3863="AC",1,(IF(E3863="AT",2,(IF(E3863="DS",3,(IF(E3863="IP",4,(IF(E3863="MA",5,(IF(E3863="PT",6,(IF(E3863="AE",1,(IF(E3863="CM",2,(IF(E3863="DP",3,(IF(E3863="AN",1,(IF(E3863="CO",2,(IF(E3863="IM",3,(IF(E3863="MI",4,(IF(E3863="RP",5,(IF(E3863="SC",6,0)))))))))))))))))))))))))))))))))))))))</f>
        <v>2</v>
      </c>
      <c r="G3863" s="98">
        <v>7</v>
      </c>
      <c r="H3863" s="90" t="s">
        <v>115</v>
      </c>
      <c r="I3863" s="93" t="s">
        <v>52</v>
      </c>
      <c r="J3863" s="88" t="s">
        <v>3371</v>
      </c>
      <c r="K3863" s="103" t="s">
        <v>3372</v>
      </c>
      <c r="L3863" s="117">
        <f>IF(O3863="","",N3863*O3863*M3863)</f>
        <v>0</v>
      </c>
      <c r="M3863" s="108">
        <v>1</v>
      </c>
      <c r="N3863" s="95">
        <v>1</v>
      </c>
      <c r="O3863" s="109">
        <f>IF(Key!D$1="ON",P3863,IF(SUM(Q3863:DL3863)&lt;1,"",SUM(Q3863:DL3863)/COUNTIF(Q3863:DL3863,"&gt;0")))</f>
        <v>0</v>
      </c>
      <c r="P3863" s="109">
        <f>SUMIFS(Q3863:DK3863,Q$1:DK$1,Dashboard!$K$31)</f>
        <v>0</v>
      </c>
      <c r="U3863" s="95">
        <v>33</v>
      </c>
      <c r="AA3863" s="95">
        <v>25</v>
      </c>
      <c r="AH3863" s="95">
        <v>75</v>
      </c>
    </row>
    <row r="3864" spans="1:34" ht="15.6" x14ac:dyDescent="0.3">
      <c r="A3864" s="89" t="str">
        <f>CONCATENATE(D3864,".",F3864,"-",G3864,".",H3864,"")</f>
        <v>3.2-7.1</v>
      </c>
      <c r="B3864" s="89" t="str">
        <f>IF(CONCATENATE(I3864,Key!F$2)=CONCATENATE(INDEX(Dashboard!J:J,MATCH(I3864,Dashboard!J:J,0),1),INDEX(Dashboard!J:K,MATCH(I3864,Dashboard!J:J,0),2)),"ON",IF(Dashboard!K$32="ALL","ON","-"))</f>
        <v>-</v>
      </c>
      <c r="C3864" s="96" t="s">
        <v>311</v>
      </c>
      <c r="D3864" s="89">
        <f>IF(C3864="ID",1,(IF(C3864="PR",2,(IF(C3864="DE",3,(IF(C3864="RS",4,(IF(C3864="RC",5,0)))))))))</f>
        <v>3</v>
      </c>
      <c r="E3864" s="89" t="s">
        <v>316</v>
      </c>
      <c r="F3864" s="89">
        <f>IF(E3864="AM",1,(IF(E3864="BE",2,(IF(E3864="GV",3,(IF(E3864="RA",4,(IF(E3864="RM",5,(IF(E3864="AC",1,(IF(E3864="AT",2,(IF(E3864="DS",3,(IF(E3864="IP",4,(IF(E3864="MA",5,(IF(E3864="PT",6,(IF(E3864="AE",1,(IF(E3864="CM",2,(IF(E3864="DP",3,(IF(E3864="AN",1,(IF(E3864="CO",2,(IF(E3864="IM",3,(IF(E3864="MI",4,(IF(E3864="RP",5,(IF(E3864="SC",6,0)))))))))))))))))))))))))))))))))))))))</f>
        <v>2</v>
      </c>
      <c r="G3864" s="98">
        <v>7</v>
      </c>
      <c r="H3864" s="90" t="s">
        <v>115</v>
      </c>
      <c r="I3864" s="93" t="s">
        <v>52</v>
      </c>
      <c r="J3864" s="88" t="s">
        <v>3379</v>
      </c>
      <c r="K3864" s="103" t="s">
        <v>3380</v>
      </c>
      <c r="L3864" s="117">
        <f>IF(O3864="","",N3864*O3864*M3864)</f>
        <v>0</v>
      </c>
      <c r="M3864" s="108">
        <v>1</v>
      </c>
      <c r="N3864" s="95">
        <v>1</v>
      </c>
      <c r="O3864" s="109">
        <f>IF(Key!D$1="ON",P3864,IF(SUM(Q3864:DL3864)&lt;1,"",SUM(Q3864:DL3864)/COUNTIF(Q3864:DL3864,"&gt;0")))</f>
        <v>0</v>
      </c>
      <c r="P3864" s="109">
        <f>SUMIFS(Q3864:DK3864,Q$1:DK$1,Dashboard!$K$31)</f>
        <v>0</v>
      </c>
      <c r="U3864" s="95">
        <v>33</v>
      </c>
      <c r="AA3864" s="95">
        <v>25</v>
      </c>
      <c r="AH3864" s="95">
        <v>75</v>
      </c>
    </row>
    <row r="3865" spans="1:34" x14ac:dyDescent="0.3">
      <c r="A3865" s="89" t="str">
        <f>CONCATENATE(D3865,".",F3865,"-",G3865,".",H3865,"")</f>
        <v>3.2-7.1</v>
      </c>
      <c r="B3865" s="89" t="str">
        <f>IF(CONCATENATE(I3865,Key!F$2)=CONCATENATE(INDEX(Dashboard!J:J,MATCH(I3865,Dashboard!J:J,0),1),INDEX(Dashboard!J:K,MATCH(I3865,Dashboard!J:J,0),2)),"ON",IF(Dashboard!K$32="ALL","ON","-"))</f>
        <v>-</v>
      </c>
      <c r="C3865" s="96" t="s">
        <v>311</v>
      </c>
      <c r="D3865" s="89">
        <f>IF(C3865="ID",1,(IF(C3865="PR",2,(IF(C3865="DE",3,(IF(C3865="RS",4,(IF(C3865="RC",5,0)))))))))</f>
        <v>3</v>
      </c>
      <c r="E3865" s="89" t="s">
        <v>316</v>
      </c>
      <c r="F3865" s="89">
        <f>IF(E3865="AM",1,(IF(E3865="BE",2,(IF(E3865="GV",3,(IF(E3865="RA",4,(IF(E3865="RM",5,(IF(E3865="AC",1,(IF(E3865="AT",2,(IF(E3865="DS",3,(IF(E3865="IP",4,(IF(E3865="MA",5,(IF(E3865="PT",6,(IF(E3865="AE",1,(IF(E3865="CM",2,(IF(E3865="DP",3,(IF(E3865="AN",1,(IF(E3865="CO",2,(IF(E3865="IM",3,(IF(E3865="MI",4,(IF(E3865="RP",5,(IF(E3865="SC",6,0)))))))))))))))))))))))))))))))))))))))</f>
        <v>2</v>
      </c>
      <c r="G3865" s="98">
        <v>7</v>
      </c>
      <c r="H3865" s="90" t="s">
        <v>115</v>
      </c>
      <c r="I3865" s="93" t="s">
        <v>52</v>
      </c>
      <c r="J3865" s="88" t="s">
        <v>3381</v>
      </c>
      <c r="K3865" s="103" t="s">
        <v>3382</v>
      </c>
      <c r="L3865" s="117">
        <f>IF(O3865="","",N3865*O3865*M3865)</f>
        <v>0</v>
      </c>
      <c r="M3865" s="108">
        <v>1</v>
      </c>
      <c r="N3865" s="95">
        <v>1</v>
      </c>
      <c r="O3865" s="109">
        <f>IF(Key!D$1="ON",P3865,IF(SUM(Q3865:DL3865)&lt;1,"",SUM(Q3865:DL3865)/COUNTIF(Q3865:DL3865,"&gt;0")))</f>
        <v>0</v>
      </c>
      <c r="P3865" s="109">
        <f>SUMIFS(Q3865:DK3865,Q$1:DK$1,Dashboard!$K$31)</f>
        <v>0</v>
      </c>
      <c r="U3865" s="95">
        <v>33</v>
      </c>
      <c r="AA3865" s="95">
        <v>25</v>
      </c>
      <c r="AH3865" s="95">
        <v>75</v>
      </c>
    </row>
    <row r="3866" spans="1:34" x14ac:dyDescent="0.3">
      <c r="A3866" s="89" t="str">
        <f>CONCATENATE(D3866,".",F3866,"-",G3866,".",H3866,"")</f>
        <v>3.2-7.1</v>
      </c>
      <c r="B3866" s="89" t="str">
        <f>IF(CONCATENATE(I3866,Key!F$2)=CONCATENATE(INDEX(Dashboard!J:J,MATCH(I3866,Dashboard!J:J,0),1),INDEX(Dashboard!J:K,MATCH(I3866,Dashboard!J:J,0),2)),"ON",IF(Dashboard!K$32="ALL","ON","-"))</f>
        <v>-</v>
      </c>
      <c r="C3866" s="96" t="s">
        <v>311</v>
      </c>
      <c r="D3866" s="89">
        <f>IF(C3866="ID",1,(IF(C3866="PR",2,(IF(C3866="DE",3,(IF(C3866="RS",4,(IF(C3866="RC",5,0)))))))))</f>
        <v>3</v>
      </c>
      <c r="E3866" s="89" t="s">
        <v>316</v>
      </c>
      <c r="F3866" s="89">
        <f>IF(E3866="AM",1,(IF(E3866="BE",2,(IF(E3866="GV",3,(IF(E3866="RA",4,(IF(E3866="RM",5,(IF(E3866="AC",1,(IF(E3866="AT",2,(IF(E3866="DS",3,(IF(E3866="IP",4,(IF(E3866="MA",5,(IF(E3866="PT",6,(IF(E3866="AE",1,(IF(E3866="CM",2,(IF(E3866="DP",3,(IF(E3866="AN",1,(IF(E3866="CO",2,(IF(E3866="IM",3,(IF(E3866="MI",4,(IF(E3866="RP",5,(IF(E3866="SC",6,0)))))))))))))))))))))))))))))))))))))))</f>
        <v>2</v>
      </c>
      <c r="G3866" s="98">
        <v>7</v>
      </c>
      <c r="H3866" s="90" t="s">
        <v>115</v>
      </c>
      <c r="I3866" s="93" t="s">
        <v>52</v>
      </c>
      <c r="J3866" s="88" t="s">
        <v>3441</v>
      </c>
      <c r="K3866" s="103" t="s">
        <v>3442</v>
      </c>
      <c r="L3866" s="117">
        <f>IF(O3866="","",N3866*O3866*M3866)</f>
        <v>0</v>
      </c>
      <c r="M3866" s="108">
        <v>1</v>
      </c>
      <c r="N3866" s="95">
        <v>1</v>
      </c>
      <c r="O3866" s="109">
        <f>IF(Key!D$1="ON",P3866,IF(SUM(Q3866:DL3866)&lt;1,"",SUM(Q3866:DL3866)/COUNTIF(Q3866:DL3866,"&gt;0")))</f>
        <v>0</v>
      </c>
      <c r="P3866" s="109">
        <f>SUMIFS(Q3866:DK3866,Q$1:DK$1,Dashboard!$K$31)</f>
        <v>0</v>
      </c>
      <c r="U3866" s="95">
        <v>33</v>
      </c>
      <c r="AA3866" s="95">
        <v>25</v>
      </c>
      <c r="AH3866" s="95">
        <v>75</v>
      </c>
    </row>
    <row r="3867" spans="1:34" x14ac:dyDescent="0.3">
      <c r="A3867" s="89" t="str">
        <f>CONCATENATE(D3867,".",F3867,"-",G3867,".",H3867,"")</f>
        <v>3.2-7.1</v>
      </c>
      <c r="B3867" s="89" t="str">
        <f>IF(CONCATENATE(I3867,Key!F$2)=CONCATENATE(INDEX(Dashboard!J:J,MATCH(I3867,Dashboard!J:J,0),1),INDEX(Dashboard!J:K,MATCH(I3867,Dashboard!J:J,0),2)),"ON",IF(Dashboard!K$32="ALL","ON","-"))</f>
        <v>-</v>
      </c>
      <c r="C3867" s="88" t="s">
        <v>311</v>
      </c>
      <c r="D3867" s="89">
        <f>IF(C3867="ID",1,(IF(C3867="PR",2,(IF(C3867="DE",3,(IF(C3867="RS",4,(IF(C3867="RC",5,0)))))))))</f>
        <v>3</v>
      </c>
      <c r="E3867" s="89" t="s">
        <v>316</v>
      </c>
      <c r="F3867" s="89">
        <f>IF(E3867="AM",1,(IF(E3867="BE",2,(IF(E3867="GV",3,(IF(E3867="RA",4,(IF(E3867="RM",5,(IF(E3867="AC",1,(IF(E3867="AT",2,(IF(E3867="DS",3,(IF(E3867="IP",4,(IF(E3867="MA",5,(IF(E3867="PT",6,(IF(E3867="AE",1,(IF(E3867="CM",2,(IF(E3867="DP",3,(IF(E3867="AN",1,(IF(E3867="CO",2,(IF(E3867="IM",3,(IF(E3867="MI",4,(IF(E3867="RP",5,(IF(E3867="SC",6,0)))))))))))))))))))))))))))))))))))))))</f>
        <v>2</v>
      </c>
      <c r="G3867" s="52">
        <v>7</v>
      </c>
      <c r="H3867" s="90" t="s">
        <v>115</v>
      </c>
      <c r="I3867" s="93" t="s">
        <v>60</v>
      </c>
      <c r="J3867" s="87" t="s">
        <v>3228</v>
      </c>
      <c r="K3867" s="51" t="s">
        <v>5341</v>
      </c>
      <c r="L3867" s="117">
        <f>IF(O3867="","",N3867*O3867*M3867)</f>
        <v>0</v>
      </c>
      <c r="M3867" s="108">
        <v>1</v>
      </c>
      <c r="N3867" s="95">
        <v>1</v>
      </c>
      <c r="O3867" s="109">
        <f>IF(Key!D$1="ON",P3867,IF(SUM(Q3867:DL3867)&lt;1,"",SUM(Q3867:DL3867)/COUNTIF(Q3867:DL3867,"&gt;0")))</f>
        <v>0</v>
      </c>
      <c r="P3867" s="109">
        <f>SUMIFS(Q3867:DK3867,Q$1:DK$1,Dashboard!$K$31)</f>
        <v>0</v>
      </c>
      <c r="U3867" s="95">
        <v>33</v>
      </c>
      <c r="AA3867" s="95">
        <v>25</v>
      </c>
      <c r="AH3867" s="95">
        <v>75</v>
      </c>
    </row>
    <row r="3868" spans="1:34" x14ac:dyDescent="0.3">
      <c r="A3868" s="89" t="str">
        <f>CONCATENATE(D3868,".",F3868,"-",G3868,".",H3868,"")</f>
        <v>3.2-7.1</v>
      </c>
      <c r="B3868" s="89" t="str">
        <f>IF(CONCATENATE(I3868,Key!F$2)=CONCATENATE(INDEX(Dashboard!J:J,MATCH(I3868,Dashboard!J:J,0),1),INDEX(Dashboard!J:K,MATCH(I3868,Dashboard!J:J,0),2)),"ON",IF(Dashboard!K$32="ALL","ON","-"))</f>
        <v>-</v>
      </c>
      <c r="C3868" s="88" t="s">
        <v>311</v>
      </c>
      <c r="D3868" s="89">
        <f>IF(C3868="ID",1,(IF(C3868="PR",2,(IF(C3868="DE",3,(IF(C3868="RS",4,(IF(C3868="RC",5,0)))))))))</f>
        <v>3</v>
      </c>
      <c r="E3868" s="89" t="s">
        <v>316</v>
      </c>
      <c r="F3868" s="89">
        <f>IF(E3868="AM",1,(IF(E3868="BE",2,(IF(E3868="GV",3,(IF(E3868="RA",4,(IF(E3868="RM",5,(IF(E3868="AC",1,(IF(E3868="AT",2,(IF(E3868="DS",3,(IF(E3868="IP",4,(IF(E3868="MA",5,(IF(E3868="PT",6,(IF(E3868="AE",1,(IF(E3868="CM",2,(IF(E3868="DP",3,(IF(E3868="AN",1,(IF(E3868="CO",2,(IF(E3868="IM",3,(IF(E3868="MI",4,(IF(E3868="RP",5,(IF(E3868="SC",6,0)))))))))))))))))))))))))))))))))))))))</f>
        <v>2</v>
      </c>
      <c r="G3868" s="52">
        <v>7</v>
      </c>
      <c r="H3868" s="89">
        <v>1</v>
      </c>
      <c r="I3868" s="93" t="s">
        <v>60</v>
      </c>
      <c r="J3868" s="88" t="s">
        <v>3246</v>
      </c>
      <c r="K3868" s="51" t="s">
        <v>5359</v>
      </c>
      <c r="L3868" s="117">
        <f>IF(O3868="","",N3868*O3868*M3868)</f>
        <v>0</v>
      </c>
      <c r="M3868" s="108">
        <v>1</v>
      </c>
      <c r="N3868" s="95">
        <v>1</v>
      </c>
      <c r="O3868" s="109">
        <f>IF(Key!D$1="ON",P3868,IF(SUM(Q3868:DL3868)&lt;1,"",SUM(Q3868:DL3868)/COUNTIF(Q3868:DL3868,"&gt;0")))</f>
        <v>0</v>
      </c>
      <c r="P3868" s="109">
        <f>SUMIFS(Q3868:DK3868,Q$1:DK$1,Dashboard!$K$31)</f>
        <v>0</v>
      </c>
      <c r="U3868" s="95">
        <v>33</v>
      </c>
      <c r="AA3868" s="95">
        <v>25</v>
      </c>
      <c r="AH3868" s="95">
        <v>75</v>
      </c>
    </row>
    <row r="3869" spans="1:34" x14ac:dyDescent="0.3">
      <c r="A3869" s="89" t="str">
        <f>CONCATENATE(D3869,".",F3869,"-",G3869,".",H3869,"")</f>
        <v>3.2-7.1</v>
      </c>
      <c r="B3869" s="89" t="str">
        <f>IF(CONCATENATE(I3869,Key!F$2)=CONCATENATE(INDEX(Dashboard!J:J,MATCH(I3869,Dashboard!J:J,0),1),INDEX(Dashboard!J:K,MATCH(I3869,Dashboard!J:J,0),2)),"ON",IF(Dashboard!K$32="ALL","ON","-"))</f>
        <v>-</v>
      </c>
      <c r="C3869" s="88" t="s">
        <v>311</v>
      </c>
      <c r="D3869" s="89">
        <f>IF(C3869="ID",1,(IF(C3869="PR",2,(IF(C3869="DE",3,(IF(C3869="RS",4,(IF(C3869="RC",5,0)))))))))</f>
        <v>3</v>
      </c>
      <c r="E3869" s="89" t="s">
        <v>316</v>
      </c>
      <c r="F3869" s="89">
        <f>IF(E3869="AM",1,(IF(E3869="BE",2,(IF(E3869="GV",3,(IF(E3869="RA",4,(IF(E3869="RM",5,(IF(E3869="AC",1,(IF(E3869="AT",2,(IF(E3869="DS",3,(IF(E3869="IP",4,(IF(E3869="MA",5,(IF(E3869="PT",6,(IF(E3869="AE",1,(IF(E3869="CM",2,(IF(E3869="DP",3,(IF(E3869="AN",1,(IF(E3869="CO",2,(IF(E3869="IM",3,(IF(E3869="MI",4,(IF(E3869="RP",5,(IF(E3869="SC",6,0)))))))))))))))))))))))))))))))))))))))</f>
        <v>2</v>
      </c>
      <c r="G3869" s="52">
        <v>7</v>
      </c>
      <c r="H3869" s="89">
        <v>1</v>
      </c>
      <c r="I3869" s="93" t="s">
        <v>60</v>
      </c>
      <c r="J3869" s="88" t="s">
        <v>3233</v>
      </c>
      <c r="K3869" s="51" t="s">
        <v>5346</v>
      </c>
      <c r="L3869" s="117">
        <f>IF(O3869="","",N3869*O3869*M3869)</f>
        <v>0</v>
      </c>
      <c r="M3869" s="108">
        <v>1</v>
      </c>
      <c r="N3869" s="95">
        <v>1</v>
      </c>
      <c r="O3869" s="109">
        <f>IF(Key!D$1="ON",P3869,IF(SUM(Q3869:DL3869)&lt;1,"",SUM(Q3869:DL3869)/COUNTIF(Q3869:DL3869,"&gt;0")))</f>
        <v>0</v>
      </c>
      <c r="P3869" s="109">
        <f>SUMIFS(Q3869:DK3869,Q$1:DK$1,Dashboard!$K$31)</f>
        <v>0</v>
      </c>
      <c r="U3869" s="95">
        <v>33</v>
      </c>
      <c r="AA3869" s="95">
        <v>25</v>
      </c>
      <c r="AH3869" s="95">
        <v>75</v>
      </c>
    </row>
    <row r="3870" spans="1:34" x14ac:dyDescent="0.3">
      <c r="A3870" s="89" t="str">
        <f>CONCATENATE(D3870,".",F3870,"-",G3870,".",H3870,"")</f>
        <v>3.2-7.1</v>
      </c>
      <c r="B3870" s="89" t="str">
        <f>IF(CONCATENATE(I3870,Key!F$2)=CONCATENATE(INDEX(Dashboard!J:J,MATCH(I3870,Dashboard!J:J,0),1),INDEX(Dashboard!J:K,MATCH(I3870,Dashboard!J:J,0),2)),"ON",IF(Dashboard!K$32="ALL","ON","-"))</f>
        <v>-</v>
      </c>
      <c r="C3870" s="88" t="s">
        <v>311</v>
      </c>
      <c r="D3870" s="89">
        <f>IF(C3870="ID",1,(IF(C3870="PR",2,(IF(C3870="DE",3,(IF(C3870="RS",4,(IF(C3870="RC",5,0)))))))))</f>
        <v>3</v>
      </c>
      <c r="E3870" s="89" t="s">
        <v>316</v>
      </c>
      <c r="F3870" s="89">
        <f>IF(E3870="AM",1,(IF(E3870="BE",2,(IF(E3870="GV",3,(IF(E3870="RA",4,(IF(E3870="RM",5,(IF(E3870="AC",1,(IF(E3870="AT",2,(IF(E3870="DS",3,(IF(E3870="IP",4,(IF(E3870="MA",5,(IF(E3870="PT",6,(IF(E3870="AE",1,(IF(E3870="CM",2,(IF(E3870="DP",3,(IF(E3870="AN",1,(IF(E3870="CO",2,(IF(E3870="IM",3,(IF(E3870="MI",4,(IF(E3870="RP",5,(IF(E3870="SC",6,0)))))))))))))))))))))))))))))))))))))))</f>
        <v>2</v>
      </c>
      <c r="G3870" s="52">
        <v>7</v>
      </c>
      <c r="H3870" s="90" t="s">
        <v>115</v>
      </c>
      <c r="I3870" s="93" t="s">
        <v>64</v>
      </c>
      <c r="J3870" s="87" t="s">
        <v>1879</v>
      </c>
      <c r="K3870" s="102" t="s">
        <v>2781</v>
      </c>
      <c r="L3870" s="117">
        <f>IF(O3870="","",N3870*O3870*M3870)</f>
        <v>0</v>
      </c>
      <c r="M3870" s="108">
        <v>1</v>
      </c>
      <c r="N3870" s="95">
        <v>1</v>
      </c>
      <c r="O3870" s="109">
        <f>IF(Key!D$1="ON",P3870,IF(SUM(Q3870:DL3870)&lt;1,"",SUM(Q3870:DL3870)/COUNTIF(Q3870:DL3870,"&gt;0")))</f>
        <v>0</v>
      </c>
      <c r="P3870" s="109">
        <f>SUMIFS(Q3870:DK3870,Q$1:DK$1,Dashboard!$K$31)</f>
        <v>0</v>
      </c>
      <c r="U3870" s="95">
        <v>33</v>
      </c>
      <c r="AA3870" s="95">
        <v>25</v>
      </c>
      <c r="AH3870" s="95">
        <v>75</v>
      </c>
    </row>
    <row r="3871" spans="1:34" x14ac:dyDescent="0.3">
      <c r="A3871" s="89" t="str">
        <f>CONCATENATE(D3871,".",F3871,"-",G3871,".",H3871,"")</f>
        <v>3.2-7.1</v>
      </c>
      <c r="B3871" s="89" t="str">
        <f>IF(CONCATENATE(I3871,Key!F$2)=CONCATENATE(INDEX(Dashboard!J:J,MATCH(I3871,Dashboard!J:J,0),1),INDEX(Dashboard!J:K,MATCH(I3871,Dashboard!J:J,0),2)),"ON",IF(Dashboard!K$32="ALL","ON","-"))</f>
        <v>-</v>
      </c>
      <c r="C3871" s="88" t="s">
        <v>311</v>
      </c>
      <c r="D3871" s="89">
        <f>IF(C3871="ID",1,(IF(C3871="PR",2,(IF(C3871="DE",3,(IF(C3871="RS",4,(IF(C3871="RC",5,0)))))))))</f>
        <v>3</v>
      </c>
      <c r="E3871" s="89" t="s">
        <v>316</v>
      </c>
      <c r="F3871" s="89">
        <f>IF(E3871="AM",1,(IF(E3871="BE",2,(IF(E3871="GV",3,(IF(E3871="RA",4,(IF(E3871="RM",5,(IF(E3871="AC",1,(IF(E3871="AT",2,(IF(E3871="DS",3,(IF(E3871="IP",4,(IF(E3871="MA",5,(IF(E3871="PT",6,(IF(E3871="AE",1,(IF(E3871="CM",2,(IF(E3871="DP",3,(IF(E3871="AN",1,(IF(E3871="CO",2,(IF(E3871="IM",3,(IF(E3871="MI",4,(IF(E3871="RP",5,(IF(E3871="SC",6,0)))))))))))))))))))))))))))))))))))))))</f>
        <v>2</v>
      </c>
      <c r="G3871" s="52">
        <v>7</v>
      </c>
      <c r="H3871" s="90" t="s">
        <v>115</v>
      </c>
      <c r="I3871" s="93" t="s">
        <v>64</v>
      </c>
      <c r="J3871" s="87" t="s">
        <v>1397</v>
      </c>
      <c r="K3871" s="102" t="s">
        <v>2387</v>
      </c>
      <c r="L3871" s="117">
        <f>IF(O3871="","",N3871*O3871*M3871)</f>
        <v>0</v>
      </c>
      <c r="M3871" s="108">
        <v>1</v>
      </c>
      <c r="N3871" s="95">
        <v>1</v>
      </c>
      <c r="O3871" s="109">
        <f>IF(Key!D$1="ON",P3871,IF(SUM(Q3871:DL3871)&lt;1,"",SUM(Q3871:DL3871)/COUNTIF(Q3871:DL3871,"&gt;0")))</f>
        <v>0</v>
      </c>
      <c r="P3871" s="109">
        <f>SUMIFS(Q3871:DK3871,Q$1:DK$1,Dashboard!$K$31)</f>
        <v>0</v>
      </c>
      <c r="U3871" s="95">
        <v>33</v>
      </c>
      <c r="AA3871" s="95">
        <v>25</v>
      </c>
      <c r="AH3871" s="95">
        <v>75</v>
      </c>
    </row>
    <row r="3872" spans="1:34" ht="15.6" x14ac:dyDescent="0.3">
      <c r="A3872" s="89" t="str">
        <f>CONCATENATE(D3872,".",F3872,"-",G3872,".",H3872,"")</f>
        <v>3.2-7.1</v>
      </c>
      <c r="B3872" s="89" t="str">
        <f>IF(CONCATENATE(I3872,Key!F$2)=CONCATENATE(INDEX(Dashboard!J:J,MATCH(I3872,Dashboard!J:J,0),1),INDEX(Dashboard!J:K,MATCH(I3872,Dashboard!J:J,0),2)),"ON",IF(Dashboard!K$32="ALL","ON","-"))</f>
        <v>-</v>
      </c>
      <c r="C3872" s="88" t="s">
        <v>311</v>
      </c>
      <c r="D3872" s="89">
        <f>IF(C3872="ID",1,(IF(C3872="PR",2,(IF(C3872="DE",3,(IF(C3872="RS",4,(IF(C3872="RC",5,0)))))))))</f>
        <v>3</v>
      </c>
      <c r="E3872" s="89" t="s">
        <v>316</v>
      </c>
      <c r="F3872" s="89">
        <f>IF(E3872="AM",1,(IF(E3872="BE",2,(IF(E3872="GV",3,(IF(E3872="RA",4,(IF(E3872="RM",5,(IF(E3872="AC",1,(IF(E3872="AT",2,(IF(E3872="DS",3,(IF(E3872="IP",4,(IF(E3872="MA",5,(IF(E3872="PT",6,(IF(E3872="AE",1,(IF(E3872="CM",2,(IF(E3872="DP",3,(IF(E3872="AN",1,(IF(E3872="CO",2,(IF(E3872="IM",3,(IF(E3872="MI",4,(IF(E3872="RP",5,(IF(E3872="SC",6,0)))))))))))))))))))))))))))))))))))))))</f>
        <v>2</v>
      </c>
      <c r="G3872" s="52">
        <v>7</v>
      </c>
      <c r="H3872" s="90" t="s">
        <v>115</v>
      </c>
      <c r="I3872" s="93" t="s">
        <v>73</v>
      </c>
      <c r="J3872" s="86" t="s">
        <v>4127</v>
      </c>
      <c r="K3872" s="101" t="s">
        <v>4128</v>
      </c>
      <c r="L3872" s="117">
        <f>IF(O3872="","",N3872*O3872*M3872)</f>
        <v>0</v>
      </c>
      <c r="M3872" s="108">
        <v>1</v>
      </c>
      <c r="N3872" s="95">
        <v>1</v>
      </c>
      <c r="O3872" s="109">
        <f>IF(Key!D$1="ON",P3872,IF(SUM(Q3872:DL3872)&lt;1,"",SUM(Q3872:DL3872)/COUNTIF(Q3872:DL3872,"&gt;0")))</f>
        <v>0</v>
      </c>
      <c r="P3872" s="109">
        <f>SUMIFS(Q3872:DK3872,Q$1:DK$1,Dashboard!$K$31)</f>
        <v>0</v>
      </c>
      <c r="U3872" s="95">
        <v>33</v>
      </c>
      <c r="AA3872" s="95">
        <v>25</v>
      </c>
      <c r="AH3872" s="95">
        <v>75</v>
      </c>
    </row>
    <row r="3873" spans="1:34" ht="15.6" x14ac:dyDescent="0.3">
      <c r="A3873" s="89" t="str">
        <f>CONCATENATE(D3873,".",F3873,"-",G3873,".",H3873,"")</f>
        <v>3.2-7.1</v>
      </c>
      <c r="B3873" s="89" t="str">
        <f>IF(CONCATENATE(I3873,Key!F$2)=CONCATENATE(INDEX(Dashboard!J:J,MATCH(I3873,Dashboard!J:J,0),1),INDEX(Dashboard!J:K,MATCH(I3873,Dashboard!J:J,0),2)),"ON",IF(Dashboard!K$32="ALL","ON","-"))</f>
        <v>-</v>
      </c>
      <c r="C3873" s="88" t="s">
        <v>311</v>
      </c>
      <c r="D3873" s="89">
        <f>IF(C3873="ID",1,(IF(C3873="PR",2,(IF(C3873="DE",3,(IF(C3873="RS",4,(IF(C3873="RC",5,0)))))))))</f>
        <v>3</v>
      </c>
      <c r="E3873" s="89" t="s">
        <v>316</v>
      </c>
      <c r="F3873" s="89">
        <f>IF(E3873="AM",1,(IF(E3873="BE",2,(IF(E3873="GV",3,(IF(E3873="RA",4,(IF(E3873="RM",5,(IF(E3873="AC",1,(IF(E3873="AT",2,(IF(E3873="DS",3,(IF(E3873="IP",4,(IF(E3873="MA",5,(IF(E3873="PT",6,(IF(E3873="AE",1,(IF(E3873="CM",2,(IF(E3873="DP",3,(IF(E3873="AN",1,(IF(E3873="CO",2,(IF(E3873="IM",3,(IF(E3873="MI",4,(IF(E3873="RP",5,(IF(E3873="SC",6,0)))))))))))))))))))))))))))))))))))))))</f>
        <v>2</v>
      </c>
      <c r="G3873" s="52">
        <v>7</v>
      </c>
      <c r="H3873" s="90" t="s">
        <v>115</v>
      </c>
      <c r="I3873" s="93" t="s">
        <v>73</v>
      </c>
      <c r="J3873" s="86" t="s">
        <v>4202</v>
      </c>
      <c r="K3873" s="101" t="s">
        <v>4392</v>
      </c>
      <c r="L3873" s="117">
        <f>IF(O3873="","",N3873*O3873*M3873)</f>
        <v>0</v>
      </c>
      <c r="M3873" s="108">
        <v>1</v>
      </c>
      <c r="N3873" s="95">
        <v>1</v>
      </c>
      <c r="O3873" s="109">
        <f>IF(Key!D$1="ON",P3873,IF(SUM(Q3873:DL3873)&lt;1,"",SUM(Q3873:DL3873)/COUNTIF(Q3873:DL3873,"&gt;0")))</f>
        <v>0</v>
      </c>
      <c r="P3873" s="109">
        <f>SUMIFS(Q3873:DK3873,Q$1:DK$1,Dashboard!$K$31)</f>
        <v>0</v>
      </c>
      <c r="U3873" s="95">
        <v>33</v>
      </c>
      <c r="AA3873" s="95">
        <v>25</v>
      </c>
      <c r="AH3873" s="95">
        <v>75</v>
      </c>
    </row>
    <row r="3874" spans="1:34" ht="15.6" x14ac:dyDescent="0.3">
      <c r="A3874" s="89" t="str">
        <f>CONCATENATE(D3874,".",F3874,"-",G3874,".",H3874,"")</f>
        <v>3.2-7.1</v>
      </c>
      <c r="B3874" s="89" t="str">
        <f>IF(CONCATENATE(I3874,Key!F$2)=CONCATENATE(INDEX(Dashboard!J:J,MATCH(I3874,Dashboard!J:J,0),1),INDEX(Dashboard!J:K,MATCH(I3874,Dashboard!J:J,0),2)),"ON",IF(Dashboard!K$32="ALL","ON","-"))</f>
        <v>-</v>
      </c>
      <c r="C3874" s="88" t="s">
        <v>311</v>
      </c>
      <c r="D3874" s="89">
        <f>IF(C3874="ID",1,(IF(C3874="PR",2,(IF(C3874="DE",3,(IF(C3874="RS",4,(IF(C3874="RC",5,0)))))))))</f>
        <v>3</v>
      </c>
      <c r="E3874" s="89" t="s">
        <v>316</v>
      </c>
      <c r="F3874" s="89">
        <f>IF(E3874="AM",1,(IF(E3874="BE",2,(IF(E3874="GV",3,(IF(E3874="RA",4,(IF(E3874="RM",5,(IF(E3874="AC",1,(IF(E3874="AT",2,(IF(E3874="DS",3,(IF(E3874="IP",4,(IF(E3874="MA",5,(IF(E3874="PT",6,(IF(E3874="AE",1,(IF(E3874="CM",2,(IF(E3874="DP",3,(IF(E3874="AN",1,(IF(E3874="CO",2,(IF(E3874="IM",3,(IF(E3874="MI",4,(IF(E3874="RP",5,(IF(E3874="SC",6,0)))))))))))))))))))))))))))))))))))))))</f>
        <v>2</v>
      </c>
      <c r="G3874" s="52">
        <v>7</v>
      </c>
      <c r="H3874" s="90" t="s">
        <v>115</v>
      </c>
      <c r="I3874" s="93" t="s">
        <v>73</v>
      </c>
      <c r="J3874" s="86" t="s">
        <v>4203</v>
      </c>
      <c r="K3874" s="101" t="s">
        <v>4204</v>
      </c>
      <c r="L3874" s="117">
        <f>IF(O3874="","",N3874*O3874*M3874)</f>
        <v>0</v>
      </c>
      <c r="M3874" s="108">
        <v>1</v>
      </c>
      <c r="N3874" s="95">
        <v>1</v>
      </c>
      <c r="O3874" s="109">
        <f>IF(Key!D$1="ON",P3874,IF(SUM(Q3874:DL3874)&lt;1,"",SUM(Q3874:DL3874)/COUNTIF(Q3874:DL3874,"&gt;0")))</f>
        <v>0</v>
      </c>
      <c r="P3874" s="109">
        <f>SUMIFS(Q3874:DK3874,Q$1:DK$1,Dashboard!$K$31)</f>
        <v>0</v>
      </c>
      <c r="U3874" s="95">
        <v>33</v>
      </c>
      <c r="AA3874" s="95">
        <v>25</v>
      </c>
      <c r="AH3874" s="95">
        <v>75</v>
      </c>
    </row>
    <row r="3875" spans="1:34" x14ac:dyDescent="0.3">
      <c r="A3875" s="89" t="str">
        <f>CONCATENATE(D3875,".",F3875,"-",G3875,".",H3875,"")</f>
        <v>3.2-7.1</v>
      </c>
      <c r="B3875" s="89" t="str">
        <f>IF(CONCATENATE(I3875,Key!F$2)=CONCATENATE(INDEX(Dashboard!J:J,MATCH(I3875,Dashboard!J:J,0),1),INDEX(Dashboard!J:K,MATCH(I3875,Dashboard!J:J,0),2)),"ON",IF(Dashboard!K$32="ALL","ON","-"))</f>
        <v>-</v>
      </c>
      <c r="C3875" s="88" t="s">
        <v>311</v>
      </c>
      <c r="D3875" s="89">
        <f>IF(C3875="ID",1,(IF(C3875="PR",2,(IF(C3875="DE",3,(IF(C3875="RS",4,(IF(C3875="RC",5,0)))))))))</f>
        <v>3</v>
      </c>
      <c r="E3875" s="89" t="s">
        <v>316</v>
      </c>
      <c r="F3875" s="89">
        <f>IF(E3875="AM",1,(IF(E3875="BE",2,(IF(E3875="GV",3,(IF(E3875="RA",4,(IF(E3875="RM",5,(IF(E3875="AC",1,(IF(E3875="AT",2,(IF(E3875="DS",3,(IF(E3875="IP",4,(IF(E3875="MA",5,(IF(E3875="PT",6,(IF(E3875="AE",1,(IF(E3875="CM",2,(IF(E3875="DP",3,(IF(E3875="AN",1,(IF(E3875="CO",2,(IF(E3875="IM",3,(IF(E3875="MI",4,(IF(E3875="RP",5,(IF(E3875="SC",6,0)))))))))))))))))))))))))))))))))))))))</f>
        <v>2</v>
      </c>
      <c r="G3875" s="52">
        <v>7</v>
      </c>
      <c r="H3875" s="90" t="s">
        <v>115</v>
      </c>
      <c r="I3875" s="93" t="s">
        <v>73</v>
      </c>
      <c r="J3875" s="86" t="s">
        <v>4248</v>
      </c>
      <c r="K3875" s="101" t="s">
        <v>5186</v>
      </c>
      <c r="L3875" s="117">
        <f>IF(O3875="","",N3875*O3875*M3875)</f>
        <v>0</v>
      </c>
      <c r="M3875" s="108">
        <v>1</v>
      </c>
      <c r="N3875" s="95">
        <v>1</v>
      </c>
      <c r="O3875" s="109">
        <f>IF(Key!D$1="ON",P3875,IF(SUM(Q3875:DL3875)&lt;1,"",SUM(Q3875:DL3875)/COUNTIF(Q3875:DL3875,"&gt;0")))</f>
        <v>0</v>
      </c>
      <c r="P3875" s="109">
        <f>SUMIFS(Q3875:DK3875,Q$1:DK$1,Dashboard!$K$31)</f>
        <v>0</v>
      </c>
      <c r="U3875" s="95">
        <v>33</v>
      </c>
      <c r="AA3875" s="95">
        <v>25</v>
      </c>
      <c r="AH3875" s="95">
        <v>75</v>
      </c>
    </row>
    <row r="3876" spans="1:34" x14ac:dyDescent="0.3">
      <c r="A3876" s="89" t="str">
        <f>CONCATENATE(D3876,".",F3876,"-",G3876,".",H3876,"")</f>
        <v>3.2-7.1</v>
      </c>
      <c r="B3876" s="89" t="str">
        <f>IF(CONCATENATE(I3876,Key!F$2)=CONCATENATE(INDEX(Dashboard!J:J,MATCH(I3876,Dashboard!J:J,0),1),INDEX(Dashboard!J:K,MATCH(I3876,Dashboard!J:J,0),2)),"ON",IF(Dashboard!K$32="ALL","ON","-"))</f>
        <v>-</v>
      </c>
      <c r="C3876" s="88" t="s">
        <v>311</v>
      </c>
      <c r="D3876" s="89">
        <f>IF(C3876="ID",1,(IF(C3876="PR",2,(IF(C3876="DE",3,(IF(C3876="RS",4,(IF(C3876="RC",5,0)))))))))</f>
        <v>3</v>
      </c>
      <c r="E3876" s="89" t="s">
        <v>316</v>
      </c>
      <c r="F3876" s="89">
        <f>IF(E3876="AM",1,(IF(E3876="BE",2,(IF(E3876="GV",3,(IF(E3876="RA",4,(IF(E3876="RM",5,(IF(E3876="AC",1,(IF(E3876="AT",2,(IF(E3876="DS",3,(IF(E3876="IP",4,(IF(E3876="MA",5,(IF(E3876="PT",6,(IF(E3876="AE",1,(IF(E3876="CM",2,(IF(E3876="DP",3,(IF(E3876="AN",1,(IF(E3876="CO",2,(IF(E3876="IM",3,(IF(E3876="MI",4,(IF(E3876="RP",5,(IF(E3876="SC",6,0)))))))))))))))))))))))))))))))))))))))</f>
        <v>2</v>
      </c>
      <c r="G3876" s="52">
        <v>7</v>
      </c>
      <c r="H3876" s="90" t="s">
        <v>115</v>
      </c>
      <c r="I3876" s="93" t="s">
        <v>73</v>
      </c>
      <c r="J3876" s="86" t="s">
        <v>4249</v>
      </c>
      <c r="K3876" s="101" t="s">
        <v>4416</v>
      </c>
      <c r="L3876" s="117">
        <f>IF(O3876="","",N3876*O3876*M3876)</f>
        <v>0</v>
      </c>
      <c r="M3876" s="108">
        <v>1</v>
      </c>
      <c r="N3876" s="95">
        <v>1</v>
      </c>
      <c r="O3876" s="109">
        <f>IF(Key!D$1="ON",P3876,IF(SUM(Q3876:DL3876)&lt;1,"",SUM(Q3876:DL3876)/COUNTIF(Q3876:DL3876,"&gt;0")))</f>
        <v>0</v>
      </c>
      <c r="P3876" s="109">
        <f>SUMIFS(Q3876:DK3876,Q$1:DK$1,Dashboard!$K$31)</f>
        <v>0</v>
      </c>
      <c r="U3876" s="95">
        <v>33</v>
      </c>
      <c r="AA3876" s="95">
        <v>25</v>
      </c>
      <c r="AH3876" s="95">
        <v>75</v>
      </c>
    </row>
    <row r="3877" spans="1:34" x14ac:dyDescent="0.3">
      <c r="A3877" s="89" t="str">
        <f>CONCATENATE(D3877,".",F3877,"-",G3877,".",H3877,"")</f>
        <v>3.2-7.1</v>
      </c>
      <c r="B3877" s="89" t="str">
        <f>IF(CONCATENATE(I3877,Key!F$2)=CONCATENATE(INDEX(Dashboard!J:J,MATCH(I3877,Dashboard!J:J,0),1),INDEX(Dashboard!J:K,MATCH(I3877,Dashboard!J:J,0),2)),"ON",IF(Dashboard!K$32="ALL","ON","-"))</f>
        <v>-</v>
      </c>
      <c r="C3877" s="88" t="s">
        <v>311</v>
      </c>
      <c r="D3877" s="89">
        <f>IF(C3877="ID",1,(IF(C3877="PR",2,(IF(C3877="DE",3,(IF(C3877="RS",4,(IF(C3877="RC",5,0)))))))))</f>
        <v>3</v>
      </c>
      <c r="E3877" s="89" t="s">
        <v>316</v>
      </c>
      <c r="F3877" s="89">
        <f>IF(E3877="AM",1,(IF(E3877="BE",2,(IF(E3877="GV",3,(IF(E3877="RA",4,(IF(E3877="RM",5,(IF(E3877="AC",1,(IF(E3877="AT",2,(IF(E3877="DS",3,(IF(E3877="IP",4,(IF(E3877="MA",5,(IF(E3877="PT",6,(IF(E3877="AE",1,(IF(E3877="CM",2,(IF(E3877="DP",3,(IF(E3877="AN",1,(IF(E3877="CO",2,(IF(E3877="IM",3,(IF(E3877="MI",4,(IF(E3877="RP",5,(IF(E3877="SC",6,0)))))))))))))))))))))))))))))))))))))))</f>
        <v>2</v>
      </c>
      <c r="G3877" s="52">
        <v>7</v>
      </c>
      <c r="H3877" s="90" t="s">
        <v>115</v>
      </c>
      <c r="I3877" s="93" t="s">
        <v>73</v>
      </c>
      <c r="J3877" s="86" t="s">
        <v>4147</v>
      </c>
      <c r="K3877" s="101" t="s">
        <v>5208</v>
      </c>
      <c r="L3877" s="117">
        <f>IF(O3877="","",N3877*O3877*M3877)</f>
        <v>0</v>
      </c>
      <c r="M3877" s="108">
        <v>1</v>
      </c>
      <c r="N3877" s="95">
        <v>1</v>
      </c>
      <c r="O3877" s="109">
        <f>IF(Key!D$1="ON",P3877,IF(SUM(Q3877:DL3877)&lt;1,"",SUM(Q3877:DL3877)/COUNTIF(Q3877:DL3877,"&gt;0")))</f>
        <v>0</v>
      </c>
      <c r="P3877" s="109">
        <f>SUMIFS(Q3877:DK3877,Q$1:DK$1,Dashboard!$K$31)</f>
        <v>0</v>
      </c>
      <c r="U3877" s="95">
        <v>33</v>
      </c>
      <c r="AA3877" s="95">
        <v>25</v>
      </c>
      <c r="AH3877" s="95">
        <v>75</v>
      </c>
    </row>
    <row r="3878" spans="1:34" x14ac:dyDescent="0.3">
      <c r="A3878" s="89" t="str">
        <f>CONCATENATE(D3878,".",F3878,"-",G3878,".",H3878,"")</f>
        <v>3.2-7.1</v>
      </c>
      <c r="B3878" s="89" t="str">
        <f>IF(CONCATENATE(I3878,Key!F$2)=CONCATENATE(INDEX(Dashboard!J:J,MATCH(I3878,Dashboard!J:J,0),1),INDEX(Dashboard!J:K,MATCH(I3878,Dashboard!J:J,0),2)),"ON",IF(Dashboard!K$32="ALL","ON","-"))</f>
        <v>-</v>
      </c>
      <c r="C3878" s="88" t="s">
        <v>311</v>
      </c>
      <c r="D3878" s="89">
        <f>IF(C3878="ID",1,(IF(C3878="PR",2,(IF(C3878="DE",3,(IF(C3878="RS",4,(IF(C3878="RC",5,0)))))))))</f>
        <v>3</v>
      </c>
      <c r="E3878" s="89" t="s">
        <v>316</v>
      </c>
      <c r="F3878" s="89">
        <f>IF(E3878="AM",1,(IF(E3878="BE",2,(IF(E3878="GV",3,(IF(E3878="RA",4,(IF(E3878="RM",5,(IF(E3878="AC",1,(IF(E3878="AT",2,(IF(E3878="DS",3,(IF(E3878="IP",4,(IF(E3878="MA",5,(IF(E3878="PT",6,(IF(E3878="AE",1,(IF(E3878="CM",2,(IF(E3878="DP",3,(IF(E3878="AN",1,(IF(E3878="CO",2,(IF(E3878="IM",3,(IF(E3878="MI",4,(IF(E3878="RP",5,(IF(E3878="SC",6,0)))))))))))))))))))))))))))))))))))))))</f>
        <v>2</v>
      </c>
      <c r="G3878" s="52">
        <v>7</v>
      </c>
      <c r="H3878" s="90" t="s">
        <v>115</v>
      </c>
      <c r="I3878" s="93" t="s">
        <v>77</v>
      </c>
      <c r="J3878" s="87" t="s">
        <v>1879</v>
      </c>
      <c r="K3878" s="102" t="s">
        <v>2781</v>
      </c>
      <c r="L3878" s="117">
        <f>IF(O3878="","",N3878*O3878*M3878)</f>
        <v>0</v>
      </c>
      <c r="M3878" s="108">
        <v>1</v>
      </c>
      <c r="N3878" s="95">
        <v>1</v>
      </c>
      <c r="O3878" s="109">
        <f>IF(Key!D$1="ON",P3878,IF(SUM(Q3878:DL3878)&lt;1,"",SUM(Q3878:DL3878)/COUNTIF(Q3878:DL3878,"&gt;0")))</f>
        <v>0</v>
      </c>
      <c r="P3878" s="109">
        <f>SUMIFS(Q3878:DK3878,Q$1:DK$1,Dashboard!$K$31)</f>
        <v>0</v>
      </c>
      <c r="U3878" s="95">
        <v>33</v>
      </c>
      <c r="AA3878" s="95">
        <v>25</v>
      </c>
      <c r="AH3878" s="95">
        <v>75</v>
      </c>
    </row>
    <row r="3879" spans="1:34" x14ac:dyDescent="0.3">
      <c r="A3879" s="89" t="str">
        <f>CONCATENATE(D3879,".",F3879,"-",G3879,".",H3879,"")</f>
        <v>3.2-7.1</v>
      </c>
      <c r="B3879" s="89" t="str">
        <f>IF(CONCATENATE(I3879,Key!F$2)=CONCATENATE(INDEX(Dashboard!J:J,MATCH(I3879,Dashboard!J:J,0),1),INDEX(Dashboard!J:K,MATCH(I3879,Dashboard!J:J,0),2)),"ON",IF(Dashboard!K$32="ALL","ON","-"))</f>
        <v>-</v>
      </c>
      <c r="C3879" s="88" t="s">
        <v>311</v>
      </c>
      <c r="D3879" s="89">
        <f>IF(C3879="ID",1,(IF(C3879="PR",2,(IF(C3879="DE",3,(IF(C3879="RS",4,(IF(C3879="RC",5,0)))))))))</f>
        <v>3</v>
      </c>
      <c r="E3879" s="89" t="s">
        <v>316</v>
      </c>
      <c r="F3879" s="89">
        <f>IF(E3879="AM",1,(IF(E3879="BE",2,(IF(E3879="GV",3,(IF(E3879="RA",4,(IF(E3879="RM",5,(IF(E3879="AC",1,(IF(E3879="AT",2,(IF(E3879="DS",3,(IF(E3879="IP",4,(IF(E3879="MA",5,(IF(E3879="PT",6,(IF(E3879="AE",1,(IF(E3879="CM",2,(IF(E3879="DP",3,(IF(E3879="AN",1,(IF(E3879="CO",2,(IF(E3879="IM",3,(IF(E3879="MI",4,(IF(E3879="RP",5,(IF(E3879="SC",6,0)))))))))))))))))))))))))))))))))))))))</f>
        <v>2</v>
      </c>
      <c r="G3879" s="52">
        <v>7</v>
      </c>
      <c r="H3879" s="90" t="s">
        <v>115</v>
      </c>
      <c r="I3879" s="93" t="s">
        <v>77</v>
      </c>
      <c r="J3879" s="87" t="s">
        <v>1397</v>
      </c>
      <c r="K3879" s="102" t="s">
        <v>2387</v>
      </c>
      <c r="L3879" s="117">
        <f>IF(O3879="","",N3879*O3879*M3879)</f>
        <v>0</v>
      </c>
      <c r="M3879" s="108">
        <v>1</v>
      </c>
      <c r="N3879" s="95">
        <v>1</v>
      </c>
      <c r="O3879" s="109">
        <f>IF(Key!D$1="ON",P3879,IF(SUM(Q3879:DL3879)&lt;1,"",SUM(Q3879:DL3879)/COUNTIF(Q3879:DL3879,"&gt;0")))</f>
        <v>0</v>
      </c>
      <c r="P3879" s="109">
        <f>SUMIFS(Q3879:DK3879,Q$1:DK$1,Dashboard!$K$31)</f>
        <v>0</v>
      </c>
      <c r="U3879" s="95">
        <v>33</v>
      </c>
      <c r="AA3879" s="95">
        <v>25</v>
      </c>
      <c r="AH3879" s="95">
        <v>75</v>
      </c>
    </row>
    <row r="3880" spans="1:34" x14ac:dyDescent="0.3">
      <c r="A3880" s="89" t="str">
        <f>CONCATENATE(D3880,".",F3880,"-",G3880,".",H3880,"")</f>
        <v>3.2-7.1</v>
      </c>
      <c r="B3880" s="89" t="str">
        <f>IF(CONCATENATE(I3880,Key!F$2)=CONCATENATE(INDEX(Dashboard!J:J,MATCH(I3880,Dashboard!J:J,0),1),INDEX(Dashboard!J:K,MATCH(I3880,Dashboard!J:J,0),2)),"ON",IF(Dashboard!K$32="ALL","ON","-"))</f>
        <v>-</v>
      </c>
      <c r="C3880" s="88" t="s">
        <v>311</v>
      </c>
      <c r="D3880" s="89">
        <f>IF(C3880="ID",1,(IF(C3880="PR",2,(IF(C3880="DE",3,(IF(C3880="RS",4,(IF(C3880="RC",5,0)))))))))</f>
        <v>3</v>
      </c>
      <c r="E3880" s="89" t="s">
        <v>316</v>
      </c>
      <c r="F3880" s="89">
        <f>IF(E3880="AM",1,(IF(E3880="BE",2,(IF(E3880="GV",3,(IF(E3880="RA",4,(IF(E3880="RM",5,(IF(E3880="AC",1,(IF(E3880="AT",2,(IF(E3880="DS",3,(IF(E3880="IP",4,(IF(E3880="MA",5,(IF(E3880="PT",6,(IF(E3880="AE",1,(IF(E3880="CM",2,(IF(E3880="DP",3,(IF(E3880="AN",1,(IF(E3880="CO",2,(IF(E3880="IM",3,(IF(E3880="MI",4,(IF(E3880="RP",5,(IF(E3880="SC",6,0)))))))))))))))))))))))))))))))))))))))</f>
        <v>2</v>
      </c>
      <c r="G3880" s="98">
        <v>7</v>
      </c>
      <c r="H3880" s="90" t="s">
        <v>115</v>
      </c>
      <c r="I3880" s="93" t="s">
        <v>77</v>
      </c>
      <c r="J3880" s="87" t="s">
        <v>1880</v>
      </c>
      <c r="K3880" s="102" t="s">
        <v>2782</v>
      </c>
      <c r="L3880" s="117">
        <f>IF(O3880="","",N3880*O3880*M3880)</f>
        <v>0</v>
      </c>
      <c r="M3880" s="108">
        <v>1</v>
      </c>
      <c r="N3880" s="95">
        <v>1</v>
      </c>
      <c r="O3880" s="109">
        <f>IF(Key!D$1="ON",P3880,IF(SUM(Q3880:DL3880)&lt;1,"",SUM(Q3880:DL3880)/COUNTIF(Q3880:DL3880,"&gt;0")))</f>
        <v>0</v>
      </c>
      <c r="P3880" s="109">
        <f>SUMIFS(Q3880:DK3880,Q$1:DK$1,Dashboard!$K$31)</f>
        <v>0</v>
      </c>
      <c r="U3880" s="95">
        <v>33</v>
      </c>
      <c r="AA3880" s="95">
        <v>25</v>
      </c>
      <c r="AH3880" s="95">
        <v>75</v>
      </c>
    </row>
    <row r="3881" spans="1:34" x14ac:dyDescent="0.3">
      <c r="A3881" s="89" t="str">
        <f>CONCATENATE(D3881,".",F3881,"-",G3881,".",H3881,"")</f>
        <v>3.2-7.1</v>
      </c>
      <c r="B3881" s="89" t="str">
        <f>IF(CONCATENATE(I3881,Key!F$2)=CONCATENATE(INDEX(Dashboard!J:J,MATCH(I3881,Dashboard!J:J,0),1),INDEX(Dashboard!J:K,MATCH(I3881,Dashboard!J:J,0),2)),"ON",IF(Dashboard!K$32="ALL","ON","-"))</f>
        <v>-</v>
      </c>
      <c r="C3881" s="88" t="s">
        <v>311</v>
      </c>
      <c r="D3881" s="89">
        <f>IF(C3881="ID",1,(IF(C3881="PR",2,(IF(C3881="DE",3,(IF(C3881="RS",4,(IF(C3881="RC",5,0)))))))))</f>
        <v>3</v>
      </c>
      <c r="E3881" s="89" t="s">
        <v>316</v>
      </c>
      <c r="F3881" s="89">
        <f>IF(E3881="AM",1,(IF(E3881="BE",2,(IF(E3881="GV",3,(IF(E3881="RA",4,(IF(E3881="RM",5,(IF(E3881="AC",1,(IF(E3881="AT",2,(IF(E3881="DS",3,(IF(E3881="IP",4,(IF(E3881="MA",5,(IF(E3881="PT",6,(IF(E3881="AE",1,(IF(E3881="CM",2,(IF(E3881="DP",3,(IF(E3881="AN",1,(IF(E3881="CO",2,(IF(E3881="IM",3,(IF(E3881="MI",4,(IF(E3881="RP",5,(IF(E3881="SC",6,0)))))))))))))))))))))))))))))))))))))))</f>
        <v>2</v>
      </c>
      <c r="G3881" s="98">
        <v>7</v>
      </c>
      <c r="H3881" s="90" t="s">
        <v>115</v>
      </c>
      <c r="I3881" s="93" t="s">
        <v>77</v>
      </c>
      <c r="J3881" s="87" t="s">
        <v>1881</v>
      </c>
      <c r="K3881" s="102" t="s">
        <v>2783</v>
      </c>
      <c r="L3881" s="117">
        <f>IF(O3881="","",N3881*O3881*M3881)</f>
        <v>0</v>
      </c>
      <c r="M3881" s="108">
        <v>1</v>
      </c>
      <c r="N3881" s="95">
        <v>1</v>
      </c>
      <c r="O3881" s="109">
        <f>IF(Key!D$1="ON",P3881,IF(SUM(Q3881:DL3881)&lt;1,"",SUM(Q3881:DL3881)/COUNTIF(Q3881:DL3881,"&gt;0")))</f>
        <v>0</v>
      </c>
      <c r="P3881" s="109">
        <f>SUMIFS(Q3881:DK3881,Q$1:DK$1,Dashboard!$K$31)</f>
        <v>0</v>
      </c>
      <c r="U3881" s="95">
        <v>33</v>
      </c>
      <c r="AA3881" s="95">
        <v>25</v>
      </c>
      <c r="AH3881" s="95">
        <v>75</v>
      </c>
    </row>
    <row r="3882" spans="1:34" x14ac:dyDescent="0.3">
      <c r="A3882" s="89" t="str">
        <f>CONCATENATE(D3882,".",F3882,"-",G3882,".",H3882,"")</f>
        <v>3.2-7.1</v>
      </c>
      <c r="B3882" s="89" t="str">
        <f>IF(CONCATENATE(I3882,Key!F$2)=CONCATENATE(INDEX(Dashboard!J:J,MATCH(I3882,Dashboard!J:J,0),1),INDEX(Dashboard!J:K,MATCH(I3882,Dashboard!J:J,0),2)),"ON",IF(Dashboard!K$32="ALL","ON","-"))</f>
        <v>-</v>
      </c>
      <c r="C3882" s="88" t="s">
        <v>311</v>
      </c>
      <c r="D3882" s="89">
        <f>IF(C3882="ID",1,(IF(C3882="PR",2,(IF(C3882="DE",3,(IF(C3882="RS",4,(IF(C3882="RC",5,0)))))))))</f>
        <v>3</v>
      </c>
      <c r="E3882" s="89" t="s">
        <v>316</v>
      </c>
      <c r="F3882" s="89">
        <f>IF(E3882="AM",1,(IF(E3882="BE",2,(IF(E3882="GV",3,(IF(E3882="RA",4,(IF(E3882="RM",5,(IF(E3882="AC",1,(IF(E3882="AT",2,(IF(E3882="DS",3,(IF(E3882="IP",4,(IF(E3882="MA",5,(IF(E3882="PT",6,(IF(E3882="AE",1,(IF(E3882="CM",2,(IF(E3882="DP",3,(IF(E3882="AN",1,(IF(E3882="CO",2,(IF(E3882="IM",3,(IF(E3882="MI",4,(IF(E3882="RP",5,(IF(E3882="SC",6,0)))))))))))))))))))))))))))))))))))))))</f>
        <v>2</v>
      </c>
      <c r="G3882" s="98">
        <v>7</v>
      </c>
      <c r="H3882" s="90" t="s">
        <v>115</v>
      </c>
      <c r="I3882" s="93" t="s">
        <v>77</v>
      </c>
      <c r="J3882" s="87" t="s">
        <v>1882</v>
      </c>
      <c r="K3882" s="102" t="s">
        <v>2784</v>
      </c>
      <c r="L3882" s="117">
        <f>IF(O3882="","",N3882*O3882*M3882)</f>
        <v>0</v>
      </c>
      <c r="M3882" s="108">
        <v>1</v>
      </c>
      <c r="N3882" s="95">
        <v>1</v>
      </c>
      <c r="O3882" s="109">
        <f>IF(Key!D$1="ON",P3882,IF(SUM(Q3882:DL3882)&lt;1,"",SUM(Q3882:DL3882)/COUNTIF(Q3882:DL3882,"&gt;0")))</f>
        <v>0</v>
      </c>
      <c r="P3882" s="109">
        <f>SUMIFS(Q3882:DK3882,Q$1:DK$1,Dashboard!$K$31)</f>
        <v>0</v>
      </c>
      <c r="U3882" s="95">
        <v>33</v>
      </c>
      <c r="AA3882" s="95">
        <v>25</v>
      </c>
      <c r="AH3882" s="95">
        <v>75</v>
      </c>
    </row>
    <row r="3883" spans="1:34" ht="15.6" x14ac:dyDescent="0.3">
      <c r="A3883" s="89" t="str">
        <f>CONCATENATE(D3883,".",F3883,"-",G3883,".",H3883,"")</f>
        <v>3.2-7.1</v>
      </c>
      <c r="B3883" s="89" t="str">
        <f>IF(CONCATENATE(I3883,Key!F$2)=CONCATENATE(INDEX(Dashboard!J:J,MATCH(I3883,Dashboard!J:J,0),1),INDEX(Dashboard!J:K,MATCH(I3883,Dashboard!J:J,0),2)),"ON",IF(Dashboard!K$32="ALL","ON","-"))</f>
        <v>-</v>
      </c>
      <c r="C3883" s="88" t="s">
        <v>311</v>
      </c>
      <c r="D3883" s="89">
        <f>IF(C3883="ID",1,(IF(C3883="PR",2,(IF(C3883="DE",3,(IF(C3883="RS",4,(IF(C3883="RC",5,0)))))))))</f>
        <v>3</v>
      </c>
      <c r="E3883" s="89" t="s">
        <v>316</v>
      </c>
      <c r="F3883" s="89">
        <f>IF(E3883="AM",1,(IF(E3883="BE",2,(IF(E3883="GV",3,(IF(E3883="RA",4,(IF(E3883="RM",5,(IF(E3883="AC",1,(IF(E3883="AT",2,(IF(E3883="DS",3,(IF(E3883="IP",4,(IF(E3883="MA",5,(IF(E3883="PT",6,(IF(E3883="AE",1,(IF(E3883="CM",2,(IF(E3883="DP",3,(IF(E3883="AN",1,(IF(E3883="CO",2,(IF(E3883="IM",3,(IF(E3883="MI",4,(IF(E3883="RP",5,(IF(E3883="SC",6,0)))))))))))))))))))))))))))))))))))))))</f>
        <v>2</v>
      </c>
      <c r="G3883" s="52">
        <v>7</v>
      </c>
      <c r="H3883" s="90" t="s">
        <v>115</v>
      </c>
      <c r="I3883" s="93" t="s">
        <v>77</v>
      </c>
      <c r="J3883" s="87" t="s">
        <v>1883</v>
      </c>
      <c r="K3883" s="102" t="s">
        <v>2785</v>
      </c>
      <c r="L3883" s="117">
        <f>IF(O3883="","",N3883*O3883*M3883)</f>
        <v>0</v>
      </c>
      <c r="M3883" s="108">
        <v>1</v>
      </c>
      <c r="N3883" s="95">
        <v>1</v>
      </c>
      <c r="O3883" s="109">
        <f>IF(Key!D$1="ON",P3883,IF(SUM(Q3883:DL3883)&lt;1,"",SUM(Q3883:DL3883)/COUNTIF(Q3883:DL3883,"&gt;0")))</f>
        <v>0</v>
      </c>
      <c r="P3883" s="109">
        <f>SUMIFS(Q3883:DK3883,Q$1:DK$1,Dashboard!$K$31)</f>
        <v>0</v>
      </c>
      <c r="U3883" s="95">
        <v>33</v>
      </c>
      <c r="AA3883" s="95">
        <v>25</v>
      </c>
      <c r="AH3883" s="95">
        <v>75</v>
      </c>
    </row>
    <row r="3884" spans="1:34" ht="15.6" x14ac:dyDescent="0.3">
      <c r="A3884" s="89" t="str">
        <f>CONCATENATE(D3884,".",F3884,"-",G3884,".",H3884,"")</f>
        <v>3.2-7.1</v>
      </c>
      <c r="B3884" s="89" t="str">
        <f>IF(CONCATENATE(I3884,Key!F$2)=CONCATENATE(INDEX(Dashboard!J:J,MATCH(I3884,Dashboard!J:J,0),1),INDEX(Dashboard!J:K,MATCH(I3884,Dashboard!J:J,0),2)),"ON",IF(Dashboard!K$32="ALL","ON","-"))</f>
        <v>-</v>
      </c>
      <c r="C3884" s="88" t="s">
        <v>311</v>
      </c>
      <c r="D3884" s="89">
        <f>IF(C3884="ID",1,(IF(C3884="PR",2,(IF(C3884="DE",3,(IF(C3884="RS",4,(IF(C3884="RC",5,0)))))))))</f>
        <v>3</v>
      </c>
      <c r="E3884" s="89" t="s">
        <v>316</v>
      </c>
      <c r="F3884" s="89">
        <f>IF(E3884="AM",1,(IF(E3884="BE",2,(IF(E3884="GV",3,(IF(E3884="RA",4,(IF(E3884="RM",5,(IF(E3884="AC",1,(IF(E3884="AT",2,(IF(E3884="DS",3,(IF(E3884="IP",4,(IF(E3884="MA",5,(IF(E3884="PT",6,(IF(E3884="AE",1,(IF(E3884="CM",2,(IF(E3884="DP",3,(IF(E3884="AN",1,(IF(E3884="CO",2,(IF(E3884="IM",3,(IF(E3884="MI",4,(IF(E3884="RP",5,(IF(E3884="SC",6,0)))))))))))))))))))))))))))))))))))))))</f>
        <v>2</v>
      </c>
      <c r="G3884" s="52">
        <v>7</v>
      </c>
      <c r="H3884" s="90" t="s">
        <v>115</v>
      </c>
      <c r="I3884" s="93" t="s">
        <v>77</v>
      </c>
      <c r="J3884" s="87" t="s">
        <v>1885</v>
      </c>
      <c r="K3884" s="102" t="s">
        <v>2786</v>
      </c>
      <c r="L3884" s="117">
        <f>IF(O3884="","",N3884*O3884*M3884)</f>
        <v>0</v>
      </c>
      <c r="M3884" s="108">
        <v>1</v>
      </c>
      <c r="N3884" s="95">
        <v>1</v>
      </c>
      <c r="O3884" s="109">
        <f>IF(Key!D$1="ON",P3884,IF(SUM(Q3884:DL3884)&lt;1,"",SUM(Q3884:DL3884)/COUNTIF(Q3884:DL3884,"&gt;0")))</f>
        <v>0</v>
      </c>
      <c r="P3884" s="109">
        <f>SUMIFS(Q3884:DK3884,Q$1:DK$1,Dashboard!$K$31)</f>
        <v>0</v>
      </c>
      <c r="U3884" s="95">
        <v>33</v>
      </c>
      <c r="AA3884" s="95">
        <v>25</v>
      </c>
      <c r="AH3884" s="95">
        <v>75</v>
      </c>
    </row>
    <row r="3885" spans="1:34" ht="15.6" x14ac:dyDescent="0.3">
      <c r="A3885" s="89" t="str">
        <f>CONCATENATE(D3885,".",F3885,"-",G3885,".",H3885,"")</f>
        <v>3.2-7.1</v>
      </c>
      <c r="B3885" s="89" t="str">
        <f>IF(CONCATENATE(I3885,Key!F$2)=CONCATENATE(INDEX(Dashboard!J:J,MATCH(I3885,Dashboard!J:J,0),1),INDEX(Dashboard!J:K,MATCH(I3885,Dashboard!J:J,0),2)),"ON",IF(Dashboard!K$32="ALL","ON","-"))</f>
        <v>-</v>
      </c>
      <c r="C3885" s="88" t="s">
        <v>311</v>
      </c>
      <c r="D3885" s="89">
        <f>IF(C3885="ID",1,(IF(C3885="PR",2,(IF(C3885="DE",3,(IF(C3885="RS",4,(IF(C3885="RC",5,0)))))))))</f>
        <v>3</v>
      </c>
      <c r="E3885" s="89" t="s">
        <v>316</v>
      </c>
      <c r="F3885" s="89">
        <f>IF(E3885="AM",1,(IF(E3885="BE",2,(IF(E3885="GV",3,(IF(E3885="RA",4,(IF(E3885="RM",5,(IF(E3885="AC",1,(IF(E3885="AT",2,(IF(E3885="DS",3,(IF(E3885="IP",4,(IF(E3885="MA",5,(IF(E3885="PT",6,(IF(E3885="AE",1,(IF(E3885="CM",2,(IF(E3885="DP",3,(IF(E3885="AN",1,(IF(E3885="CO",2,(IF(E3885="IM",3,(IF(E3885="MI",4,(IF(E3885="RP",5,(IF(E3885="SC",6,0)))))))))))))))))))))))))))))))))))))))</f>
        <v>2</v>
      </c>
      <c r="G3885" s="52">
        <v>7</v>
      </c>
      <c r="H3885" s="90" t="s">
        <v>115</v>
      </c>
      <c r="I3885" s="93" t="s">
        <v>77</v>
      </c>
      <c r="J3885" s="87" t="s">
        <v>1886</v>
      </c>
      <c r="K3885" s="102" t="s">
        <v>2787</v>
      </c>
      <c r="L3885" s="117">
        <f>IF(O3885="","",N3885*O3885*M3885)</f>
        <v>0</v>
      </c>
      <c r="M3885" s="108">
        <v>1</v>
      </c>
      <c r="N3885" s="95">
        <v>1</v>
      </c>
      <c r="O3885" s="109">
        <f>IF(Key!D$1="ON",P3885,IF(SUM(Q3885:DL3885)&lt;1,"",SUM(Q3885:DL3885)/COUNTIF(Q3885:DL3885,"&gt;0")))</f>
        <v>0</v>
      </c>
      <c r="P3885" s="109">
        <f>SUMIFS(Q3885:DK3885,Q$1:DK$1,Dashboard!$K$31)</f>
        <v>0</v>
      </c>
      <c r="U3885" s="95">
        <v>33</v>
      </c>
      <c r="AA3885" s="95">
        <v>25</v>
      </c>
      <c r="AH3885" s="95">
        <v>75</v>
      </c>
    </row>
    <row r="3886" spans="1:34" ht="15.6" x14ac:dyDescent="0.3">
      <c r="A3886" s="89" t="str">
        <f>CONCATENATE(D3886,".",F3886,"-",G3886,".",H3886,"")</f>
        <v>3.2-7.1</v>
      </c>
      <c r="B3886" s="89" t="str">
        <f>IF(CONCATENATE(I3886,Key!F$2)=CONCATENATE(INDEX(Dashboard!J:J,MATCH(I3886,Dashboard!J:J,0),1),INDEX(Dashboard!J:K,MATCH(I3886,Dashboard!J:J,0),2)),"ON",IF(Dashboard!K$32="ALL","ON","-"))</f>
        <v>-</v>
      </c>
      <c r="C3886" s="88" t="s">
        <v>311</v>
      </c>
      <c r="D3886" s="89">
        <f>IF(C3886="ID",1,(IF(C3886="PR",2,(IF(C3886="DE",3,(IF(C3886="RS",4,(IF(C3886="RC",5,0)))))))))</f>
        <v>3</v>
      </c>
      <c r="E3886" s="89" t="s">
        <v>316</v>
      </c>
      <c r="F3886" s="89">
        <f>IF(E3886="AM",1,(IF(E3886="BE",2,(IF(E3886="GV",3,(IF(E3886="RA",4,(IF(E3886="RM",5,(IF(E3886="AC",1,(IF(E3886="AT",2,(IF(E3886="DS",3,(IF(E3886="IP",4,(IF(E3886="MA",5,(IF(E3886="PT",6,(IF(E3886="AE",1,(IF(E3886="CM",2,(IF(E3886="DP",3,(IF(E3886="AN",1,(IF(E3886="CO",2,(IF(E3886="IM",3,(IF(E3886="MI",4,(IF(E3886="RP",5,(IF(E3886="SC",6,0)))))))))))))))))))))))))))))))))))))))</f>
        <v>2</v>
      </c>
      <c r="G3886" s="52">
        <v>7</v>
      </c>
      <c r="H3886" s="90" t="s">
        <v>115</v>
      </c>
      <c r="I3886" s="93" t="s">
        <v>77</v>
      </c>
      <c r="J3886" s="87" t="s">
        <v>1887</v>
      </c>
      <c r="K3886" s="102" t="s">
        <v>2788</v>
      </c>
      <c r="L3886" s="117">
        <f>IF(O3886="","",N3886*O3886*M3886)</f>
        <v>0</v>
      </c>
      <c r="M3886" s="108">
        <v>1</v>
      </c>
      <c r="N3886" s="95">
        <v>1</v>
      </c>
      <c r="O3886" s="109">
        <f>IF(Key!D$1="ON",P3886,IF(SUM(Q3886:DL3886)&lt;1,"",SUM(Q3886:DL3886)/COUNTIF(Q3886:DL3886,"&gt;0")))</f>
        <v>0</v>
      </c>
      <c r="P3886" s="109">
        <f>SUMIFS(Q3886:DK3886,Q$1:DK$1,Dashboard!$K$31)</f>
        <v>0</v>
      </c>
      <c r="U3886" s="95">
        <v>33</v>
      </c>
      <c r="AA3886" s="95">
        <v>25</v>
      </c>
      <c r="AH3886" s="95">
        <v>75</v>
      </c>
    </row>
    <row r="3887" spans="1:34" ht="15.6" x14ac:dyDescent="0.3">
      <c r="A3887" s="89" t="str">
        <f>CONCATENATE(D3887,".",F3887,"-",G3887,".",H3887,"")</f>
        <v>3.2-7.1</v>
      </c>
      <c r="B3887" s="89" t="str">
        <f>IF(CONCATENATE(I3887,Key!F$2)=CONCATENATE(INDEX(Dashboard!J:J,MATCH(I3887,Dashboard!J:J,0),1),INDEX(Dashboard!J:K,MATCH(I3887,Dashboard!J:J,0),2)),"ON",IF(Dashboard!K$32="ALL","ON","-"))</f>
        <v>-</v>
      </c>
      <c r="C3887" s="88" t="s">
        <v>311</v>
      </c>
      <c r="D3887" s="89">
        <f>IF(C3887="ID",1,(IF(C3887="PR",2,(IF(C3887="DE",3,(IF(C3887="RS",4,(IF(C3887="RC",5,0)))))))))</f>
        <v>3</v>
      </c>
      <c r="E3887" s="89" t="s">
        <v>316</v>
      </c>
      <c r="F3887" s="89">
        <f>IF(E3887="AM",1,(IF(E3887="BE",2,(IF(E3887="GV",3,(IF(E3887="RA",4,(IF(E3887="RM",5,(IF(E3887="AC",1,(IF(E3887="AT",2,(IF(E3887="DS",3,(IF(E3887="IP",4,(IF(E3887="MA",5,(IF(E3887="PT",6,(IF(E3887="AE",1,(IF(E3887="CM",2,(IF(E3887="DP",3,(IF(E3887="AN",1,(IF(E3887="CO",2,(IF(E3887="IM",3,(IF(E3887="MI",4,(IF(E3887="RP",5,(IF(E3887="SC",6,0)))))))))))))))))))))))))))))))))))))))</f>
        <v>2</v>
      </c>
      <c r="G3887" s="52">
        <v>7</v>
      </c>
      <c r="H3887" s="90" t="s">
        <v>115</v>
      </c>
      <c r="I3887" s="93" t="s">
        <v>77</v>
      </c>
      <c r="J3887" s="87" t="s">
        <v>925</v>
      </c>
      <c r="K3887" s="102" t="s">
        <v>2013</v>
      </c>
      <c r="L3887" s="117">
        <f>IF(O3887="","",N3887*O3887*M3887)</f>
        <v>0</v>
      </c>
      <c r="M3887" s="108">
        <v>1</v>
      </c>
      <c r="N3887" s="95">
        <v>1</v>
      </c>
      <c r="O3887" s="109">
        <f>IF(Key!D$1="ON",P3887,IF(SUM(Q3887:DL3887)&lt;1,"",SUM(Q3887:DL3887)/COUNTIF(Q3887:DL3887,"&gt;0")))</f>
        <v>0</v>
      </c>
      <c r="P3887" s="109">
        <f>SUMIFS(Q3887:DK3887,Q$1:DK$1,Dashboard!$K$31)</f>
        <v>0</v>
      </c>
      <c r="U3887" s="95">
        <v>33</v>
      </c>
      <c r="AA3887" s="95">
        <v>25</v>
      </c>
      <c r="AH3887" s="95">
        <v>75</v>
      </c>
    </row>
    <row r="3888" spans="1:34" ht="15.6" x14ac:dyDescent="0.3">
      <c r="A3888" s="89" t="str">
        <f>CONCATENATE(D3888,".",F3888,"-",G3888,".",H3888,"")</f>
        <v>3.2-7.1</v>
      </c>
      <c r="B3888" s="89" t="str">
        <f>IF(CONCATENATE(I3888,Key!F$2)=CONCATENATE(INDEX(Dashboard!J:J,MATCH(I3888,Dashboard!J:J,0),1),INDEX(Dashboard!J:K,MATCH(I3888,Dashboard!J:J,0),2)),"ON",IF(Dashboard!K$32="ALL","ON","-"))</f>
        <v>-</v>
      </c>
      <c r="C3888" s="88" t="s">
        <v>311</v>
      </c>
      <c r="D3888" s="89">
        <f>IF(C3888="ID",1,(IF(C3888="PR",2,(IF(C3888="DE",3,(IF(C3888="RS",4,(IF(C3888="RC",5,0)))))))))</f>
        <v>3</v>
      </c>
      <c r="E3888" s="89" t="s">
        <v>316</v>
      </c>
      <c r="F3888" s="89">
        <f>IF(E3888="AM",1,(IF(E3888="BE",2,(IF(E3888="GV",3,(IF(E3888="RA",4,(IF(E3888="RM",5,(IF(E3888="AC",1,(IF(E3888="AT",2,(IF(E3888="DS",3,(IF(E3888="IP",4,(IF(E3888="MA",5,(IF(E3888="PT",6,(IF(E3888="AE",1,(IF(E3888="CM",2,(IF(E3888="DP",3,(IF(E3888="AN",1,(IF(E3888="CO",2,(IF(E3888="IM",3,(IF(E3888="MI",4,(IF(E3888="RP",5,(IF(E3888="SC",6,0)))))))))))))))))))))))))))))))))))))))</f>
        <v>2</v>
      </c>
      <c r="G3888" s="52">
        <v>7</v>
      </c>
      <c r="H3888" s="90" t="s">
        <v>115</v>
      </c>
      <c r="I3888" s="93" t="s">
        <v>77</v>
      </c>
      <c r="J3888" s="87" t="s">
        <v>920</v>
      </c>
      <c r="K3888" s="102" t="s">
        <v>2009</v>
      </c>
      <c r="L3888" s="117">
        <f>IF(O3888="","",N3888*O3888*M3888)</f>
        <v>0</v>
      </c>
      <c r="M3888" s="108">
        <v>1</v>
      </c>
      <c r="N3888" s="95">
        <v>1</v>
      </c>
      <c r="O3888" s="109">
        <f>IF(Key!D$1="ON",P3888,IF(SUM(Q3888:DL3888)&lt;1,"",SUM(Q3888:DL3888)/COUNTIF(Q3888:DL3888,"&gt;0")))</f>
        <v>0</v>
      </c>
      <c r="P3888" s="109">
        <f>SUMIFS(Q3888:DK3888,Q$1:DK$1,Dashboard!$K$31)</f>
        <v>0</v>
      </c>
      <c r="U3888" s="95">
        <v>33</v>
      </c>
      <c r="AA3888" s="95">
        <v>25</v>
      </c>
      <c r="AH3888" s="95">
        <v>75</v>
      </c>
    </row>
    <row r="3889" spans="1:34" ht="15.6" x14ac:dyDescent="0.3">
      <c r="A3889" s="89" t="str">
        <f>CONCATENATE(D3889,".",F3889,"-",G3889,".",H3889,"")</f>
        <v>3.2-7.1</v>
      </c>
      <c r="B3889" s="89" t="str">
        <f>IF(CONCATENATE(I3889,Key!F$2)=CONCATENATE(INDEX(Dashboard!J:J,MATCH(I3889,Dashboard!J:J,0),1),INDEX(Dashboard!J:K,MATCH(I3889,Dashboard!J:J,0),2)),"ON",IF(Dashboard!K$32="ALL","ON","-"))</f>
        <v>-</v>
      </c>
      <c r="C3889" s="88" t="s">
        <v>311</v>
      </c>
      <c r="D3889" s="89">
        <f>IF(C3889="ID",1,(IF(C3889="PR",2,(IF(C3889="DE",3,(IF(C3889="RS",4,(IF(C3889="RC",5,0)))))))))</f>
        <v>3</v>
      </c>
      <c r="E3889" s="89" t="s">
        <v>316</v>
      </c>
      <c r="F3889" s="89">
        <f>IF(E3889="AM",1,(IF(E3889="BE",2,(IF(E3889="GV",3,(IF(E3889="RA",4,(IF(E3889="RM",5,(IF(E3889="AC",1,(IF(E3889="AT",2,(IF(E3889="DS",3,(IF(E3889="IP",4,(IF(E3889="MA",5,(IF(E3889="PT",6,(IF(E3889="AE",1,(IF(E3889="CM",2,(IF(E3889="DP",3,(IF(E3889="AN",1,(IF(E3889="CO",2,(IF(E3889="IM",3,(IF(E3889="MI",4,(IF(E3889="RP",5,(IF(E3889="SC",6,0)))))))))))))))))))))))))))))))))))))))</f>
        <v>2</v>
      </c>
      <c r="G3889" s="98">
        <v>7</v>
      </c>
      <c r="H3889" s="90" t="s">
        <v>115</v>
      </c>
      <c r="I3889" s="93" t="s">
        <v>77</v>
      </c>
      <c r="J3889" s="87" t="s">
        <v>1888</v>
      </c>
      <c r="K3889" s="102" t="s">
        <v>2789</v>
      </c>
      <c r="L3889" s="117">
        <f>IF(O3889="","",N3889*O3889*M3889)</f>
        <v>0</v>
      </c>
      <c r="M3889" s="108">
        <v>1</v>
      </c>
      <c r="N3889" s="95">
        <v>1</v>
      </c>
      <c r="O3889" s="109">
        <f>IF(Key!D$1="ON",P3889,IF(SUM(Q3889:DL3889)&lt;1,"",SUM(Q3889:DL3889)/COUNTIF(Q3889:DL3889,"&gt;0")))</f>
        <v>0</v>
      </c>
      <c r="P3889" s="109">
        <f>SUMIFS(Q3889:DK3889,Q$1:DK$1,Dashboard!$K$31)</f>
        <v>0</v>
      </c>
      <c r="U3889" s="95">
        <v>33</v>
      </c>
      <c r="AA3889" s="95">
        <v>25</v>
      </c>
      <c r="AH3889" s="95">
        <v>75</v>
      </c>
    </row>
    <row r="3890" spans="1:34" ht="15.6" x14ac:dyDescent="0.3">
      <c r="A3890" s="89" t="str">
        <f>CONCATENATE(D3890,".",F3890,"-",G3890,".",H3890,"")</f>
        <v>3.2-7.1</v>
      </c>
      <c r="B3890" s="89" t="str">
        <f>IF(CONCATENATE(I3890,Key!F$2)=CONCATENATE(INDEX(Dashboard!J:J,MATCH(I3890,Dashboard!J:J,0),1),INDEX(Dashboard!J:K,MATCH(I3890,Dashboard!J:J,0),2)),"ON",IF(Dashboard!K$32="ALL","ON","-"))</f>
        <v>-</v>
      </c>
      <c r="C3890" s="88" t="s">
        <v>311</v>
      </c>
      <c r="D3890" s="89">
        <f>IF(C3890="ID",1,(IF(C3890="PR",2,(IF(C3890="DE",3,(IF(C3890="RS",4,(IF(C3890="RC",5,0)))))))))</f>
        <v>3</v>
      </c>
      <c r="E3890" s="89" t="s">
        <v>316</v>
      </c>
      <c r="F3890" s="89">
        <f>IF(E3890="AM",1,(IF(E3890="BE",2,(IF(E3890="GV",3,(IF(E3890="RA",4,(IF(E3890="RM",5,(IF(E3890="AC",1,(IF(E3890="AT",2,(IF(E3890="DS",3,(IF(E3890="IP",4,(IF(E3890="MA",5,(IF(E3890="PT",6,(IF(E3890="AE",1,(IF(E3890="CM",2,(IF(E3890="DP",3,(IF(E3890="AN",1,(IF(E3890="CO",2,(IF(E3890="IM",3,(IF(E3890="MI",4,(IF(E3890="RP",5,(IF(E3890="SC",6,0)))))))))))))))))))))))))))))))))))))))</f>
        <v>2</v>
      </c>
      <c r="G3890" s="52">
        <v>7</v>
      </c>
      <c r="H3890" s="90" t="s">
        <v>115</v>
      </c>
      <c r="I3890" s="93" t="s">
        <v>85</v>
      </c>
      <c r="J3890" s="135" t="s">
        <v>851</v>
      </c>
      <c r="K3890" s="143" t="s">
        <v>5036</v>
      </c>
      <c r="L3890" s="117">
        <f>IF(O3890="","",N3890*O3890*M3890)</f>
        <v>0</v>
      </c>
      <c r="M3890" s="108">
        <v>1</v>
      </c>
      <c r="N3890" s="95">
        <v>1</v>
      </c>
      <c r="O3890" s="109">
        <f>IF(Key!D$1="ON",P3890,IF(SUM(Q3890:DL3890)&lt;1,"",SUM(Q3890:DL3890)/COUNTIF(Q3890:DL3890,"&gt;0")))</f>
        <v>0</v>
      </c>
      <c r="P3890" s="109">
        <f>SUMIFS(Q3890:DK3890,Q$1:DK$1,Dashboard!$K$31)</f>
        <v>0</v>
      </c>
      <c r="U3890" s="95">
        <v>33</v>
      </c>
      <c r="AA3890" s="95">
        <v>25</v>
      </c>
      <c r="AH3890" s="95">
        <v>75</v>
      </c>
    </row>
    <row r="3891" spans="1:34" ht="15.6" x14ac:dyDescent="0.3">
      <c r="A3891" s="89" t="str">
        <f>CONCATENATE(D3891,".",F3891,"-",G3891,".",H3891,"")</f>
        <v>3.2-7.1</v>
      </c>
      <c r="B3891" s="89" t="str">
        <f>IF(CONCATENATE(I3891,Key!F$2)=CONCATENATE(INDEX(Dashboard!J:J,MATCH(I3891,Dashboard!J:J,0),1),INDEX(Dashboard!J:K,MATCH(I3891,Dashboard!J:J,0),2)),"ON",IF(Dashboard!K$32="ALL","ON","-"))</f>
        <v>-</v>
      </c>
      <c r="C3891" s="88" t="s">
        <v>311</v>
      </c>
      <c r="D3891" s="89">
        <f>IF(C3891="ID",1,(IF(C3891="PR",2,(IF(C3891="DE",3,(IF(C3891="RS",4,(IF(C3891="RC",5,0)))))))))</f>
        <v>3</v>
      </c>
      <c r="E3891" s="89" t="s">
        <v>316</v>
      </c>
      <c r="F3891" s="89">
        <f>IF(E3891="AM",1,(IF(E3891="BE",2,(IF(E3891="GV",3,(IF(E3891="RA",4,(IF(E3891="RM",5,(IF(E3891="AC",1,(IF(E3891="AT",2,(IF(E3891="DS",3,(IF(E3891="IP",4,(IF(E3891="MA",5,(IF(E3891="PT",6,(IF(E3891="AE",1,(IF(E3891="CM",2,(IF(E3891="DP",3,(IF(E3891="AN",1,(IF(E3891="CO",2,(IF(E3891="IM",3,(IF(E3891="MI",4,(IF(E3891="RP",5,(IF(E3891="SC",6,0)))))))))))))))))))))))))))))))))))))))</f>
        <v>2</v>
      </c>
      <c r="G3891" s="52">
        <v>7</v>
      </c>
      <c r="H3891" s="90" t="s">
        <v>115</v>
      </c>
      <c r="I3891" s="93" t="s">
        <v>85</v>
      </c>
      <c r="J3891" s="86" t="s">
        <v>3909</v>
      </c>
      <c r="K3891" s="119" t="s">
        <v>4707</v>
      </c>
      <c r="L3891" s="117">
        <f>IF(O3891="","",N3891*O3891*M3891)</f>
        <v>0</v>
      </c>
      <c r="M3891" s="108">
        <v>1</v>
      </c>
      <c r="N3891" s="95">
        <v>1</v>
      </c>
      <c r="O3891" s="109">
        <f>IF(Key!D$1="ON",P3891,IF(SUM(Q3891:DL3891)&lt;1,"",SUM(Q3891:DL3891)/COUNTIF(Q3891:DL3891,"&gt;0")))</f>
        <v>0</v>
      </c>
      <c r="P3891" s="109">
        <f>SUMIFS(Q3891:DK3891,Q$1:DK$1,Dashboard!$K$31)</f>
        <v>0</v>
      </c>
      <c r="U3891" s="95">
        <v>33</v>
      </c>
      <c r="AA3891" s="95">
        <v>25</v>
      </c>
      <c r="AH3891" s="95">
        <v>75</v>
      </c>
    </row>
    <row r="3892" spans="1:34" ht="15.6" x14ac:dyDescent="0.3">
      <c r="A3892" s="89" t="str">
        <f>CONCATENATE(D3892,".",F3892,"-",G3892,".",H3892,"")</f>
        <v>3.2-7.1</v>
      </c>
      <c r="B3892" s="89" t="str">
        <f>IF(CONCATENATE(I3892,Key!F$2)=CONCATENATE(INDEX(Dashboard!J:J,MATCH(I3892,Dashboard!J:J,0),1),INDEX(Dashboard!J:K,MATCH(I3892,Dashboard!J:J,0),2)),"ON",IF(Dashboard!K$32="ALL","ON","-"))</f>
        <v>-</v>
      </c>
      <c r="C3892" s="88" t="s">
        <v>311</v>
      </c>
      <c r="D3892" s="89">
        <f>IF(C3892="ID",1,(IF(C3892="PR",2,(IF(C3892="DE",3,(IF(C3892="RS",4,(IF(C3892="RC",5,0)))))))))</f>
        <v>3</v>
      </c>
      <c r="E3892" s="89" t="s">
        <v>316</v>
      </c>
      <c r="F3892" s="89">
        <f>IF(E3892="AM",1,(IF(E3892="BE",2,(IF(E3892="GV",3,(IF(E3892="RA",4,(IF(E3892="RM",5,(IF(E3892="AC",1,(IF(E3892="AT",2,(IF(E3892="DS",3,(IF(E3892="IP",4,(IF(E3892="MA",5,(IF(E3892="PT",6,(IF(E3892="AE",1,(IF(E3892="CM",2,(IF(E3892="DP",3,(IF(E3892="AN",1,(IF(E3892="CO",2,(IF(E3892="IM",3,(IF(E3892="MI",4,(IF(E3892="RP",5,(IF(E3892="SC",6,0)))))))))))))))))))))))))))))))))))))))</f>
        <v>2</v>
      </c>
      <c r="G3892" s="52">
        <v>7</v>
      </c>
      <c r="H3892" s="90" t="s">
        <v>115</v>
      </c>
      <c r="I3892" s="93" t="s">
        <v>85</v>
      </c>
      <c r="J3892" s="87" t="s">
        <v>920</v>
      </c>
      <c r="K3892" s="119" t="s">
        <v>4696</v>
      </c>
      <c r="L3892" s="117">
        <f>IF(O3892="","",N3892*O3892*M3892)</f>
        <v>0</v>
      </c>
      <c r="M3892" s="108">
        <v>1</v>
      </c>
      <c r="N3892" s="95">
        <v>1</v>
      </c>
      <c r="O3892" s="109">
        <f>IF(Key!D$1="ON",P3892,IF(SUM(Q3892:DL3892)&lt;1,"",SUM(Q3892:DL3892)/COUNTIF(Q3892:DL3892,"&gt;0")))</f>
        <v>0</v>
      </c>
      <c r="P3892" s="109">
        <f>SUMIFS(Q3892:DK3892,Q$1:DK$1,Dashboard!$K$31)</f>
        <v>0</v>
      </c>
      <c r="U3892" s="95">
        <v>33</v>
      </c>
      <c r="AA3892" s="95">
        <v>25</v>
      </c>
      <c r="AH3892" s="95">
        <v>75</v>
      </c>
    </row>
    <row r="3893" spans="1:34" ht="15.6" x14ac:dyDescent="0.3">
      <c r="A3893" s="89" t="str">
        <f>CONCATENATE(D3893,".",F3893,"-",G3893,".",H3893,"")</f>
        <v>3.2-7.1</v>
      </c>
      <c r="B3893" s="89" t="str">
        <f>IF(CONCATENATE(I3893,Key!F$2)=CONCATENATE(INDEX(Dashboard!J:J,MATCH(I3893,Dashboard!J:J,0),1),INDEX(Dashboard!J:K,MATCH(I3893,Dashboard!J:J,0),2)),"ON",IF(Dashboard!K$32="ALL","ON","-"))</f>
        <v>-</v>
      </c>
      <c r="C3893" s="88" t="s">
        <v>311</v>
      </c>
      <c r="D3893" s="89">
        <f>IF(C3893="ID",1,(IF(C3893="PR",2,(IF(C3893="DE",3,(IF(C3893="RS",4,(IF(C3893="RC",5,0)))))))))</f>
        <v>3</v>
      </c>
      <c r="E3893" s="89" t="s">
        <v>316</v>
      </c>
      <c r="F3893" s="89">
        <f>IF(E3893="AM",1,(IF(E3893="BE",2,(IF(E3893="GV",3,(IF(E3893="RA",4,(IF(E3893="RM",5,(IF(E3893="AC",1,(IF(E3893="AT",2,(IF(E3893="DS",3,(IF(E3893="IP",4,(IF(E3893="MA",5,(IF(E3893="PT",6,(IF(E3893="AE",1,(IF(E3893="CM",2,(IF(E3893="DP",3,(IF(E3893="AN",1,(IF(E3893="CO",2,(IF(E3893="IM",3,(IF(E3893="MI",4,(IF(E3893="RP",5,(IF(E3893="SC",6,0)))))))))))))))))))))))))))))))))))))))</f>
        <v>2</v>
      </c>
      <c r="G3893" s="52">
        <v>7</v>
      </c>
      <c r="H3893" s="90" t="s">
        <v>115</v>
      </c>
      <c r="I3893" s="93" t="s">
        <v>85</v>
      </c>
      <c r="J3893" s="87" t="s">
        <v>1397</v>
      </c>
      <c r="K3893" s="119" t="s">
        <v>4506</v>
      </c>
      <c r="L3893" s="117">
        <f>IF(O3893="","",N3893*O3893*M3893)</f>
        <v>0</v>
      </c>
      <c r="M3893" s="108">
        <v>1</v>
      </c>
      <c r="N3893" s="95">
        <v>1</v>
      </c>
      <c r="O3893" s="109">
        <f>IF(Key!D$1="ON",P3893,IF(SUM(Q3893:DL3893)&lt;1,"",SUM(Q3893:DL3893)/COUNTIF(Q3893:DL3893,"&gt;0")))</f>
        <v>0</v>
      </c>
      <c r="P3893" s="109">
        <f>SUMIFS(Q3893:DK3893,Q$1:DK$1,Dashboard!$K$31)</f>
        <v>0</v>
      </c>
      <c r="U3893" s="95">
        <v>33</v>
      </c>
      <c r="AA3893" s="95">
        <v>25</v>
      </c>
      <c r="AH3893" s="95">
        <v>75</v>
      </c>
    </row>
    <row r="3894" spans="1:34" ht="15.6" x14ac:dyDescent="0.3">
      <c r="A3894" s="89" t="str">
        <f>CONCATENATE(D3894,".",F3894,"-",G3894,".",H3894,"")</f>
        <v>3.2-7.1</v>
      </c>
      <c r="B3894" s="89" t="str">
        <f>IF(CONCATENATE(I3894,Key!F$2)=CONCATENATE(INDEX(Dashboard!J:J,MATCH(I3894,Dashboard!J:J,0),1),INDEX(Dashboard!J:K,MATCH(I3894,Dashboard!J:J,0),2)),"ON",IF(Dashboard!K$32="ALL","ON","-"))</f>
        <v>-</v>
      </c>
      <c r="C3894" s="88" t="s">
        <v>311</v>
      </c>
      <c r="D3894" s="89">
        <f>IF(C3894="ID",1,(IF(C3894="PR",2,(IF(C3894="DE",3,(IF(C3894="RS",4,(IF(C3894="RC",5,0)))))))))</f>
        <v>3</v>
      </c>
      <c r="E3894" s="89" t="s">
        <v>316</v>
      </c>
      <c r="F3894" s="89">
        <f>IF(E3894="AM",1,(IF(E3894="BE",2,(IF(E3894="GV",3,(IF(E3894="RA",4,(IF(E3894="RM",5,(IF(E3894="AC",1,(IF(E3894="AT",2,(IF(E3894="DS",3,(IF(E3894="IP",4,(IF(E3894="MA",5,(IF(E3894="PT",6,(IF(E3894="AE",1,(IF(E3894="CM",2,(IF(E3894="DP",3,(IF(E3894="AN",1,(IF(E3894="CO",2,(IF(E3894="IM",3,(IF(E3894="MI",4,(IF(E3894="RP",5,(IF(E3894="SC",6,0)))))))))))))))))))))))))))))))))))))))</f>
        <v>2</v>
      </c>
      <c r="G3894" s="98">
        <v>7</v>
      </c>
      <c r="H3894" s="90" t="s">
        <v>115</v>
      </c>
      <c r="I3894" s="93" t="s">
        <v>85</v>
      </c>
      <c r="J3894" s="87" t="s">
        <v>1880</v>
      </c>
      <c r="K3894" s="119" t="s">
        <v>4524</v>
      </c>
      <c r="L3894" s="117">
        <f>IF(O3894="","",N3894*O3894*M3894)</f>
        <v>0</v>
      </c>
      <c r="M3894" s="108">
        <v>1</v>
      </c>
      <c r="N3894" s="95">
        <v>1</v>
      </c>
      <c r="O3894" s="109">
        <f>IF(Key!D$1="ON",P3894,IF(SUM(Q3894:DL3894)&lt;1,"",SUM(Q3894:DL3894)/COUNTIF(Q3894:DL3894,"&gt;0")))</f>
        <v>0</v>
      </c>
      <c r="P3894" s="109">
        <f>SUMIFS(Q3894:DK3894,Q$1:DK$1,Dashboard!$K$31)</f>
        <v>0</v>
      </c>
      <c r="U3894" s="95">
        <v>33</v>
      </c>
      <c r="AA3894" s="95">
        <v>25</v>
      </c>
      <c r="AH3894" s="95">
        <v>75</v>
      </c>
    </row>
    <row r="3895" spans="1:34" ht="15.6" x14ac:dyDescent="0.3">
      <c r="A3895" s="89" t="str">
        <f>CONCATENATE(D3895,".",F3895,"-",G3895,".",H3895,"")</f>
        <v>3.2-7.1</v>
      </c>
      <c r="B3895" s="89" t="str">
        <f>IF(CONCATENATE(I3895,Key!F$2)=CONCATENATE(INDEX(Dashboard!J:J,MATCH(I3895,Dashboard!J:J,0),1),INDEX(Dashboard!J:K,MATCH(I3895,Dashboard!J:J,0),2)),"ON",IF(Dashboard!K$32="ALL","ON","-"))</f>
        <v>-</v>
      </c>
      <c r="C3895" s="88" t="s">
        <v>311</v>
      </c>
      <c r="D3895" s="89">
        <f>IF(C3895="ID",1,(IF(C3895="PR",2,(IF(C3895="DE",3,(IF(C3895="RS",4,(IF(C3895="RC",5,0)))))))))</f>
        <v>3</v>
      </c>
      <c r="E3895" s="89" t="s">
        <v>316</v>
      </c>
      <c r="F3895" s="89">
        <f>IF(E3895="AM",1,(IF(E3895="BE",2,(IF(E3895="GV",3,(IF(E3895="RA",4,(IF(E3895="RM",5,(IF(E3895="AC",1,(IF(E3895="AT",2,(IF(E3895="DS",3,(IF(E3895="IP",4,(IF(E3895="MA",5,(IF(E3895="PT",6,(IF(E3895="AE",1,(IF(E3895="CM",2,(IF(E3895="DP",3,(IF(E3895="AN",1,(IF(E3895="CO",2,(IF(E3895="IM",3,(IF(E3895="MI",4,(IF(E3895="RP",5,(IF(E3895="SC",6,0)))))))))))))))))))))))))))))))))))))))</f>
        <v>2</v>
      </c>
      <c r="G3895" s="98">
        <v>7</v>
      </c>
      <c r="H3895" s="90" t="s">
        <v>115</v>
      </c>
      <c r="I3895" s="93" t="s">
        <v>85</v>
      </c>
      <c r="J3895" s="87" t="s">
        <v>1881</v>
      </c>
      <c r="K3895" s="119" t="s">
        <v>4526</v>
      </c>
      <c r="L3895" s="117">
        <f>IF(O3895="","",N3895*O3895*M3895)</f>
        <v>0</v>
      </c>
      <c r="M3895" s="108">
        <v>1</v>
      </c>
      <c r="N3895" s="95">
        <v>1</v>
      </c>
      <c r="O3895" s="109">
        <f>IF(Key!D$1="ON",P3895,IF(SUM(Q3895:DL3895)&lt;1,"",SUM(Q3895:DL3895)/COUNTIF(Q3895:DL3895,"&gt;0")))</f>
        <v>0</v>
      </c>
      <c r="P3895" s="109">
        <f>SUMIFS(Q3895:DK3895,Q$1:DK$1,Dashboard!$K$31)</f>
        <v>0</v>
      </c>
      <c r="U3895" s="95">
        <v>33</v>
      </c>
      <c r="AA3895" s="95">
        <v>25</v>
      </c>
      <c r="AH3895" s="95">
        <v>75</v>
      </c>
    </row>
    <row r="3896" spans="1:34" ht="15.6" x14ac:dyDescent="0.3">
      <c r="A3896" s="89" t="str">
        <f>CONCATENATE(D3896,".",F3896,"-",G3896,".",H3896,"")</f>
        <v>3.2-7.1</v>
      </c>
      <c r="B3896" s="89" t="str">
        <f>IF(CONCATENATE(I3896,Key!F$2)=CONCATENATE(INDEX(Dashboard!J:J,MATCH(I3896,Dashboard!J:J,0),1),INDEX(Dashboard!J:K,MATCH(I3896,Dashboard!J:J,0),2)),"ON",IF(Dashboard!K$32="ALL","ON","-"))</f>
        <v>-</v>
      </c>
      <c r="C3896" s="88" t="s">
        <v>311</v>
      </c>
      <c r="D3896" s="89">
        <f>IF(C3896="ID",1,(IF(C3896="PR",2,(IF(C3896="DE",3,(IF(C3896="RS",4,(IF(C3896="RC",5,0)))))))))</f>
        <v>3</v>
      </c>
      <c r="E3896" s="89" t="s">
        <v>316</v>
      </c>
      <c r="F3896" s="89">
        <f>IF(E3896="AM",1,(IF(E3896="BE",2,(IF(E3896="GV",3,(IF(E3896="RA",4,(IF(E3896="RM",5,(IF(E3896="AC",1,(IF(E3896="AT",2,(IF(E3896="DS",3,(IF(E3896="IP",4,(IF(E3896="MA",5,(IF(E3896="PT",6,(IF(E3896="AE",1,(IF(E3896="CM",2,(IF(E3896="DP",3,(IF(E3896="AN",1,(IF(E3896="CO",2,(IF(E3896="IM",3,(IF(E3896="MI",4,(IF(E3896="RP",5,(IF(E3896="SC",6,0)))))))))))))))))))))))))))))))))))))))</f>
        <v>2</v>
      </c>
      <c r="G3896" s="98">
        <v>7</v>
      </c>
      <c r="H3896" s="90" t="s">
        <v>115</v>
      </c>
      <c r="I3896" s="93" t="s">
        <v>85</v>
      </c>
      <c r="J3896" s="87" t="s">
        <v>1882</v>
      </c>
      <c r="K3896" s="119" t="s">
        <v>4517</v>
      </c>
      <c r="L3896" s="117">
        <f>IF(O3896="","",N3896*O3896*M3896)</f>
        <v>0</v>
      </c>
      <c r="M3896" s="108">
        <v>1</v>
      </c>
      <c r="N3896" s="95">
        <v>1</v>
      </c>
      <c r="O3896" s="109">
        <f>IF(Key!D$1="ON",P3896,IF(SUM(Q3896:DL3896)&lt;1,"",SUM(Q3896:DL3896)/COUNTIF(Q3896:DL3896,"&gt;0")))</f>
        <v>0</v>
      </c>
      <c r="P3896" s="109">
        <f>SUMIFS(Q3896:DK3896,Q$1:DK$1,Dashboard!$K$31)</f>
        <v>0</v>
      </c>
      <c r="U3896" s="95">
        <v>33</v>
      </c>
      <c r="AA3896" s="95">
        <v>25</v>
      </c>
      <c r="AH3896" s="95">
        <v>75</v>
      </c>
    </row>
    <row r="3897" spans="1:34" ht="15.6" x14ac:dyDescent="0.3">
      <c r="A3897" s="89" t="str">
        <f>CONCATENATE(D3897,".",F3897,"-",G3897,".",H3897,"")</f>
        <v>3.2-7.1</v>
      </c>
      <c r="B3897" s="89" t="str">
        <f>IF(CONCATENATE(I3897,Key!F$2)=CONCATENATE(INDEX(Dashboard!J:J,MATCH(I3897,Dashboard!J:J,0),1),INDEX(Dashboard!J:K,MATCH(I3897,Dashboard!J:J,0),2)),"ON",IF(Dashboard!K$32="ALL","ON","-"))</f>
        <v>-</v>
      </c>
      <c r="C3897" s="88" t="s">
        <v>311</v>
      </c>
      <c r="D3897" s="89">
        <f>IF(C3897="ID",1,(IF(C3897="PR",2,(IF(C3897="DE",3,(IF(C3897="RS",4,(IF(C3897="RC",5,0)))))))))</f>
        <v>3</v>
      </c>
      <c r="E3897" s="89" t="s">
        <v>316</v>
      </c>
      <c r="F3897" s="89">
        <f>IF(E3897="AM",1,(IF(E3897="BE",2,(IF(E3897="GV",3,(IF(E3897="RA",4,(IF(E3897="RM",5,(IF(E3897="AC",1,(IF(E3897="AT",2,(IF(E3897="DS",3,(IF(E3897="IP",4,(IF(E3897="MA",5,(IF(E3897="PT",6,(IF(E3897="AE",1,(IF(E3897="CM",2,(IF(E3897="DP",3,(IF(E3897="AN",1,(IF(E3897="CO",2,(IF(E3897="IM",3,(IF(E3897="MI",4,(IF(E3897="RP",5,(IF(E3897="SC",6,0)))))))))))))))))))))))))))))))))))))))</f>
        <v>2</v>
      </c>
      <c r="G3897" s="52">
        <v>7</v>
      </c>
      <c r="H3897" s="90" t="s">
        <v>115</v>
      </c>
      <c r="I3897" s="93" t="s">
        <v>85</v>
      </c>
      <c r="J3897" s="87" t="s">
        <v>1879</v>
      </c>
      <c r="K3897" s="119" t="s">
        <v>4574</v>
      </c>
      <c r="L3897" s="117">
        <f>IF(O3897="","",N3897*O3897*M3897)</f>
        <v>0</v>
      </c>
      <c r="M3897" s="108">
        <v>1</v>
      </c>
      <c r="N3897" s="95">
        <v>1</v>
      </c>
      <c r="O3897" s="109">
        <f>IF(Key!D$1="ON",P3897,IF(SUM(Q3897:DL3897)&lt;1,"",SUM(Q3897:DL3897)/COUNTIF(Q3897:DL3897,"&gt;0")))</f>
        <v>0</v>
      </c>
      <c r="P3897" s="109">
        <f>SUMIFS(Q3897:DK3897,Q$1:DK$1,Dashboard!$K$31)</f>
        <v>0</v>
      </c>
      <c r="U3897" s="95">
        <v>33</v>
      </c>
      <c r="AA3897" s="95">
        <v>25</v>
      </c>
      <c r="AH3897" s="95">
        <v>75</v>
      </c>
    </row>
    <row r="3898" spans="1:34" ht="15.6" x14ac:dyDescent="0.3">
      <c r="A3898" s="89" t="str">
        <f>CONCATENATE(D3898,".",F3898,"-",G3898,".",H3898,"")</f>
        <v>3.2-7.1</v>
      </c>
      <c r="B3898" s="89" t="str">
        <f>IF(CONCATENATE(I3898,Key!F$2)=CONCATENATE(INDEX(Dashboard!J:J,MATCH(I3898,Dashboard!J:J,0),1),INDEX(Dashboard!J:K,MATCH(I3898,Dashboard!J:J,0),2)),"ON",IF(Dashboard!K$32="ALL","ON","-"))</f>
        <v>-</v>
      </c>
      <c r="C3898" s="88" t="s">
        <v>311</v>
      </c>
      <c r="D3898" s="89">
        <f>IF(C3898="ID",1,(IF(C3898="PR",2,(IF(C3898="DE",3,(IF(C3898="RS",4,(IF(C3898="RC",5,0)))))))))</f>
        <v>3</v>
      </c>
      <c r="E3898" s="89" t="s">
        <v>316</v>
      </c>
      <c r="F3898" s="89">
        <f>IF(E3898="AM",1,(IF(E3898="BE",2,(IF(E3898="GV",3,(IF(E3898="RA",4,(IF(E3898="RM",5,(IF(E3898="AC",1,(IF(E3898="AT",2,(IF(E3898="DS",3,(IF(E3898="IP",4,(IF(E3898="MA",5,(IF(E3898="PT",6,(IF(E3898="AE",1,(IF(E3898="CM",2,(IF(E3898="DP",3,(IF(E3898="AN",1,(IF(E3898="CO",2,(IF(E3898="IM",3,(IF(E3898="MI",4,(IF(E3898="RP",5,(IF(E3898="SC",6,0)))))))))))))))))))))))))))))))))))))))</f>
        <v>2</v>
      </c>
      <c r="G3898" s="52">
        <v>7</v>
      </c>
      <c r="H3898" s="90" t="s">
        <v>115</v>
      </c>
      <c r="I3898" s="93" t="s">
        <v>85</v>
      </c>
      <c r="J3898" s="87" t="s">
        <v>1887</v>
      </c>
      <c r="K3898" s="119" t="s">
        <v>4557</v>
      </c>
      <c r="L3898" s="117">
        <f>IF(O3898="","",N3898*O3898*M3898)</f>
        <v>0</v>
      </c>
      <c r="M3898" s="108">
        <v>1</v>
      </c>
      <c r="N3898" s="95">
        <v>1</v>
      </c>
      <c r="O3898" s="109">
        <f>IF(Key!D$1="ON",P3898,IF(SUM(Q3898:DL3898)&lt;1,"",SUM(Q3898:DL3898)/COUNTIF(Q3898:DL3898,"&gt;0")))</f>
        <v>0</v>
      </c>
      <c r="P3898" s="109">
        <f>SUMIFS(Q3898:DK3898,Q$1:DK$1,Dashboard!$K$31)</f>
        <v>0</v>
      </c>
      <c r="U3898" s="95">
        <v>33</v>
      </c>
      <c r="AA3898" s="95">
        <v>25</v>
      </c>
      <c r="AH3898" s="95">
        <v>75</v>
      </c>
    </row>
    <row r="3899" spans="1:34" ht="15.6" x14ac:dyDescent="0.3">
      <c r="A3899" s="89" t="str">
        <f>CONCATENATE(D3899,".",F3899,"-",G3899,".",H3899,"")</f>
        <v>3.2-7.1</v>
      </c>
      <c r="B3899" s="89" t="str">
        <f>IF(CONCATENATE(I3899,Key!F$2)=CONCATENATE(INDEX(Dashboard!J:J,MATCH(I3899,Dashboard!J:J,0),1),INDEX(Dashboard!J:K,MATCH(I3899,Dashboard!J:J,0),2)),"ON",IF(Dashboard!K$32="ALL","ON","-"))</f>
        <v>-</v>
      </c>
      <c r="C3899" s="88" t="s">
        <v>311</v>
      </c>
      <c r="D3899" s="89">
        <f>IF(C3899="ID",1,(IF(C3899="PR",2,(IF(C3899="DE",3,(IF(C3899="RS",4,(IF(C3899="RC",5,0)))))))))</f>
        <v>3</v>
      </c>
      <c r="E3899" s="89" t="s">
        <v>316</v>
      </c>
      <c r="F3899" s="89">
        <f>IF(E3899="AM",1,(IF(E3899="BE",2,(IF(E3899="GV",3,(IF(E3899="RA",4,(IF(E3899="RM",5,(IF(E3899="AC",1,(IF(E3899="AT",2,(IF(E3899="DS",3,(IF(E3899="IP",4,(IF(E3899="MA",5,(IF(E3899="PT",6,(IF(E3899="AE",1,(IF(E3899="CM",2,(IF(E3899="DP",3,(IF(E3899="AN",1,(IF(E3899="CO",2,(IF(E3899="IM",3,(IF(E3899="MI",4,(IF(E3899="RP",5,(IF(E3899="SC",6,0)))))))))))))))))))))))))))))))))))))))</f>
        <v>2</v>
      </c>
      <c r="G3899" s="52">
        <v>7</v>
      </c>
      <c r="H3899" s="90" t="s">
        <v>115</v>
      </c>
      <c r="I3899" s="93" t="s">
        <v>85</v>
      </c>
      <c r="J3899" s="87" t="s">
        <v>1886</v>
      </c>
      <c r="K3899" s="119" t="s">
        <v>4556</v>
      </c>
      <c r="L3899" s="117">
        <f>IF(O3899="","",N3899*O3899*M3899)</f>
        <v>0</v>
      </c>
      <c r="M3899" s="108">
        <v>1</v>
      </c>
      <c r="N3899" s="95">
        <v>1</v>
      </c>
      <c r="O3899" s="109">
        <f>IF(Key!D$1="ON",P3899,IF(SUM(Q3899:DL3899)&lt;1,"",SUM(Q3899:DL3899)/COUNTIF(Q3899:DL3899,"&gt;0")))</f>
        <v>0</v>
      </c>
      <c r="P3899" s="109">
        <f>SUMIFS(Q3899:DK3899,Q$1:DK$1,Dashboard!$K$31)</f>
        <v>0</v>
      </c>
      <c r="U3899" s="95">
        <v>33</v>
      </c>
      <c r="AA3899" s="95">
        <v>25</v>
      </c>
      <c r="AH3899" s="95">
        <v>75</v>
      </c>
    </row>
    <row r="3900" spans="1:34" ht="15.6" x14ac:dyDescent="0.3">
      <c r="A3900" s="89" t="str">
        <f>CONCATENATE(D3900,".",F3900,"-",G3900,".",H3900,"")</f>
        <v>3.2-7.1</v>
      </c>
      <c r="B3900" s="89" t="str">
        <f>IF(CONCATENATE(I3900,Key!F$2)=CONCATENATE(INDEX(Dashboard!J:J,MATCH(I3900,Dashboard!J:J,0),1),INDEX(Dashboard!J:K,MATCH(I3900,Dashboard!J:J,0),2)),"ON",IF(Dashboard!K$32="ALL","ON","-"))</f>
        <v>-</v>
      </c>
      <c r="C3900" s="88" t="s">
        <v>311</v>
      </c>
      <c r="D3900" s="89">
        <f>IF(C3900="ID",1,(IF(C3900="PR",2,(IF(C3900="DE",3,(IF(C3900="RS",4,(IF(C3900="RC",5,0)))))))))</f>
        <v>3</v>
      </c>
      <c r="E3900" s="89" t="s">
        <v>316</v>
      </c>
      <c r="F3900" s="89">
        <f>IF(E3900="AM",1,(IF(E3900="BE",2,(IF(E3900="GV",3,(IF(E3900="RA",4,(IF(E3900="RM",5,(IF(E3900="AC",1,(IF(E3900="AT",2,(IF(E3900="DS",3,(IF(E3900="IP",4,(IF(E3900="MA",5,(IF(E3900="PT",6,(IF(E3900="AE",1,(IF(E3900="CM",2,(IF(E3900="DP",3,(IF(E3900="AN",1,(IF(E3900="CO",2,(IF(E3900="IM",3,(IF(E3900="MI",4,(IF(E3900="RP",5,(IF(E3900="SC",6,0)))))))))))))))))))))))))))))))))))))))</f>
        <v>2</v>
      </c>
      <c r="G3900" s="52">
        <v>7</v>
      </c>
      <c r="H3900" s="89">
        <v>1</v>
      </c>
      <c r="I3900" s="93" t="s">
        <v>85</v>
      </c>
      <c r="J3900" s="86" t="s">
        <v>759</v>
      </c>
      <c r="K3900" s="119" t="s">
        <v>760</v>
      </c>
      <c r="L3900" s="117">
        <f>IF(O3900="","",N3900*O3900*M3900)</f>
        <v>0</v>
      </c>
      <c r="M3900" s="108">
        <v>1</v>
      </c>
      <c r="N3900" s="95">
        <v>1</v>
      </c>
      <c r="O3900" s="109">
        <f>IF(Key!D$1="ON",P3900,IF(SUM(Q3900:DL3900)&lt;1,"",SUM(Q3900:DL3900)/COUNTIF(Q3900:DL3900,"&gt;0")))</f>
        <v>0</v>
      </c>
      <c r="P3900" s="109">
        <f>SUMIFS(Q3900:DK3900,Q$1:DK$1,Dashboard!$K$31)</f>
        <v>0</v>
      </c>
      <c r="U3900" s="95">
        <v>33</v>
      </c>
      <c r="AA3900" s="95">
        <v>25</v>
      </c>
      <c r="AH3900" s="95">
        <v>75</v>
      </c>
    </row>
    <row r="3901" spans="1:34" ht="15.6" x14ac:dyDescent="0.3">
      <c r="A3901" s="89" t="str">
        <f>CONCATENATE(D3901,".",F3901,"-",G3901,".",H3901,"")</f>
        <v>3.2-7.1</v>
      </c>
      <c r="B3901" s="89" t="str">
        <f>IF(CONCATENATE(I3901,Key!F$2)=CONCATENATE(INDEX(Dashboard!J:J,MATCH(I3901,Dashboard!J:J,0),1),INDEX(Dashboard!J:K,MATCH(I3901,Dashboard!J:J,0),2)),"ON",IF(Dashboard!K$32="ALL","ON","-"))</f>
        <v>-</v>
      </c>
      <c r="C3901" s="88" t="s">
        <v>311</v>
      </c>
      <c r="D3901" s="89">
        <f>IF(C3901="ID",1,(IF(C3901="PR",2,(IF(C3901="DE",3,(IF(C3901="RS",4,(IF(C3901="RC",5,0)))))))))</f>
        <v>3</v>
      </c>
      <c r="E3901" s="89" t="s">
        <v>316</v>
      </c>
      <c r="F3901" s="89">
        <f>IF(E3901="AM",1,(IF(E3901="BE",2,(IF(E3901="GV",3,(IF(E3901="RA",4,(IF(E3901="RM",5,(IF(E3901="AC",1,(IF(E3901="AT",2,(IF(E3901="DS",3,(IF(E3901="IP",4,(IF(E3901="MA",5,(IF(E3901="PT",6,(IF(E3901="AE",1,(IF(E3901="CM",2,(IF(E3901="DP",3,(IF(E3901="AN",1,(IF(E3901="CO",2,(IF(E3901="IM",3,(IF(E3901="MI",4,(IF(E3901="RP",5,(IF(E3901="SC",6,0)))))))))))))))))))))))))))))))))))))))</f>
        <v>2</v>
      </c>
      <c r="G3901" s="52">
        <v>7</v>
      </c>
      <c r="H3901" s="90" t="s">
        <v>115</v>
      </c>
      <c r="I3901" s="93" t="s">
        <v>85</v>
      </c>
      <c r="J3901" s="87" t="s">
        <v>1883</v>
      </c>
      <c r="K3901" s="119" t="s">
        <v>1884</v>
      </c>
      <c r="L3901" s="117">
        <f>IF(O3901="","",N3901*O3901*M3901)</f>
        <v>0</v>
      </c>
      <c r="M3901" s="108">
        <v>1</v>
      </c>
      <c r="N3901" s="95">
        <v>1</v>
      </c>
      <c r="O3901" s="109">
        <f>IF(Key!D$1="ON",P3901,IF(SUM(Q3901:DL3901)&lt;1,"",SUM(Q3901:DL3901)/COUNTIF(Q3901:DL3901,"&gt;0")))</f>
        <v>0</v>
      </c>
      <c r="P3901" s="109">
        <f>SUMIFS(Q3901:DK3901,Q$1:DK$1,Dashboard!$K$31)</f>
        <v>0</v>
      </c>
      <c r="U3901" s="95">
        <v>33</v>
      </c>
      <c r="AA3901" s="95">
        <v>25</v>
      </c>
      <c r="AH3901" s="95">
        <v>75</v>
      </c>
    </row>
    <row r="3902" spans="1:34" ht="15.6" x14ac:dyDescent="0.3">
      <c r="A3902" s="89" t="str">
        <f>CONCATENATE(D3902,".",F3902,"-",G3902,".",H3902,"")</f>
        <v>3.2-7.1</v>
      </c>
      <c r="B3902" s="89" t="str">
        <f>IF(CONCATENATE(I3902,Key!F$2)=CONCATENATE(INDEX(Dashboard!J:J,MATCH(I3902,Dashboard!J:J,0),1),INDEX(Dashboard!J:K,MATCH(I3902,Dashboard!J:J,0),2)),"ON",IF(Dashboard!K$32="ALL","ON","-"))</f>
        <v>-</v>
      </c>
      <c r="C3902" s="88" t="s">
        <v>311</v>
      </c>
      <c r="D3902" s="89">
        <f>IF(C3902="ID",1,(IF(C3902="PR",2,(IF(C3902="DE",3,(IF(C3902="RS",4,(IF(C3902="RC",5,0)))))))))</f>
        <v>3</v>
      </c>
      <c r="E3902" s="89" t="s">
        <v>316</v>
      </c>
      <c r="F3902" s="89">
        <f>IF(E3902="AM",1,(IF(E3902="BE",2,(IF(E3902="GV",3,(IF(E3902="RA",4,(IF(E3902="RM",5,(IF(E3902="AC",1,(IF(E3902="AT",2,(IF(E3902="DS",3,(IF(E3902="IP",4,(IF(E3902="MA",5,(IF(E3902="PT",6,(IF(E3902="AE",1,(IF(E3902="CM",2,(IF(E3902="DP",3,(IF(E3902="AN",1,(IF(E3902="CO",2,(IF(E3902="IM",3,(IF(E3902="MI",4,(IF(E3902="RP",5,(IF(E3902="SC",6,0)))))))))))))))))))))))))))))))))))))))</f>
        <v>2</v>
      </c>
      <c r="G3902" s="52">
        <v>7</v>
      </c>
      <c r="H3902" s="90" t="s">
        <v>115</v>
      </c>
      <c r="I3902" s="93" t="s">
        <v>85</v>
      </c>
      <c r="J3902" s="87" t="s">
        <v>1885</v>
      </c>
      <c r="K3902" s="119" t="s">
        <v>4555</v>
      </c>
      <c r="L3902" s="117">
        <f>IF(O3902="","",N3902*O3902*M3902)</f>
        <v>0</v>
      </c>
      <c r="M3902" s="108">
        <v>1</v>
      </c>
      <c r="N3902" s="95">
        <v>1</v>
      </c>
      <c r="O3902" s="109">
        <f>IF(Key!D$1="ON",P3902,IF(SUM(Q3902:DL3902)&lt;1,"",SUM(Q3902:DL3902)/COUNTIF(Q3902:DL3902,"&gt;0")))</f>
        <v>0</v>
      </c>
      <c r="P3902" s="109">
        <f>SUMIFS(Q3902:DK3902,Q$1:DK$1,Dashboard!$K$31)</f>
        <v>0</v>
      </c>
      <c r="U3902" s="95">
        <v>33</v>
      </c>
      <c r="AA3902" s="95">
        <v>25</v>
      </c>
      <c r="AH3902" s="95">
        <v>75</v>
      </c>
    </row>
    <row r="3903" spans="1:34" ht="15.6" x14ac:dyDescent="0.3">
      <c r="A3903" s="89" t="str">
        <f>CONCATENATE(D3903,".",F3903,"-",G3903,".",H3903,"")</f>
        <v>3.2-7.1</v>
      </c>
      <c r="B3903" s="89" t="str">
        <f>IF(CONCATENATE(I3903,Key!F$2)=CONCATENATE(INDEX(Dashboard!J:J,MATCH(I3903,Dashboard!J:J,0),1),INDEX(Dashboard!J:K,MATCH(I3903,Dashboard!J:J,0),2)),"ON",IF(Dashboard!K$32="ALL","ON","-"))</f>
        <v>-</v>
      </c>
      <c r="C3903" s="88" t="s">
        <v>311</v>
      </c>
      <c r="D3903" s="89">
        <f>IF(C3903="ID",1,(IF(C3903="PR",2,(IF(C3903="DE",3,(IF(C3903="RS",4,(IF(C3903="RC",5,0)))))))))</f>
        <v>3</v>
      </c>
      <c r="E3903" s="89" t="s">
        <v>316</v>
      </c>
      <c r="F3903" s="89">
        <f>IF(E3903="AM",1,(IF(E3903="BE",2,(IF(E3903="GV",3,(IF(E3903="RA",4,(IF(E3903="RM",5,(IF(E3903="AC",1,(IF(E3903="AT",2,(IF(E3903="DS",3,(IF(E3903="IP",4,(IF(E3903="MA",5,(IF(E3903="PT",6,(IF(E3903="AE",1,(IF(E3903="CM",2,(IF(E3903="DP",3,(IF(E3903="AN",1,(IF(E3903="CO",2,(IF(E3903="IM",3,(IF(E3903="MI",4,(IF(E3903="RP",5,(IF(E3903="SC",6,0)))))))))))))))))))))))))))))))))))))))</f>
        <v>2</v>
      </c>
      <c r="G3903" s="52">
        <v>7</v>
      </c>
      <c r="H3903" s="90" t="s">
        <v>115</v>
      </c>
      <c r="I3903" s="93" t="s">
        <v>85</v>
      </c>
      <c r="J3903" s="87" t="s">
        <v>925</v>
      </c>
      <c r="K3903" s="119" t="s">
        <v>4695</v>
      </c>
      <c r="L3903" s="117">
        <f>IF(O3903="","",N3903*O3903*M3903)</f>
        <v>0</v>
      </c>
      <c r="M3903" s="108">
        <v>1</v>
      </c>
      <c r="N3903" s="95">
        <v>1</v>
      </c>
      <c r="O3903" s="109">
        <f>IF(Key!D$1="ON",P3903,IF(SUM(Q3903:DL3903)&lt;1,"",SUM(Q3903:DL3903)/COUNTIF(Q3903:DL3903,"&gt;0")))</f>
        <v>0</v>
      </c>
      <c r="P3903" s="109">
        <f>SUMIFS(Q3903:DK3903,Q$1:DK$1,Dashboard!$K$31)</f>
        <v>0</v>
      </c>
      <c r="U3903" s="95">
        <v>33</v>
      </c>
      <c r="AA3903" s="95">
        <v>25</v>
      </c>
      <c r="AH3903" s="95">
        <v>75</v>
      </c>
    </row>
    <row r="3904" spans="1:34" ht="15.6" x14ac:dyDescent="0.3">
      <c r="A3904" s="89" t="str">
        <f>CONCATENATE(D3904,".",F3904,"-",G3904,".",H3904,"")</f>
        <v>3.2-7.1</v>
      </c>
      <c r="B3904" s="89" t="str">
        <f>IF(CONCATENATE(I3904,Key!F$2)=CONCATENATE(INDEX(Dashboard!J:J,MATCH(I3904,Dashboard!J:J,0),1),INDEX(Dashboard!J:K,MATCH(I3904,Dashboard!J:J,0),2)),"ON",IF(Dashboard!K$32="ALL","ON","-"))</f>
        <v>-</v>
      </c>
      <c r="C3904" s="96" t="s">
        <v>311</v>
      </c>
      <c r="D3904" s="89">
        <f>IF(C3904="ID",1,(IF(C3904="PR",2,(IF(C3904="DE",3,(IF(C3904="RS",4,(IF(C3904="RC",5,0)))))))))</f>
        <v>3</v>
      </c>
      <c r="E3904" s="89" t="s">
        <v>316</v>
      </c>
      <c r="F3904" s="89">
        <f>IF(E3904="AM",1,(IF(E3904="BE",2,(IF(E3904="GV",3,(IF(E3904="RA",4,(IF(E3904="RM",5,(IF(E3904="AC",1,(IF(E3904="AT",2,(IF(E3904="DS",3,(IF(E3904="IP",4,(IF(E3904="MA",5,(IF(E3904="PT",6,(IF(E3904="AE",1,(IF(E3904="CM",2,(IF(E3904="DP",3,(IF(E3904="AN",1,(IF(E3904="CO",2,(IF(E3904="IM",3,(IF(E3904="MI",4,(IF(E3904="RP",5,(IF(E3904="SC",6,0)))))))))))))))))))))))))))))))))))))))</f>
        <v>2</v>
      </c>
      <c r="G3904" s="98">
        <v>7</v>
      </c>
      <c r="H3904" s="90" t="s">
        <v>115</v>
      </c>
      <c r="I3904" s="93" t="s">
        <v>92</v>
      </c>
      <c r="J3904" s="87">
        <v>9.1</v>
      </c>
      <c r="K3904" s="102" t="s">
        <v>5226</v>
      </c>
      <c r="L3904" s="117">
        <f>IF(O3904="","",N3904*O3904*M3904)</f>
        <v>0</v>
      </c>
      <c r="M3904" s="108">
        <v>1</v>
      </c>
      <c r="N3904" s="95">
        <v>1</v>
      </c>
      <c r="O3904" s="109">
        <f>IF(Key!D$1="ON",P3904,IF(SUM(Q3904:DL3904)&lt;1,"",SUM(Q3904:DL3904)/COUNTIF(Q3904:DL3904,"&gt;0")))</f>
        <v>0</v>
      </c>
      <c r="P3904" s="109">
        <f>SUMIFS(Q3904:DK3904,Q$1:DK$1,Dashboard!$K$31)</f>
        <v>0</v>
      </c>
      <c r="U3904" s="95">
        <v>33</v>
      </c>
      <c r="AA3904" s="95">
        <v>25</v>
      </c>
      <c r="AH3904" s="95">
        <v>75</v>
      </c>
    </row>
    <row r="3905" spans="1:34" ht="15.6" x14ac:dyDescent="0.3">
      <c r="A3905" s="89" t="str">
        <f>CONCATENATE(D3905,".",F3905,"-",G3905,".",H3905,"")</f>
        <v>3.2-7.1</v>
      </c>
      <c r="B3905" s="89" t="str">
        <f>IF(CONCATENATE(I3905,Key!F$2)=CONCATENATE(INDEX(Dashboard!J:J,MATCH(I3905,Dashboard!J:J,0),1),INDEX(Dashboard!J:K,MATCH(I3905,Dashboard!J:J,0),2)),"ON",IF(Dashboard!K$32="ALL","ON","-"))</f>
        <v>-</v>
      </c>
      <c r="C3905" s="96" t="s">
        <v>311</v>
      </c>
      <c r="D3905" s="89">
        <f>IF(C3905="ID",1,(IF(C3905="PR",2,(IF(C3905="DE",3,(IF(C3905="RS",4,(IF(C3905="RC",5,0)))))))))</f>
        <v>3</v>
      </c>
      <c r="E3905" s="89" t="s">
        <v>316</v>
      </c>
      <c r="F3905" s="89">
        <f>IF(E3905="AM",1,(IF(E3905="BE",2,(IF(E3905="GV",3,(IF(E3905="RA",4,(IF(E3905="RM",5,(IF(E3905="AC",1,(IF(E3905="AT",2,(IF(E3905="DS",3,(IF(E3905="IP",4,(IF(E3905="MA",5,(IF(E3905="PT",6,(IF(E3905="AE",1,(IF(E3905="CM",2,(IF(E3905="DP",3,(IF(E3905="AN",1,(IF(E3905="CO",2,(IF(E3905="IM",3,(IF(E3905="MI",4,(IF(E3905="RP",5,(IF(E3905="SC",6,0)))))))))))))))))))))))))))))))))))))))</f>
        <v>2</v>
      </c>
      <c r="G3905" s="98">
        <v>7</v>
      </c>
      <c r="H3905" s="90" t="s">
        <v>115</v>
      </c>
      <c r="I3905" s="93" t="s">
        <v>92</v>
      </c>
      <c r="J3905" s="87">
        <v>11.4</v>
      </c>
      <c r="K3905" s="102" t="s">
        <v>5226</v>
      </c>
      <c r="L3905" s="117">
        <f>IF(O3905="","",N3905*O3905*M3905)</f>
        <v>0</v>
      </c>
      <c r="M3905" s="108">
        <v>1</v>
      </c>
      <c r="N3905" s="95">
        <v>1</v>
      </c>
      <c r="O3905" s="109">
        <f>IF(Key!D$1="ON",P3905,IF(SUM(Q3905:DL3905)&lt;1,"",SUM(Q3905:DL3905)/COUNTIF(Q3905:DL3905,"&gt;0")))</f>
        <v>0</v>
      </c>
      <c r="P3905" s="109">
        <f>SUMIFS(Q3905:DK3905,Q$1:DK$1,Dashboard!$K$31)</f>
        <v>0</v>
      </c>
      <c r="U3905" s="95">
        <v>33</v>
      </c>
      <c r="AA3905" s="95">
        <v>25</v>
      </c>
      <c r="AH3905" s="95">
        <v>75</v>
      </c>
    </row>
    <row r="3906" spans="1:34" ht="15.6" x14ac:dyDescent="0.3">
      <c r="A3906" s="89" t="str">
        <f>CONCATENATE(D3906,".",F3906,"-",G3906,".",H3906,"")</f>
        <v>3.2-7.1</v>
      </c>
      <c r="B3906" s="89" t="str">
        <f>IF(CONCATENATE(I3906,Key!F$2)=CONCATENATE(INDEX(Dashboard!J:J,MATCH(I3906,Dashboard!J:J,0),1),INDEX(Dashboard!J:K,MATCH(I3906,Dashboard!J:J,0),2)),"ON",IF(Dashboard!K$32="ALL","ON","-"))</f>
        <v>-</v>
      </c>
      <c r="C3906" s="96" t="s">
        <v>311</v>
      </c>
      <c r="D3906" s="89">
        <f>IF(C3906="ID",1,(IF(C3906="PR",2,(IF(C3906="DE",3,(IF(C3906="RS",4,(IF(C3906="RC",5,0)))))))))</f>
        <v>3</v>
      </c>
      <c r="E3906" s="89" t="s">
        <v>316</v>
      </c>
      <c r="F3906" s="89">
        <f>IF(E3906="AM",1,(IF(E3906="BE",2,(IF(E3906="GV",3,(IF(E3906="RA",4,(IF(E3906="RM",5,(IF(E3906="AC",1,(IF(E3906="AT",2,(IF(E3906="DS",3,(IF(E3906="IP",4,(IF(E3906="MA",5,(IF(E3906="PT",6,(IF(E3906="AE",1,(IF(E3906="CM",2,(IF(E3906="DP",3,(IF(E3906="AN",1,(IF(E3906="CO",2,(IF(E3906="IM",3,(IF(E3906="MI",4,(IF(E3906="RP",5,(IF(E3906="SC",6,0)))))))))))))))))))))))))))))))))))))))</f>
        <v>2</v>
      </c>
      <c r="G3906" s="98">
        <v>7</v>
      </c>
      <c r="H3906" s="90" t="s">
        <v>115</v>
      </c>
      <c r="I3906" s="93" t="s">
        <v>92</v>
      </c>
      <c r="J3906" s="87">
        <v>11.5</v>
      </c>
      <c r="K3906" s="102" t="s">
        <v>5226</v>
      </c>
      <c r="L3906" s="117">
        <f>IF(O3906="","",N3906*O3906*M3906)</f>
        <v>0</v>
      </c>
      <c r="M3906" s="108">
        <v>1</v>
      </c>
      <c r="N3906" s="95">
        <v>1</v>
      </c>
      <c r="O3906" s="109">
        <f>IF(Key!D$1="ON",P3906,IF(SUM(Q3906:DL3906)&lt;1,"",SUM(Q3906:DL3906)/COUNTIF(Q3906:DL3906,"&gt;0")))</f>
        <v>0</v>
      </c>
      <c r="P3906" s="109">
        <f>SUMIFS(Q3906:DK3906,Q$1:DK$1,Dashboard!$K$31)</f>
        <v>0</v>
      </c>
      <c r="U3906" s="95">
        <v>33</v>
      </c>
      <c r="AA3906" s="95">
        <v>25</v>
      </c>
      <c r="AH3906" s="95">
        <v>75</v>
      </c>
    </row>
    <row r="3907" spans="1:34" ht="15.6" x14ac:dyDescent="0.3">
      <c r="A3907" s="89" t="str">
        <f>CONCATENATE(D3907,".",F3907,"-",G3907,".",H3907,"")</f>
        <v>3.2-7.1</v>
      </c>
      <c r="B3907" s="89" t="str">
        <f>IF(CONCATENATE(I3907,Key!F$2)=CONCATENATE(INDEX(Dashboard!J:J,MATCH(I3907,Dashboard!J:J,0),1),INDEX(Dashboard!J:K,MATCH(I3907,Dashboard!J:J,0),2)),"ON",IF(Dashboard!K$32="ALL","ON","-"))</f>
        <v>-</v>
      </c>
      <c r="C3907" s="96" t="s">
        <v>311</v>
      </c>
      <c r="D3907" s="89">
        <f>IF(C3907="ID",1,(IF(C3907="PR",2,(IF(C3907="DE",3,(IF(C3907="RS",4,(IF(C3907="RC",5,0)))))))))</f>
        <v>3</v>
      </c>
      <c r="E3907" s="89" t="s">
        <v>316</v>
      </c>
      <c r="F3907" s="89">
        <f>IF(E3907="AM",1,(IF(E3907="BE",2,(IF(E3907="GV",3,(IF(E3907="RA",4,(IF(E3907="RM",5,(IF(E3907="AC",1,(IF(E3907="AT",2,(IF(E3907="DS",3,(IF(E3907="IP",4,(IF(E3907="MA",5,(IF(E3907="PT",6,(IF(E3907="AE",1,(IF(E3907="CM",2,(IF(E3907="DP",3,(IF(E3907="AN",1,(IF(E3907="CO",2,(IF(E3907="IM",3,(IF(E3907="MI",4,(IF(E3907="RP",5,(IF(E3907="SC",6,0)))))))))))))))))))))))))))))))))))))))</f>
        <v>2</v>
      </c>
      <c r="G3907" s="98">
        <v>7</v>
      </c>
      <c r="H3907" s="90" t="s">
        <v>115</v>
      </c>
      <c r="I3907" s="93" t="s">
        <v>92</v>
      </c>
      <c r="J3907" s="87" t="s">
        <v>314</v>
      </c>
      <c r="K3907" s="102" t="s">
        <v>5226</v>
      </c>
      <c r="L3907" s="117">
        <f>IF(O3907="","",N3907*O3907*M3907)</f>
        <v>0</v>
      </c>
      <c r="M3907" s="108">
        <v>1</v>
      </c>
      <c r="N3907" s="95">
        <v>1</v>
      </c>
      <c r="O3907" s="109">
        <f>IF(Key!D$1="ON",P3907,IF(SUM(Q3907:DL3907)&lt;1,"",SUM(Q3907:DL3907)/COUNTIF(Q3907:DL3907,"&gt;0")))</f>
        <v>0</v>
      </c>
      <c r="P3907" s="109">
        <f>SUMIFS(Q3907:DK3907,Q$1:DK$1,Dashboard!$K$31)</f>
        <v>0</v>
      </c>
      <c r="U3907" s="95">
        <v>33</v>
      </c>
      <c r="AA3907" s="95">
        <v>25</v>
      </c>
      <c r="AH3907" s="95">
        <v>75</v>
      </c>
    </row>
    <row r="3908" spans="1:34" ht="15.6" x14ac:dyDescent="0.3">
      <c r="A3908" s="89" t="str">
        <f>CONCATENATE(D3908,".",F3908,"-",G3908,".",H3908,"")</f>
        <v>3.2-7.1</v>
      </c>
      <c r="B3908" s="89" t="str">
        <f>IF(CONCATENATE(I3908,Key!F$2)=CONCATENATE(INDEX(Dashboard!J:J,MATCH(I3908,Dashboard!J:J,0),1),INDEX(Dashboard!J:K,MATCH(I3908,Dashboard!J:J,0),2)),"ON",IF(Dashboard!K$32="ALL","ON","-"))</f>
        <v>-</v>
      </c>
      <c r="C3908" s="88" t="s">
        <v>311</v>
      </c>
      <c r="D3908" s="89">
        <f>IF(C3908="ID",1,(IF(C3908="PR",2,(IF(C3908="DE",3,(IF(C3908="RS",4,(IF(C3908="RC",5,0)))))))))</f>
        <v>3</v>
      </c>
      <c r="E3908" s="89" t="s">
        <v>316</v>
      </c>
      <c r="F3908" s="89">
        <f>IF(E3908="AM",1,(IF(E3908="BE",2,(IF(E3908="GV",3,(IF(E3908="RA",4,(IF(E3908="RM",5,(IF(E3908="AC",1,(IF(E3908="AT",2,(IF(E3908="DS",3,(IF(E3908="IP",4,(IF(E3908="MA",5,(IF(E3908="PT",6,(IF(E3908="AE",1,(IF(E3908="CM",2,(IF(E3908="DP",3,(IF(E3908="AN",1,(IF(E3908="CO",2,(IF(E3908="IM",3,(IF(E3908="MI",4,(IF(E3908="RP",5,(IF(E3908="SC",6,0)))))))))))))))))))))))))))))))))))))))</f>
        <v>2</v>
      </c>
      <c r="G3908" s="52">
        <v>7</v>
      </c>
      <c r="H3908" s="90" t="s">
        <v>115</v>
      </c>
      <c r="I3908" s="93" t="s">
        <v>92</v>
      </c>
      <c r="J3908" s="87" t="s">
        <v>317</v>
      </c>
      <c r="K3908" s="102" t="s">
        <v>5226</v>
      </c>
      <c r="L3908" s="117">
        <f>IF(O3908="","",N3908*O3908*M3908)</f>
        <v>0</v>
      </c>
      <c r="M3908" s="108">
        <v>1</v>
      </c>
      <c r="N3908" s="95">
        <v>1</v>
      </c>
      <c r="O3908" s="109">
        <f>IF(Key!D$1="ON",P3908,IF(SUM(Q3908:DL3908)&lt;1,"",SUM(Q3908:DL3908)/COUNTIF(Q3908:DL3908,"&gt;0")))</f>
        <v>0</v>
      </c>
      <c r="P3908" s="109">
        <f>SUMIFS(Q3908:DK3908,Q$1:DK$1,Dashboard!$K$31)</f>
        <v>0</v>
      </c>
      <c r="U3908" s="95">
        <v>33</v>
      </c>
      <c r="AA3908" s="95">
        <v>25</v>
      </c>
      <c r="AH3908" s="95">
        <v>75</v>
      </c>
    </row>
    <row r="3909" spans="1:34" ht="15.6" x14ac:dyDescent="0.3">
      <c r="A3909" s="89" t="str">
        <f>CONCATENATE(D3909,".",F3909,"-",G3909,".",H3909,"")</f>
        <v>3.2-7.1</v>
      </c>
      <c r="B3909" s="89" t="str">
        <f>IF(CONCATENATE(I3909,Key!F$2)=CONCATENATE(INDEX(Dashboard!J:J,MATCH(I3909,Dashboard!J:J,0),1),INDEX(Dashboard!J:K,MATCH(I3909,Dashboard!J:J,0),2)),"ON",IF(Dashboard!K$32="ALL","ON","-"))</f>
        <v>-</v>
      </c>
      <c r="C3909" s="96" t="s">
        <v>311</v>
      </c>
      <c r="D3909" s="89">
        <f>IF(C3909="ID",1,(IF(C3909="PR",2,(IF(C3909="DE",3,(IF(C3909="RS",4,(IF(C3909="RC",5,0)))))))))</f>
        <v>3</v>
      </c>
      <c r="E3909" s="89" t="s">
        <v>316</v>
      </c>
      <c r="F3909" s="89">
        <f>IF(E3909="AM",1,(IF(E3909="BE",2,(IF(E3909="GV",3,(IF(E3909="RA",4,(IF(E3909="RM",5,(IF(E3909="AC",1,(IF(E3909="AT",2,(IF(E3909="DS",3,(IF(E3909="IP",4,(IF(E3909="MA",5,(IF(E3909="PT",6,(IF(E3909="AE",1,(IF(E3909="CM",2,(IF(E3909="DP",3,(IF(E3909="AN",1,(IF(E3909="CO",2,(IF(E3909="IM",3,(IF(E3909="MI",4,(IF(E3909="RP",5,(IF(E3909="SC",6,0)))))))))))))))))))))))))))))))))))))))</f>
        <v>2</v>
      </c>
      <c r="G3909" s="98">
        <v>7</v>
      </c>
      <c r="H3909" s="90" t="s">
        <v>115</v>
      </c>
      <c r="I3909" s="93" t="s">
        <v>92</v>
      </c>
      <c r="J3909" s="88" t="s">
        <v>165</v>
      </c>
      <c r="K3909" s="102" t="s">
        <v>5226</v>
      </c>
      <c r="L3909" s="117">
        <f>IF(O3909="","",N3909*O3909*M3909)</f>
        <v>0</v>
      </c>
      <c r="M3909" s="108">
        <v>1</v>
      </c>
      <c r="N3909" s="95">
        <v>1</v>
      </c>
      <c r="O3909" s="109">
        <f>IF(Key!D$1="ON",P3909,IF(SUM(Q3909:DL3909)&lt;1,"",SUM(Q3909:DL3909)/COUNTIF(Q3909:DL3909,"&gt;0")))</f>
        <v>0</v>
      </c>
      <c r="P3909" s="109">
        <f>SUMIFS(Q3909:DK3909,Q$1:DK$1,Dashboard!$K$31)</f>
        <v>0</v>
      </c>
      <c r="U3909" s="95">
        <v>33</v>
      </c>
      <c r="AA3909" s="95">
        <v>25</v>
      </c>
      <c r="AH3909" s="95">
        <v>75</v>
      </c>
    </row>
    <row r="3910" spans="1:34" ht="15.6" x14ac:dyDescent="0.3">
      <c r="A3910" s="89" t="str">
        <f>CONCATENATE(D3910,".",F3910,"-",G3910,".",H3910,"")</f>
        <v>3.2-8.0</v>
      </c>
      <c r="B3910" s="89" t="str">
        <f>IF(CONCATENATE(I3910,Key!F$2)=CONCATENATE(INDEX(Dashboard!J:J,MATCH(I3910,Dashboard!J:J,0),1),INDEX(Dashboard!J:K,MATCH(I3910,Dashboard!J:J,0),2)),"ON",IF(Dashboard!K$32="ALL","ON","-"))</f>
        <v>-</v>
      </c>
      <c r="C3910" s="96" t="s">
        <v>311</v>
      </c>
      <c r="D3910" s="89">
        <f>IF(C3910="ID",1,(IF(C3910="PR",2,(IF(C3910="DE",3,(IF(C3910="RS",4,(IF(C3910="RC",5,0)))))))))</f>
        <v>3</v>
      </c>
      <c r="E3910" s="89" t="s">
        <v>316</v>
      </c>
      <c r="F3910" s="89">
        <f>IF(E3910="AM",1,(IF(E3910="BE",2,(IF(E3910="GV",3,(IF(E3910="RA",4,(IF(E3910="RM",5,(IF(E3910="AC",1,(IF(E3910="AT",2,(IF(E3910="DS",3,(IF(E3910="IP",4,(IF(E3910="MA",5,(IF(E3910="PT",6,(IF(E3910="AE",1,(IF(E3910="CM",2,(IF(E3910="DP",3,(IF(E3910="AN",1,(IF(E3910="CO",2,(IF(E3910="IM",3,(IF(E3910="MI",4,(IF(E3910="RP",5,(IF(E3910="SC",6,0)))))))))))))))))))))))))))))))))))))))</f>
        <v>2</v>
      </c>
      <c r="G3910" s="52">
        <v>8</v>
      </c>
      <c r="H3910" s="90" t="s">
        <v>347</v>
      </c>
      <c r="I3910" s="93" t="s">
        <v>2835</v>
      </c>
      <c r="J3910" s="136" t="s">
        <v>3036</v>
      </c>
      <c r="K3910" s="144" t="s">
        <v>3037</v>
      </c>
      <c r="L3910" s="117">
        <f>IF(O3910="","",N3910*O3910*M3910)</f>
        <v>0</v>
      </c>
      <c r="M3910" s="108">
        <v>1</v>
      </c>
      <c r="N3910" s="95">
        <v>1</v>
      </c>
      <c r="O3910" s="109">
        <f>IF(Key!D$1="ON",P3910,IF(SUM(Q3910:DL3910)&lt;1,"",SUM(Q3910:DL3910)/COUNTIF(Q3910:DL3910,"&gt;0")))</f>
        <v>0</v>
      </c>
      <c r="P3910" s="109">
        <f>SUMIFS(Q3910:DK3910,Q$1:DK$1,Dashboard!$K$31)</f>
        <v>0</v>
      </c>
      <c r="U3910" s="95">
        <v>33</v>
      </c>
    </row>
    <row r="3911" spans="1:34" ht="15.6" x14ac:dyDescent="0.3">
      <c r="A3911" s="89" t="str">
        <f>CONCATENATE(D3911,".",F3911,"-",G3911,".",H3911,"")</f>
        <v>3.2-8.1</v>
      </c>
      <c r="B3911" s="89" t="str">
        <f>IF(CONCATENATE(I3911,Key!F$2)=CONCATENATE(INDEX(Dashboard!J:J,MATCH(I3911,Dashboard!J:J,0),1),INDEX(Dashboard!J:K,MATCH(I3911,Dashboard!J:J,0),2)),"ON",IF(Dashboard!K$32="ALL","ON","-"))</f>
        <v>ON</v>
      </c>
      <c r="C3911" s="130" t="s">
        <v>311</v>
      </c>
      <c r="D3911" s="89">
        <f>IF(C3911="ID",1,(IF(C3911="PR",2,(IF(C3911="DE",3,(IF(C3911="RS",4,(IF(C3911="RC",5,0)))))))))</f>
        <v>3</v>
      </c>
      <c r="E3911" s="95" t="s">
        <v>316</v>
      </c>
      <c r="F3911" s="89">
        <f>IF(E3911="AM",1,(IF(E3911="BE",2,(IF(E3911="GV",3,(IF(E3911="RA",4,(IF(E3911="RM",5,(IF(E3911="AC",1,(IF(E3911="AT",2,(IF(E3911="DS",3,(IF(E3911="IP",4,(IF(E3911="MA",5,(IF(E3911="PT",6,(IF(E3911="AE",1,(IF(E3911="CM",2,(IF(E3911="DP",3,(IF(E3911="AN",1,(IF(E3911="CO",2,(IF(E3911="IM",3,(IF(E3911="MI",4,(IF(E3911="RP",5,(IF(E3911="SC",6,0)))))))))))))))))))))))))))))))))))))))</f>
        <v>2</v>
      </c>
      <c r="G3911" s="52">
        <v>8</v>
      </c>
      <c r="H3911" s="90" t="s">
        <v>115</v>
      </c>
      <c r="I3911" s="93" t="s">
        <v>4107</v>
      </c>
      <c r="J3911" s="86" t="s">
        <v>4065</v>
      </c>
      <c r="K3911" s="101" t="s">
        <v>4469</v>
      </c>
      <c r="L3911" s="117">
        <f>IF(O3911="","",N3911*O3911*M3911)</f>
        <v>0</v>
      </c>
      <c r="M3911" s="108">
        <v>1</v>
      </c>
      <c r="N3911" s="95">
        <v>1</v>
      </c>
      <c r="O3911" s="109">
        <f>IF(Key!D$1="ON",P3911,IF(SUM(Q3911:DL3911)&lt;1,"",SUM(Q3911:DL3911)/COUNTIF(Q3911:DL3911,"&gt;0")))</f>
        <v>0</v>
      </c>
      <c r="P3911" s="109">
        <f>SUMIFS(Q3911:DK3911,Q$1:DK$1,Dashboard!$K$31)</f>
        <v>0</v>
      </c>
      <c r="U3911" s="95">
        <v>33</v>
      </c>
      <c r="AA3911" s="95">
        <v>25</v>
      </c>
      <c r="AH3911" s="95">
        <v>75</v>
      </c>
    </row>
    <row r="3912" spans="1:34" ht="15.6" x14ac:dyDescent="0.3">
      <c r="A3912" s="89" t="str">
        <f>CONCATENATE(D3912,".",F3912,"-",G3912,".",H3912,"")</f>
        <v>3.2-8.1</v>
      </c>
      <c r="B3912" s="89" t="str">
        <f>IF(CONCATENATE(I3912,Key!F$2)=CONCATENATE(INDEX(Dashboard!J:J,MATCH(I3912,Dashboard!J:J,0),1),INDEX(Dashboard!J:K,MATCH(I3912,Dashboard!J:J,0),2)),"ON",IF(Dashboard!K$32="ALL","ON","-"))</f>
        <v>-</v>
      </c>
      <c r="C3912" s="88" t="s">
        <v>311</v>
      </c>
      <c r="D3912" s="89">
        <f>IF(C3912="ID",1,(IF(C3912="PR",2,(IF(C3912="DE",3,(IF(C3912="RS",4,(IF(C3912="RC",5,0)))))))))</f>
        <v>3</v>
      </c>
      <c r="E3912" s="89" t="s">
        <v>316</v>
      </c>
      <c r="F3912" s="89">
        <f>IF(E3912="AM",1,(IF(E3912="BE",2,(IF(E3912="GV",3,(IF(E3912="RA",4,(IF(E3912="RM",5,(IF(E3912="AC",1,(IF(E3912="AT",2,(IF(E3912="DS",3,(IF(E3912="IP",4,(IF(E3912="MA",5,(IF(E3912="PT",6,(IF(E3912="AE",1,(IF(E3912="CM",2,(IF(E3912="DP",3,(IF(E3912="AN",1,(IF(E3912="CO",2,(IF(E3912="IM",3,(IF(E3912="MI",4,(IF(E3912="RP",5,(IF(E3912="SC",6,0)))))))))))))))))))))))))))))))))))))))</f>
        <v>2</v>
      </c>
      <c r="G3912" s="52">
        <v>8</v>
      </c>
      <c r="H3912" s="99">
        <v>1</v>
      </c>
      <c r="I3912" s="93" t="s">
        <v>37</v>
      </c>
      <c r="J3912" s="86">
        <v>4.3</v>
      </c>
      <c r="K3912" s="102" t="s">
        <v>3835</v>
      </c>
      <c r="L3912" s="117">
        <f>IF(O3912="","",N3912*O3912*M3912)</f>
        <v>0</v>
      </c>
      <c r="M3912" s="108">
        <v>1</v>
      </c>
      <c r="N3912" s="95">
        <v>1</v>
      </c>
      <c r="O3912" s="109">
        <f>IF(Key!D$1="ON",P3912,IF(SUM(Q3912:DL3912)&lt;1,"",SUM(Q3912:DL3912)/COUNTIF(Q3912:DL3912,"&gt;0")))</f>
        <v>0</v>
      </c>
      <c r="P3912" s="109">
        <f>SUMIFS(Q3912:DK3912,Q$1:DK$1,Dashboard!$K$31)</f>
        <v>0</v>
      </c>
      <c r="U3912" s="95">
        <v>33</v>
      </c>
      <c r="AA3912" s="95">
        <v>25</v>
      </c>
      <c r="AH3912" s="95">
        <v>75</v>
      </c>
    </row>
    <row r="3913" spans="1:34" ht="15.6" x14ac:dyDescent="0.3">
      <c r="A3913" s="89" t="str">
        <f>CONCATENATE(D3913,".",F3913,"-",G3913,".",H3913,"")</f>
        <v>3.2-8.1</v>
      </c>
      <c r="B3913" s="89" t="str">
        <f>IF(CONCATENATE(I3913,Key!F$2)=CONCATENATE(INDEX(Dashboard!J:J,MATCH(I3913,Dashboard!J:J,0),1),INDEX(Dashboard!J:K,MATCH(I3913,Dashboard!J:J,0),2)),"ON",IF(Dashboard!K$32="ALL","ON","-"))</f>
        <v>-</v>
      </c>
      <c r="C3913" s="88" t="s">
        <v>311</v>
      </c>
      <c r="D3913" s="89">
        <f>IF(C3913="ID",1,(IF(C3913="PR",2,(IF(C3913="DE",3,(IF(C3913="RS",4,(IF(C3913="RC",5,0)))))))))</f>
        <v>3</v>
      </c>
      <c r="E3913" s="89" t="s">
        <v>316</v>
      </c>
      <c r="F3913" s="89">
        <f>IF(E3913="AM",1,(IF(E3913="BE",2,(IF(E3913="GV",3,(IF(E3913="RA",4,(IF(E3913="RM",5,(IF(E3913="AC",1,(IF(E3913="AT",2,(IF(E3913="DS",3,(IF(E3913="IP",4,(IF(E3913="MA",5,(IF(E3913="PT",6,(IF(E3913="AE",1,(IF(E3913="CM",2,(IF(E3913="DP",3,(IF(E3913="AN",1,(IF(E3913="CO",2,(IF(E3913="IM",3,(IF(E3913="MI",4,(IF(E3913="RP",5,(IF(E3913="SC",6,0)))))))))))))))))))))))))))))))))))))))</f>
        <v>2</v>
      </c>
      <c r="G3913" s="52">
        <v>8</v>
      </c>
      <c r="H3913" s="99">
        <v>1</v>
      </c>
      <c r="I3913" s="93" t="s">
        <v>37</v>
      </c>
      <c r="J3913" s="86">
        <v>20</v>
      </c>
      <c r="K3913" s="102" t="s">
        <v>3837</v>
      </c>
      <c r="L3913" s="117">
        <f>IF(O3913="","",N3913*O3913*M3913)</f>
        <v>0</v>
      </c>
      <c r="M3913" s="108">
        <v>1</v>
      </c>
      <c r="N3913" s="95">
        <v>1</v>
      </c>
      <c r="O3913" s="109">
        <f>IF(Key!D$1="ON",P3913,IF(SUM(Q3913:DL3913)&lt;1,"",SUM(Q3913:DL3913)/COUNTIF(Q3913:DL3913,"&gt;0")))</f>
        <v>0</v>
      </c>
      <c r="P3913" s="109">
        <f>SUMIFS(Q3913:DK3913,Q$1:DK$1,Dashboard!$K$31)</f>
        <v>0</v>
      </c>
      <c r="U3913" s="95">
        <v>33</v>
      </c>
      <c r="AA3913" s="95">
        <v>25</v>
      </c>
      <c r="AH3913" s="95">
        <v>75</v>
      </c>
    </row>
    <row r="3914" spans="1:34" ht="15.6" x14ac:dyDescent="0.3">
      <c r="A3914" s="89" t="str">
        <f>CONCATENATE(D3914,".",F3914,"-",G3914,".",H3914,"")</f>
        <v>3.2-8.1</v>
      </c>
      <c r="B3914" s="89" t="str">
        <f>IF(CONCATENATE(I3914,Key!F$2)=CONCATENATE(INDEX(Dashboard!J:J,MATCH(I3914,Dashboard!J:J,0),1),INDEX(Dashboard!J:K,MATCH(I3914,Dashboard!J:J,0),2)),"ON",IF(Dashboard!K$32="ALL","ON","-"))</f>
        <v>-</v>
      </c>
      <c r="C3914" s="88" t="s">
        <v>311</v>
      </c>
      <c r="D3914" s="89">
        <f>IF(C3914="ID",1,(IF(C3914="PR",2,(IF(C3914="DE",3,(IF(C3914="RS",4,(IF(C3914="RC",5,0)))))))))</f>
        <v>3</v>
      </c>
      <c r="E3914" s="89" t="s">
        <v>316</v>
      </c>
      <c r="F3914" s="89">
        <f>IF(E3914="AM",1,(IF(E3914="BE",2,(IF(E3914="GV",3,(IF(E3914="RA",4,(IF(E3914="RM",5,(IF(E3914="AC",1,(IF(E3914="AT",2,(IF(E3914="DS",3,(IF(E3914="IP",4,(IF(E3914="MA",5,(IF(E3914="PT",6,(IF(E3914="AE",1,(IF(E3914="CM",2,(IF(E3914="DP",3,(IF(E3914="AN",1,(IF(E3914="CO",2,(IF(E3914="IM",3,(IF(E3914="MI",4,(IF(E3914="RP",5,(IF(E3914="SC",6,0)))))))))))))))))))))))))))))))))))))))</f>
        <v>2</v>
      </c>
      <c r="G3914" s="52">
        <v>8</v>
      </c>
      <c r="H3914" s="99">
        <v>1</v>
      </c>
      <c r="I3914" s="93" t="s">
        <v>37</v>
      </c>
      <c r="J3914" s="86">
        <v>20.100000000000001</v>
      </c>
      <c r="K3914" s="102" t="s">
        <v>3838</v>
      </c>
      <c r="L3914" s="117">
        <f>IF(O3914="","",N3914*O3914*M3914)</f>
        <v>0</v>
      </c>
      <c r="M3914" s="108">
        <v>1</v>
      </c>
      <c r="N3914" s="95">
        <v>1</v>
      </c>
      <c r="O3914" s="109">
        <f>IF(Key!D$1="ON",P3914,IF(SUM(Q3914:DL3914)&lt;1,"",SUM(Q3914:DL3914)/COUNTIF(Q3914:DL3914,"&gt;0")))</f>
        <v>0</v>
      </c>
      <c r="P3914" s="109">
        <f>SUMIFS(Q3914:DK3914,Q$1:DK$1,Dashboard!$K$31)</f>
        <v>0</v>
      </c>
      <c r="U3914" s="95">
        <v>33</v>
      </c>
      <c r="AA3914" s="95">
        <v>25</v>
      </c>
      <c r="AH3914" s="95">
        <v>75</v>
      </c>
    </row>
    <row r="3915" spans="1:34" ht="15.6" x14ac:dyDescent="0.3">
      <c r="A3915" s="89" t="str">
        <f>CONCATENATE(D3915,".",F3915,"-",G3915,".",H3915,"")</f>
        <v>3.2-8.1</v>
      </c>
      <c r="B3915" s="89" t="str">
        <f>IF(CONCATENATE(I3915,Key!F$2)=CONCATENATE(INDEX(Dashboard!J:J,MATCH(I3915,Dashboard!J:J,0),1),INDEX(Dashboard!J:K,MATCH(I3915,Dashboard!J:J,0),2)),"ON",IF(Dashboard!K$32="ALL","ON","-"))</f>
        <v>-</v>
      </c>
      <c r="C3915" s="88" t="s">
        <v>311</v>
      </c>
      <c r="D3915" s="89">
        <f>IF(C3915="ID",1,(IF(C3915="PR",2,(IF(C3915="DE",3,(IF(C3915="RS",4,(IF(C3915="RC",5,0)))))))))</f>
        <v>3</v>
      </c>
      <c r="E3915" s="89" t="s">
        <v>316</v>
      </c>
      <c r="F3915" s="89">
        <f>IF(E3915="AM",1,(IF(E3915="BE",2,(IF(E3915="GV",3,(IF(E3915="RA",4,(IF(E3915="RM",5,(IF(E3915="AC",1,(IF(E3915="AT",2,(IF(E3915="DS",3,(IF(E3915="IP",4,(IF(E3915="MA",5,(IF(E3915="PT",6,(IF(E3915="AE",1,(IF(E3915="CM",2,(IF(E3915="DP",3,(IF(E3915="AN",1,(IF(E3915="CO",2,(IF(E3915="IM",3,(IF(E3915="MI",4,(IF(E3915="RP",5,(IF(E3915="SC",6,0)))))))))))))))))))))))))))))))))))))))</f>
        <v>2</v>
      </c>
      <c r="G3915" s="52">
        <v>8</v>
      </c>
      <c r="H3915" s="99">
        <v>1</v>
      </c>
      <c r="I3915" s="93" t="s">
        <v>37</v>
      </c>
      <c r="J3915" s="86">
        <v>20.3</v>
      </c>
      <c r="K3915" s="102" t="s">
        <v>3839</v>
      </c>
      <c r="L3915" s="117">
        <f>IF(O3915="","",N3915*O3915*M3915)</f>
        <v>0</v>
      </c>
      <c r="M3915" s="108">
        <v>1</v>
      </c>
      <c r="N3915" s="95">
        <v>1</v>
      </c>
      <c r="O3915" s="109">
        <f>IF(Key!D$1="ON",P3915,IF(SUM(Q3915:DL3915)&lt;1,"",SUM(Q3915:DL3915)/COUNTIF(Q3915:DL3915,"&gt;0")))</f>
        <v>0</v>
      </c>
      <c r="P3915" s="109">
        <f>SUMIFS(Q3915:DK3915,Q$1:DK$1,Dashboard!$K$31)</f>
        <v>0</v>
      </c>
      <c r="U3915" s="95">
        <v>33</v>
      </c>
      <c r="AA3915" s="95">
        <v>25</v>
      </c>
      <c r="AH3915" s="95">
        <v>75</v>
      </c>
    </row>
    <row r="3916" spans="1:34" ht="15.6" x14ac:dyDescent="0.3">
      <c r="A3916" s="89" t="str">
        <f>CONCATENATE(D3916,".",F3916,"-",G3916,".",H3916,"")</f>
        <v>3.2-8.1</v>
      </c>
      <c r="B3916" s="89" t="str">
        <f>IF(CONCATENATE(I3916,Key!F$2)=CONCATENATE(INDEX(Dashboard!J:J,MATCH(I3916,Dashboard!J:J,0),1),INDEX(Dashboard!J:K,MATCH(I3916,Dashboard!J:J,0),2)),"ON",IF(Dashboard!K$32="ALL","ON","-"))</f>
        <v>-</v>
      </c>
      <c r="C3916" s="88" t="s">
        <v>311</v>
      </c>
      <c r="D3916" s="89">
        <f>IF(C3916="ID",1,(IF(C3916="PR",2,(IF(C3916="DE",3,(IF(C3916="RS",4,(IF(C3916="RC",5,0)))))))))</f>
        <v>3</v>
      </c>
      <c r="E3916" s="89" t="s">
        <v>316</v>
      </c>
      <c r="F3916" s="89">
        <f>IF(E3916="AM",1,(IF(E3916="BE",2,(IF(E3916="GV",3,(IF(E3916="RA",4,(IF(E3916="RM",5,(IF(E3916="AC",1,(IF(E3916="AT",2,(IF(E3916="DS",3,(IF(E3916="IP",4,(IF(E3916="MA",5,(IF(E3916="PT",6,(IF(E3916="AE",1,(IF(E3916="CM",2,(IF(E3916="DP",3,(IF(E3916="AN",1,(IF(E3916="CO",2,(IF(E3916="IM",3,(IF(E3916="MI",4,(IF(E3916="RP",5,(IF(E3916="SC",6,0)))))))))))))))))))))))))))))))))))))))</f>
        <v>2</v>
      </c>
      <c r="G3916" s="52">
        <v>8</v>
      </c>
      <c r="H3916" s="99">
        <v>1</v>
      </c>
      <c r="I3916" s="93" t="s">
        <v>37</v>
      </c>
      <c r="J3916" s="86">
        <v>20.399999999999999</v>
      </c>
      <c r="K3916" s="102" t="s">
        <v>3840</v>
      </c>
      <c r="L3916" s="117">
        <f>IF(O3916="","",N3916*O3916*M3916)</f>
        <v>0</v>
      </c>
      <c r="M3916" s="108">
        <v>1</v>
      </c>
      <c r="N3916" s="95">
        <v>1</v>
      </c>
      <c r="O3916" s="109">
        <f>IF(Key!D$1="ON",P3916,IF(SUM(Q3916:DL3916)&lt;1,"",SUM(Q3916:DL3916)/COUNTIF(Q3916:DL3916,"&gt;0")))</f>
        <v>0</v>
      </c>
      <c r="P3916" s="109">
        <f>SUMIFS(Q3916:DK3916,Q$1:DK$1,Dashboard!$K$31)</f>
        <v>0</v>
      </c>
      <c r="U3916" s="95">
        <v>33</v>
      </c>
      <c r="AA3916" s="95">
        <v>25</v>
      </c>
      <c r="AH3916" s="95">
        <v>75</v>
      </c>
    </row>
    <row r="3917" spans="1:34" ht="15.6" x14ac:dyDescent="0.3">
      <c r="A3917" s="89" t="str">
        <f>CONCATENATE(D3917,".",F3917,"-",G3917,".",H3917,"")</f>
        <v>3.2-8.1</v>
      </c>
      <c r="B3917" s="89" t="str">
        <f>IF(CONCATENATE(I3917,Key!F$2)=CONCATENATE(INDEX(Dashboard!J:J,MATCH(I3917,Dashboard!J:J,0),1),INDEX(Dashboard!J:K,MATCH(I3917,Dashboard!J:J,0),2)),"ON",IF(Dashboard!K$32="ALL","ON","-"))</f>
        <v>-</v>
      </c>
      <c r="C3917" s="88" t="s">
        <v>311</v>
      </c>
      <c r="D3917" s="89">
        <f>IF(C3917="ID",1,(IF(C3917="PR",2,(IF(C3917="DE",3,(IF(C3917="RS",4,(IF(C3917="RC",5,0)))))))))</f>
        <v>3</v>
      </c>
      <c r="E3917" s="89" t="s">
        <v>316</v>
      </c>
      <c r="F3917" s="89">
        <f>IF(E3917="AM",1,(IF(E3917="BE",2,(IF(E3917="GV",3,(IF(E3917="RA",4,(IF(E3917="RM",5,(IF(E3917="AC",1,(IF(E3917="AT",2,(IF(E3917="DS",3,(IF(E3917="IP",4,(IF(E3917="MA",5,(IF(E3917="PT",6,(IF(E3917="AE",1,(IF(E3917="CM",2,(IF(E3917="DP",3,(IF(E3917="AN",1,(IF(E3917="CO",2,(IF(E3917="IM",3,(IF(E3917="MI",4,(IF(E3917="RP",5,(IF(E3917="SC",6,0)))))))))))))))))))))))))))))))))))))))</f>
        <v>2</v>
      </c>
      <c r="G3917" s="52">
        <v>8</v>
      </c>
      <c r="H3917" s="99">
        <v>1</v>
      </c>
      <c r="I3917" s="93" t="s">
        <v>37</v>
      </c>
      <c r="J3917" s="86">
        <v>20.5</v>
      </c>
      <c r="K3917" s="102" t="s">
        <v>3841</v>
      </c>
      <c r="L3917" s="117">
        <f>IF(O3917="","",N3917*O3917*M3917)</f>
        <v>0</v>
      </c>
      <c r="M3917" s="108">
        <v>1</v>
      </c>
      <c r="N3917" s="95">
        <v>1</v>
      </c>
      <c r="O3917" s="109">
        <f>IF(Key!D$1="ON",P3917,IF(SUM(Q3917:DL3917)&lt;1,"",SUM(Q3917:DL3917)/COUNTIF(Q3917:DL3917,"&gt;0")))</f>
        <v>0</v>
      </c>
      <c r="P3917" s="109">
        <f>SUMIFS(Q3917:DK3917,Q$1:DK$1,Dashboard!$K$31)</f>
        <v>0</v>
      </c>
      <c r="U3917" s="95">
        <v>33</v>
      </c>
      <c r="AA3917" s="95">
        <v>25</v>
      </c>
      <c r="AH3917" s="95">
        <v>75</v>
      </c>
    </row>
    <row r="3918" spans="1:34" ht="15.6" x14ac:dyDescent="0.3">
      <c r="A3918" s="89" t="str">
        <f>CONCATENATE(D3918,".",F3918,"-",G3918,".",H3918,"")</f>
        <v>3.2-8.1</v>
      </c>
      <c r="B3918" s="89" t="str">
        <f>IF(CONCATENATE(I3918,Key!F$2)=CONCATENATE(INDEX(Dashboard!J:J,MATCH(I3918,Dashboard!J:J,0),1),INDEX(Dashboard!J:K,MATCH(I3918,Dashboard!J:J,0),2)),"ON",IF(Dashboard!K$32="ALL","ON","-"))</f>
        <v>-</v>
      </c>
      <c r="C3918" s="88" t="s">
        <v>311</v>
      </c>
      <c r="D3918" s="89">
        <f>IF(C3918="ID",1,(IF(C3918="PR",2,(IF(C3918="DE",3,(IF(C3918="RS",4,(IF(C3918="RC",5,0)))))))))</f>
        <v>3</v>
      </c>
      <c r="E3918" s="89" t="s">
        <v>316</v>
      </c>
      <c r="F3918" s="89">
        <f>IF(E3918="AM",1,(IF(E3918="BE",2,(IF(E3918="GV",3,(IF(E3918="RA",4,(IF(E3918="RM",5,(IF(E3918="AC",1,(IF(E3918="AT",2,(IF(E3918="DS",3,(IF(E3918="IP",4,(IF(E3918="MA",5,(IF(E3918="PT",6,(IF(E3918="AE",1,(IF(E3918="CM",2,(IF(E3918="DP",3,(IF(E3918="AN",1,(IF(E3918="CO",2,(IF(E3918="IM",3,(IF(E3918="MI",4,(IF(E3918="RP",5,(IF(E3918="SC",6,0)))))))))))))))))))))))))))))))))))))))</f>
        <v>2</v>
      </c>
      <c r="G3918" s="52">
        <v>8</v>
      </c>
      <c r="H3918" s="99">
        <v>1</v>
      </c>
      <c r="I3918" s="93" t="s">
        <v>37</v>
      </c>
      <c r="J3918" s="86">
        <v>20.6</v>
      </c>
      <c r="K3918" s="102" t="s">
        <v>3842</v>
      </c>
      <c r="L3918" s="117">
        <f>IF(O3918="","",N3918*O3918*M3918)</f>
        <v>0</v>
      </c>
      <c r="M3918" s="108">
        <v>1</v>
      </c>
      <c r="N3918" s="95">
        <v>1</v>
      </c>
      <c r="O3918" s="109">
        <f>IF(Key!D$1="ON",P3918,IF(SUM(Q3918:DL3918)&lt;1,"",SUM(Q3918:DL3918)/COUNTIF(Q3918:DL3918,"&gt;0")))</f>
        <v>0</v>
      </c>
      <c r="P3918" s="109">
        <f>SUMIFS(Q3918:DK3918,Q$1:DK$1,Dashboard!$K$31)</f>
        <v>0</v>
      </c>
      <c r="U3918" s="95">
        <v>33</v>
      </c>
      <c r="AA3918" s="95">
        <v>25</v>
      </c>
      <c r="AH3918" s="95">
        <v>75</v>
      </c>
    </row>
    <row r="3919" spans="1:34" ht="15.6" x14ac:dyDescent="0.3">
      <c r="A3919" s="89" t="str">
        <f>CONCATENATE(D3919,".",F3919,"-",G3919,".",H3919,"")</f>
        <v>3.2-8.1</v>
      </c>
      <c r="B3919" s="89" t="str">
        <f>IF(CONCATENATE(I3919,Key!F$2)=CONCATENATE(INDEX(Dashboard!J:J,MATCH(I3919,Dashboard!J:J,0),1),INDEX(Dashboard!J:K,MATCH(I3919,Dashboard!J:J,0),2)),"ON",IF(Dashboard!K$32="ALL","ON","-"))</f>
        <v>-</v>
      </c>
      <c r="C3919" s="88" t="s">
        <v>311</v>
      </c>
      <c r="D3919" s="89">
        <f>IF(C3919="ID",1,(IF(C3919="PR",2,(IF(C3919="DE",3,(IF(C3919="RS",4,(IF(C3919="RC",5,0)))))))))</f>
        <v>3</v>
      </c>
      <c r="E3919" s="89" t="s">
        <v>316</v>
      </c>
      <c r="F3919" s="89">
        <f>IF(E3919="AM",1,(IF(E3919="BE",2,(IF(E3919="GV",3,(IF(E3919="RA",4,(IF(E3919="RM",5,(IF(E3919="AC",1,(IF(E3919="AT",2,(IF(E3919="DS",3,(IF(E3919="IP",4,(IF(E3919="MA",5,(IF(E3919="PT",6,(IF(E3919="AE",1,(IF(E3919="CM",2,(IF(E3919="DP",3,(IF(E3919="AN",1,(IF(E3919="CO",2,(IF(E3919="IM",3,(IF(E3919="MI",4,(IF(E3919="RP",5,(IF(E3919="SC",6,0)))))))))))))))))))))))))))))))))))))))</f>
        <v>2</v>
      </c>
      <c r="G3919" s="52">
        <v>8</v>
      </c>
      <c r="H3919" s="99">
        <v>1</v>
      </c>
      <c r="I3919" s="93" t="s">
        <v>37</v>
      </c>
      <c r="J3919" s="86">
        <v>20.7</v>
      </c>
      <c r="K3919" s="102" t="s">
        <v>3843</v>
      </c>
      <c r="L3919" s="117">
        <f>IF(O3919="","",N3919*O3919*M3919)</f>
        <v>0</v>
      </c>
      <c r="M3919" s="108">
        <v>1</v>
      </c>
      <c r="N3919" s="95">
        <v>1</v>
      </c>
      <c r="O3919" s="109">
        <f>IF(Key!D$1="ON",P3919,IF(SUM(Q3919:DL3919)&lt;1,"",SUM(Q3919:DL3919)/COUNTIF(Q3919:DL3919,"&gt;0")))</f>
        <v>0</v>
      </c>
      <c r="P3919" s="109">
        <f>SUMIFS(Q3919:DK3919,Q$1:DK$1,Dashboard!$K$31)</f>
        <v>0</v>
      </c>
      <c r="U3919" s="95">
        <v>33</v>
      </c>
      <c r="AA3919" s="95">
        <v>25</v>
      </c>
      <c r="AH3919" s="95">
        <v>75</v>
      </c>
    </row>
    <row r="3920" spans="1:34" ht="15.6" x14ac:dyDescent="0.3">
      <c r="A3920" s="89" t="str">
        <f>CONCATENATE(D3920,".",F3920,"-",G3920,".",H3920,"")</f>
        <v>3.2-8.1</v>
      </c>
      <c r="B3920" s="89" t="str">
        <f>IF(CONCATENATE(I3920,Key!F$2)=CONCATENATE(INDEX(Dashboard!J:J,MATCH(I3920,Dashboard!J:J,0),1),INDEX(Dashboard!J:K,MATCH(I3920,Dashboard!J:J,0),2)),"ON",IF(Dashboard!K$32="ALL","ON","-"))</f>
        <v>-</v>
      </c>
      <c r="C3920" s="88" t="s">
        <v>311</v>
      </c>
      <c r="D3920" s="89">
        <f>IF(C3920="ID",1,(IF(C3920="PR",2,(IF(C3920="DE",3,(IF(C3920="RS",4,(IF(C3920="RC",5,0)))))))))</f>
        <v>3</v>
      </c>
      <c r="E3920" s="89" t="s">
        <v>316</v>
      </c>
      <c r="F3920" s="89">
        <f>IF(E3920="AM",1,(IF(E3920="BE",2,(IF(E3920="GV",3,(IF(E3920="RA",4,(IF(E3920="RM",5,(IF(E3920="AC",1,(IF(E3920="AT",2,(IF(E3920="DS",3,(IF(E3920="IP",4,(IF(E3920="MA",5,(IF(E3920="PT",6,(IF(E3920="AE",1,(IF(E3920="CM",2,(IF(E3920="DP",3,(IF(E3920="AN",1,(IF(E3920="CO",2,(IF(E3920="IM",3,(IF(E3920="MI",4,(IF(E3920="RP",5,(IF(E3920="SC",6,0)))))))))))))))))))))))))))))))))))))))</f>
        <v>2</v>
      </c>
      <c r="G3920" s="52">
        <v>8</v>
      </c>
      <c r="H3920" s="99">
        <v>1</v>
      </c>
      <c r="I3920" s="93" t="s">
        <v>37</v>
      </c>
      <c r="J3920" s="86">
        <v>20.8</v>
      </c>
      <c r="K3920" s="102" t="s">
        <v>3844</v>
      </c>
      <c r="L3920" s="117">
        <f>IF(O3920="","",N3920*O3920*M3920)</f>
        <v>0</v>
      </c>
      <c r="M3920" s="108">
        <v>1</v>
      </c>
      <c r="N3920" s="95">
        <v>1</v>
      </c>
      <c r="O3920" s="109">
        <f>IF(Key!D$1="ON",P3920,IF(SUM(Q3920:DL3920)&lt;1,"",SUM(Q3920:DL3920)/COUNTIF(Q3920:DL3920,"&gt;0")))</f>
        <v>0</v>
      </c>
      <c r="P3920" s="109">
        <f>SUMIFS(Q3920:DK3920,Q$1:DK$1,Dashboard!$K$31)</f>
        <v>0</v>
      </c>
      <c r="U3920" s="95">
        <v>33</v>
      </c>
      <c r="AA3920" s="95">
        <v>25</v>
      </c>
      <c r="AH3920" s="95">
        <v>75</v>
      </c>
    </row>
    <row r="3921" spans="1:34" ht="15.6" x14ac:dyDescent="0.3">
      <c r="A3921" s="89" t="str">
        <f>CONCATENATE(D3921,".",F3921,"-",G3921,".",H3921,"")</f>
        <v>3.2-8.1</v>
      </c>
      <c r="B3921" s="89" t="str">
        <f>IF(CONCATENATE(I3921,Key!F$2)=CONCATENATE(INDEX(Dashboard!J:J,MATCH(I3921,Dashboard!J:J,0),1),INDEX(Dashboard!J:K,MATCH(I3921,Dashboard!J:J,0),2)),"ON",IF(Dashboard!K$32="ALL","ON","-"))</f>
        <v>-</v>
      </c>
      <c r="C3921" s="88" t="s">
        <v>311</v>
      </c>
      <c r="D3921" s="89">
        <f>IF(C3921="ID",1,(IF(C3921="PR",2,(IF(C3921="DE",3,(IF(C3921="RS",4,(IF(C3921="RC",5,0)))))))))</f>
        <v>3</v>
      </c>
      <c r="E3921" s="89" t="s">
        <v>316</v>
      </c>
      <c r="F3921" s="89">
        <f>IF(E3921="AM",1,(IF(E3921="BE",2,(IF(E3921="GV",3,(IF(E3921="RA",4,(IF(E3921="RM",5,(IF(E3921="AC",1,(IF(E3921="AT",2,(IF(E3921="DS",3,(IF(E3921="IP",4,(IF(E3921="MA",5,(IF(E3921="PT",6,(IF(E3921="AE",1,(IF(E3921="CM",2,(IF(E3921="DP",3,(IF(E3921="AN",1,(IF(E3921="CO",2,(IF(E3921="IM",3,(IF(E3921="MI",4,(IF(E3921="RP",5,(IF(E3921="SC",6,0)))))))))))))))))))))))))))))))))))))))</f>
        <v>2</v>
      </c>
      <c r="G3921" s="52">
        <v>8</v>
      </c>
      <c r="H3921" s="99">
        <v>1</v>
      </c>
      <c r="I3921" s="93" t="s">
        <v>37</v>
      </c>
      <c r="J3921" s="86">
        <v>4.5999999999999996</v>
      </c>
      <c r="K3921" s="102" t="s">
        <v>3836</v>
      </c>
      <c r="L3921" s="117">
        <f>IF(O3921="","",N3921*O3921*M3921)</f>
        <v>0</v>
      </c>
      <c r="M3921" s="108">
        <v>1</v>
      </c>
      <c r="N3921" s="95">
        <v>1</v>
      </c>
      <c r="O3921" s="109">
        <f>IF(Key!D$1="ON",P3921,IF(SUM(Q3921:DL3921)&lt;1,"",SUM(Q3921:DL3921)/COUNTIF(Q3921:DL3921,"&gt;0")))</f>
        <v>0</v>
      </c>
      <c r="P3921" s="109">
        <f>SUMIFS(Q3921:DK3921,Q$1:DK$1,Dashboard!$K$31)</f>
        <v>0</v>
      </c>
      <c r="U3921" s="95">
        <v>33</v>
      </c>
      <c r="AA3921" s="95">
        <v>25</v>
      </c>
      <c r="AH3921" s="95">
        <v>75</v>
      </c>
    </row>
    <row r="3922" spans="1:34" ht="15.6" x14ac:dyDescent="0.3">
      <c r="A3922" s="89" t="str">
        <f>CONCATENATE(D3922,".",F3922,"-",G3922,".",H3922,"")</f>
        <v>3.2-8.1</v>
      </c>
      <c r="B3922" s="89" t="str">
        <f>IF(CONCATENATE(I3922,Key!F$2)=CONCATENATE(INDEX(Dashboard!J:J,MATCH(I3922,Dashboard!J:J,0),1),INDEX(Dashboard!J:K,MATCH(I3922,Dashboard!J:J,0),2)),"ON",IF(Dashboard!K$32="ALL","ON","-"))</f>
        <v>-</v>
      </c>
      <c r="C3922" s="88" t="s">
        <v>311</v>
      </c>
      <c r="D3922" s="89">
        <f>IF(C3922="ID",1,(IF(C3922="PR",2,(IF(C3922="DE",3,(IF(C3922="RS",4,(IF(C3922="RC",5,0)))))))))</f>
        <v>3</v>
      </c>
      <c r="E3922" s="89" t="s">
        <v>316</v>
      </c>
      <c r="F3922" s="89">
        <f>IF(E3922="AM",1,(IF(E3922="BE",2,(IF(E3922="GV",3,(IF(E3922="RA",4,(IF(E3922="RM",5,(IF(E3922="AC",1,(IF(E3922="AT",2,(IF(E3922="DS",3,(IF(E3922="IP",4,(IF(E3922="MA",5,(IF(E3922="PT",6,(IF(E3922="AE",1,(IF(E3922="CM",2,(IF(E3922="DP",3,(IF(E3922="AN",1,(IF(E3922="CO",2,(IF(E3922="IM",3,(IF(E3922="MI",4,(IF(E3922="RP",5,(IF(E3922="SC",6,0)))))))))))))))))))))))))))))))))))))))</f>
        <v>2</v>
      </c>
      <c r="G3922" s="52">
        <v>8</v>
      </c>
      <c r="H3922" s="99">
        <v>1</v>
      </c>
      <c r="I3922" s="93" t="s">
        <v>41</v>
      </c>
      <c r="J3922" s="86">
        <v>3.2</v>
      </c>
      <c r="K3922" s="103" t="s">
        <v>3471</v>
      </c>
      <c r="L3922" s="117">
        <f>IF(O3922="","",N3922*O3922*M3922)</f>
        <v>0</v>
      </c>
      <c r="M3922" s="108">
        <v>1</v>
      </c>
      <c r="N3922" s="95">
        <v>1</v>
      </c>
      <c r="O3922" s="109">
        <f>IF(Key!D$1="ON",P3922,IF(SUM(Q3922:DL3922)&lt;1,"",SUM(Q3922:DL3922)/COUNTIF(Q3922:DL3922,"&gt;0")))</f>
        <v>0</v>
      </c>
      <c r="P3922" s="109">
        <f>SUMIFS(Q3922:DK3922,Q$1:DK$1,Dashboard!$K$31)</f>
        <v>0</v>
      </c>
      <c r="U3922" s="95">
        <v>33</v>
      </c>
    </row>
    <row r="3923" spans="1:34" ht="15.6" x14ac:dyDescent="0.3">
      <c r="A3923" s="89" t="str">
        <f>CONCATENATE(D3923,".",F3923,"-",G3923,".",H3923,"")</f>
        <v>3.2-8.1</v>
      </c>
      <c r="B3923" s="89" t="str">
        <f>IF(CONCATENATE(I3923,Key!F$2)=CONCATENATE(INDEX(Dashboard!J:J,MATCH(I3923,Dashboard!J:J,0),1),INDEX(Dashboard!J:K,MATCH(I3923,Dashboard!J:J,0),2)),"ON",IF(Dashboard!K$32="ALL","ON","-"))</f>
        <v>-</v>
      </c>
      <c r="C3923" s="96" t="s">
        <v>311</v>
      </c>
      <c r="D3923" s="89">
        <f>IF(C3923="ID",1,(IF(C3923="PR",2,(IF(C3923="DE",3,(IF(C3923="RS",4,(IF(C3923="RC",5,0)))))))))</f>
        <v>3</v>
      </c>
      <c r="E3923" s="89" t="s">
        <v>316</v>
      </c>
      <c r="F3923" s="89">
        <f>IF(E3923="AM",1,(IF(E3923="BE",2,(IF(E3923="GV",3,(IF(E3923="RA",4,(IF(E3923="RM",5,(IF(E3923="AC",1,(IF(E3923="AT",2,(IF(E3923="DS",3,(IF(E3923="IP",4,(IF(E3923="MA",5,(IF(E3923="PT",6,(IF(E3923="AE",1,(IF(E3923="CM",2,(IF(E3923="DP",3,(IF(E3923="AN",1,(IF(E3923="CO",2,(IF(E3923="IM",3,(IF(E3923="MI",4,(IF(E3923="RP",5,(IF(E3923="SC",6,0)))))))))))))))))))))))))))))))))))))))</f>
        <v>2</v>
      </c>
      <c r="G3923" s="52">
        <v>8</v>
      </c>
      <c r="H3923" s="99">
        <v>1</v>
      </c>
      <c r="I3923" s="93" t="s">
        <v>41</v>
      </c>
      <c r="J3923" s="86">
        <v>3.6</v>
      </c>
      <c r="K3923" s="103" t="s">
        <v>3475</v>
      </c>
      <c r="L3923" s="117">
        <f>IF(O3923="","",N3923*O3923*M3923)</f>
        <v>0</v>
      </c>
      <c r="M3923" s="108">
        <v>1</v>
      </c>
      <c r="N3923" s="95">
        <v>1</v>
      </c>
      <c r="O3923" s="109">
        <f>IF(Key!D$1="ON",P3923,IF(SUM(Q3923:DL3923)&lt;1,"",SUM(Q3923:DL3923)/COUNTIF(Q3923:DL3923,"&gt;0")))</f>
        <v>0</v>
      </c>
      <c r="P3923" s="109">
        <f>SUMIFS(Q3923:DK3923,Q$1:DK$1,Dashboard!$K$31)</f>
        <v>0</v>
      </c>
      <c r="U3923" s="95">
        <v>33</v>
      </c>
    </row>
    <row r="3924" spans="1:34" ht="15.6" x14ac:dyDescent="0.3">
      <c r="A3924" s="89" t="str">
        <f>CONCATENATE(D3924,".",F3924,"-",G3924,".",H3924,"")</f>
        <v>3.2-8.1</v>
      </c>
      <c r="B3924" s="89" t="str">
        <f>IF(CONCATENATE(I3924,Key!F$2)=CONCATENATE(INDEX(Dashboard!J:J,MATCH(I3924,Dashboard!J:J,0),1),INDEX(Dashboard!J:K,MATCH(I3924,Dashboard!J:J,0),2)),"ON",IF(Dashboard!K$32="ALL","ON","-"))</f>
        <v>-</v>
      </c>
      <c r="C3924" s="88" t="s">
        <v>311</v>
      </c>
      <c r="D3924" s="89">
        <f>IF(C3924="ID",1,(IF(C3924="PR",2,(IF(C3924="DE",3,(IF(C3924="RS",4,(IF(C3924="RC",5,0)))))))))</f>
        <v>3</v>
      </c>
      <c r="E3924" s="89" t="s">
        <v>316</v>
      </c>
      <c r="F3924" s="89">
        <f>IF(E3924="AM",1,(IF(E3924="BE",2,(IF(E3924="GV",3,(IF(E3924="RA",4,(IF(E3924="RM",5,(IF(E3924="AC",1,(IF(E3924="AT",2,(IF(E3924="DS",3,(IF(E3924="IP",4,(IF(E3924="MA",5,(IF(E3924="PT",6,(IF(E3924="AE",1,(IF(E3924="CM",2,(IF(E3924="DP",3,(IF(E3924="AN",1,(IF(E3924="CO",2,(IF(E3924="IM",3,(IF(E3924="MI",4,(IF(E3924="RP",5,(IF(E3924="SC",6,0)))))))))))))))))))))))))))))))))))))))</f>
        <v>2</v>
      </c>
      <c r="G3924" s="52">
        <v>8</v>
      </c>
      <c r="H3924" s="99">
        <v>1</v>
      </c>
      <c r="I3924" s="93" t="s">
        <v>41</v>
      </c>
      <c r="J3924" s="86">
        <v>20</v>
      </c>
      <c r="K3924" s="103" t="s">
        <v>3601</v>
      </c>
      <c r="L3924" s="117">
        <f>IF(O3924="","",N3924*O3924*M3924)</f>
        <v>0</v>
      </c>
      <c r="M3924" s="108">
        <v>1</v>
      </c>
      <c r="N3924" s="95">
        <v>1</v>
      </c>
      <c r="O3924" s="109">
        <f>IF(Key!D$1="ON",P3924,IF(SUM(Q3924:DL3924)&lt;1,"",SUM(Q3924:DL3924)/COUNTIF(Q3924:DL3924,"&gt;0")))</f>
        <v>0</v>
      </c>
      <c r="P3924" s="109">
        <f>SUMIFS(Q3924:DK3924,Q$1:DK$1,Dashboard!$K$31)</f>
        <v>0</v>
      </c>
      <c r="U3924" s="95">
        <v>33</v>
      </c>
    </row>
    <row r="3925" spans="1:34" ht="15.6" x14ac:dyDescent="0.3">
      <c r="A3925" s="89" t="str">
        <f>CONCATENATE(D3925,".",F3925,"-",G3925,".",H3925,"")</f>
        <v>3.2-8.1</v>
      </c>
      <c r="B3925" s="89" t="str">
        <f>IF(CONCATENATE(I3925,Key!F$2)=CONCATENATE(INDEX(Dashboard!J:J,MATCH(I3925,Dashboard!J:J,0),1),INDEX(Dashboard!J:K,MATCH(I3925,Dashboard!J:J,0),2)),"ON",IF(Dashboard!K$32="ALL","ON","-"))</f>
        <v>-</v>
      </c>
      <c r="C3925" s="96" t="s">
        <v>311</v>
      </c>
      <c r="D3925" s="89">
        <f>IF(C3925="ID",1,(IF(C3925="PR",2,(IF(C3925="DE",3,(IF(C3925="RS",4,(IF(C3925="RC",5,0)))))))))</f>
        <v>3</v>
      </c>
      <c r="E3925" s="89" t="s">
        <v>316</v>
      </c>
      <c r="F3925" s="89">
        <f>IF(E3925="AM",1,(IF(E3925="BE",2,(IF(E3925="GV",3,(IF(E3925="RA",4,(IF(E3925="RM",5,(IF(E3925="AC",1,(IF(E3925="AT",2,(IF(E3925="DS",3,(IF(E3925="IP",4,(IF(E3925="MA",5,(IF(E3925="PT",6,(IF(E3925="AE",1,(IF(E3925="CM",2,(IF(E3925="DP",3,(IF(E3925="AN",1,(IF(E3925="CO",2,(IF(E3925="IM",3,(IF(E3925="MI",4,(IF(E3925="RP",5,(IF(E3925="SC",6,0)))))))))))))))))))))))))))))))))))))))</f>
        <v>2</v>
      </c>
      <c r="G3925" s="52">
        <v>8</v>
      </c>
      <c r="H3925" s="99">
        <v>1</v>
      </c>
      <c r="I3925" s="93" t="s">
        <v>41</v>
      </c>
      <c r="J3925" s="86" t="s">
        <v>3638</v>
      </c>
      <c r="K3925" s="103" t="s">
        <v>3639</v>
      </c>
      <c r="L3925" s="117">
        <f>IF(O3925="","",N3925*O3925*M3925)</f>
        <v>0</v>
      </c>
      <c r="M3925" s="108">
        <v>1</v>
      </c>
      <c r="N3925" s="95">
        <v>1</v>
      </c>
      <c r="O3925" s="109">
        <f>IF(Key!D$1="ON",P3925,IF(SUM(Q3925:DL3925)&lt;1,"",SUM(Q3925:DL3925)/COUNTIF(Q3925:DL3925,"&gt;0")))</f>
        <v>0</v>
      </c>
      <c r="P3925" s="109">
        <f>SUMIFS(Q3925:DK3925,Q$1:DK$1,Dashboard!$K$31)</f>
        <v>0</v>
      </c>
      <c r="U3925" s="95">
        <v>33</v>
      </c>
    </row>
    <row r="3926" spans="1:34" ht="15.6" x14ac:dyDescent="0.3">
      <c r="A3926" s="89" t="str">
        <f>CONCATENATE(D3926,".",F3926,"-",G3926,".",H3926,"")</f>
        <v>3.2-8.1</v>
      </c>
      <c r="B3926" s="89" t="str">
        <f>IF(CONCATENATE(I3926,Key!F$2)=CONCATENATE(INDEX(Dashboard!J:J,MATCH(I3926,Dashboard!J:J,0),1),INDEX(Dashboard!J:K,MATCH(I3926,Dashboard!J:J,0),2)),"ON",IF(Dashboard!K$32="ALL","ON","-"))</f>
        <v>-</v>
      </c>
      <c r="C3926" s="88" t="s">
        <v>311</v>
      </c>
      <c r="D3926" s="89">
        <f>IF(C3926="ID",1,(IF(C3926="PR",2,(IF(C3926="DE",3,(IF(C3926="RS",4,(IF(C3926="RC",5,0)))))))))</f>
        <v>3</v>
      </c>
      <c r="E3926" s="89" t="s">
        <v>316</v>
      </c>
      <c r="F3926" s="89">
        <f>IF(E3926="AM",1,(IF(E3926="BE",2,(IF(E3926="GV",3,(IF(E3926="RA",4,(IF(E3926="RM",5,(IF(E3926="AC",1,(IF(E3926="AT",2,(IF(E3926="DS",3,(IF(E3926="IP",4,(IF(E3926="MA",5,(IF(E3926="PT",6,(IF(E3926="AE",1,(IF(E3926="CM",2,(IF(E3926="DP",3,(IF(E3926="AN",1,(IF(E3926="CO",2,(IF(E3926="IM",3,(IF(E3926="MI",4,(IF(E3926="RP",5,(IF(E3926="SC",6,0)))))))))))))))))))))))))))))))))))))))</f>
        <v>2</v>
      </c>
      <c r="G3926" s="52">
        <v>8</v>
      </c>
      <c r="H3926" s="99">
        <v>1</v>
      </c>
      <c r="I3926" s="93" t="s">
        <v>41</v>
      </c>
      <c r="J3926" s="86" t="s">
        <v>3661</v>
      </c>
      <c r="K3926" s="103" t="s">
        <v>3662</v>
      </c>
      <c r="L3926" s="117">
        <f>IF(O3926="","",N3926*O3926*M3926)</f>
        <v>0</v>
      </c>
      <c r="M3926" s="108">
        <v>1</v>
      </c>
      <c r="N3926" s="95">
        <v>1</v>
      </c>
      <c r="O3926" s="109">
        <f>IF(Key!D$1="ON",P3926,IF(SUM(Q3926:DL3926)&lt;1,"",SUM(Q3926:DL3926)/COUNTIF(Q3926:DL3926,"&gt;0")))</f>
        <v>0</v>
      </c>
      <c r="P3926" s="109">
        <f>SUMIFS(Q3926:DK3926,Q$1:DK$1,Dashboard!$K$31)</f>
        <v>0</v>
      </c>
      <c r="U3926" s="95">
        <v>33</v>
      </c>
    </row>
    <row r="3927" spans="1:34" ht="15.6" x14ac:dyDescent="0.3">
      <c r="A3927" s="89" t="str">
        <f>CONCATENATE(D3927,".",F3927,"-",G3927,".",H3927,"")</f>
        <v>3.2-8.1</v>
      </c>
      <c r="B3927" s="89" t="str">
        <f>IF(CONCATENATE(I3927,Key!F$2)=CONCATENATE(INDEX(Dashboard!J:J,MATCH(I3927,Dashboard!J:J,0),1),INDEX(Dashboard!J:K,MATCH(I3927,Dashboard!J:J,0),2)),"ON",IF(Dashboard!K$32="ALL","ON","-"))</f>
        <v>-</v>
      </c>
      <c r="C3927" s="88" t="s">
        <v>311</v>
      </c>
      <c r="D3927" s="89">
        <f>IF(C3927="ID",1,(IF(C3927="PR",2,(IF(C3927="DE",3,(IF(C3927="RS",4,(IF(C3927="RC",5,0)))))))))</f>
        <v>3</v>
      </c>
      <c r="E3927" s="89" t="s">
        <v>316</v>
      </c>
      <c r="F3927" s="89">
        <f>IF(E3927="AM",1,(IF(E3927="BE",2,(IF(E3927="GV",3,(IF(E3927="RA",4,(IF(E3927="RM",5,(IF(E3927="AC",1,(IF(E3927="AT",2,(IF(E3927="DS",3,(IF(E3927="IP",4,(IF(E3927="MA",5,(IF(E3927="PT",6,(IF(E3927="AE",1,(IF(E3927="CM",2,(IF(E3927="DP",3,(IF(E3927="AN",1,(IF(E3927="CO",2,(IF(E3927="IM",3,(IF(E3927="MI",4,(IF(E3927="RP",5,(IF(E3927="SC",6,0)))))))))))))))))))))))))))))))))))))))</f>
        <v>2</v>
      </c>
      <c r="G3927" s="52">
        <v>8</v>
      </c>
      <c r="H3927" s="99">
        <v>1</v>
      </c>
      <c r="I3927" s="93" t="s">
        <v>41</v>
      </c>
      <c r="J3927" s="86" t="s">
        <v>3663</v>
      </c>
      <c r="K3927" s="103" t="s">
        <v>3664</v>
      </c>
      <c r="L3927" s="117">
        <f>IF(O3927="","",N3927*O3927*M3927)</f>
        <v>0</v>
      </c>
      <c r="M3927" s="108">
        <v>1</v>
      </c>
      <c r="N3927" s="95">
        <v>1</v>
      </c>
      <c r="O3927" s="109">
        <f>IF(Key!D$1="ON",P3927,IF(SUM(Q3927:DL3927)&lt;1,"",SUM(Q3927:DL3927)/COUNTIF(Q3927:DL3927,"&gt;0")))</f>
        <v>0</v>
      </c>
      <c r="P3927" s="109">
        <f>SUMIFS(Q3927:DK3927,Q$1:DK$1,Dashboard!$K$31)</f>
        <v>0</v>
      </c>
      <c r="U3927" s="95">
        <v>33</v>
      </c>
    </row>
    <row r="3928" spans="1:34" ht="15.6" x14ac:dyDescent="0.3">
      <c r="A3928" s="89" t="str">
        <f>CONCATENATE(D3928,".",F3928,"-",G3928,".",H3928,"")</f>
        <v>3.2-8.1</v>
      </c>
      <c r="B3928" s="89" t="str">
        <f>IF(CONCATENATE(I3928,Key!F$2)=CONCATENATE(INDEX(Dashboard!J:J,MATCH(I3928,Dashboard!J:J,0),1),INDEX(Dashboard!J:K,MATCH(I3928,Dashboard!J:J,0),2)),"ON",IF(Dashboard!K$32="ALL","ON","-"))</f>
        <v>-</v>
      </c>
      <c r="C3928" s="88" t="s">
        <v>311</v>
      </c>
      <c r="D3928" s="89">
        <f>IF(C3928="ID",1,(IF(C3928="PR",2,(IF(C3928="DE",3,(IF(C3928="RS",4,(IF(C3928="RC",5,0)))))))))</f>
        <v>3</v>
      </c>
      <c r="E3928" s="89" t="s">
        <v>316</v>
      </c>
      <c r="F3928" s="89">
        <f>IF(E3928="AM",1,(IF(E3928="BE",2,(IF(E3928="GV",3,(IF(E3928="RA",4,(IF(E3928="RM",5,(IF(E3928="AC",1,(IF(E3928="AT",2,(IF(E3928="DS",3,(IF(E3928="IP",4,(IF(E3928="MA",5,(IF(E3928="PT",6,(IF(E3928="AE",1,(IF(E3928="CM",2,(IF(E3928="DP",3,(IF(E3928="AN",1,(IF(E3928="CO",2,(IF(E3928="IM",3,(IF(E3928="MI",4,(IF(E3928="RP",5,(IF(E3928="SC",6,0)))))))))))))))))))))))))))))))))))))))</f>
        <v>2</v>
      </c>
      <c r="G3928" s="52">
        <v>8</v>
      </c>
      <c r="H3928" s="99">
        <v>1</v>
      </c>
      <c r="I3928" s="93" t="s">
        <v>41</v>
      </c>
      <c r="J3928" s="86" t="s">
        <v>3665</v>
      </c>
      <c r="K3928" s="103" t="s">
        <v>3666</v>
      </c>
      <c r="L3928" s="117">
        <f>IF(O3928="","",N3928*O3928*M3928)</f>
        <v>0</v>
      </c>
      <c r="M3928" s="108">
        <v>1</v>
      </c>
      <c r="N3928" s="95">
        <v>1</v>
      </c>
      <c r="O3928" s="109">
        <f>IF(Key!D$1="ON",P3928,IF(SUM(Q3928:DL3928)&lt;1,"",SUM(Q3928:DL3928)/COUNTIF(Q3928:DL3928,"&gt;0")))</f>
        <v>0</v>
      </c>
      <c r="P3928" s="109">
        <f>SUMIFS(Q3928:DK3928,Q$1:DK$1,Dashboard!$K$31)</f>
        <v>0</v>
      </c>
      <c r="U3928" s="95">
        <v>33</v>
      </c>
    </row>
    <row r="3929" spans="1:34" ht="15.6" x14ac:dyDescent="0.3">
      <c r="A3929" s="89" t="str">
        <f>CONCATENATE(D3929,".",F3929,"-",G3929,".",H3929,"")</f>
        <v>3.2-8.1</v>
      </c>
      <c r="B3929" s="89" t="str">
        <f>IF(CONCATENATE(I3929,Key!F$2)=CONCATENATE(INDEX(Dashboard!J:J,MATCH(I3929,Dashboard!J:J,0),1),INDEX(Dashboard!J:K,MATCH(I3929,Dashboard!J:J,0),2)),"ON",IF(Dashboard!K$32="ALL","ON","-"))</f>
        <v>-</v>
      </c>
      <c r="C3929" s="88" t="s">
        <v>311</v>
      </c>
      <c r="D3929" s="89">
        <f>IF(C3929="ID",1,(IF(C3929="PR",2,(IF(C3929="DE",3,(IF(C3929="RS",4,(IF(C3929="RC",5,0)))))))))</f>
        <v>3</v>
      </c>
      <c r="E3929" s="89" t="s">
        <v>316</v>
      </c>
      <c r="F3929" s="89">
        <f>IF(E3929="AM",1,(IF(E3929="BE",2,(IF(E3929="GV",3,(IF(E3929="RA",4,(IF(E3929="RM",5,(IF(E3929="AC",1,(IF(E3929="AT",2,(IF(E3929="DS",3,(IF(E3929="IP",4,(IF(E3929="MA",5,(IF(E3929="PT",6,(IF(E3929="AE",1,(IF(E3929="CM",2,(IF(E3929="DP",3,(IF(E3929="AN",1,(IF(E3929="CO",2,(IF(E3929="IM",3,(IF(E3929="MI",4,(IF(E3929="RP",5,(IF(E3929="SC",6,0)))))))))))))))))))))))))))))))))))))))</f>
        <v>2</v>
      </c>
      <c r="G3929" s="52">
        <v>8</v>
      </c>
      <c r="H3929" s="99">
        <v>1</v>
      </c>
      <c r="I3929" s="93" t="s">
        <v>41</v>
      </c>
      <c r="J3929" s="86" t="s">
        <v>3667</v>
      </c>
      <c r="K3929" s="103" t="s">
        <v>3668</v>
      </c>
      <c r="L3929" s="117">
        <f>IF(O3929="","",N3929*O3929*M3929)</f>
        <v>0</v>
      </c>
      <c r="M3929" s="108">
        <v>1</v>
      </c>
      <c r="N3929" s="95">
        <v>1</v>
      </c>
      <c r="O3929" s="109">
        <f>IF(Key!D$1="ON",P3929,IF(SUM(Q3929:DL3929)&lt;1,"",SUM(Q3929:DL3929)/COUNTIF(Q3929:DL3929,"&gt;0")))</f>
        <v>0</v>
      </c>
      <c r="P3929" s="109">
        <f>SUMIFS(Q3929:DK3929,Q$1:DK$1,Dashboard!$K$31)</f>
        <v>0</v>
      </c>
      <c r="U3929" s="95">
        <v>33</v>
      </c>
    </row>
    <row r="3930" spans="1:34" ht="15.6" x14ac:dyDescent="0.3">
      <c r="A3930" s="89" t="str">
        <f>CONCATENATE(D3930,".",F3930,"-",G3930,".",H3930,"")</f>
        <v>3.2-8.1</v>
      </c>
      <c r="B3930" s="89" t="str">
        <f>IF(CONCATENATE(I3930,Key!F$2)=CONCATENATE(INDEX(Dashboard!J:J,MATCH(I3930,Dashboard!J:J,0),1),INDEX(Dashboard!J:K,MATCH(I3930,Dashboard!J:J,0),2)),"ON",IF(Dashboard!K$32="ALL","ON","-"))</f>
        <v>-</v>
      </c>
      <c r="C3930" s="88" t="s">
        <v>311</v>
      </c>
      <c r="D3930" s="89">
        <f>IF(C3930="ID",1,(IF(C3930="PR",2,(IF(C3930="DE",3,(IF(C3930="RS",4,(IF(C3930="RC",5,0)))))))))</f>
        <v>3</v>
      </c>
      <c r="E3930" s="89" t="s">
        <v>316</v>
      </c>
      <c r="F3930" s="89">
        <f>IF(E3930="AM",1,(IF(E3930="BE",2,(IF(E3930="GV",3,(IF(E3930="RA",4,(IF(E3930="RM",5,(IF(E3930="AC",1,(IF(E3930="AT",2,(IF(E3930="DS",3,(IF(E3930="IP",4,(IF(E3930="MA",5,(IF(E3930="PT",6,(IF(E3930="AE",1,(IF(E3930="CM",2,(IF(E3930="DP",3,(IF(E3930="AN",1,(IF(E3930="CO",2,(IF(E3930="IM",3,(IF(E3930="MI",4,(IF(E3930="RP",5,(IF(E3930="SC",6,0)))))))))))))))))))))))))))))))))))))))</f>
        <v>2</v>
      </c>
      <c r="G3930" s="52">
        <v>8</v>
      </c>
      <c r="H3930" s="99">
        <v>1</v>
      </c>
      <c r="I3930" s="93" t="s">
        <v>41</v>
      </c>
      <c r="J3930" s="86" t="s">
        <v>3669</v>
      </c>
      <c r="K3930" s="103" t="s">
        <v>3670</v>
      </c>
      <c r="L3930" s="117">
        <f>IF(O3930="","",N3930*O3930*M3930)</f>
        <v>0</v>
      </c>
      <c r="M3930" s="108">
        <v>1</v>
      </c>
      <c r="N3930" s="95">
        <v>1</v>
      </c>
      <c r="O3930" s="109">
        <f>IF(Key!D$1="ON",P3930,IF(SUM(Q3930:DL3930)&lt;1,"",SUM(Q3930:DL3930)/COUNTIF(Q3930:DL3930,"&gt;0")))</f>
        <v>0</v>
      </c>
      <c r="P3930" s="109">
        <f>SUMIFS(Q3930:DK3930,Q$1:DK$1,Dashboard!$K$31)</f>
        <v>0</v>
      </c>
      <c r="U3930" s="95">
        <v>33</v>
      </c>
    </row>
    <row r="3931" spans="1:34" ht="15.6" x14ac:dyDescent="0.3">
      <c r="A3931" s="89" t="str">
        <f>CONCATENATE(D3931,".",F3931,"-",G3931,".",H3931,"")</f>
        <v>3.2-8.1</v>
      </c>
      <c r="B3931" s="89" t="str">
        <f>IF(CONCATENATE(I3931,Key!F$2)=CONCATENATE(INDEX(Dashboard!J:J,MATCH(I3931,Dashboard!J:J,0),1),INDEX(Dashboard!J:K,MATCH(I3931,Dashboard!J:J,0),2)),"ON",IF(Dashboard!K$32="ALL","ON","-"))</f>
        <v>-</v>
      </c>
      <c r="C3931" s="88" t="s">
        <v>311</v>
      </c>
      <c r="D3931" s="89">
        <f>IF(C3931="ID",1,(IF(C3931="PR",2,(IF(C3931="DE",3,(IF(C3931="RS",4,(IF(C3931="RC",5,0)))))))))</f>
        <v>3</v>
      </c>
      <c r="E3931" s="89" t="s">
        <v>316</v>
      </c>
      <c r="F3931" s="89">
        <f>IF(E3931="AM",1,(IF(E3931="BE",2,(IF(E3931="GV",3,(IF(E3931="RA",4,(IF(E3931="RM",5,(IF(E3931="AC",1,(IF(E3931="AT",2,(IF(E3931="DS",3,(IF(E3931="IP",4,(IF(E3931="MA",5,(IF(E3931="PT",6,(IF(E3931="AE",1,(IF(E3931="CM",2,(IF(E3931="DP",3,(IF(E3931="AN",1,(IF(E3931="CO",2,(IF(E3931="IM",3,(IF(E3931="MI",4,(IF(E3931="RP",5,(IF(E3931="SC",6,0)))))))))))))))))))))))))))))))))))))))</f>
        <v>2</v>
      </c>
      <c r="G3931" s="52">
        <v>8</v>
      </c>
      <c r="H3931" s="99">
        <v>1</v>
      </c>
      <c r="I3931" s="93" t="s">
        <v>41</v>
      </c>
      <c r="J3931" s="86" t="s">
        <v>3671</v>
      </c>
      <c r="K3931" s="103" t="s">
        <v>3672</v>
      </c>
      <c r="L3931" s="117">
        <f>IF(O3931="","",N3931*O3931*M3931)</f>
        <v>0</v>
      </c>
      <c r="M3931" s="108">
        <v>1</v>
      </c>
      <c r="N3931" s="95">
        <v>1</v>
      </c>
      <c r="O3931" s="109">
        <f>IF(Key!D$1="ON",P3931,IF(SUM(Q3931:DL3931)&lt;1,"",SUM(Q3931:DL3931)/COUNTIF(Q3931:DL3931,"&gt;0")))</f>
        <v>0</v>
      </c>
      <c r="P3931" s="109">
        <f>SUMIFS(Q3931:DK3931,Q$1:DK$1,Dashboard!$K$31)</f>
        <v>0</v>
      </c>
      <c r="U3931" s="95">
        <v>33</v>
      </c>
    </row>
    <row r="3932" spans="1:34" ht="15.6" x14ac:dyDescent="0.3">
      <c r="A3932" s="89" t="str">
        <f>CONCATENATE(D3932,".",F3932,"-",G3932,".",H3932,"")</f>
        <v>3.2-8.1</v>
      </c>
      <c r="B3932" s="89" t="str">
        <f>IF(CONCATENATE(I3932,Key!F$2)=CONCATENATE(INDEX(Dashboard!J:J,MATCH(I3932,Dashboard!J:J,0),1),INDEX(Dashboard!J:K,MATCH(I3932,Dashboard!J:J,0),2)),"ON",IF(Dashboard!K$32="ALL","ON","-"))</f>
        <v>-</v>
      </c>
      <c r="C3932" s="96" t="s">
        <v>311</v>
      </c>
      <c r="D3932" s="89">
        <f>IF(C3932="ID",1,(IF(C3932="PR",2,(IF(C3932="DE",3,(IF(C3932="RS",4,(IF(C3932="RC",5,0)))))))))</f>
        <v>3</v>
      </c>
      <c r="E3932" s="89" t="s">
        <v>316</v>
      </c>
      <c r="F3932" s="89">
        <f>IF(E3932="AM",1,(IF(E3932="BE",2,(IF(E3932="GV",3,(IF(E3932="RA",4,(IF(E3932="RM",5,(IF(E3932="AC",1,(IF(E3932="AT",2,(IF(E3932="DS",3,(IF(E3932="IP",4,(IF(E3932="MA",5,(IF(E3932="PT",6,(IF(E3932="AE",1,(IF(E3932="CM",2,(IF(E3932="DP",3,(IF(E3932="AN",1,(IF(E3932="CO",2,(IF(E3932="IM",3,(IF(E3932="MI",4,(IF(E3932="RP",5,(IF(E3932="SC",6,0)))))))))))))))))))))))))))))))))))))))</f>
        <v>2</v>
      </c>
      <c r="G3932" s="98">
        <v>8</v>
      </c>
      <c r="H3932" s="90" t="s">
        <v>115</v>
      </c>
      <c r="I3932" s="93" t="s">
        <v>52</v>
      </c>
      <c r="J3932" s="88" t="s">
        <v>3292</v>
      </c>
      <c r="K3932" s="103" t="s">
        <v>3293</v>
      </c>
      <c r="L3932" s="117">
        <f>IF(O3932="","",N3932*O3932*M3932)</f>
        <v>0</v>
      </c>
      <c r="M3932" s="108">
        <v>1</v>
      </c>
      <c r="N3932" s="95">
        <v>1</v>
      </c>
      <c r="O3932" s="109">
        <f>IF(Key!D$1="ON",P3932,IF(SUM(Q3932:DL3932)&lt;1,"",SUM(Q3932:DL3932)/COUNTIF(Q3932:DL3932,"&gt;0")))</f>
        <v>0</v>
      </c>
      <c r="P3932" s="109">
        <f>SUMIFS(Q3932:DK3932,Q$1:DK$1,Dashboard!$K$31)</f>
        <v>0</v>
      </c>
      <c r="U3932" s="95">
        <v>33</v>
      </c>
      <c r="AA3932" s="95">
        <v>25</v>
      </c>
      <c r="AH3932" s="95">
        <v>75</v>
      </c>
    </row>
    <row r="3933" spans="1:34" ht="15.6" x14ac:dyDescent="0.3">
      <c r="A3933" s="89" t="str">
        <f>CONCATENATE(D3933,".",F3933,"-",G3933,".",H3933,"")</f>
        <v>3.2-8.1</v>
      </c>
      <c r="B3933" s="89" t="str">
        <f>IF(CONCATENATE(I3933,Key!F$2)=CONCATENATE(INDEX(Dashboard!J:J,MATCH(I3933,Dashboard!J:J,0),1),INDEX(Dashboard!J:K,MATCH(I3933,Dashboard!J:J,0),2)),"ON",IF(Dashboard!K$32="ALL","ON","-"))</f>
        <v>-</v>
      </c>
      <c r="C3933" s="88" t="s">
        <v>311</v>
      </c>
      <c r="D3933" s="89">
        <f>IF(C3933="ID",1,(IF(C3933="PR",2,(IF(C3933="DE",3,(IF(C3933="RS",4,(IF(C3933="RC",5,0)))))))))</f>
        <v>3</v>
      </c>
      <c r="E3933" s="89" t="s">
        <v>316</v>
      </c>
      <c r="F3933" s="89">
        <f>IF(E3933="AM",1,(IF(E3933="BE",2,(IF(E3933="GV",3,(IF(E3933="RA",4,(IF(E3933="RM",5,(IF(E3933="AC",1,(IF(E3933="AT",2,(IF(E3933="DS",3,(IF(E3933="IP",4,(IF(E3933="MA",5,(IF(E3933="PT",6,(IF(E3933="AE",1,(IF(E3933="CM",2,(IF(E3933="DP",3,(IF(E3933="AN",1,(IF(E3933="CO",2,(IF(E3933="IM",3,(IF(E3933="MI",4,(IF(E3933="RP",5,(IF(E3933="SC",6,0)))))))))))))))))))))))))))))))))))))))</f>
        <v>2</v>
      </c>
      <c r="G3933" s="52">
        <v>8</v>
      </c>
      <c r="H3933" s="90" t="s">
        <v>115</v>
      </c>
      <c r="I3933" s="93" t="s">
        <v>60</v>
      </c>
      <c r="J3933" s="87" t="s">
        <v>3272</v>
      </c>
      <c r="K3933" s="51" t="s">
        <v>5385</v>
      </c>
      <c r="L3933" s="117">
        <f>IF(O3933="","",N3933*O3933*M3933)</f>
        <v>0</v>
      </c>
      <c r="M3933" s="108">
        <v>1</v>
      </c>
      <c r="N3933" s="95">
        <v>1</v>
      </c>
      <c r="O3933" s="109">
        <f>IF(Key!D$1="ON",P3933,IF(SUM(Q3933:DL3933)&lt;1,"",SUM(Q3933:DL3933)/COUNTIF(Q3933:DL3933,"&gt;0")))</f>
        <v>0</v>
      </c>
      <c r="P3933" s="109">
        <f>SUMIFS(Q3933:DK3933,Q$1:DK$1,Dashboard!$K$31)</f>
        <v>0</v>
      </c>
      <c r="U3933" s="95">
        <v>33</v>
      </c>
      <c r="AA3933" s="95">
        <v>25</v>
      </c>
      <c r="AH3933" s="95">
        <v>75</v>
      </c>
    </row>
    <row r="3934" spans="1:34" ht="15.6" x14ac:dyDescent="0.3">
      <c r="A3934" s="89" t="str">
        <f>CONCATENATE(D3934,".",F3934,"-",G3934,".",H3934,"")</f>
        <v>3.2-8.1</v>
      </c>
      <c r="B3934" s="89" t="str">
        <f>IF(CONCATENATE(I3934,Key!F$2)=CONCATENATE(INDEX(Dashboard!J:J,MATCH(I3934,Dashboard!J:J,0),1),INDEX(Dashboard!J:K,MATCH(I3934,Dashboard!J:J,0),2)),"ON",IF(Dashboard!K$32="ALL","ON","-"))</f>
        <v>-</v>
      </c>
      <c r="C3934" s="88" t="s">
        <v>311</v>
      </c>
      <c r="D3934" s="89">
        <f>IF(C3934="ID",1,(IF(C3934="PR",2,(IF(C3934="DE",3,(IF(C3934="RS",4,(IF(C3934="RC",5,0)))))))))</f>
        <v>3</v>
      </c>
      <c r="E3934" s="89" t="s">
        <v>316</v>
      </c>
      <c r="F3934" s="89">
        <f>IF(E3934="AM",1,(IF(E3934="BE",2,(IF(E3934="GV",3,(IF(E3934="RA",4,(IF(E3934="RM",5,(IF(E3934="AC",1,(IF(E3934="AT",2,(IF(E3934="DS",3,(IF(E3934="IP",4,(IF(E3934="MA",5,(IF(E3934="PT",6,(IF(E3934="AE",1,(IF(E3934="CM",2,(IF(E3934="DP",3,(IF(E3934="AN",1,(IF(E3934="CO",2,(IF(E3934="IM",3,(IF(E3934="MI",4,(IF(E3934="RP",5,(IF(E3934="SC",6,0)))))))))))))))))))))))))))))))))))))))</f>
        <v>2</v>
      </c>
      <c r="G3934" s="52">
        <v>8</v>
      </c>
      <c r="H3934" s="90" t="s">
        <v>115</v>
      </c>
      <c r="I3934" s="93" t="s">
        <v>60</v>
      </c>
      <c r="J3934" s="87" t="s">
        <v>3155</v>
      </c>
      <c r="K3934" s="51" t="s">
        <v>5268</v>
      </c>
      <c r="L3934" s="117">
        <f>IF(O3934="","",N3934*O3934*M3934)</f>
        <v>0</v>
      </c>
      <c r="M3934" s="108">
        <v>1</v>
      </c>
      <c r="N3934" s="95">
        <v>1</v>
      </c>
      <c r="O3934" s="109">
        <f>IF(Key!D$1="ON",P3934,IF(SUM(Q3934:DL3934)&lt;1,"",SUM(Q3934:DL3934)/COUNTIF(Q3934:DL3934,"&gt;0")))</f>
        <v>0</v>
      </c>
      <c r="P3934" s="109">
        <f>SUMIFS(Q3934:DK3934,Q$1:DK$1,Dashboard!$K$31)</f>
        <v>0</v>
      </c>
      <c r="U3934" s="95">
        <v>33</v>
      </c>
      <c r="AA3934" s="95">
        <v>25</v>
      </c>
      <c r="AH3934" s="95">
        <v>75</v>
      </c>
    </row>
    <row r="3935" spans="1:34" ht="15.6" x14ac:dyDescent="0.3">
      <c r="A3935" s="89" t="str">
        <f>CONCATENATE(D3935,".",F3935,"-",G3935,".",H3935,"")</f>
        <v>3.2-8.1</v>
      </c>
      <c r="B3935" s="89" t="str">
        <f>IF(CONCATENATE(I3935,Key!F$2)=CONCATENATE(INDEX(Dashboard!J:J,MATCH(I3935,Dashboard!J:J,0),1),INDEX(Dashboard!J:K,MATCH(I3935,Dashboard!J:J,0),2)),"ON",IF(Dashboard!K$32="ALL","ON","-"))</f>
        <v>-</v>
      </c>
      <c r="C3935" s="88" t="s">
        <v>311</v>
      </c>
      <c r="D3935" s="89">
        <f>IF(C3935="ID",1,(IF(C3935="PR",2,(IF(C3935="DE",3,(IF(C3935="RS",4,(IF(C3935="RC",5,0)))))))))</f>
        <v>3</v>
      </c>
      <c r="E3935" s="89" t="s">
        <v>316</v>
      </c>
      <c r="F3935" s="89">
        <f>IF(E3935="AM",1,(IF(E3935="BE",2,(IF(E3935="GV",3,(IF(E3935="RA",4,(IF(E3935="RM",5,(IF(E3935="AC",1,(IF(E3935="AT",2,(IF(E3935="DS",3,(IF(E3935="IP",4,(IF(E3935="MA",5,(IF(E3935="PT",6,(IF(E3935="AE",1,(IF(E3935="CM",2,(IF(E3935="DP",3,(IF(E3935="AN",1,(IF(E3935="CO",2,(IF(E3935="IM",3,(IF(E3935="MI",4,(IF(E3935="RP",5,(IF(E3935="SC",6,0)))))))))))))))))))))))))))))))))))))))</f>
        <v>2</v>
      </c>
      <c r="G3935" s="52">
        <v>8</v>
      </c>
      <c r="H3935" s="90" t="s">
        <v>115</v>
      </c>
      <c r="I3935" s="93" t="s">
        <v>64</v>
      </c>
      <c r="J3935" s="87" t="s">
        <v>1557</v>
      </c>
      <c r="K3935" s="102" t="s">
        <v>2516</v>
      </c>
      <c r="L3935" s="117">
        <f>IF(O3935="","",N3935*O3935*M3935)</f>
        <v>0</v>
      </c>
      <c r="M3935" s="108">
        <v>1</v>
      </c>
      <c r="N3935" s="95">
        <v>1</v>
      </c>
      <c r="O3935" s="109">
        <f>IF(Key!D$1="ON",P3935,IF(SUM(Q3935:DL3935)&lt;1,"",SUM(Q3935:DL3935)/COUNTIF(Q3935:DL3935,"&gt;0")))</f>
        <v>0</v>
      </c>
      <c r="P3935" s="109">
        <f>SUMIFS(Q3935:DK3935,Q$1:DK$1,Dashboard!$K$31)</f>
        <v>0</v>
      </c>
      <c r="U3935" s="95">
        <v>33</v>
      </c>
      <c r="AA3935" s="95">
        <v>25</v>
      </c>
      <c r="AH3935" s="95">
        <v>75</v>
      </c>
    </row>
    <row r="3936" spans="1:34" ht="15.6" x14ac:dyDescent="0.3">
      <c r="A3936" s="89" t="str">
        <f>CONCATENATE(D3936,".",F3936,"-",G3936,".",H3936,"")</f>
        <v>3.2-8.1</v>
      </c>
      <c r="B3936" s="89" t="str">
        <f>IF(CONCATENATE(I3936,Key!F$2)=CONCATENATE(INDEX(Dashboard!J:J,MATCH(I3936,Dashboard!J:J,0),1),INDEX(Dashboard!J:K,MATCH(I3936,Dashboard!J:J,0),2)),"ON",IF(Dashboard!K$32="ALL","ON","-"))</f>
        <v>-</v>
      </c>
      <c r="C3936" s="88" t="s">
        <v>311</v>
      </c>
      <c r="D3936" s="89">
        <f>IF(C3936="ID",1,(IF(C3936="PR",2,(IF(C3936="DE",3,(IF(C3936="RS",4,(IF(C3936="RC",5,0)))))))))</f>
        <v>3</v>
      </c>
      <c r="E3936" s="89" t="s">
        <v>316</v>
      </c>
      <c r="F3936" s="89">
        <f>IF(E3936="AM",1,(IF(E3936="BE",2,(IF(E3936="GV",3,(IF(E3936="RA",4,(IF(E3936="RM",5,(IF(E3936="AC",1,(IF(E3936="AT",2,(IF(E3936="DS",3,(IF(E3936="IP",4,(IF(E3936="MA",5,(IF(E3936="PT",6,(IF(E3936="AE",1,(IF(E3936="CM",2,(IF(E3936="DP",3,(IF(E3936="AN",1,(IF(E3936="CO",2,(IF(E3936="IM",3,(IF(E3936="MI",4,(IF(E3936="RP",5,(IF(E3936="SC",6,0)))))))))))))))))))))))))))))))))))))))</f>
        <v>2</v>
      </c>
      <c r="G3936" s="52">
        <v>8</v>
      </c>
      <c r="H3936" s="90" t="s">
        <v>115</v>
      </c>
      <c r="I3936" s="93" t="s">
        <v>64</v>
      </c>
      <c r="J3936" s="87" t="s">
        <v>1878</v>
      </c>
      <c r="K3936" s="102" t="s">
        <v>2780</v>
      </c>
      <c r="L3936" s="117">
        <f>IF(O3936="","",N3936*O3936*M3936)</f>
        <v>0</v>
      </c>
      <c r="M3936" s="108">
        <v>1</v>
      </c>
      <c r="N3936" s="95">
        <v>1</v>
      </c>
      <c r="O3936" s="109">
        <f>IF(Key!D$1="ON",P3936,IF(SUM(Q3936:DL3936)&lt;1,"",SUM(Q3936:DL3936)/COUNTIF(Q3936:DL3936,"&gt;0")))</f>
        <v>0</v>
      </c>
      <c r="P3936" s="109">
        <f>SUMIFS(Q3936:DK3936,Q$1:DK$1,Dashboard!$K$31)</f>
        <v>0</v>
      </c>
      <c r="U3936" s="95">
        <v>33</v>
      </c>
      <c r="AA3936" s="95">
        <v>25</v>
      </c>
      <c r="AH3936" s="95">
        <v>75</v>
      </c>
    </row>
    <row r="3937" spans="1:34" ht="15.6" x14ac:dyDescent="0.3">
      <c r="A3937" s="89" t="str">
        <f>CONCATENATE(D3937,".",F3937,"-",G3937,".",H3937,"")</f>
        <v>3.2-8.1</v>
      </c>
      <c r="B3937" s="89" t="str">
        <f>IF(CONCATENATE(I3937,Key!F$2)=CONCATENATE(INDEX(Dashboard!J:J,MATCH(I3937,Dashboard!J:J,0),1),INDEX(Dashboard!J:K,MATCH(I3937,Dashboard!J:J,0),2)),"ON",IF(Dashboard!K$32="ALL","ON","-"))</f>
        <v>-</v>
      </c>
      <c r="C3937" s="88" t="s">
        <v>311</v>
      </c>
      <c r="D3937" s="89">
        <f>IF(C3937="ID",1,(IF(C3937="PR",2,(IF(C3937="DE",3,(IF(C3937="RS",4,(IF(C3937="RC",5,0)))))))))</f>
        <v>3</v>
      </c>
      <c r="E3937" s="89" t="s">
        <v>316</v>
      </c>
      <c r="F3937" s="89">
        <f>IF(E3937="AM",1,(IF(E3937="BE",2,(IF(E3937="GV",3,(IF(E3937="RA",4,(IF(E3937="RM",5,(IF(E3937="AC",1,(IF(E3937="AT",2,(IF(E3937="DS",3,(IF(E3937="IP",4,(IF(E3937="MA",5,(IF(E3937="PT",6,(IF(E3937="AE",1,(IF(E3937="CM",2,(IF(E3937="DP",3,(IF(E3937="AN",1,(IF(E3937="CO",2,(IF(E3937="IM",3,(IF(E3937="MI",4,(IF(E3937="RP",5,(IF(E3937="SC",6,0)))))))))))))))))))))))))))))))))))))))</f>
        <v>2</v>
      </c>
      <c r="G3937" s="52">
        <v>8</v>
      </c>
      <c r="H3937" s="90" t="s">
        <v>115</v>
      </c>
      <c r="I3937" s="93" t="s">
        <v>73</v>
      </c>
      <c r="J3937" s="86" t="s">
        <v>4211</v>
      </c>
      <c r="K3937" s="101" t="s">
        <v>5183</v>
      </c>
      <c r="L3937" s="117">
        <f>IF(O3937="","",N3937*O3937*M3937)</f>
        <v>0</v>
      </c>
      <c r="M3937" s="108">
        <v>1</v>
      </c>
      <c r="N3937" s="95">
        <v>1</v>
      </c>
      <c r="O3937" s="109">
        <f>IF(Key!D$1="ON",P3937,IF(SUM(Q3937:DL3937)&lt;1,"",SUM(Q3937:DL3937)/COUNTIF(Q3937:DL3937,"&gt;0")))</f>
        <v>0</v>
      </c>
      <c r="P3937" s="109">
        <f>SUMIFS(Q3937:DK3937,Q$1:DK$1,Dashboard!$K$31)</f>
        <v>0</v>
      </c>
      <c r="U3937" s="95">
        <v>33</v>
      </c>
      <c r="AA3937" s="95">
        <v>25</v>
      </c>
      <c r="AH3937" s="95">
        <v>75</v>
      </c>
    </row>
    <row r="3938" spans="1:34" ht="15.6" x14ac:dyDescent="0.3">
      <c r="A3938" s="89" t="str">
        <f>CONCATENATE(D3938,".",F3938,"-",G3938,".",H3938,"")</f>
        <v>3.2-8.1</v>
      </c>
      <c r="B3938" s="89" t="str">
        <f>IF(CONCATENATE(I3938,Key!F$2)=CONCATENATE(INDEX(Dashboard!J:J,MATCH(I3938,Dashboard!J:J,0),1),INDEX(Dashboard!J:K,MATCH(I3938,Dashboard!J:J,0),2)),"ON",IF(Dashboard!K$32="ALL","ON","-"))</f>
        <v>-</v>
      </c>
      <c r="C3938" s="88" t="s">
        <v>311</v>
      </c>
      <c r="D3938" s="89">
        <f>IF(C3938="ID",1,(IF(C3938="PR",2,(IF(C3938="DE",3,(IF(C3938="RS",4,(IF(C3938="RC",5,0)))))))))</f>
        <v>3</v>
      </c>
      <c r="E3938" s="89" t="s">
        <v>316</v>
      </c>
      <c r="F3938" s="89">
        <f>IF(E3938="AM",1,(IF(E3938="BE",2,(IF(E3938="GV",3,(IF(E3938="RA",4,(IF(E3938="RM",5,(IF(E3938="AC",1,(IF(E3938="AT",2,(IF(E3938="DS",3,(IF(E3938="IP",4,(IF(E3938="MA",5,(IF(E3938="PT",6,(IF(E3938="AE",1,(IF(E3938="CM",2,(IF(E3938="DP",3,(IF(E3938="AN",1,(IF(E3938="CO",2,(IF(E3938="IM",3,(IF(E3938="MI",4,(IF(E3938="RP",5,(IF(E3938="SC",6,0)))))))))))))))))))))))))))))))))))))))</f>
        <v>2</v>
      </c>
      <c r="G3938" s="52">
        <v>8</v>
      </c>
      <c r="H3938" s="90" t="s">
        <v>115</v>
      </c>
      <c r="I3938" s="93" t="s">
        <v>77</v>
      </c>
      <c r="J3938" s="87" t="s">
        <v>1557</v>
      </c>
      <c r="K3938" s="102" t="s">
        <v>2516</v>
      </c>
      <c r="L3938" s="117">
        <f>IF(O3938="","",N3938*O3938*M3938)</f>
        <v>0</v>
      </c>
      <c r="M3938" s="108">
        <v>1</v>
      </c>
      <c r="N3938" s="95">
        <v>1</v>
      </c>
      <c r="O3938" s="109">
        <f>IF(Key!D$1="ON",P3938,IF(SUM(Q3938:DL3938)&lt;1,"",SUM(Q3938:DL3938)/COUNTIF(Q3938:DL3938,"&gt;0")))</f>
        <v>0</v>
      </c>
      <c r="P3938" s="109">
        <f>SUMIFS(Q3938:DK3938,Q$1:DK$1,Dashboard!$K$31)</f>
        <v>0</v>
      </c>
      <c r="U3938" s="95">
        <v>33</v>
      </c>
      <c r="AA3938" s="95">
        <v>25</v>
      </c>
      <c r="AH3938" s="95">
        <v>75</v>
      </c>
    </row>
    <row r="3939" spans="1:34" ht="15.6" x14ac:dyDescent="0.3">
      <c r="A3939" s="89" t="str">
        <f>CONCATENATE(D3939,".",F3939,"-",G3939,".",H3939,"")</f>
        <v>3.2-8.1</v>
      </c>
      <c r="B3939" s="89" t="str">
        <f>IF(CONCATENATE(I3939,Key!F$2)=CONCATENATE(INDEX(Dashboard!J:J,MATCH(I3939,Dashboard!J:J,0),1),INDEX(Dashboard!J:K,MATCH(I3939,Dashboard!J:J,0),2)),"ON",IF(Dashboard!K$32="ALL","ON","-"))</f>
        <v>-</v>
      </c>
      <c r="C3939" s="88" t="s">
        <v>311</v>
      </c>
      <c r="D3939" s="89">
        <f>IF(C3939="ID",1,(IF(C3939="PR",2,(IF(C3939="DE",3,(IF(C3939="RS",4,(IF(C3939="RC",5,0)))))))))</f>
        <v>3</v>
      </c>
      <c r="E3939" s="89" t="s">
        <v>316</v>
      </c>
      <c r="F3939" s="89">
        <f>IF(E3939="AM",1,(IF(E3939="BE",2,(IF(E3939="GV",3,(IF(E3939="RA",4,(IF(E3939="RM",5,(IF(E3939="AC",1,(IF(E3939="AT",2,(IF(E3939="DS",3,(IF(E3939="IP",4,(IF(E3939="MA",5,(IF(E3939="PT",6,(IF(E3939="AE",1,(IF(E3939="CM",2,(IF(E3939="DP",3,(IF(E3939="AN",1,(IF(E3939="CO",2,(IF(E3939="IM",3,(IF(E3939="MI",4,(IF(E3939="RP",5,(IF(E3939="SC",6,0)))))))))))))))))))))))))))))))))))))))</f>
        <v>2</v>
      </c>
      <c r="G3939" s="52">
        <v>8</v>
      </c>
      <c r="H3939" s="90" t="s">
        <v>115</v>
      </c>
      <c r="I3939" s="93" t="s">
        <v>77</v>
      </c>
      <c r="J3939" s="87" t="s">
        <v>1878</v>
      </c>
      <c r="K3939" s="102" t="s">
        <v>2780</v>
      </c>
      <c r="L3939" s="117">
        <f>IF(O3939="","",N3939*O3939*M3939)</f>
        <v>0</v>
      </c>
      <c r="M3939" s="108">
        <v>1</v>
      </c>
      <c r="N3939" s="95">
        <v>1</v>
      </c>
      <c r="O3939" s="109">
        <f>IF(Key!D$1="ON",P3939,IF(SUM(Q3939:DL3939)&lt;1,"",SUM(Q3939:DL3939)/COUNTIF(Q3939:DL3939,"&gt;0")))</f>
        <v>0</v>
      </c>
      <c r="P3939" s="109">
        <f>SUMIFS(Q3939:DK3939,Q$1:DK$1,Dashboard!$K$31)</f>
        <v>0</v>
      </c>
      <c r="U3939" s="95">
        <v>33</v>
      </c>
      <c r="AA3939" s="95">
        <v>25</v>
      </c>
      <c r="AH3939" s="95">
        <v>75</v>
      </c>
    </row>
    <row r="3940" spans="1:34" ht="15.6" x14ac:dyDescent="0.3">
      <c r="A3940" s="89" t="str">
        <f>CONCATENATE(D3940,".",F3940,"-",G3940,".",H3940,"")</f>
        <v>3.2-8.1</v>
      </c>
      <c r="B3940" s="89" t="str">
        <f>IF(CONCATENATE(I3940,Key!F$2)=CONCATENATE(INDEX(Dashboard!J:J,MATCH(I3940,Dashboard!J:J,0),1),INDEX(Dashboard!J:K,MATCH(I3940,Dashboard!J:J,0),2)),"ON",IF(Dashboard!K$32="ALL","ON","-"))</f>
        <v>-</v>
      </c>
      <c r="C3940" s="96" t="s">
        <v>311</v>
      </c>
      <c r="D3940" s="89">
        <f>IF(C3940="ID",1,(IF(C3940="PR",2,(IF(C3940="DE",3,(IF(C3940="RS",4,(IF(C3940="RC",5,0)))))))))</f>
        <v>3</v>
      </c>
      <c r="E3940" s="89" t="s">
        <v>316</v>
      </c>
      <c r="F3940" s="89">
        <f>IF(E3940="AM",1,(IF(E3940="BE",2,(IF(E3940="GV",3,(IF(E3940="RA",4,(IF(E3940="RM",5,(IF(E3940="AC",1,(IF(E3940="AT",2,(IF(E3940="DS",3,(IF(E3940="IP",4,(IF(E3940="MA",5,(IF(E3940="PT",6,(IF(E3940="AE",1,(IF(E3940="CM",2,(IF(E3940="DP",3,(IF(E3940="AN",1,(IF(E3940="CO",2,(IF(E3940="IM",3,(IF(E3940="MI",4,(IF(E3940="RP",5,(IF(E3940="SC",6,0)))))))))))))))))))))))))))))))))))))))</f>
        <v>2</v>
      </c>
      <c r="G3940" s="52">
        <v>8</v>
      </c>
      <c r="H3940" s="90" t="s">
        <v>115</v>
      </c>
      <c r="I3940" s="93" t="s">
        <v>89</v>
      </c>
      <c r="J3940" s="88">
        <v>500.05</v>
      </c>
      <c r="K3940" s="102" t="s">
        <v>611</v>
      </c>
      <c r="L3940" s="117">
        <f>IF(O3940="","",N3940*O3940*M3940)</f>
        <v>0</v>
      </c>
      <c r="M3940" s="108">
        <v>1</v>
      </c>
      <c r="N3940" s="95">
        <v>1</v>
      </c>
      <c r="O3940" s="109">
        <f>IF(Key!D$1="ON",P3940,IF(SUM(Q3940:DL3940)&lt;1,"",SUM(Q3940:DL3940)/COUNTIF(Q3940:DL3940,"&gt;0")))</f>
        <v>0</v>
      </c>
      <c r="P3940" s="109">
        <f>SUMIFS(Q3940:DK3940,Q$1:DK$1,Dashboard!$K$31)</f>
        <v>0</v>
      </c>
      <c r="U3940" s="95">
        <v>33</v>
      </c>
      <c r="AA3940" s="95">
        <v>25</v>
      </c>
      <c r="AH3940" s="95">
        <v>75</v>
      </c>
    </row>
    <row r="3941" spans="1:34" ht="15.6" x14ac:dyDescent="0.3">
      <c r="A3941" s="89" t="str">
        <f>CONCATENATE(D3941,".",F3941,"-",G3941,".",H3941,"")</f>
        <v>3.2-8.1</v>
      </c>
      <c r="B3941" s="89" t="str">
        <f>IF(CONCATENATE(I3941,Key!F$2)=CONCATENATE(INDEX(Dashboard!J:J,MATCH(I3941,Dashboard!J:J,0),1),INDEX(Dashboard!J:K,MATCH(I3941,Dashboard!J:J,0),2)),"ON",IF(Dashboard!K$32="ALL","ON","-"))</f>
        <v>-</v>
      </c>
      <c r="C3941" s="96" t="s">
        <v>311</v>
      </c>
      <c r="D3941" s="89">
        <f>IF(C3941="ID",1,(IF(C3941="PR",2,(IF(C3941="DE",3,(IF(C3941="RS",4,(IF(C3941="RC",5,0)))))))))</f>
        <v>3</v>
      </c>
      <c r="E3941" s="89" t="s">
        <v>316</v>
      </c>
      <c r="F3941" s="89">
        <f>IF(E3941="AM",1,(IF(E3941="BE",2,(IF(E3941="GV",3,(IF(E3941="RA",4,(IF(E3941="RM",5,(IF(E3941="AC",1,(IF(E3941="AT",2,(IF(E3941="DS",3,(IF(E3941="IP",4,(IF(E3941="MA",5,(IF(E3941="PT",6,(IF(E3941="AE",1,(IF(E3941="CM",2,(IF(E3941="DP",3,(IF(E3941="AN",1,(IF(E3941="CO",2,(IF(E3941="IM",3,(IF(E3941="MI",4,(IF(E3941="RP",5,(IF(E3941="SC",6,0)))))))))))))))))))))))))))))))))))))))</f>
        <v>2</v>
      </c>
      <c r="G3941" s="52">
        <v>8</v>
      </c>
      <c r="H3941" s="90" t="s">
        <v>115</v>
      </c>
      <c r="I3941" s="93" t="s">
        <v>89</v>
      </c>
      <c r="J3941" s="88" t="s">
        <v>612</v>
      </c>
      <c r="K3941" s="102" t="s">
        <v>613</v>
      </c>
      <c r="L3941" s="117">
        <f>IF(O3941="","",N3941*O3941*M3941)</f>
        <v>0</v>
      </c>
      <c r="M3941" s="108">
        <v>1</v>
      </c>
      <c r="N3941" s="95">
        <v>1</v>
      </c>
      <c r="O3941" s="109">
        <f>IF(Key!D$1="ON",P3941,IF(SUM(Q3941:DL3941)&lt;1,"",SUM(Q3941:DL3941)/COUNTIF(Q3941:DL3941,"&gt;0")))</f>
        <v>0</v>
      </c>
      <c r="P3941" s="109">
        <f>SUMIFS(Q3941:DK3941,Q$1:DK$1,Dashboard!$K$31)</f>
        <v>0</v>
      </c>
      <c r="U3941" s="95">
        <v>33</v>
      </c>
      <c r="AA3941" s="95">
        <v>25</v>
      </c>
      <c r="AH3941" s="95">
        <v>75</v>
      </c>
    </row>
    <row r="3942" spans="1:34" ht="15.6" x14ac:dyDescent="0.3">
      <c r="A3942" s="89" t="str">
        <f>CONCATENATE(D3942,".",F3942,"-",G3942,".",H3942,"")</f>
        <v>3.2-8.1</v>
      </c>
      <c r="B3942" s="89" t="str">
        <f>IF(CONCATENATE(I3942,Key!F$2)=CONCATENATE(INDEX(Dashboard!J:J,MATCH(I3942,Dashboard!J:J,0),1),INDEX(Dashboard!J:K,MATCH(I3942,Dashboard!J:J,0),2)),"ON",IF(Dashboard!K$32="ALL","ON","-"))</f>
        <v>-</v>
      </c>
      <c r="C3942" s="96" t="s">
        <v>311</v>
      </c>
      <c r="D3942" s="89">
        <f>IF(C3942="ID",1,(IF(C3942="PR",2,(IF(C3942="DE",3,(IF(C3942="RS",4,(IF(C3942="RC",5,0)))))))))</f>
        <v>3</v>
      </c>
      <c r="E3942" s="89" t="s">
        <v>316</v>
      </c>
      <c r="F3942" s="89">
        <f>IF(E3942="AM",1,(IF(E3942="BE",2,(IF(E3942="GV",3,(IF(E3942="RA",4,(IF(E3942="RM",5,(IF(E3942="AC",1,(IF(E3942="AT",2,(IF(E3942="DS",3,(IF(E3942="IP",4,(IF(E3942="MA",5,(IF(E3942="PT",6,(IF(E3942="AE",1,(IF(E3942="CM",2,(IF(E3942="DP",3,(IF(E3942="AN",1,(IF(E3942="CO",2,(IF(E3942="IM",3,(IF(E3942="MI",4,(IF(E3942="RP",5,(IF(E3942="SC",6,0)))))))))))))))))))))))))))))))))))))))</f>
        <v>2</v>
      </c>
      <c r="G3942" s="52">
        <v>8</v>
      </c>
      <c r="H3942" s="90" t="s">
        <v>115</v>
      </c>
      <c r="I3942" s="93" t="s">
        <v>89</v>
      </c>
      <c r="J3942" s="88" t="s">
        <v>614</v>
      </c>
      <c r="K3942" s="102" t="s">
        <v>615</v>
      </c>
      <c r="L3942" s="117">
        <f>IF(O3942="","",N3942*O3942*M3942)</f>
        <v>0</v>
      </c>
      <c r="M3942" s="108">
        <v>1</v>
      </c>
      <c r="N3942" s="95">
        <v>1</v>
      </c>
      <c r="O3942" s="109">
        <f>IF(Key!D$1="ON",P3942,IF(SUM(Q3942:DL3942)&lt;1,"",SUM(Q3942:DL3942)/COUNTIF(Q3942:DL3942,"&gt;0")))</f>
        <v>0</v>
      </c>
      <c r="P3942" s="109">
        <f>SUMIFS(Q3942:DK3942,Q$1:DK$1,Dashboard!$K$31)</f>
        <v>0</v>
      </c>
      <c r="U3942" s="95">
        <v>33</v>
      </c>
      <c r="AA3942" s="95">
        <v>25</v>
      </c>
      <c r="AH3942" s="95">
        <v>75</v>
      </c>
    </row>
    <row r="3943" spans="1:34" ht="15.6" x14ac:dyDescent="0.3">
      <c r="A3943" s="89" t="str">
        <f>CONCATENATE(D3943,".",F3943,"-",G3943,".",H3943,"")</f>
        <v>3.2-8.1</v>
      </c>
      <c r="B3943" s="89" t="str">
        <f>IF(CONCATENATE(I3943,Key!F$2)=CONCATENATE(INDEX(Dashboard!J:J,MATCH(I3943,Dashboard!J:J,0),1),INDEX(Dashboard!J:K,MATCH(I3943,Dashboard!J:J,0),2)),"ON",IF(Dashboard!K$32="ALL","ON","-"))</f>
        <v>-</v>
      </c>
      <c r="C3943" s="96" t="s">
        <v>311</v>
      </c>
      <c r="D3943" s="89">
        <f>IF(C3943="ID",1,(IF(C3943="PR",2,(IF(C3943="DE",3,(IF(C3943="RS",4,(IF(C3943="RC",5,0)))))))))</f>
        <v>3</v>
      </c>
      <c r="E3943" s="89" t="s">
        <v>316</v>
      </c>
      <c r="F3943" s="89">
        <f>IF(E3943="AM",1,(IF(E3943="BE",2,(IF(E3943="GV",3,(IF(E3943="RA",4,(IF(E3943="RM",5,(IF(E3943="AC",1,(IF(E3943="AT",2,(IF(E3943="DS",3,(IF(E3943="IP",4,(IF(E3943="MA",5,(IF(E3943="PT",6,(IF(E3943="AE",1,(IF(E3943="CM",2,(IF(E3943="DP",3,(IF(E3943="AN",1,(IF(E3943="CO",2,(IF(E3943="IM",3,(IF(E3943="MI",4,(IF(E3943="RP",5,(IF(E3943="SC",6,0)))))))))))))))))))))))))))))))))))))))</f>
        <v>2</v>
      </c>
      <c r="G3943" s="52">
        <v>8</v>
      </c>
      <c r="H3943" s="90" t="s">
        <v>115</v>
      </c>
      <c r="I3943" s="93" t="s">
        <v>89</v>
      </c>
      <c r="J3943" s="88" t="s">
        <v>616</v>
      </c>
      <c r="K3943" s="102" t="s">
        <v>617</v>
      </c>
      <c r="L3943" s="117">
        <f>IF(O3943="","",N3943*O3943*M3943)</f>
        <v>0</v>
      </c>
      <c r="M3943" s="108">
        <v>1</v>
      </c>
      <c r="N3943" s="95">
        <v>1</v>
      </c>
      <c r="O3943" s="109">
        <f>IF(Key!D$1="ON",P3943,IF(SUM(Q3943:DL3943)&lt;1,"",SUM(Q3943:DL3943)/COUNTIF(Q3943:DL3943,"&gt;0")))</f>
        <v>0</v>
      </c>
      <c r="P3943" s="109">
        <f>SUMIFS(Q3943:DK3943,Q$1:DK$1,Dashboard!$K$31)</f>
        <v>0</v>
      </c>
      <c r="U3943" s="95">
        <v>33</v>
      </c>
      <c r="AA3943" s="95">
        <v>25</v>
      </c>
      <c r="AH3943" s="95">
        <v>75</v>
      </c>
    </row>
    <row r="3944" spans="1:34" ht="15.6" x14ac:dyDescent="0.3">
      <c r="A3944" s="89" t="str">
        <f>CONCATENATE(D3944,".",F3944,"-",G3944,".",H3944,"")</f>
        <v>3.2-8.1</v>
      </c>
      <c r="B3944" s="89" t="str">
        <f>IF(CONCATENATE(I3944,Key!F$2)=CONCATENATE(INDEX(Dashboard!J:J,MATCH(I3944,Dashboard!J:J,0),1),INDEX(Dashboard!J:K,MATCH(I3944,Dashboard!J:J,0),2)),"ON",IF(Dashboard!K$32="ALL","ON","-"))</f>
        <v>-</v>
      </c>
      <c r="C3944" s="88" t="s">
        <v>311</v>
      </c>
      <c r="D3944" s="89">
        <f>IF(C3944="ID",1,(IF(C3944="PR",2,(IF(C3944="DE",3,(IF(C3944="RS",4,(IF(C3944="RC",5,0)))))))))</f>
        <v>3</v>
      </c>
      <c r="E3944" s="89" t="s">
        <v>316</v>
      </c>
      <c r="F3944" s="89">
        <f>IF(E3944="AM",1,(IF(E3944="BE",2,(IF(E3944="GV",3,(IF(E3944="RA",4,(IF(E3944="RM",5,(IF(E3944="AC",1,(IF(E3944="AT",2,(IF(E3944="DS",3,(IF(E3944="IP",4,(IF(E3944="MA",5,(IF(E3944="PT",6,(IF(E3944="AE",1,(IF(E3944="CM",2,(IF(E3944="DP",3,(IF(E3944="AN",1,(IF(E3944="CO",2,(IF(E3944="IM",3,(IF(E3944="MI",4,(IF(E3944="RP",5,(IF(E3944="SC",6,0)))))))))))))))))))))))))))))))))))))))</f>
        <v>2</v>
      </c>
      <c r="G3944" s="52">
        <v>8</v>
      </c>
      <c r="H3944" s="90" t="s">
        <v>115</v>
      </c>
      <c r="I3944" s="93" t="s">
        <v>92</v>
      </c>
      <c r="J3944" s="88">
        <v>6.6</v>
      </c>
      <c r="K3944" s="102" t="s">
        <v>5226</v>
      </c>
      <c r="L3944" s="117">
        <f>IF(O3944="","",N3944*O3944*M3944)</f>
        <v>0</v>
      </c>
      <c r="M3944" s="108">
        <v>1</v>
      </c>
      <c r="N3944" s="95">
        <v>1</v>
      </c>
      <c r="O3944" s="109">
        <f>IF(Key!D$1="ON",P3944,IF(SUM(Q3944:DL3944)&lt;1,"",SUM(Q3944:DL3944)/COUNTIF(Q3944:DL3944,"&gt;0")))</f>
        <v>0</v>
      </c>
      <c r="P3944" s="109">
        <f>SUMIFS(Q3944:DK3944,Q$1:DK$1,Dashboard!$K$31)</f>
        <v>0</v>
      </c>
      <c r="U3944" s="95">
        <v>33</v>
      </c>
      <c r="AA3944" s="95">
        <v>25</v>
      </c>
      <c r="AH3944" s="95">
        <v>75</v>
      </c>
    </row>
    <row r="3945" spans="1:34" ht="15.6" x14ac:dyDescent="0.3">
      <c r="A3945" s="89" t="str">
        <f>CONCATENATE(D3945,".",F3945,"-",G3945,".",H3945,"")</f>
        <v>3.2-8.1</v>
      </c>
      <c r="B3945" s="89" t="str">
        <f>IF(CONCATENATE(I3945,Key!F$2)=CONCATENATE(INDEX(Dashboard!J:J,MATCH(I3945,Dashboard!J:J,0),1),INDEX(Dashboard!J:K,MATCH(I3945,Dashboard!J:J,0),2)),"ON",IF(Dashboard!K$32="ALL","ON","-"))</f>
        <v>-</v>
      </c>
      <c r="C3945" s="96" t="s">
        <v>311</v>
      </c>
      <c r="D3945" s="89">
        <f>IF(C3945="ID",1,(IF(C3945="PR",2,(IF(C3945="DE",3,(IF(C3945="RS",4,(IF(C3945="RC",5,0)))))))))</f>
        <v>3</v>
      </c>
      <c r="E3945" s="89" t="s">
        <v>316</v>
      </c>
      <c r="F3945" s="89">
        <f>IF(E3945="AM",1,(IF(E3945="BE",2,(IF(E3945="GV",3,(IF(E3945="RA",4,(IF(E3945="RM",5,(IF(E3945="AC",1,(IF(E3945="AT",2,(IF(E3945="DS",3,(IF(E3945="IP",4,(IF(E3945="MA",5,(IF(E3945="PT",6,(IF(E3945="AE",1,(IF(E3945="CM",2,(IF(E3945="DP",3,(IF(E3945="AN",1,(IF(E3945="CO",2,(IF(E3945="IM",3,(IF(E3945="MI",4,(IF(E3945="RP",5,(IF(E3945="SC",6,0)))))))))))))))))))))))))))))))))))))))</f>
        <v>2</v>
      </c>
      <c r="G3945" s="98">
        <v>8</v>
      </c>
      <c r="H3945" s="90" t="s">
        <v>115</v>
      </c>
      <c r="I3945" s="93" t="s">
        <v>92</v>
      </c>
      <c r="J3945" s="88">
        <v>11.2</v>
      </c>
      <c r="K3945" s="102" t="s">
        <v>5226</v>
      </c>
      <c r="L3945" s="117">
        <f>IF(O3945="","",N3945*O3945*M3945)</f>
        <v>0</v>
      </c>
      <c r="M3945" s="108">
        <v>1</v>
      </c>
      <c r="N3945" s="95">
        <v>1</v>
      </c>
      <c r="O3945" s="109">
        <f>IF(Key!D$1="ON",P3945,IF(SUM(Q3945:DL3945)&lt;1,"",SUM(Q3945:DL3945)/COUNTIF(Q3945:DL3945,"&gt;0")))</f>
        <v>0</v>
      </c>
      <c r="P3945" s="109">
        <f>SUMIFS(Q3945:DK3945,Q$1:DK$1,Dashboard!$K$31)</f>
        <v>0</v>
      </c>
      <c r="U3945" s="95">
        <v>33</v>
      </c>
      <c r="AA3945" s="95">
        <v>25</v>
      </c>
      <c r="AH3945" s="95">
        <v>75</v>
      </c>
    </row>
    <row r="3946" spans="1:34" ht="15.6" x14ac:dyDescent="0.3">
      <c r="A3946" s="89" t="str">
        <f>CONCATENATE(D3946,".",F3946,"-",G3946,".",H3946,"")</f>
        <v>3.2-8.1</v>
      </c>
      <c r="B3946" s="89" t="str">
        <f>IF(CONCATENATE(I3946,Key!F$2)=CONCATENATE(INDEX(Dashboard!J:J,MATCH(I3946,Dashboard!J:J,0),1),INDEX(Dashboard!J:K,MATCH(I3946,Dashboard!J:J,0),2)),"ON",IF(Dashboard!K$32="ALL","ON","-"))</f>
        <v>-</v>
      </c>
      <c r="C3946" s="96" t="s">
        <v>311</v>
      </c>
      <c r="D3946" s="89">
        <f>IF(C3946="ID",1,(IF(C3946="PR",2,(IF(C3946="DE",3,(IF(C3946="RS",4,(IF(C3946="RC",5,0)))))))))</f>
        <v>3</v>
      </c>
      <c r="E3946" s="89" t="s">
        <v>316</v>
      </c>
      <c r="F3946" s="89">
        <f>IF(E3946="AM",1,(IF(E3946="BE",2,(IF(E3946="GV",3,(IF(E3946="RA",4,(IF(E3946="RM",5,(IF(E3946="AC",1,(IF(E3946="AT",2,(IF(E3946="DS",3,(IF(E3946="IP",4,(IF(E3946="MA",5,(IF(E3946="PT",6,(IF(E3946="AE",1,(IF(E3946="CM",2,(IF(E3946="DP",3,(IF(E3946="AN",1,(IF(E3946="CO",2,(IF(E3946="IM",3,(IF(E3946="MI",4,(IF(E3946="RP",5,(IF(E3946="SC",6,0)))))))))))))))))))))))))))))))))))))))</f>
        <v>2</v>
      </c>
      <c r="G3946" s="98">
        <v>8</v>
      </c>
      <c r="H3946" s="90" t="s">
        <v>115</v>
      </c>
      <c r="I3946" s="93" t="s">
        <v>92</v>
      </c>
      <c r="J3946" s="87" t="s">
        <v>236</v>
      </c>
      <c r="K3946" s="102" t="s">
        <v>5226</v>
      </c>
      <c r="L3946" s="117">
        <f>IF(O3946="","",N3946*O3946*M3946)</f>
        <v>0</v>
      </c>
      <c r="M3946" s="108">
        <v>1</v>
      </c>
      <c r="N3946" s="95">
        <v>1</v>
      </c>
      <c r="O3946" s="109">
        <f>IF(Key!D$1="ON",P3946,IF(SUM(Q3946:DL3946)&lt;1,"",SUM(Q3946:DL3946)/COUNTIF(Q3946:DL3946,"&gt;0")))</f>
        <v>0</v>
      </c>
      <c r="P3946" s="109">
        <f>SUMIFS(Q3946:DK3946,Q$1:DK$1,Dashboard!$K$31)</f>
        <v>0</v>
      </c>
      <c r="U3946" s="95">
        <v>33</v>
      </c>
      <c r="AA3946" s="95">
        <v>25</v>
      </c>
      <c r="AH3946" s="95">
        <v>75</v>
      </c>
    </row>
    <row r="3947" spans="1:34" ht="15.6" x14ac:dyDescent="0.3">
      <c r="A3947" s="89" t="str">
        <f>CONCATENATE(D3947,".",F3947,"-",G3947,".",H3947,"")</f>
        <v>3.2-8.1</v>
      </c>
      <c r="B3947" s="89" t="str">
        <f>IF(CONCATENATE(I3947,Key!F$2)=CONCATENATE(INDEX(Dashboard!J:J,MATCH(I3947,Dashboard!J:J,0),1),INDEX(Dashboard!J:K,MATCH(I3947,Dashboard!J:J,0),2)),"ON",IF(Dashboard!K$32="ALL","ON","-"))</f>
        <v>-</v>
      </c>
      <c r="C3947" s="96" t="s">
        <v>311</v>
      </c>
      <c r="D3947" s="89">
        <f>IF(C3947="ID",1,(IF(C3947="PR",2,(IF(C3947="DE",3,(IF(C3947="RS",4,(IF(C3947="RC",5,0)))))))))</f>
        <v>3</v>
      </c>
      <c r="E3947" s="89" t="s">
        <v>316</v>
      </c>
      <c r="F3947" s="89">
        <f>IF(E3947="AM",1,(IF(E3947="BE",2,(IF(E3947="GV",3,(IF(E3947="RA",4,(IF(E3947="RM",5,(IF(E3947="AC",1,(IF(E3947="AT",2,(IF(E3947="DS",3,(IF(E3947="IP",4,(IF(E3947="MA",5,(IF(E3947="PT",6,(IF(E3947="AE",1,(IF(E3947="CM",2,(IF(E3947="DP",3,(IF(E3947="AN",1,(IF(E3947="CO",2,(IF(E3947="IM",3,(IF(E3947="MI",4,(IF(E3947="RP",5,(IF(E3947="SC",6,0)))))))))))))))))))))))))))))))))))))))</f>
        <v>2</v>
      </c>
      <c r="G3947" s="98">
        <v>8</v>
      </c>
      <c r="H3947" s="90" t="s">
        <v>115</v>
      </c>
      <c r="I3947" s="93" t="s">
        <v>92</v>
      </c>
      <c r="J3947" s="87" t="s">
        <v>237</v>
      </c>
      <c r="K3947" s="102" t="s">
        <v>5226</v>
      </c>
      <c r="L3947" s="117">
        <f>IF(O3947="","",N3947*O3947*M3947)</f>
        <v>0</v>
      </c>
      <c r="M3947" s="108">
        <v>1</v>
      </c>
      <c r="N3947" s="95">
        <v>1</v>
      </c>
      <c r="O3947" s="109">
        <f>IF(Key!D$1="ON",P3947,IF(SUM(Q3947:DL3947)&lt;1,"",SUM(Q3947:DL3947)/COUNTIF(Q3947:DL3947,"&gt;0")))</f>
        <v>0</v>
      </c>
      <c r="P3947" s="109">
        <f>SUMIFS(Q3947:DK3947,Q$1:DK$1,Dashboard!$K$31)</f>
        <v>0</v>
      </c>
      <c r="U3947" s="95">
        <v>33</v>
      </c>
      <c r="AA3947" s="95">
        <v>25</v>
      </c>
      <c r="AH3947" s="95">
        <v>75</v>
      </c>
    </row>
    <row r="3948" spans="1:34" ht="15.6" x14ac:dyDescent="0.3">
      <c r="A3948" s="89" t="str">
        <f>CONCATENATE(D3948,".",F3948,"-",G3948,".",H3948,"")</f>
        <v>3.2-8.1</v>
      </c>
      <c r="B3948" s="89" t="str">
        <f>IF(CONCATENATE(I3948,Key!F$2)=CONCATENATE(INDEX(Dashboard!J:J,MATCH(I3948,Dashboard!J:J,0),1),INDEX(Dashboard!J:K,MATCH(I3948,Dashboard!J:J,0),2)),"ON",IF(Dashboard!K$32="ALL","ON","-"))</f>
        <v>-</v>
      </c>
      <c r="C3948" s="96" t="s">
        <v>311</v>
      </c>
      <c r="D3948" s="89">
        <f>IF(C3948="ID",1,(IF(C3948="PR",2,(IF(C3948="DE",3,(IF(C3948="RS",4,(IF(C3948="RC",5,0)))))))))</f>
        <v>3</v>
      </c>
      <c r="E3948" s="89" t="s">
        <v>316</v>
      </c>
      <c r="F3948" s="89">
        <f>IF(E3948="AM",1,(IF(E3948="BE",2,(IF(E3948="GV",3,(IF(E3948="RA",4,(IF(E3948="RM",5,(IF(E3948="AC",1,(IF(E3948="AT",2,(IF(E3948="DS",3,(IF(E3948="IP",4,(IF(E3948="MA",5,(IF(E3948="PT",6,(IF(E3948="AE",1,(IF(E3948="CM",2,(IF(E3948="DP",3,(IF(E3948="AN",1,(IF(E3948="CO",2,(IF(E3948="IM",3,(IF(E3948="MI",4,(IF(E3948="RP",5,(IF(E3948="SC",6,0)))))))))))))))))))))))))))))))))))))))</f>
        <v>2</v>
      </c>
      <c r="G3948" s="98">
        <v>8</v>
      </c>
      <c r="H3948" s="90" t="s">
        <v>115</v>
      </c>
      <c r="I3948" s="93" t="s">
        <v>92</v>
      </c>
      <c r="J3948" s="87" t="s">
        <v>238</v>
      </c>
      <c r="K3948" s="102" t="s">
        <v>5226</v>
      </c>
      <c r="L3948" s="117">
        <f>IF(O3948="","",N3948*O3948*M3948)</f>
        <v>0</v>
      </c>
      <c r="M3948" s="108">
        <v>1</v>
      </c>
      <c r="N3948" s="95">
        <v>1</v>
      </c>
      <c r="O3948" s="109">
        <f>IF(Key!D$1="ON",P3948,IF(SUM(Q3948:DL3948)&lt;1,"",SUM(Q3948:DL3948)/COUNTIF(Q3948:DL3948,"&gt;0")))</f>
        <v>0</v>
      </c>
      <c r="P3948" s="109">
        <f>SUMIFS(Q3948:DK3948,Q$1:DK$1,Dashboard!$K$31)</f>
        <v>0</v>
      </c>
      <c r="U3948" s="95">
        <v>33</v>
      </c>
      <c r="AA3948" s="95">
        <v>25</v>
      </c>
      <c r="AH3948" s="95">
        <v>75</v>
      </c>
    </row>
    <row r="3949" spans="1:34" ht="15.6" x14ac:dyDescent="0.3">
      <c r="A3949" s="89" t="str">
        <f>CONCATENATE(D3949,".",F3949,"-",G3949,".",H3949,"")</f>
        <v>3.2-8.1</v>
      </c>
      <c r="B3949" s="89" t="str">
        <f>IF(CONCATENATE(I3949,Key!F$2)=CONCATENATE(INDEX(Dashboard!J:J,MATCH(I3949,Dashboard!J:J,0),1),INDEX(Dashboard!J:K,MATCH(I3949,Dashboard!J:J,0),2)),"ON",IF(Dashboard!K$32="ALL","ON","-"))</f>
        <v>-</v>
      </c>
      <c r="C3949" s="88" t="s">
        <v>311</v>
      </c>
      <c r="D3949" s="89">
        <f>IF(C3949="ID",1,(IF(C3949="PR",2,(IF(C3949="DE",3,(IF(C3949="RS",4,(IF(C3949="RC",5,0)))))))))</f>
        <v>3</v>
      </c>
      <c r="E3949" s="89" t="s">
        <v>316</v>
      </c>
      <c r="F3949" s="89">
        <f>IF(E3949="AM",1,(IF(E3949="BE",2,(IF(E3949="GV",3,(IF(E3949="RA",4,(IF(E3949="RM",5,(IF(E3949="AC",1,(IF(E3949="AT",2,(IF(E3949="DS",3,(IF(E3949="IP",4,(IF(E3949="MA",5,(IF(E3949="PT",6,(IF(E3949="AE",1,(IF(E3949="CM",2,(IF(E3949="DP",3,(IF(E3949="AN",1,(IF(E3949="CO",2,(IF(E3949="IM",3,(IF(E3949="MI",4,(IF(E3949="RP",5,(IF(E3949="SC",6,0)))))))))))))))))))))))))))))))))))))))</f>
        <v>2</v>
      </c>
      <c r="G3949" s="52">
        <v>8</v>
      </c>
      <c r="H3949" s="90" t="s">
        <v>115</v>
      </c>
      <c r="I3949" s="93" t="s">
        <v>92</v>
      </c>
      <c r="J3949" s="88" t="s">
        <v>323</v>
      </c>
      <c r="K3949" s="102" t="s">
        <v>5226</v>
      </c>
      <c r="L3949" s="117">
        <f>IF(O3949="","",N3949*O3949*M3949)</f>
        <v>0</v>
      </c>
      <c r="M3949" s="108">
        <v>1</v>
      </c>
      <c r="N3949" s="95">
        <v>1</v>
      </c>
      <c r="O3949" s="109">
        <f>IF(Key!D$1="ON",P3949,IF(SUM(Q3949:DL3949)&lt;1,"",SUM(Q3949:DL3949)/COUNTIF(Q3949:DL3949,"&gt;0")))</f>
        <v>0</v>
      </c>
      <c r="P3949" s="109">
        <f>SUMIFS(Q3949:DK3949,Q$1:DK$1,Dashboard!$K$31)</f>
        <v>0</v>
      </c>
      <c r="U3949" s="95">
        <v>33</v>
      </c>
      <c r="AA3949" s="95">
        <v>25</v>
      </c>
      <c r="AH3949" s="95">
        <v>75</v>
      </c>
    </row>
    <row r="3950" spans="1:34" ht="15.6" x14ac:dyDescent="0.3">
      <c r="A3950" s="89" t="str">
        <f>CONCATENATE(D3950,".",F3950,"-",G3950,".",H3950,"")</f>
        <v>3.2-8.1</v>
      </c>
      <c r="B3950" s="89" t="str">
        <f>IF(CONCATENATE(I3950,Key!F$2)=CONCATENATE(INDEX(Dashboard!J:J,MATCH(I3950,Dashboard!J:J,0),1),INDEX(Dashboard!J:K,MATCH(I3950,Dashboard!J:J,0),2)),"ON",IF(Dashboard!K$32="ALL","ON","-"))</f>
        <v>-</v>
      </c>
      <c r="C3950" s="88" t="s">
        <v>311</v>
      </c>
      <c r="D3950" s="89">
        <f>IF(C3950="ID",1,(IF(C3950="PR",2,(IF(C3950="DE",3,(IF(C3950="RS",4,(IF(C3950="RC",5,0)))))))))</f>
        <v>3</v>
      </c>
      <c r="E3950" s="89" t="s">
        <v>316</v>
      </c>
      <c r="F3950" s="89">
        <f>IF(E3950="AM",1,(IF(E3950="BE",2,(IF(E3950="GV",3,(IF(E3950="RA",4,(IF(E3950="RM",5,(IF(E3950="AC",1,(IF(E3950="AT",2,(IF(E3950="DS",3,(IF(E3950="IP",4,(IF(E3950="MA",5,(IF(E3950="PT",6,(IF(E3950="AE",1,(IF(E3950="CM",2,(IF(E3950="DP",3,(IF(E3950="AN",1,(IF(E3950="CO",2,(IF(E3950="IM",3,(IF(E3950="MI",4,(IF(E3950="RP",5,(IF(E3950="SC",6,0)))))))))))))))))))))))))))))))))))))))</f>
        <v>2</v>
      </c>
      <c r="G3950" s="52">
        <v>8</v>
      </c>
      <c r="H3950" s="90" t="s">
        <v>115</v>
      </c>
      <c r="I3950" s="93" t="s">
        <v>92</v>
      </c>
      <c r="J3950" s="88" t="s">
        <v>324</v>
      </c>
      <c r="K3950" s="102" t="s">
        <v>5226</v>
      </c>
      <c r="L3950" s="117">
        <f>IF(O3950="","",N3950*O3950*M3950)</f>
        <v>0</v>
      </c>
      <c r="M3950" s="108">
        <v>1</v>
      </c>
      <c r="N3950" s="95">
        <v>1</v>
      </c>
      <c r="O3950" s="109">
        <f>IF(Key!D$1="ON",P3950,IF(SUM(Q3950:DL3950)&lt;1,"",SUM(Q3950:DL3950)/COUNTIF(Q3950:DL3950,"&gt;0")))</f>
        <v>0</v>
      </c>
      <c r="P3950" s="109">
        <f>SUMIFS(Q3950:DK3950,Q$1:DK$1,Dashboard!$K$31)</f>
        <v>0</v>
      </c>
      <c r="U3950" s="95">
        <v>33</v>
      </c>
      <c r="AA3950" s="95">
        <v>25</v>
      </c>
      <c r="AH3950" s="95">
        <v>75</v>
      </c>
    </row>
    <row r="3951" spans="1:34" ht="15.6" x14ac:dyDescent="0.3">
      <c r="A3951" s="89" t="str">
        <f>CONCATENATE(D3951,".",F3951,"-",G3951,".",H3951,"")</f>
        <v>3.2-8.1</v>
      </c>
      <c r="B3951" s="89" t="str">
        <f>IF(CONCATENATE(I3951,Key!F$2)=CONCATENATE(INDEX(Dashboard!J:J,MATCH(I3951,Dashboard!J:J,0),1),INDEX(Dashboard!J:K,MATCH(I3951,Dashboard!J:J,0),2)),"ON",IF(Dashboard!K$32="ALL","ON","-"))</f>
        <v>-</v>
      </c>
      <c r="C3951" s="88" t="s">
        <v>311</v>
      </c>
      <c r="D3951" s="89">
        <f>IF(C3951="ID",1,(IF(C3951="PR",2,(IF(C3951="DE",3,(IF(C3951="RS",4,(IF(C3951="RC",5,0)))))))))</f>
        <v>3</v>
      </c>
      <c r="E3951" s="89" t="s">
        <v>316</v>
      </c>
      <c r="F3951" s="89">
        <f>IF(E3951="AM",1,(IF(E3951="BE",2,(IF(E3951="GV",3,(IF(E3951="RA",4,(IF(E3951="RM",5,(IF(E3951="AC",1,(IF(E3951="AT",2,(IF(E3951="DS",3,(IF(E3951="IP",4,(IF(E3951="MA",5,(IF(E3951="PT",6,(IF(E3951="AE",1,(IF(E3951="CM",2,(IF(E3951="DP",3,(IF(E3951="AN",1,(IF(E3951="CO",2,(IF(E3951="IM",3,(IF(E3951="MI",4,(IF(E3951="RP",5,(IF(E3951="SC",6,0)))))))))))))))))))))))))))))))))))))))</f>
        <v>2</v>
      </c>
      <c r="G3951" s="52">
        <v>8</v>
      </c>
      <c r="H3951" s="90" t="s">
        <v>115</v>
      </c>
      <c r="I3951" s="93" t="s">
        <v>92</v>
      </c>
      <c r="J3951" s="88" t="s">
        <v>325</v>
      </c>
      <c r="K3951" s="102" t="s">
        <v>5226</v>
      </c>
      <c r="L3951" s="117">
        <f>IF(O3951="","",N3951*O3951*M3951)</f>
        <v>0</v>
      </c>
      <c r="M3951" s="108">
        <v>1</v>
      </c>
      <c r="N3951" s="95">
        <v>1</v>
      </c>
      <c r="O3951" s="109">
        <f>IF(Key!D$1="ON",P3951,IF(SUM(Q3951:DL3951)&lt;1,"",SUM(Q3951:DL3951)/COUNTIF(Q3951:DL3951,"&gt;0")))</f>
        <v>0</v>
      </c>
      <c r="P3951" s="109">
        <f>SUMIFS(Q3951:DK3951,Q$1:DK$1,Dashboard!$K$31)</f>
        <v>0</v>
      </c>
      <c r="U3951" s="95">
        <v>33</v>
      </c>
      <c r="AA3951" s="95">
        <v>25</v>
      </c>
      <c r="AH3951" s="95">
        <v>75</v>
      </c>
    </row>
    <row r="3952" spans="1:34" ht="15.6" x14ac:dyDescent="0.3">
      <c r="A3952" s="89" t="str">
        <f>CONCATENATE(D3952,".",F3952,"-",G3952,".",H3952,"")</f>
        <v>3.3-0.0</v>
      </c>
      <c r="B3952" s="89" t="str">
        <f>IF(CONCATENATE(I3952,Key!F$2)=CONCATENATE(INDEX(Dashboard!J:J,MATCH(I3952,Dashboard!J:J,0),1),INDEX(Dashboard!J:K,MATCH(I3952,Dashboard!J:J,0),2)),"ON",IF(Dashboard!K$32="ALL","ON","-"))</f>
        <v>-</v>
      </c>
      <c r="C3952" s="96" t="s">
        <v>311</v>
      </c>
      <c r="D3952" s="89">
        <f>IF(C3952="ID",1,(IF(C3952="PR",2,(IF(C3952="DE",3,(IF(C3952="RS",4,(IF(C3952="RC",5,0)))))))))</f>
        <v>3</v>
      </c>
      <c r="E3952" s="89" t="s">
        <v>326</v>
      </c>
      <c r="F3952" s="89">
        <f>IF(E3952="AM",1,(IF(E3952="BE",2,(IF(E3952="GV",3,(IF(E3952="RA",4,(IF(E3952="RM",5,(IF(E3952="AC",1,(IF(E3952="AT",2,(IF(E3952="DS",3,(IF(E3952="IP",4,(IF(E3952="MA",5,(IF(E3952="PT",6,(IF(E3952="AE",1,(IF(E3952="CM",2,(IF(E3952="DP",3,(IF(E3952="AN",1,(IF(E3952="CO",2,(IF(E3952="IM",3,(IF(E3952="MI",4,(IF(E3952="RP",5,(IF(E3952="SC",6,0)))))))))))))))))))))))))))))))))))))))</f>
        <v>3</v>
      </c>
      <c r="G3952" s="52">
        <v>0</v>
      </c>
      <c r="H3952" s="90" t="s">
        <v>347</v>
      </c>
      <c r="I3952" s="93" t="s">
        <v>2835</v>
      </c>
      <c r="J3952" s="139" t="s">
        <v>3038</v>
      </c>
      <c r="K3952" s="144" t="s">
        <v>3039</v>
      </c>
      <c r="L3952" s="117">
        <f>IF(O3952="","",N3952*O3952*M3952)</f>
        <v>0</v>
      </c>
      <c r="M3952" s="108">
        <v>1</v>
      </c>
      <c r="N3952" s="95">
        <v>1</v>
      </c>
      <c r="O3952" s="109">
        <f>IF(Key!D$1="ON",P3952,IF(SUM(Q3952:DL3952)&lt;1,"",SUM(Q3952:DL3952)/COUNTIF(Q3952:DL3952,"&gt;0")))</f>
        <v>0</v>
      </c>
      <c r="P3952" s="109">
        <f>SUMIFS(Q3952:DK3952,Q$1:DK$1,Dashboard!$K$31)</f>
        <v>0</v>
      </c>
      <c r="Q3952" s="110">
        <v>83</v>
      </c>
      <c r="U3952" s="95">
        <v>33</v>
      </c>
    </row>
    <row r="3953" spans="1:34" ht="15.6" x14ac:dyDescent="0.3">
      <c r="A3953" s="89" t="str">
        <f>CONCATENATE(D3953,".",F3953,"-",G3953,".",H3953,"")</f>
        <v>3.3-0.1</v>
      </c>
      <c r="B3953" s="89" t="str">
        <f>IF(CONCATENATE(I3953,Key!F$2)=CONCATENATE(INDEX(Dashboard!J:J,MATCH(I3953,Dashboard!J:J,0),1),INDEX(Dashboard!J:K,MATCH(I3953,Dashboard!J:J,0),2)),"ON",IF(Dashboard!K$32="ALL","ON","-"))</f>
        <v>-</v>
      </c>
      <c r="C3953" s="96" t="s">
        <v>311</v>
      </c>
      <c r="D3953" s="89">
        <f>IF(C3953="ID",1,(IF(C3953="PR",2,(IF(C3953="DE",3,(IF(C3953="RS",4,(IF(C3953="RC",5,0)))))))))</f>
        <v>3</v>
      </c>
      <c r="E3953" s="89" t="s">
        <v>326</v>
      </c>
      <c r="F3953" s="89">
        <f>IF(E3953="AM",1,(IF(E3953="BE",2,(IF(E3953="GV",3,(IF(E3953="RA",4,(IF(E3953="RM",5,(IF(E3953="AC",1,(IF(E3953="AT",2,(IF(E3953="DS",3,(IF(E3953="IP",4,(IF(E3953="MA",5,(IF(E3953="PT",6,(IF(E3953="AE",1,(IF(E3953="CM",2,(IF(E3953="DP",3,(IF(E3953="AN",1,(IF(E3953="CO",2,(IF(E3953="IM",3,(IF(E3953="MI",4,(IF(E3953="RP",5,(IF(E3953="SC",6,0)))))))))))))))))))))))))))))))))))))))</f>
        <v>3</v>
      </c>
      <c r="G3953" s="52">
        <v>0</v>
      </c>
      <c r="H3953" s="90" t="s">
        <v>115</v>
      </c>
      <c r="I3953" s="93" t="s">
        <v>2835</v>
      </c>
      <c r="J3953" s="57" t="s">
        <v>3038</v>
      </c>
      <c r="K3953" s="58" t="s">
        <v>3040</v>
      </c>
      <c r="L3953" s="117">
        <f>IF(O3953="","",N3953*O3953*M3953)</f>
        <v>0</v>
      </c>
      <c r="M3953" s="108">
        <v>1</v>
      </c>
      <c r="N3953" s="95">
        <v>1</v>
      </c>
      <c r="O3953" s="109">
        <f>IF(Key!D$1="ON",P3953,IF(SUM(Q3953:DL3953)&lt;1,"",SUM(Q3953:DL3953)/COUNTIF(Q3953:DL3953,"&gt;0")))</f>
        <v>0</v>
      </c>
      <c r="P3953" s="109">
        <f>SUMIFS(Q3953:DK3953,Q$1:DK$1,Dashboard!$K$31)</f>
        <v>0</v>
      </c>
      <c r="Q3953" s="110">
        <v>83</v>
      </c>
      <c r="U3953" s="95">
        <v>33</v>
      </c>
      <c r="AA3953" s="95">
        <v>50</v>
      </c>
    </row>
    <row r="3954" spans="1:34" ht="15.6" x14ac:dyDescent="0.3">
      <c r="A3954" s="89" t="str">
        <f>CONCATENATE(D3954,".",F3954,"-",G3954,".",H3954,"")</f>
        <v>3.3-1.0</v>
      </c>
      <c r="B3954" s="89" t="str">
        <f>IF(CONCATENATE(I3954,Key!F$2)=CONCATENATE(INDEX(Dashboard!J:J,MATCH(I3954,Dashboard!J:J,0),1),INDEX(Dashboard!J:K,MATCH(I3954,Dashboard!J:J,0),2)),"ON",IF(Dashboard!K$32="ALL","ON","-"))</f>
        <v>-</v>
      </c>
      <c r="C3954" s="96" t="s">
        <v>311</v>
      </c>
      <c r="D3954" s="89">
        <f>IF(C3954="ID",1,(IF(C3954="PR",2,(IF(C3954="DE",3,(IF(C3954="RS",4,(IF(C3954="RC",5,0)))))))))</f>
        <v>3</v>
      </c>
      <c r="E3954" s="89" t="s">
        <v>326</v>
      </c>
      <c r="F3954" s="89">
        <f>IF(E3954="AM",1,(IF(E3954="BE",2,(IF(E3954="GV",3,(IF(E3954="RA",4,(IF(E3954="RM",5,(IF(E3954="AC",1,(IF(E3954="AT",2,(IF(E3954="DS",3,(IF(E3954="IP",4,(IF(E3954="MA",5,(IF(E3954="PT",6,(IF(E3954="AE",1,(IF(E3954="CM",2,(IF(E3954="DP",3,(IF(E3954="AN",1,(IF(E3954="CO",2,(IF(E3954="IM",3,(IF(E3954="MI",4,(IF(E3954="RP",5,(IF(E3954="SC",6,0)))))))))))))))))))))))))))))))))))))))</f>
        <v>3</v>
      </c>
      <c r="G3954" s="52">
        <v>1</v>
      </c>
      <c r="H3954" s="90" t="s">
        <v>347</v>
      </c>
      <c r="I3954" s="93" t="s">
        <v>2835</v>
      </c>
      <c r="J3954" s="53" t="s">
        <v>3041</v>
      </c>
      <c r="K3954" s="58" t="s">
        <v>3042</v>
      </c>
      <c r="L3954" s="117">
        <f>IF(O3954="","",N3954*O3954*M3954)</f>
        <v>0</v>
      </c>
      <c r="M3954" s="108">
        <v>1</v>
      </c>
      <c r="N3954" s="95">
        <v>1</v>
      </c>
      <c r="O3954" s="109">
        <f>IF(Key!D$1="ON",P3954,IF(SUM(Q3954:DL3954)&lt;1,"",SUM(Q3954:DL3954)/COUNTIF(Q3954:DL3954,"&gt;0")))</f>
        <v>0</v>
      </c>
      <c r="P3954" s="109">
        <f>SUMIFS(Q3954:DK3954,Q$1:DK$1,Dashboard!$K$31)</f>
        <v>0</v>
      </c>
      <c r="U3954" s="95">
        <v>33</v>
      </c>
    </row>
    <row r="3955" spans="1:34" ht="15.6" x14ac:dyDescent="0.3">
      <c r="A3955" s="89" t="str">
        <f>CONCATENATE(D3955,".",F3955,"-",G3955,".",H3955,"")</f>
        <v>3.3-1.1</v>
      </c>
      <c r="B3955" s="89" t="str">
        <f>IF(CONCATENATE(I3955,Key!F$2)=CONCATENATE(INDEX(Dashboard!J:J,MATCH(I3955,Dashboard!J:J,0),1),INDEX(Dashboard!J:K,MATCH(I3955,Dashboard!J:J,0),2)),"ON",IF(Dashboard!K$32="ALL","ON","-"))</f>
        <v>ON</v>
      </c>
      <c r="C3955" s="96" t="s">
        <v>311</v>
      </c>
      <c r="D3955" s="89">
        <f>IF(C3955="ID",1,(IF(C3955="PR",2,(IF(C3955="DE",3,(IF(C3955="RS",4,(IF(C3955="RC",5,0)))))))))</f>
        <v>3</v>
      </c>
      <c r="E3955" s="89" t="s">
        <v>326</v>
      </c>
      <c r="F3955" s="89">
        <f>IF(E3955="AM",1,(IF(E3955="BE",2,(IF(E3955="GV",3,(IF(E3955="RA",4,(IF(E3955="RM",5,(IF(E3955="AC",1,(IF(E3955="AT",2,(IF(E3955="DS",3,(IF(E3955="IP",4,(IF(E3955="MA",5,(IF(E3955="PT",6,(IF(E3955="AE",1,(IF(E3955="CM",2,(IF(E3955="DP",3,(IF(E3955="AN",1,(IF(E3955="CO",2,(IF(E3955="IM",3,(IF(E3955="MI",4,(IF(E3955="RP",5,(IF(E3955="SC",6,0)))))))))))))))))))))))))))))))))))))))</f>
        <v>3</v>
      </c>
      <c r="G3955" s="52">
        <v>1</v>
      </c>
      <c r="H3955" s="90" t="s">
        <v>115</v>
      </c>
      <c r="I3955" s="93" t="s">
        <v>4107</v>
      </c>
      <c r="J3955" s="86" t="s">
        <v>4016</v>
      </c>
      <c r="K3955" s="101" t="s">
        <v>4382</v>
      </c>
      <c r="L3955" s="117">
        <f>IF(O3955="","",N3955*O3955*M3955)</f>
        <v>0</v>
      </c>
      <c r="M3955" s="108">
        <v>1</v>
      </c>
      <c r="N3955" s="95">
        <v>1</v>
      </c>
      <c r="O3955" s="109">
        <f>IF(Key!D$1="ON",P3955,IF(SUM(Q3955:DL3955)&lt;1,"",SUM(Q3955:DL3955)/COUNTIF(Q3955:DL3955,"&gt;0")))</f>
        <v>0</v>
      </c>
      <c r="P3955" s="109">
        <f>SUMIFS(Q3955:DK3955,Q$1:DK$1,Dashboard!$K$31)</f>
        <v>0</v>
      </c>
      <c r="U3955" s="95">
        <v>33</v>
      </c>
      <c r="AA3955" s="95">
        <v>25</v>
      </c>
      <c r="AH3955" s="95">
        <v>75</v>
      </c>
    </row>
    <row r="3956" spans="1:34" ht="15.6" x14ac:dyDescent="0.3">
      <c r="A3956" s="89" t="str">
        <f>CONCATENATE(D3956,".",F3956,"-",G3956,".",H3956,"")</f>
        <v>3.3-1.1</v>
      </c>
      <c r="B3956" s="89" t="str">
        <f>IF(CONCATENATE(I3956,Key!F$2)=CONCATENATE(INDEX(Dashboard!J:J,MATCH(I3956,Dashboard!J:J,0),1),INDEX(Dashboard!J:K,MATCH(I3956,Dashboard!J:J,0),2)),"ON",IF(Dashboard!K$32="ALL","ON","-"))</f>
        <v>-</v>
      </c>
      <c r="C3956" s="96" t="s">
        <v>311</v>
      </c>
      <c r="D3956" s="89">
        <f>IF(C3956="ID",1,(IF(C3956="PR",2,(IF(C3956="DE",3,(IF(C3956="RS",4,(IF(C3956="RC",5,0)))))))))</f>
        <v>3</v>
      </c>
      <c r="E3956" s="89" t="s">
        <v>326</v>
      </c>
      <c r="F3956" s="89">
        <f>IF(E3956="AM",1,(IF(E3956="BE",2,(IF(E3956="GV",3,(IF(E3956="RA",4,(IF(E3956="RM",5,(IF(E3956="AC",1,(IF(E3956="AT",2,(IF(E3956="DS",3,(IF(E3956="IP",4,(IF(E3956="MA",5,(IF(E3956="PT",6,(IF(E3956="AE",1,(IF(E3956="CM",2,(IF(E3956="DP",3,(IF(E3956="AN",1,(IF(E3956="CO",2,(IF(E3956="IM",3,(IF(E3956="MI",4,(IF(E3956="RP",5,(IF(E3956="SC",6,0)))))))))))))))))))))))))))))))))))))))</f>
        <v>3</v>
      </c>
      <c r="G3956" s="98">
        <v>1</v>
      </c>
      <c r="H3956" s="90" t="s">
        <v>115</v>
      </c>
      <c r="I3956" s="93" t="s">
        <v>52</v>
      </c>
      <c r="J3956" s="88" t="s">
        <v>3446</v>
      </c>
      <c r="K3956" s="103" t="s">
        <v>3447</v>
      </c>
      <c r="L3956" s="117">
        <f>IF(O3956="","",N3956*O3956*M3956)</f>
        <v>0</v>
      </c>
      <c r="M3956" s="108">
        <v>1</v>
      </c>
      <c r="N3956" s="95">
        <v>1</v>
      </c>
      <c r="O3956" s="109">
        <f>IF(Key!D$1="ON",P3956,IF(SUM(Q3956:DL3956)&lt;1,"",SUM(Q3956:DL3956)/COUNTIF(Q3956:DL3956,"&gt;0")))</f>
        <v>0</v>
      </c>
      <c r="P3956" s="109">
        <f>SUMIFS(Q3956:DK3956,Q$1:DK$1,Dashboard!$K$31)</f>
        <v>0</v>
      </c>
      <c r="U3956" s="95">
        <v>33</v>
      </c>
      <c r="AA3956" s="95">
        <v>25</v>
      </c>
      <c r="AH3956" s="95">
        <v>75</v>
      </c>
    </row>
    <row r="3957" spans="1:34" ht="15.6" x14ac:dyDescent="0.3">
      <c r="A3957" s="89" t="str">
        <f>CONCATENATE(D3957,".",F3957,"-",G3957,".",H3957,"")</f>
        <v>3.3-1.1</v>
      </c>
      <c r="B3957" s="89" t="str">
        <f>IF(CONCATENATE(I3957,Key!F$2)=CONCATENATE(INDEX(Dashboard!J:J,MATCH(I3957,Dashboard!J:J,0),1),INDEX(Dashboard!J:K,MATCH(I3957,Dashboard!J:J,0),2)),"ON",IF(Dashboard!K$32="ALL","ON","-"))</f>
        <v>-</v>
      </c>
      <c r="C3957" s="96" t="s">
        <v>311</v>
      </c>
      <c r="D3957" s="89">
        <f>IF(C3957="ID",1,(IF(C3957="PR",2,(IF(C3957="DE",3,(IF(C3957="RS",4,(IF(C3957="RC",5,0)))))))))</f>
        <v>3</v>
      </c>
      <c r="E3957" s="89" t="s">
        <v>326</v>
      </c>
      <c r="F3957" s="89">
        <f>IF(E3957="AM",1,(IF(E3957="BE",2,(IF(E3957="GV",3,(IF(E3957="RA",4,(IF(E3957="RM",5,(IF(E3957="AC",1,(IF(E3957="AT",2,(IF(E3957="DS",3,(IF(E3957="IP",4,(IF(E3957="MA",5,(IF(E3957="PT",6,(IF(E3957="AE",1,(IF(E3957="CM",2,(IF(E3957="DP",3,(IF(E3957="AN",1,(IF(E3957="CO",2,(IF(E3957="IM",3,(IF(E3957="MI",4,(IF(E3957="RP",5,(IF(E3957="SC",6,0)))))))))))))))))))))))))))))))))))))))</f>
        <v>3</v>
      </c>
      <c r="G3957" s="98">
        <v>1</v>
      </c>
      <c r="H3957" s="90" t="s">
        <v>115</v>
      </c>
      <c r="I3957" s="93" t="s">
        <v>52</v>
      </c>
      <c r="J3957" s="88" t="s">
        <v>3284</v>
      </c>
      <c r="K3957" s="103" t="s">
        <v>3285</v>
      </c>
      <c r="L3957" s="117">
        <f>IF(O3957="","",N3957*O3957*M3957)</f>
        <v>0</v>
      </c>
      <c r="M3957" s="108">
        <v>1</v>
      </c>
      <c r="N3957" s="95">
        <v>1</v>
      </c>
      <c r="O3957" s="109">
        <f>IF(Key!D$1="ON",P3957,IF(SUM(Q3957:DL3957)&lt;1,"",SUM(Q3957:DL3957)/COUNTIF(Q3957:DL3957,"&gt;0")))</f>
        <v>0</v>
      </c>
      <c r="P3957" s="109">
        <f>SUMIFS(Q3957:DK3957,Q$1:DK$1,Dashboard!$K$31)</f>
        <v>0</v>
      </c>
      <c r="U3957" s="95">
        <v>33</v>
      </c>
      <c r="AA3957" s="95">
        <v>25</v>
      </c>
      <c r="AH3957" s="95">
        <v>75</v>
      </c>
    </row>
    <row r="3958" spans="1:34" ht="15.6" x14ac:dyDescent="0.3">
      <c r="A3958" s="89" t="str">
        <f>CONCATENATE(D3958,".",F3958,"-",G3958,".",H3958,"")</f>
        <v>3.3-1.1</v>
      </c>
      <c r="B3958" s="89" t="str">
        <f>IF(CONCATENATE(I3958,Key!F$2)=CONCATENATE(INDEX(Dashboard!J:J,MATCH(I3958,Dashboard!J:J,0),1),INDEX(Dashboard!J:K,MATCH(I3958,Dashboard!J:J,0),2)),"ON",IF(Dashboard!K$32="ALL","ON","-"))</f>
        <v>-</v>
      </c>
      <c r="C3958" s="96" t="s">
        <v>311</v>
      </c>
      <c r="D3958" s="89">
        <f>IF(C3958="ID",1,(IF(C3958="PR",2,(IF(C3958="DE",3,(IF(C3958="RS",4,(IF(C3958="RC",5,0)))))))))</f>
        <v>3</v>
      </c>
      <c r="E3958" s="89" t="s">
        <v>326</v>
      </c>
      <c r="F3958" s="89">
        <f>IF(E3958="AM",1,(IF(E3958="BE",2,(IF(E3958="GV",3,(IF(E3958="RA",4,(IF(E3958="RM",5,(IF(E3958="AC",1,(IF(E3958="AT",2,(IF(E3958="DS",3,(IF(E3958="IP",4,(IF(E3958="MA",5,(IF(E3958="PT",6,(IF(E3958="AE",1,(IF(E3958="CM",2,(IF(E3958="DP",3,(IF(E3958="AN",1,(IF(E3958="CO",2,(IF(E3958="IM",3,(IF(E3958="MI",4,(IF(E3958="RP",5,(IF(E3958="SC",6,0)))))))))))))))))))))))))))))))))))))))</f>
        <v>3</v>
      </c>
      <c r="G3958" s="98">
        <v>1</v>
      </c>
      <c r="H3958" s="90" t="s">
        <v>115</v>
      </c>
      <c r="I3958" s="93" t="s">
        <v>52</v>
      </c>
      <c r="J3958" s="88" t="s">
        <v>3443</v>
      </c>
      <c r="K3958" s="103" t="s">
        <v>3444</v>
      </c>
      <c r="L3958" s="117">
        <f>IF(O3958="","",N3958*O3958*M3958)</f>
        <v>0</v>
      </c>
      <c r="M3958" s="108">
        <v>1</v>
      </c>
      <c r="N3958" s="95">
        <v>1</v>
      </c>
      <c r="O3958" s="109">
        <f>IF(Key!D$1="ON",P3958,IF(SUM(Q3958:DL3958)&lt;1,"",SUM(Q3958:DL3958)/COUNTIF(Q3958:DL3958,"&gt;0")))</f>
        <v>0</v>
      </c>
      <c r="P3958" s="109">
        <f>SUMIFS(Q3958:DK3958,Q$1:DK$1,Dashboard!$K$31)</f>
        <v>0</v>
      </c>
      <c r="U3958" s="95">
        <v>33</v>
      </c>
      <c r="AA3958" s="95">
        <v>25</v>
      </c>
      <c r="AH3958" s="95">
        <v>75</v>
      </c>
    </row>
    <row r="3959" spans="1:34" ht="15.6" x14ac:dyDescent="0.3">
      <c r="A3959" s="89" t="str">
        <f>CONCATENATE(D3959,".",F3959,"-",G3959,".",H3959,"")</f>
        <v>3.3-1.1</v>
      </c>
      <c r="B3959" s="89" t="str">
        <f>IF(CONCATENATE(I3959,Key!F$2)=CONCATENATE(INDEX(Dashboard!J:J,MATCH(I3959,Dashboard!J:J,0),1),INDEX(Dashboard!J:K,MATCH(I3959,Dashboard!J:J,0),2)),"ON",IF(Dashboard!K$32="ALL","ON","-"))</f>
        <v>-</v>
      </c>
      <c r="C3959" s="96" t="s">
        <v>311</v>
      </c>
      <c r="D3959" s="89">
        <f>IF(C3959="ID",1,(IF(C3959="PR",2,(IF(C3959="DE",3,(IF(C3959="RS",4,(IF(C3959="RC",5,0)))))))))</f>
        <v>3</v>
      </c>
      <c r="E3959" s="89" t="s">
        <v>326</v>
      </c>
      <c r="F3959" s="89">
        <f>IF(E3959="AM",1,(IF(E3959="BE",2,(IF(E3959="GV",3,(IF(E3959="RA",4,(IF(E3959="RM",5,(IF(E3959="AC",1,(IF(E3959="AT",2,(IF(E3959="DS",3,(IF(E3959="IP",4,(IF(E3959="MA",5,(IF(E3959="PT",6,(IF(E3959="AE",1,(IF(E3959="CM",2,(IF(E3959="DP",3,(IF(E3959="AN",1,(IF(E3959="CO",2,(IF(E3959="IM",3,(IF(E3959="MI",4,(IF(E3959="RP",5,(IF(E3959="SC",6,0)))))))))))))))))))))))))))))))))))))))</f>
        <v>3</v>
      </c>
      <c r="G3959" s="98">
        <v>1</v>
      </c>
      <c r="H3959" s="90" t="s">
        <v>115</v>
      </c>
      <c r="I3959" s="93" t="s">
        <v>52</v>
      </c>
      <c r="J3959" s="88" t="s">
        <v>3373</v>
      </c>
      <c r="K3959" s="103" t="s">
        <v>3374</v>
      </c>
      <c r="L3959" s="117">
        <f>IF(O3959="","",N3959*O3959*M3959)</f>
        <v>0</v>
      </c>
      <c r="M3959" s="108">
        <v>1</v>
      </c>
      <c r="N3959" s="95">
        <v>1</v>
      </c>
      <c r="O3959" s="109">
        <f>IF(Key!D$1="ON",P3959,IF(SUM(Q3959:DL3959)&lt;1,"",SUM(Q3959:DL3959)/COUNTIF(Q3959:DL3959,"&gt;0")))</f>
        <v>0</v>
      </c>
      <c r="P3959" s="109">
        <f>SUMIFS(Q3959:DK3959,Q$1:DK$1,Dashboard!$K$31)</f>
        <v>0</v>
      </c>
      <c r="U3959" s="95">
        <v>33</v>
      </c>
      <c r="AA3959" s="95">
        <v>25</v>
      </c>
      <c r="AH3959" s="95">
        <v>75</v>
      </c>
    </row>
    <row r="3960" spans="1:34" ht="15.6" x14ac:dyDescent="0.3">
      <c r="A3960" s="89" t="str">
        <f>CONCATENATE(D3960,".",F3960,"-",G3960,".",H3960,"")</f>
        <v>3.3-1.1</v>
      </c>
      <c r="B3960" s="89" t="str">
        <f>IF(CONCATENATE(I3960,Key!F$2)=CONCATENATE(INDEX(Dashboard!J:J,MATCH(I3960,Dashboard!J:J,0),1),INDEX(Dashboard!J:K,MATCH(I3960,Dashboard!J:J,0),2)),"ON",IF(Dashboard!K$32="ALL","ON","-"))</f>
        <v>-</v>
      </c>
      <c r="C3960" s="88" t="s">
        <v>311</v>
      </c>
      <c r="D3960" s="89">
        <f>IF(C3960="ID",1,(IF(C3960="PR",2,(IF(C3960="DE",3,(IF(C3960="RS",4,(IF(C3960="RC",5,0)))))))))</f>
        <v>3</v>
      </c>
      <c r="E3960" s="89" t="s">
        <v>326</v>
      </c>
      <c r="F3960" s="89">
        <f>IF(E3960="AM",1,(IF(E3960="BE",2,(IF(E3960="GV",3,(IF(E3960="RA",4,(IF(E3960="RM",5,(IF(E3960="AC",1,(IF(E3960="AT",2,(IF(E3960="DS",3,(IF(E3960="IP",4,(IF(E3960="MA",5,(IF(E3960="PT",6,(IF(E3960="AE",1,(IF(E3960="CM",2,(IF(E3960="DP",3,(IF(E3960="AN",1,(IF(E3960="CO",2,(IF(E3960="IM",3,(IF(E3960="MI",4,(IF(E3960="RP",5,(IF(E3960="SC",6,0)))))))))))))))))))))))))))))))))))))))</f>
        <v>3</v>
      </c>
      <c r="G3960" s="52">
        <v>1</v>
      </c>
      <c r="H3960" s="89">
        <v>1</v>
      </c>
      <c r="I3960" s="93" t="s">
        <v>60</v>
      </c>
      <c r="J3960" s="88" t="s">
        <v>3199</v>
      </c>
      <c r="K3960" s="51" t="s">
        <v>5312</v>
      </c>
      <c r="L3960" s="117">
        <f>IF(O3960="","",N3960*O3960*M3960)</f>
        <v>0</v>
      </c>
      <c r="M3960" s="108">
        <v>1</v>
      </c>
      <c r="N3960" s="95">
        <v>1</v>
      </c>
      <c r="O3960" s="109">
        <f>IF(Key!D$1="ON",P3960,IF(SUM(Q3960:DL3960)&lt;1,"",SUM(Q3960:DL3960)/COUNTIF(Q3960:DL3960,"&gt;0")))</f>
        <v>0</v>
      </c>
      <c r="P3960" s="109">
        <f>SUMIFS(Q3960:DK3960,Q$1:DK$1,Dashboard!$K$31)</f>
        <v>0</v>
      </c>
      <c r="U3960" s="95">
        <v>33</v>
      </c>
      <c r="AA3960" s="95">
        <v>25</v>
      </c>
      <c r="AH3960" s="95">
        <v>75</v>
      </c>
    </row>
    <row r="3961" spans="1:34" ht="15.6" x14ac:dyDescent="0.3">
      <c r="A3961" s="89" t="str">
        <f>CONCATENATE(D3961,".",F3961,"-",G3961,".",H3961,"")</f>
        <v>3.3-1.1</v>
      </c>
      <c r="B3961" s="89" t="str">
        <f>IF(CONCATENATE(I3961,Key!F$2)=CONCATENATE(INDEX(Dashboard!J:J,MATCH(I3961,Dashboard!J:J,0),1),INDEX(Dashboard!J:K,MATCH(I3961,Dashboard!J:J,0),2)),"ON",IF(Dashboard!K$32="ALL","ON","-"))</f>
        <v>-</v>
      </c>
      <c r="C3961" s="88" t="s">
        <v>311</v>
      </c>
      <c r="D3961" s="89">
        <f>IF(C3961="ID",1,(IF(C3961="PR",2,(IF(C3961="DE",3,(IF(C3961="RS",4,(IF(C3961="RC",5,0)))))))))</f>
        <v>3</v>
      </c>
      <c r="E3961" s="89" t="s">
        <v>326</v>
      </c>
      <c r="F3961" s="89">
        <f>IF(E3961="AM",1,(IF(E3961="BE",2,(IF(E3961="GV",3,(IF(E3961="RA",4,(IF(E3961="RM",5,(IF(E3961="AC",1,(IF(E3961="AT",2,(IF(E3961="DS",3,(IF(E3961="IP",4,(IF(E3961="MA",5,(IF(E3961="PT",6,(IF(E3961="AE",1,(IF(E3961="CM",2,(IF(E3961="DP",3,(IF(E3961="AN",1,(IF(E3961="CO",2,(IF(E3961="IM",3,(IF(E3961="MI",4,(IF(E3961="RP",5,(IF(E3961="SC",6,0)))))))))))))))))))))))))))))))))))))))</f>
        <v>3</v>
      </c>
      <c r="G3961" s="98">
        <v>1</v>
      </c>
      <c r="H3961" s="90" t="s">
        <v>115</v>
      </c>
      <c r="I3961" s="93" t="s">
        <v>60</v>
      </c>
      <c r="J3961" s="87" t="s">
        <v>3273</v>
      </c>
      <c r="K3961" s="51" t="s">
        <v>5386</v>
      </c>
      <c r="L3961" s="117">
        <f>IF(O3961="","",N3961*O3961*M3961)</f>
        <v>0</v>
      </c>
      <c r="M3961" s="108">
        <v>1</v>
      </c>
      <c r="N3961" s="95">
        <v>1</v>
      </c>
      <c r="O3961" s="109">
        <f>IF(Key!D$1="ON",P3961,IF(SUM(Q3961:DL3961)&lt;1,"",SUM(Q3961:DL3961)/COUNTIF(Q3961:DL3961,"&gt;0")))</f>
        <v>0</v>
      </c>
      <c r="P3961" s="109">
        <f>SUMIFS(Q3961:DK3961,Q$1:DK$1,Dashboard!$K$31)</f>
        <v>0</v>
      </c>
      <c r="U3961" s="95">
        <v>33</v>
      </c>
      <c r="AA3961" s="95">
        <v>25</v>
      </c>
      <c r="AH3961" s="95">
        <v>75</v>
      </c>
    </row>
    <row r="3962" spans="1:34" ht="15.6" x14ac:dyDescent="0.3">
      <c r="A3962" s="89" t="str">
        <f>CONCATENATE(D3962,".",F3962,"-",G3962,".",H3962,"")</f>
        <v>3.3-1.1</v>
      </c>
      <c r="B3962" s="89" t="str">
        <f>IF(CONCATENATE(I3962,Key!F$2)=CONCATENATE(INDEX(Dashboard!J:J,MATCH(I3962,Dashboard!J:J,0),1),INDEX(Dashboard!J:K,MATCH(I3962,Dashboard!J:J,0),2)),"ON",IF(Dashboard!K$32="ALL","ON","-"))</f>
        <v>-</v>
      </c>
      <c r="C3962" s="88" t="s">
        <v>311</v>
      </c>
      <c r="D3962" s="89">
        <f>IF(C3962="ID",1,(IF(C3962="PR",2,(IF(C3962="DE",3,(IF(C3962="RS",4,(IF(C3962="RC",5,0)))))))))</f>
        <v>3</v>
      </c>
      <c r="E3962" s="89" t="s">
        <v>326</v>
      </c>
      <c r="F3962" s="89">
        <f>IF(E3962="AM",1,(IF(E3962="BE",2,(IF(E3962="GV",3,(IF(E3962="RA",4,(IF(E3962="RM",5,(IF(E3962="AC",1,(IF(E3962="AT",2,(IF(E3962="DS",3,(IF(E3962="IP",4,(IF(E3962="MA",5,(IF(E3962="PT",6,(IF(E3962="AE",1,(IF(E3962="CM",2,(IF(E3962="DP",3,(IF(E3962="AN",1,(IF(E3962="CO",2,(IF(E3962="IM",3,(IF(E3962="MI",4,(IF(E3962="RP",5,(IF(E3962="SC",6,0)))))))))))))))))))))))))))))))))))))))</f>
        <v>3</v>
      </c>
      <c r="G3962" s="52">
        <v>1</v>
      </c>
      <c r="H3962" s="90" t="s">
        <v>115</v>
      </c>
      <c r="I3962" s="93" t="s">
        <v>60</v>
      </c>
      <c r="J3962" s="87" t="s">
        <v>3157</v>
      </c>
      <c r="K3962" s="51" t="s">
        <v>5270</v>
      </c>
      <c r="L3962" s="117">
        <f>IF(O3962="","",N3962*O3962*M3962)</f>
        <v>0</v>
      </c>
      <c r="M3962" s="108">
        <v>1</v>
      </c>
      <c r="N3962" s="95">
        <v>1</v>
      </c>
      <c r="O3962" s="109">
        <f>IF(Key!D$1="ON",P3962,IF(SUM(Q3962:DL3962)&lt;1,"",SUM(Q3962:DL3962)/COUNTIF(Q3962:DL3962,"&gt;0")))</f>
        <v>0</v>
      </c>
      <c r="P3962" s="109">
        <f>SUMIFS(Q3962:DK3962,Q$1:DK$1,Dashboard!$K$31)</f>
        <v>0</v>
      </c>
      <c r="U3962" s="95">
        <v>33</v>
      </c>
      <c r="AA3962" s="95">
        <v>25</v>
      </c>
      <c r="AH3962" s="95">
        <v>75</v>
      </c>
    </row>
    <row r="3963" spans="1:34" ht="15.6" x14ac:dyDescent="0.3">
      <c r="A3963" s="89" t="str">
        <f>CONCATENATE(D3963,".",F3963,"-",G3963,".",H3963,"")</f>
        <v>3.3-1.1</v>
      </c>
      <c r="B3963" s="89" t="str">
        <f>IF(CONCATENATE(I3963,Key!F$2)=CONCATENATE(INDEX(Dashboard!J:J,MATCH(I3963,Dashboard!J:J,0),1),INDEX(Dashboard!J:K,MATCH(I3963,Dashboard!J:J,0),2)),"ON",IF(Dashboard!K$32="ALL","ON","-"))</f>
        <v>-</v>
      </c>
      <c r="C3963" s="88" t="s">
        <v>311</v>
      </c>
      <c r="D3963" s="89">
        <f>IF(C3963="ID",1,(IF(C3963="PR",2,(IF(C3963="DE",3,(IF(C3963="RS",4,(IF(C3963="RC",5,0)))))))))</f>
        <v>3</v>
      </c>
      <c r="E3963" s="89" t="s">
        <v>326</v>
      </c>
      <c r="F3963" s="89">
        <f>IF(E3963="AM",1,(IF(E3963="BE",2,(IF(E3963="GV",3,(IF(E3963="RA",4,(IF(E3963="RM",5,(IF(E3963="AC",1,(IF(E3963="AT",2,(IF(E3963="DS",3,(IF(E3963="IP",4,(IF(E3963="MA",5,(IF(E3963="PT",6,(IF(E3963="AE",1,(IF(E3963="CM",2,(IF(E3963="DP",3,(IF(E3963="AN",1,(IF(E3963="CO",2,(IF(E3963="IM",3,(IF(E3963="MI",4,(IF(E3963="RP",5,(IF(E3963="SC",6,0)))))))))))))))))))))))))))))))))))))))</f>
        <v>3</v>
      </c>
      <c r="G3963" s="52">
        <v>1</v>
      </c>
      <c r="H3963" s="89">
        <v>1</v>
      </c>
      <c r="I3963" s="93" t="s">
        <v>60</v>
      </c>
      <c r="J3963" s="88" t="s">
        <v>3158</v>
      </c>
      <c r="K3963" s="51" t="s">
        <v>5271</v>
      </c>
      <c r="L3963" s="117">
        <f>IF(O3963="","",N3963*O3963*M3963)</f>
        <v>0</v>
      </c>
      <c r="M3963" s="108">
        <v>1</v>
      </c>
      <c r="N3963" s="95">
        <v>1</v>
      </c>
      <c r="O3963" s="109">
        <f>IF(Key!D$1="ON",P3963,IF(SUM(Q3963:DL3963)&lt;1,"",SUM(Q3963:DL3963)/COUNTIF(Q3963:DL3963,"&gt;0")))</f>
        <v>0</v>
      </c>
      <c r="P3963" s="109">
        <f>SUMIFS(Q3963:DK3963,Q$1:DK$1,Dashboard!$K$31)</f>
        <v>0</v>
      </c>
      <c r="U3963" s="95">
        <v>33</v>
      </c>
      <c r="AA3963" s="95">
        <v>25</v>
      </c>
      <c r="AH3963" s="95">
        <v>75</v>
      </c>
    </row>
    <row r="3964" spans="1:34" ht="15.6" x14ac:dyDescent="0.3">
      <c r="A3964" s="89" t="str">
        <f>CONCATENATE(D3964,".",F3964,"-",G3964,".",H3964,"")</f>
        <v>3.3-1.1</v>
      </c>
      <c r="B3964" s="89" t="str">
        <f>IF(CONCATENATE(I3964,Key!F$2)=CONCATENATE(INDEX(Dashboard!J:J,MATCH(I3964,Dashboard!J:J,0),1),INDEX(Dashboard!J:K,MATCH(I3964,Dashboard!J:J,0),2)),"ON",IF(Dashboard!K$32="ALL","ON","-"))</f>
        <v>-</v>
      </c>
      <c r="C3964" s="88" t="s">
        <v>311</v>
      </c>
      <c r="D3964" s="89">
        <f>IF(C3964="ID",1,(IF(C3964="PR",2,(IF(C3964="DE",3,(IF(C3964="RS",4,(IF(C3964="RC",5,0)))))))))</f>
        <v>3</v>
      </c>
      <c r="E3964" s="89" t="s">
        <v>326</v>
      </c>
      <c r="F3964" s="89">
        <f>IF(E3964="AM",1,(IF(E3964="BE",2,(IF(E3964="GV",3,(IF(E3964="RA",4,(IF(E3964="RM",5,(IF(E3964="AC",1,(IF(E3964="AT",2,(IF(E3964="DS",3,(IF(E3964="IP",4,(IF(E3964="MA",5,(IF(E3964="PT",6,(IF(E3964="AE",1,(IF(E3964="CM",2,(IF(E3964="DP",3,(IF(E3964="AN",1,(IF(E3964="CO",2,(IF(E3964="IM",3,(IF(E3964="MI",4,(IF(E3964="RP",5,(IF(E3964="SC",6,0)))))))))))))))))))))))))))))))))))))))</f>
        <v>3</v>
      </c>
      <c r="G3964" s="52">
        <v>1</v>
      </c>
      <c r="H3964" s="89">
        <v>1</v>
      </c>
      <c r="I3964" s="93" t="s">
        <v>60</v>
      </c>
      <c r="J3964" s="88" t="s">
        <v>3132</v>
      </c>
      <c r="K3964" s="51" t="s">
        <v>5245</v>
      </c>
      <c r="L3964" s="117">
        <f>IF(O3964="","",N3964*O3964*M3964)</f>
        <v>0</v>
      </c>
      <c r="M3964" s="108">
        <v>1</v>
      </c>
      <c r="N3964" s="95">
        <v>1</v>
      </c>
      <c r="O3964" s="109">
        <f>IF(Key!D$1="ON",P3964,IF(SUM(Q3964:DL3964)&lt;1,"",SUM(Q3964:DL3964)/COUNTIF(Q3964:DL3964,"&gt;0")))</f>
        <v>0</v>
      </c>
      <c r="P3964" s="109">
        <f>SUMIFS(Q3964:DK3964,Q$1:DK$1,Dashboard!$K$31)</f>
        <v>0</v>
      </c>
      <c r="U3964" s="95">
        <v>33</v>
      </c>
      <c r="AA3964" s="95">
        <v>25</v>
      </c>
      <c r="AH3964" s="95">
        <v>75</v>
      </c>
    </row>
    <row r="3965" spans="1:34" ht="15.6" x14ac:dyDescent="0.3">
      <c r="A3965" s="89" t="str">
        <f>CONCATENATE(D3965,".",F3965,"-",G3965,".",H3965,"")</f>
        <v>3.3-1.1</v>
      </c>
      <c r="B3965" s="89" t="str">
        <f>IF(CONCATENATE(I3965,Key!F$2)=CONCATENATE(INDEX(Dashboard!J:J,MATCH(I3965,Dashboard!J:J,0),1),INDEX(Dashboard!J:K,MATCH(I3965,Dashboard!J:J,0),2)),"ON",IF(Dashboard!K$32="ALL","ON","-"))</f>
        <v>-</v>
      </c>
      <c r="C3965" s="88" t="s">
        <v>311</v>
      </c>
      <c r="D3965" s="89">
        <f>IF(C3965="ID",1,(IF(C3965="PR",2,(IF(C3965="DE",3,(IF(C3965="RS",4,(IF(C3965="RC",5,0)))))))))</f>
        <v>3</v>
      </c>
      <c r="E3965" s="89" t="s">
        <v>326</v>
      </c>
      <c r="F3965" s="89">
        <f>IF(E3965="AM",1,(IF(E3965="BE",2,(IF(E3965="GV",3,(IF(E3965="RA",4,(IF(E3965="RM",5,(IF(E3965="AC",1,(IF(E3965="AT",2,(IF(E3965="DS",3,(IF(E3965="IP",4,(IF(E3965="MA",5,(IF(E3965="PT",6,(IF(E3965="AE",1,(IF(E3965="CM",2,(IF(E3965="DP",3,(IF(E3965="AN",1,(IF(E3965="CO",2,(IF(E3965="IM",3,(IF(E3965="MI",4,(IF(E3965="RP",5,(IF(E3965="SC",6,0)))))))))))))))))))))))))))))))))))))))</f>
        <v>3</v>
      </c>
      <c r="G3965" s="52">
        <v>1</v>
      </c>
      <c r="H3965" s="90" t="s">
        <v>115</v>
      </c>
      <c r="I3965" s="93" t="s">
        <v>60</v>
      </c>
      <c r="J3965" s="87" t="s">
        <v>3128</v>
      </c>
      <c r="K3965" s="51" t="s">
        <v>5241</v>
      </c>
      <c r="L3965" s="117">
        <f>IF(O3965="","",N3965*O3965*M3965)</f>
        <v>0</v>
      </c>
      <c r="M3965" s="108">
        <v>1</v>
      </c>
      <c r="N3965" s="95">
        <v>1</v>
      </c>
      <c r="O3965" s="109">
        <f>IF(Key!D$1="ON",P3965,IF(SUM(Q3965:DL3965)&lt;1,"",SUM(Q3965:DL3965)/COUNTIF(Q3965:DL3965,"&gt;0")))</f>
        <v>0</v>
      </c>
      <c r="P3965" s="109">
        <f>SUMIFS(Q3965:DK3965,Q$1:DK$1,Dashboard!$K$31)</f>
        <v>0</v>
      </c>
      <c r="U3965" s="95">
        <v>33</v>
      </c>
      <c r="AA3965" s="95">
        <v>25</v>
      </c>
      <c r="AH3965" s="95">
        <v>75</v>
      </c>
    </row>
    <row r="3966" spans="1:34" ht="15.6" x14ac:dyDescent="0.3">
      <c r="A3966" s="89" t="str">
        <f>CONCATENATE(D3966,".",F3966,"-",G3966,".",H3966,"")</f>
        <v>3.3-1.1</v>
      </c>
      <c r="B3966" s="89" t="str">
        <f>IF(CONCATENATE(I3966,Key!F$2)=CONCATENATE(INDEX(Dashboard!J:J,MATCH(I3966,Dashboard!J:J,0),1),INDEX(Dashboard!J:K,MATCH(I3966,Dashboard!J:J,0),2)),"ON",IF(Dashboard!K$32="ALL","ON","-"))</f>
        <v>-</v>
      </c>
      <c r="C3966" s="88" t="s">
        <v>311</v>
      </c>
      <c r="D3966" s="89">
        <f>IF(C3966="ID",1,(IF(C3966="PR",2,(IF(C3966="DE",3,(IF(C3966="RS",4,(IF(C3966="RC",5,0)))))))))</f>
        <v>3</v>
      </c>
      <c r="E3966" s="89" t="s">
        <v>326</v>
      </c>
      <c r="F3966" s="89">
        <f>IF(E3966="AM",1,(IF(E3966="BE",2,(IF(E3966="GV",3,(IF(E3966="RA",4,(IF(E3966="RM",5,(IF(E3966="AC",1,(IF(E3966="AT",2,(IF(E3966="DS",3,(IF(E3966="IP",4,(IF(E3966="MA",5,(IF(E3966="PT",6,(IF(E3966="AE",1,(IF(E3966="CM",2,(IF(E3966="DP",3,(IF(E3966="AN",1,(IF(E3966="CO",2,(IF(E3966="IM",3,(IF(E3966="MI",4,(IF(E3966="RP",5,(IF(E3966="SC",6,0)))))))))))))))))))))))))))))))))))))))</f>
        <v>3</v>
      </c>
      <c r="G3966" s="52">
        <v>1</v>
      </c>
      <c r="H3966" s="90" t="s">
        <v>115</v>
      </c>
      <c r="I3966" s="93" t="s">
        <v>77</v>
      </c>
      <c r="J3966" s="87" t="s">
        <v>1248</v>
      </c>
      <c r="K3966" s="103" t="s">
        <v>2266</v>
      </c>
      <c r="L3966" s="117">
        <f>IF(O3966="","",N3966*O3966*M3966)</f>
        <v>0</v>
      </c>
      <c r="M3966" s="108">
        <v>1</v>
      </c>
      <c r="N3966" s="95">
        <v>1</v>
      </c>
      <c r="O3966" s="109">
        <f>IF(Key!D$1="ON",P3966,IF(SUM(Q3966:DL3966)&lt;1,"",SUM(Q3966:DL3966)/COUNTIF(Q3966:DL3966,"&gt;0")))</f>
        <v>0</v>
      </c>
      <c r="P3966" s="109">
        <f>SUMIFS(Q3966:DK3966,Q$1:DK$1,Dashboard!$K$31)</f>
        <v>0</v>
      </c>
      <c r="U3966" s="95">
        <v>33</v>
      </c>
      <c r="AA3966" s="95">
        <v>25</v>
      </c>
      <c r="AH3966" s="95">
        <v>75</v>
      </c>
    </row>
    <row r="3967" spans="1:34" ht="15.6" x14ac:dyDescent="0.3">
      <c r="A3967" s="89" t="str">
        <f>CONCATENATE(D3967,".",F3967,"-",G3967,".",H3967,"")</f>
        <v>3.3-1.1</v>
      </c>
      <c r="B3967" s="89" t="str">
        <f>IF(CONCATENATE(I3967,Key!F$2)=CONCATENATE(INDEX(Dashboard!J:J,MATCH(I3967,Dashboard!J:J,0),1),INDEX(Dashboard!J:K,MATCH(I3967,Dashboard!J:J,0),2)),"ON",IF(Dashboard!K$32="ALL","ON","-"))</f>
        <v>-</v>
      </c>
      <c r="C3967" s="88" t="s">
        <v>311</v>
      </c>
      <c r="D3967" s="89">
        <f>IF(C3967="ID",1,(IF(C3967="PR",2,(IF(C3967="DE",3,(IF(C3967="RS",4,(IF(C3967="RC",5,0)))))))))</f>
        <v>3</v>
      </c>
      <c r="E3967" s="89" t="s">
        <v>326</v>
      </c>
      <c r="F3967" s="89">
        <f>IF(E3967="AM",1,(IF(E3967="BE",2,(IF(E3967="GV",3,(IF(E3967="RA",4,(IF(E3967="RM",5,(IF(E3967="AC",1,(IF(E3967="AT",2,(IF(E3967="DS",3,(IF(E3967="IP",4,(IF(E3967="MA",5,(IF(E3967="PT",6,(IF(E3967="AE",1,(IF(E3967="CM",2,(IF(E3967="DP",3,(IF(E3967="AN",1,(IF(E3967="CO",2,(IF(E3967="IM",3,(IF(E3967="MI",4,(IF(E3967="RP",5,(IF(E3967="SC",6,0)))))))))))))))))))))))))))))))))))))))</f>
        <v>3</v>
      </c>
      <c r="G3967" s="52">
        <v>1</v>
      </c>
      <c r="H3967" s="90" t="s">
        <v>115</v>
      </c>
      <c r="I3967" s="93" t="s">
        <v>85</v>
      </c>
      <c r="J3967" s="87" t="s">
        <v>1248</v>
      </c>
      <c r="K3967" s="119" t="s">
        <v>4637</v>
      </c>
      <c r="L3967" s="117">
        <f>IF(O3967="","",N3967*O3967*M3967)</f>
        <v>0</v>
      </c>
      <c r="M3967" s="108">
        <v>1</v>
      </c>
      <c r="N3967" s="95">
        <v>1</v>
      </c>
      <c r="O3967" s="109">
        <f>IF(Key!D$1="ON",P3967,IF(SUM(Q3967:DL3967)&lt;1,"",SUM(Q3967:DL3967)/COUNTIF(Q3967:DL3967,"&gt;0")))</f>
        <v>0</v>
      </c>
      <c r="P3967" s="109">
        <f>SUMIFS(Q3967:DK3967,Q$1:DK$1,Dashboard!$K$31)</f>
        <v>0</v>
      </c>
      <c r="U3967" s="95">
        <v>33</v>
      </c>
      <c r="AA3967" s="95">
        <v>25</v>
      </c>
      <c r="AH3967" s="95">
        <v>75</v>
      </c>
    </row>
    <row r="3968" spans="1:34" ht="15.6" x14ac:dyDescent="0.3">
      <c r="A3968" s="89" t="str">
        <f>CONCATENATE(D3968,".",F3968,"-",G3968,".",H3968,"")</f>
        <v>3.3-1.1</v>
      </c>
      <c r="B3968" s="89" t="str">
        <f>IF(CONCATENATE(I3968,Key!F$2)=CONCATENATE(INDEX(Dashboard!J:J,MATCH(I3968,Dashboard!J:J,0),1),INDEX(Dashboard!J:K,MATCH(I3968,Dashboard!J:J,0),2)),"ON",IF(Dashboard!K$32="ALL","ON","-"))</f>
        <v>-</v>
      </c>
      <c r="C3968" s="96" t="s">
        <v>311</v>
      </c>
      <c r="D3968" s="89">
        <f>IF(C3968="ID",1,(IF(C3968="PR",2,(IF(C3968="DE",3,(IF(C3968="RS",4,(IF(C3968="RC",5,0)))))))))</f>
        <v>3</v>
      </c>
      <c r="E3968" s="89" t="s">
        <v>326</v>
      </c>
      <c r="F3968" s="89">
        <f>IF(E3968="AM",1,(IF(E3968="BE",2,(IF(E3968="GV",3,(IF(E3968="RA",4,(IF(E3968="RM",5,(IF(E3968="AC",1,(IF(E3968="AT",2,(IF(E3968="DS",3,(IF(E3968="IP",4,(IF(E3968="MA",5,(IF(E3968="PT",6,(IF(E3968="AE",1,(IF(E3968="CM",2,(IF(E3968="DP",3,(IF(E3968="AN",1,(IF(E3968="CO",2,(IF(E3968="IM",3,(IF(E3968="MI",4,(IF(E3968="RP",5,(IF(E3968="SC",6,0)))))))))))))))))))))))))))))))))))))))</f>
        <v>3</v>
      </c>
      <c r="G3968" s="98">
        <v>1</v>
      </c>
      <c r="H3968" s="90" t="s">
        <v>115</v>
      </c>
      <c r="I3968" s="93" t="s">
        <v>92</v>
      </c>
      <c r="J3968" s="88">
        <v>12.11</v>
      </c>
      <c r="K3968" s="102" t="s">
        <v>5226</v>
      </c>
      <c r="L3968" s="117">
        <f>IF(O3968="","",N3968*O3968*M3968)</f>
        <v>0</v>
      </c>
      <c r="M3968" s="108">
        <v>1</v>
      </c>
      <c r="N3968" s="95">
        <v>1</v>
      </c>
      <c r="O3968" s="109">
        <f>IF(Key!D$1="ON",P3968,IF(SUM(Q3968:DL3968)&lt;1,"",SUM(Q3968:DL3968)/COUNTIF(Q3968:DL3968,"&gt;0")))</f>
        <v>0</v>
      </c>
      <c r="P3968" s="109">
        <f>SUMIFS(Q3968:DK3968,Q$1:DK$1,Dashboard!$K$31)</f>
        <v>0</v>
      </c>
      <c r="U3968" s="95">
        <v>33</v>
      </c>
      <c r="AA3968" s="95">
        <v>25</v>
      </c>
      <c r="AH3968" s="95">
        <v>75</v>
      </c>
    </row>
    <row r="3969" spans="1:34" ht="15.6" x14ac:dyDescent="0.3">
      <c r="A3969" s="89" t="str">
        <f>CONCATENATE(D3969,".",F3969,"-",G3969,".",H3969,"")</f>
        <v>3.3-1.1</v>
      </c>
      <c r="B3969" s="89" t="str">
        <f>IF(CONCATENATE(I3969,Key!F$2)=CONCATENATE(INDEX(Dashboard!J:J,MATCH(I3969,Dashboard!J:J,0),1),INDEX(Dashboard!J:K,MATCH(I3969,Dashboard!J:J,0),2)),"ON",IF(Dashboard!K$32="ALL","ON","-"))</f>
        <v>-</v>
      </c>
      <c r="C3969" s="96" t="s">
        <v>311</v>
      </c>
      <c r="D3969" s="89">
        <f>IF(C3969="ID",1,(IF(C3969="PR",2,(IF(C3969="DE",3,(IF(C3969="RS",4,(IF(C3969="RC",5,0)))))))))</f>
        <v>3</v>
      </c>
      <c r="E3969" s="89" t="s">
        <v>326</v>
      </c>
      <c r="F3969" s="89">
        <f>IF(E3969="AM",1,(IF(E3969="BE",2,(IF(E3969="GV",3,(IF(E3969="RA",4,(IF(E3969="RM",5,(IF(E3969="AC",1,(IF(E3969="AT",2,(IF(E3969="DS",3,(IF(E3969="IP",4,(IF(E3969="MA",5,(IF(E3969="PT",6,(IF(E3969="AE",1,(IF(E3969="CM",2,(IF(E3969="DP",3,(IF(E3969="AN",1,(IF(E3969="CO",2,(IF(E3969="IM",3,(IF(E3969="MI",4,(IF(E3969="RP",5,(IF(E3969="SC",6,0)))))))))))))))))))))))))))))))))))))))</f>
        <v>3</v>
      </c>
      <c r="G3969" s="98">
        <v>1</v>
      </c>
      <c r="H3969" s="90" t="s">
        <v>115</v>
      </c>
      <c r="I3969" s="93" t="s">
        <v>92</v>
      </c>
      <c r="J3969" s="87" t="s">
        <v>317</v>
      </c>
      <c r="K3969" s="102" t="s">
        <v>5226</v>
      </c>
      <c r="L3969" s="117">
        <f>IF(O3969="","",N3969*O3969*M3969)</f>
        <v>0</v>
      </c>
      <c r="M3969" s="108">
        <v>1</v>
      </c>
      <c r="N3969" s="95">
        <v>1</v>
      </c>
      <c r="O3969" s="109">
        <f>IF(Key!D$1="ON",P3969,IF(SUM(Q3969:DL3969)&lt;1,"",SUM(Q3969:DL3969)/COUNTIF(Q3969:DL3969,"&gt;0")))</f>
        <v>0</v>
      </c>
      <c r="P3969" s="109">
        <f>SUMIFS(Q3969:DK3969,Q$1:DK$1,Dashboard!$K$31)</f>
        <v>0</v>
      </c>
      <c r="U3969" s="95">
        <v>33</v>
      </c>
      <c r="AA3969" s="95">
        <v>25</v>
      </c>
      <c r="AH3969" s="95">
        <v>75</v>
      </c>
    </row>
    <row r="3970" spans="1:34" ht="15.6" x14ac:dyDescent="0.3">
      <c r="A3970" s="89" t="str">
        <f>CONCATENATE(D3970,".",F3970,"-",G3970,".",H3970,"")</f>
        <v>3.3-2.0</v>
      </c>
      <c r="B3970" s="89" t="str">
        <f>IF(CONCATENATE(I3970,Key!F$2)=CONCATENATE(INDEX(Dashboard!J:J,MATCH(I3970,Dashboard!J:J,0),1),INDEX(Dashboard!J:K,MATCH(I3970,Dashboard!J:J,0),2)),"ON",IF(Dashboard!K$32="ALL","ON","-"))</f>
        <v>-</v>
      </c>
      <c r="C3970" s="96" t="s">
        <v>311</v>
      </c>
      <c r="D3970" s="89">
        <f>IF(C3970="ID",1,(IF(C3970="PR",2,(IF(C3970="DE",3,(IF(C3970="RS",4,(IF(C3970="RC",5,0)))))))))</f>
        <v>3</v>
      </c>
      <c r="E3970" s="89" t="s">
        <v>326</v>
      </c>
      <c r="F3970" s="89">
        <f>IF(E3970="AM",1,(IF(E3970="BE",2,(IF(E3970="GV",3,(IF(E3970="RA",4,(IF(E3970="RM",5,(IF(E3970="AC",1,(IF(E3970="AT",2,(IF(E3970="DS",3,(IF(E3970="IP",4,(IF(E3970="MA",5,(IF(E3970="PT",6,(IF(E3970="AE",1,(IF(E3970="CM",2,(IF(E3970="DP",3,(IF(E3970="AN",1,(IF(E3970="CO",2,(IF(E3970="IM",3,(IF(E3970="MI",4,(IF(E3970="RP",5,(IF(E3970="SC",6,0)))))))))))))))))))))))))))))))))))))))</f>
        <v>3</v>
      </c>
      <c r="G3970" s="52">
        <v>2</v>
      </c>
      <c r="H3970" s="90" t="s">
        <v>347</v>
      </c>
      <c r="I3970" s="93" t="s">
        <v>2835</v>
      </c>
      <c r="J3970" s="53" t="s">
        <v>3043</v>
      </c>
      <c r="K3970" s="58" t="s">
        <v>3044</v>
      </c>
      <c r="L3970" s="117">
        <f>IF(O3970="","",N3970*O3970*M3970)</f>
        <v>0</v>
      </c>
      <c r="M3970" s="108">
        <v>1</v>
      </c>
      <c r="N3970" s="95">
        <v>1</v>
      </c>
      <c r="O3970" s="109">
        <f>IF(Key!D$1="ON",P3970,IF(SUM(Q3970:DL3970)&lt;1,"",SUM(Q3970:DL3970)/COUNTIF(Q3970:DL3970,"&gt;0")))</f>
        <v>0</v>
      </c>
      <c r="P3970" s="109">
        <f>SUMIFS(Q3970:DK3970,Q$1:DK$1,Dashboard!$K$31)</f>
        <v>0</v>
      </c>
      <c r="U3970" s="95">
        <v>33</v>
      </c>
    </row>
    <row r="3971" spans="1:34" ht="15.6" x14ac:dyDescent="0.3">
      <c r="A3971" s="89" t="str">
        <f>CONCATENATE(D3971,".",F3971,"-",G3971,".",H3971,"")</f>
        <v>3.3-2.1</v>
      </c>
      <c r="B3971" s="89" t="str">
        <f>IF(CONCATENATE(I3971,Key!F$2)=CONCATENATE(INDEX(Dashboard!J:J,MATCH(I3971,Dashboard!J:J,0),1),INDEX(Dashboard!J:K,MATCH(I3971,Dashboard!J:J,0),2)),"ON",IF(Dashboard!K$32="ALL","ON","-"))</f>
        <v>ON</v>
      </c>
      <c r="C3971" s="96" t="s">
        <v>311</v>
      </c>
      <c r="D3971" s="89">
        <f>IF(C3971="ID",1,(IF(C3971="PR",2,(IF(C3971="DE",3,(IF(C3971="RS",4,(IF(C3971="RC",5,0)))))))))</f>
        <v>3</v>
      </c>
      <c r="E3971" s="89" t="s">
        <v>326</v>
      </c>
      <c r="F3971" s="89">
        <f>IF(E3971="AM",1,(IF(E3971="BE",2,(IF(E3971="GV",3,(IF(E3971="RA",4,(IF(E3971="RM",5,(IF(E3971="AC",1,(IF(E3971="AT",2,(IF(E3971="DS",3,(IF(E3971="IP",4,(IF(E3971="MA",5,(IF(E3971="PT",6,(IF(E3971="AE",1,(IF(E3971="CM",2,(IF(E3971="DP",3,(IF(E3971="AN",1,(IF(E3971="CO",2,(IF(E3971="IM",3,(IF(E3971="MI",4,(IF(E3971="RP",5,(IF(E3971="SC",6,0)))))))))))))))))))))))))))))))))))))))</f>
        <v>3</v>
      </c>
      <c r="G3971" s="52">
        <v>2</v>
      </c>
      <c r="H3971" s="90" t="s">
        <v>115</v>
      </c>
      <c r="I3971" s="93" t="s">
        <v>4107</v>
      </c>
      <c r="J3971" s="86" t="s">
        <v>4013</v>
      </c>
      <c r="K3971" s="101" t="s">
        <v>4451</v>
      </c>
      <c r="L3971" s="117">
        <f>IF(O3971="","",N3971*O3971*M3971)</f>
        <v>0</v>
      </c>
      <c r="M3971" s="108">
        <v>1</v>
      </c>
      <c r="N3971" s="95">
        <v>1</v>
      </c>
      <c r="O3971" s="109">
        <f>IF(Key!D$1="ON",P3971,IF(SUM(Q3971:DL3971)&lt;1,"",SUM(Q3971:DL3971)/COUNTIF(Q3971:DL3971,"&gt;0")))</f>
        <v>0</v>
      </c>
      <c r="P3971" s="109">
        <f>SUMIFS(Q3971:DK3971,Q$1:DK$1,Dashboard!$K$31)</f>
        <v>0</v>
      </c>
      <c r="U3971" s="95">
        <v>33</v>
      </c>
      <c r="AA3971" s="95">
        <v>25</v>
      </c>
      <c r="AH3971" s="95">
        <v>75</v>
      </c>
    </row>
    <row r="3972" spans="1:34" ht="15.6" x14ac:dyDescent="0.3">
      <c r="A3972" s="89" t="str">
        <f>CONCATENATE(D3972,".",F3972,"-",G3972,".",H3972,"")</f>
        <v>3.3-2.1</v>
      </c>
      <c r="B3972" s="89" t="str">
        <f>IF(CONCATENATE(I3972,Key!F$2)=CONCATENATE(INDEX(Dashboard!J:J,MATCH(I3972,Dashboard!J:J,0),1),INDEX(Dashboard!J:K,MATCH(I3972,Dashboard!J:J,0),2)),"ON",IF(Dashboard!K$32="ALL","ON","-"))</f>
        <v>-</v>
      </c>
      <c r="C3972" s="96" t="s">
        <v>311</v>
      </c>
      <c r="D3972" s="89">
        <f>IF(C3972="ID",1,(IF(C3972="PR",2,(IF(C3972="DE",3,(IF(C3972="RS",4,(IF(C3972="RC",5,0)))))))))</f>
        <v>3</v>
      </c>
      <c r="E3972" s="89" t="s">
        <v>326</v>
      </c>
      <c r="F3972" s="89">
        <f>IF(E3972="AM",1,(IF(E3972="BE",2,(IF(E3972="GV",3,(IF(E3972="RA",4,(IF(E3972="RM",5,(IF(E3972="AC",1,(IF(E3972="AT",2,(IF(E3972="DS",3,(IF(E3972="IP",4,(IF(E3972="MA",5,(IF(E3972="PT",6,(IF(E3972="AE",1,(IF(E3972="CM",2,(IF(E3972="DP",3,(IF(E3972="AN",1,(IF(E3972="CO",2,(IF(E3972="IM",3,(IF(E3972="MI",4,(IF(E3972="RP",5,(IF(E3972="SC",6,0)))))))))))))))))))))))))))))))))))))))</f>
        <v>3</v>
      </c>
      <c r="G3972" s="52">
        <v>2</v>
      </c>
      <c r="H3972" s="99">
        <v>1</v>
      </c>
      <c r="I3972" s="93" t="s">
        <v>41</v>
      </c>
      <c r="J3972" s="86">
        <v>8.8000000000000007</v>
      </c>
      <c r="K3972" s="103" t="s">
        <v>3519</v>
      </c>
      <c r="L3972" s="117">
        <f>IF(O3972="","",N3972*O3972*M3972)</f>
        <v>0</v>
      </c>
      <c r="M3972" s="108">
        <v>1</v>
      </c>
      <c r="N3972" s="95">
        <v>1</v>
      </c>
      <c r="O3972" s="109">
        <f>IF(Key!D$1="ON",P3972,IF(SUM(Q3972:DL3972)&lt;1,"",SUM(Q3972:DL3972)/COUNTIF(Q3972:DL3972,"&gt;0")))</f>
        <v>0</v>
      </c>
      <c r="P3972" s="109">
        <f>SUMIFS(Q3972:DK3972,Q$1:DK$1,Dashboard!$K$31)</f>
        <v>0</v>
      </c>
      <c r="U3972" s="95">
        <v>33</v>
      </c>
    </row>
    <row r="3973" spans="1:34" ht="15.6" x14ac:dyDescent="0.3">
      <c r="A3973" s="89" t="str">
        <f>CONCATENATE(D3973,".",F3973,"-",G3973,".",H3973,"")</f>
        <v>3.3-2.1</v>
      </c>
      <c r="B3973" s="89" t="str">
        <f>IF(CONCATENATE(I3973,Key!F$2)=CONCATENATE(INDEX(Dashboard!J:J,MATCH(I3973,Dashboard!J:J,0),1),INDEX(Dashboard!J:K,MATCH(I3973,Dashboard!J:J,0),2)),"ON",IF(Dashboard!K$32="ALL","ON","-"))</f>
        <v>-</v>
      </c>
      <c r="C3973" s="96" t="s">
        <v>311</v>
      </c>
      <c r="D3973" s="89">
        <f>IF(C3973="ID",1,(IF(C3973="PR",2,(IF(C3973="DE",3,(IF(C3973="RS",4,(IF(C3973="RC",5,0)))))))))</f>
        <v>3</v>
      </c>
      <c r="E3973" s="89" t="s">
        <v>326</v>
      </c>
      <c r="F3973" s="89">
        <f>IF(E3973="AM",1,(IF(E3973="BE",2,(IF(E3973="GV",3,(IF(E3973="RA",4,(IF(E3973="RM",5,(IF(E3973="AC",1,(IF(E3973="AT",2,(IF(E3973="DS",3,(IF(E3973="IP",4,(IF(E3973="MA",5,(IF(E3973="PT",6,(IF(E3973="AE",1,(IF(E3973="CM",2,(IF(E3973="DP",3,(IF(E3973="AN",1,(IF(E3973="CO",2,(IF(E3973="IM",3,(IF(E3973="MI",4,(IF(E3973="RP",5,(IF(E3973="SC",6,0)))))))))))))))))))))))))))))))))))))))</f>
        <v>3</v>
      </c>
      <c r="G3973" s="52">
        <v>2</v>
      </c>
      <c r="H3973" s="99">
        <v>1</v>
      </c>
      <c r="I3973" s="93" t="s">
        <v>41</v>
      </c>
      <c r="J3973" s="86" t="s">
        <v>3678</v>
      </c>
      <c r="K3973" s="103" t="s">
        <v>3679</v>
      </c>
      <c r="L3973" s="117">
        <f>IF(O3973="","",N3973*O3973*M3973)</f>
        <v>0</v>
      </c>
      <c r="M3973" s="108">
        <v>1</v>
      </c>
      <c r="N3973" s="95">
        <v>1</v>
      </c>
      <c r="O3973" s="109">
        <f>IF(Key!D$1="ON",P3973,IF(SUM(Q3973:DL3973)&lt;1,"",SUM(Q3973:DL3973)/COUNTIF(Q3973:DL3973,"&gt;0")))</f>
        <v>0</v>
      </c>
      <c r="P3973" s="109">
        <f>SUMIFS(Q3973:DK3973,Q$1:DK$1,Dashboard!$K$31)</f>
        <v>0</v>
      </c>
      <c r="U3973" s="95">
        <v>33</v>
      </c>
    </row>
    <row r="3974" spans="1:34" ht="15.6" x14ac:dyDescent="0.3">
      <c r="A3974" s="89" t="str">
        <f>CONCATENATE(D3974,".",F3974,"-",G3974,".",H3974,"")</f>
        <v>3.3-2.1</v>
      </c>
      <c r="B3974" s="89" t="str">
        <f>IF(CONCATENATE(I3974,Key!F$2)=CONCATENATE(INDEX(Dashboard!J:J,MATCH(I3974,Dashboard!J:J,0),1),INDEX(Dashboard!J:K,MATCH(I3974,Dashboard!J:J,0),2)),"ON",IF(Dashboard!K$32="ALL","ON","-"))</f>
        <v>-</v>
      </c>
      <c r="C3974" s="96" t="s">
        <v>311</v>
      </c>
      <c r="D3974" s="89">
        <f>IF(C3974="ID",1,(IF(C3974="PR",2,(IF(C3974="DE",3,(IF(C3974="RS",4,(IF(C3974="RC",5,0)))))))))</f>
        <v>3</v>
      </c>
      <c r="E3974" s="89" t="s">
        <v>326</v>
      </c>
      <c r="F3974" s="89">
        <f>IF(E3974="AM",1,(IF(E3974="BE",2,(IF(E3974="GV",3,(IF(E3974="RA",4,(IF(E3974="RM",5,(IF(E3974="AC",1,(IF(E3974="AT",2,(IF(E3974="DS",3,(IF(E3974="IP",4,(IF(E3974="MA",5,(IF(E3974="PT",6,(IF(E3974="AE",1,(IF(E3974="CM",2,(IF(E3974="DP",3,(IF(E3974="AN",1,(IF(E3974="CO",2,(IF(E3974="IM",3,(IF(E3974="MI",4,(IF(E3974="RP",5,(IF(E3974="SC",6,0)))))))))))))))))))))))))))))))))))))))</f>
        <v>3</v>
      </c>
      <c r="G3974" s="98">
        <v>2</v>
      </c>
      <c r="H3974" s="90" t="s">
        <v>115</v>
      </c>
      <c r="I3974" s="93" t="s">
        <v>52</v>
      </c>
      <c r="J3974" s="88" t="s">
        <v>3292</v>
      </c>
      <c r="K3974" s="102" t="s">
        <v>3293</v>
      </c>
      <c r="L3974" s="117">
        <f>IF(O3974="","",N3974*O3974*M3974)</f>
        <v>0</v>
      </c>
      <c r="M3974" s="108">
        <v>1</v>
      </c>
      <c r="N3974" s="95">
        <v>1</v>
      </c>
      <c r="O3974" s="109">
        <f>IF(Key!D$1="ON",P3974,IF(SUM(Q3974:DL3974)&lt;1,"",SUM(Q3974:DL3974)/COUNTIF(Q3974:DL3974,"&gt;0")))</f>
        <v>0</v>
      </c>
      <c r="P3974" s="109">
        <f>SUMIFS(Q3974:DK3974,Q$1:DK$1,Dashboard!$K$31)</f>
        <v>0</v>
      </c>
      <c r="U3974" s="95">
        <v>33</v>
      </c>
      <c r="AA3974" s="95">
        <v>25</v>
      </c>
      <c r="AH3974" s="95">
        <v>75</v>
      </c>
    </row>
    <row r="3975" spans="1:34" ht="15.6" x14ac:dyDescent="0.3">
      <c r="A3975" s="89" t="str">
        <f>CONCATENATE(D3975,".",F3975,"-",G3975,".",H3975,"")</f>
        <v>3.3-2.1</v>
      </c>
      <c r="B3975" s="89" t="str">
        <f>IF(CONCATENATE(I3975,Key!F$2)=CONCATENATE(INDEX(Dashboard!J:J,MATCH(I3975,Dashboard!J:J,0),1),INDEX(Dashboard!J:K,MATCH(I3975,Dashboard!J:J,0),2)),"ON",IF(Dashboard!K$32="ALL","ON","-"))</f>
        <v>-</v>
      </c>
      <c r="C3975" s="88" t="s">
        <v>311</v>
      </c>
      <c r="D3975" s="89">
        <f>IF(C3975="ID",1,(IF(C3975="PR",2,(IF(C3975="DE",3,(IF(C3975="RS",4,(IF(C3975="RC",5,0)))))))))</f>
        <v>3</v>
      </c>
      <c r="E3975" s="89" t="s">
        <v>326</v>
      </c>
      <c r="F3975" s="89">
        <f>IF(E3975="AM",1,(IF(E3975="BE",2,(IF(E3975="GV",3,(IF(E3975="RA",4,(IF(E3975="RM",5,(IF(E3975="AC",1,(IF(E3975="AT",2,(IF(E3975="DS",3,(IF(E3975="IP",4,(IF(E3975="MA",5,(IF(E3975="PT",6,(IF(E3975="AE",1,(IF(E3975="CM",2,(IF(E3975="DP",3,(IF(E3975="AN",1,(IF(E3975="CO",2,(IF(E3975="IM",3,(IF(E3975="MI",4,(IF(E3975="RP",5,(IF(E3975="SC",6,0)))))))))))))))))))))))))))))))))))))))</f>
        <v>3</v>
      </c>
      <c r="G3975" s="52">
        <v>2</v>
      </c>
      <c r="H3975" s="90" t="s">
        <v>115</v>
      </c>
      <c r="I3975" s="93" t="s">
        <v>60</v>
      </c>
      <c r="J3975" s="87" t="s">
        <v>3274</v>
      </c>
      <c r="K3975" s="51" t="s">
        <v>5387</v>
      </c>
      <c r="L3975" s="117">
        <f>IF(O3975="","",N3975*O3975*M3975)</f>
        <v>0</v>
      </c>
      <c r="M3975" s="108">
        <v>1</v>
      </c>
      <c r="N3975" s="95">
        <v>1</v>
      </c>
      <c r="O3975" s="109">
        <f>IF(Key!D$1="ON",P3975,IF(SUM(Q3975:DL3975)&lt;1,"",SUM(Q3975:DL3975)/COUNTIF(Q3975:DL3975,"&gt;0")))</f>
        <v>0</v>
      </c>
      <c r="P3975" s="109">
        <f>SUMIFS(Q3975:DK3975,Q$1:DK$1,Dashboard!$K$31)</f>
        <v>0</v>
      </c>
      <c r="U3975" s="95">
        <v>33</v>
      </c>
      <c r="AA3975" s="95">
        <v>25</v>
      </c>
      <c r="AH3975" s="95">
        <v>75</v>
      </c>
    </row>
    <row r="3976" spans="1:34" ht="15.6" x14ac:dyDescent="0.3">
      <c r="A3976" s="89" t="str">
        <f>CONCATENATE(D3976,".",F3976,"-",G3976,".",H3976,"")</f>
        <v>3.3-2.1</v>
      </c>
      <c r="B3976" s="89" t="str">
        <f>IF(CONCATENATE(I3976,Key!F$2)=CONCATENATE(INDEX(Dashboard!J:J,MATCH(I3976,Dashboard!J:J,0),1),INDEX(Dashboard!J:K,MATCH(I3976,Dashboard!J:J,0),2)),"ON",IF(Dashboard!K$32="ALL","ON","-"))</f>
        <v>-</v>
      </c>
      <c r="C3976" s="88" t="s">
        <v>311</v>
      </c>
      <c r="D3976" s="89">
        <f>IF(C3976="ID",1,(IF(C3976="PR",2,(IF(C3976="DE",3,(IF(C3976="RS",4,(IF(C3976="RC",5,0)))))))))</f>
        <v>3</v>
      </c>
      <c r="E3976" s="89" t="s">
        <v>326</v>
      </c>
      <c r="F3976" s="89">
        <f>IF(E3976="AM",1,(IF(E3976="BE",2,(IF(E3976="GV",3,(IF(E3976="RA",4,(IF(E3976="RM",5,(IF(E3976="AC",1,(IF(E3976="AT",2,(IF(E3976="DS",3,(IF(E3976="IP",4,(IF(E3976="MA",5,(IF(E3976="PT",6,(IF(E3976="AE",1,(IF(E3976="CM",2,(IF(E3976="DP",3,(IF(E3976="AN",1,(IF(E3976="CO",2,(IF(E3976="IM",3,(IF(E3976="MI",4,(IF(E3976="RP",5,(IF(E3976="SC",6,0)))))))))))))))))))))))))))))))))))))))</f>
        <v>3</v>
      </c>
      <c r="G3976" s="52">
        <v>2</v>
      </c>
      <c r="H3976" s="89">
        <v>1</v>
      </c>
      <c r="I3976" s="93" t="s">
        <v>60</v>
      </c>
      <c r="J3976" s="88" t="s">
        <v>3157</v>
      </c>
      <c r="K3976" s="51" t="s">
        <v>5270</v>
      </c>
      <c r="L3976" s="117">
        <f>IF(O3976="","",N3976*O3976*M3976)</f>
        <v>0</v>
      </c>
      <c r="M3976" s="108">
        <v>1</v>
      </c>
      <c r="N3976" s="95">
        <v>1</v>
      </c>
      <c r="O3976" s="109">
        <f>IF(Key!D$1="ON",P3976,IF(SUM(Q3976:DL3976)&lt;1,"",SUM(Q3976:DL3976)/COUNTIF(Q3976:DL3976,"&gt;0")))</f>
        <v>0</v>
      </c>
      <c r="P3976" s="109">
        <f>SUMIFS(Q3976:DK3976,Q$1:DK$1,Dashboard!$K$31)</f>
        <v>0</v>
      </c>
      <c r="U3976" s="95">
        <v>33</v>
      </c>
      <c r="AA3976" s="95">
        <v>25</v>
      </c>
      <c r="AH3976" s="95">
        <v>75</v>
      </c>
    </row>
    <row r="3977" spans="1:34" ht="15.6" x14ac:dyDescent="0.3">
      <c r="A3977" s="89" t="str">
        <f>CONCATENATE(D3977,".",F3977,"-",G3977,".",H3977,"")</f>
        <v>3.3-2.1</v>
      </c>
      <c r="B3977" s="89" t="str">
        <f>IF(CONCATENATE(I3977,Key!F$2)=CONCATENATE(INDEX(Dashboard!J:J,MATCH(I3977,Dashboard!J:J,0),1),INDEX(Dashboard!J:K,MATCH(I3977,Dashboard!J:J,0),2)),"ON",IF(Dashboard!K$32="ALL","ON","-"))</f>
        <v>-</v>
      </c>
      <c r="C3977" s="88" t="s">
        <v>311</v>
      </c>
      <c r="D3977" s="89">
        <f>IF(C3977="ID",1,(IF(C3977="PR",2,(IF(C3977="DE",3,(IF(C3977="RS",4,(IF(C3977="RC",5,0)))))))))</f>
        <v>3</v>
      </c>
      <c r="E3977" s="89" t="s">
        <v>326</v>
      </c>
      <c r="F3977" s="89">
        <f>IF(E3977="AM",1,(IF(E3977="BE",2,(IF(E3977="GV",3,(IF(E3977="RA",4,(IF(E3977="RM",5,(IF(E3977="AC",1,(IF(E3977="AT",2,(IF(E3977="DS",3,(IF(E3977="IP",4,(IF(E3977="MA",5,(IF(E3977="PT",6,(IF(E3977="AE",1,(IF(E3977="CM",2,(IF(E3977="DP",3,(IF(E3977="AN",1,(IF(E3977="CO",2,(IF(E3977="IM",3,(IF(E3977="MI",4,(IF(E3977="RP",5,(IF(E3977="SC",6,0)))))))))))))))))))))))))))))))))))))))</f>
        <v>3</v>
      </c>
      <c r="G3977" s="52">
        <v>2</v>
      </c>
      <c r="H3977" s="90" t="s">
        <v>115</v>
      </c>
      <c r="I3977" s="93" t="s">
        <v>60</v>
      </c>
      <c r="J3977" s="87" t="s">
        <v>3148</v>
      </c>
      <c r="K3977" s="51" t="s">
        <v>5261</v>
      </c>
      <c r="L3977" s="117">
        <f>IF(O3977="","",N3977*O3977*M3977)</f>
        <v>0</v>
      </c>
      <c r="M3977" s="108">
        <v>1</v>
      </c>
      <c r="N3977" s="95">
        <v>1</v>
      </c>
      <c r="O3977" s="109">
        <f>IF(Key!D$1="ON",P3977,IF(SUM(Q3977:DL3977)&lt;1,"",SUM(Q3977:DL3977)/COUNTIF(Q3977:DL3977,"&gt;0")))</f>
        <v>0</v>
      </c>
      <c r="P3977" s="109">
        <f>SUMIFS(Q3977:DK3977,Q$1:DK$1,Dashboard!$K$31)</f>
        <v>0</v>
      </c>
      <c r="U3977" s="95">
        <v>33</v>
      </c>
      <c r="AA3977" s="95">
        <v>25</v>
      </c>
      <c r="AH3977" s="95">
        <v>75</v>
      </c>
    </row>
    <row r="3978" spans="1:34" ht="15.6" x14ac:dyDescent="0.3">
      <c r="A3978" s="89" t="str">
        <f>CONCATENATE(D3978,".",F3978,"-",G3978,".",H3978,"")</f>
        <v>3.3-2.1</v>
      </c>
      <c r="B3978" s="89" t="str">
        <f>IF(CONCATENATE(I3978,Key!F$2)=CONCATENATE(INDEX(Dashboard!J:J,MATCH(I3978,Dashboard!J:J,0),1),INDEX(Dashboard!J:K,MATCH(I3978,Dashboard!J:J,0),2)),"ON",IF(Dashboard!K$32="ALL","ON","-"))</f>
        <v>-</v>
      </c>
      <c r="C3978" s="88" t="s">
        <v>311</v>
      </c>
      <c r="D3978" s="89">
        <f>IF(C3978="ID",1,(IF(C3978="PR",2,(IF(C3978="DE",3,(IF(C3978="RS",4,(IF(C3978="RC",5,0)))))))))</f>
        <v>3</v>
      </c>
      <c r="E3978" s="89" t="s">
        <v>326</v>
      </c>
      <c r="F3978" s="89">
        <f>IF(E3978="AM",1,(IF(E3978="BE",2,(IF(E3978="GV",3,(IF(E3978="RA",4,(IF(E3978="RM",5,(IF(E3978="AC",1,(IF(E3978="AT",2,(IF(E3978="DS",3,(IF(E3978="IP",4,(IF(E3978="MA",5,(IF(E3978="PT",6,(IF(E3978="AE",1,(IF(E3978="CM",2,(IF(E3978="DP",3,(IF(E3978="AN",1,(IF(E3978="CO",2,(IF(E3978="IM",3,(IF(E3978="MI",4,(IF(E3978="RP",5,(IF(E3978="SC",6,0)))))))))))))))))))))))))))))))))))))))</f>
        <v>3</v>
      </c>
      <c r="G3978" s="52">
        <v>2</v>
      </c>
      <c r="H3978" s="90" t="s">
        <v>115</v>
      </c>
      <c r="I3978" s="93" t="s">
        <v>73</v>
      </c>
      <c r="J3978" s="86" t="s">
        <v>4213</v>
      </c>
      <c r="K3978" s="101" t="s">
        <v>4400</v>
      </c>
      <c r="L3978" s="117">
        <f>IF(O3978="","",N3978*O3978*M3978)</f>
        <v>0</v>
      </c>
      <c r="M3978" s="108">
        <v>1</v>
      </c>
      <c r="N3978" s="95">
        <v>1</v>
      </c>
      <c r="O3978" s="109">
        <f>IF(Key!D$1="ON",P3978,IF(SUM(Q3978:DL3978)&lt;1,"",SUM(Q3978:DL3978)/COUNTIF(Q3978:DL3978,"&gt;0")))</f>
        <v>0</v>
      </c>
      <c r="P3978" s="109">
        <f>SUMIFS(Q3978:DK3978,Q$1:DK$1,Dashboard!$K$31)</f>
        <v>0</v>
      </c>
      <c r="U3978" s="95">
        <v>33</v>
      </c>
      <c r="AA3978" s="95">
        <v>25</v>
      </c>
      <c r="AH3978" s="95">
        <v>75</v>
      </c>
    </row>
    <row r="3979" spans="1:34" ht="15.6" x14ac:dyDescent="0.3">
      <c r="A3979" s="89" t="str">
        <f>CONCATENATE(D3979,".",F3979,"-",G3979,".",H3979,"")</f>
        <v>3.3-2.1</v>
      </c>
      <c r="B3979" s="89" t="str">
        <f>IF(CONCATENATE(I3979,Key!F$2)=CONCATENATE(INDEX(Dashboard!J:J,MATCH(I3979,Dashboard!J:J,0),1),INDEX(Dashboard!J:K,MATCH(I3979,Dashboard!J:J,0),2)),"ON",IF(Dashboard!K$32="ALL","ON","-"))</f>
        <v>-</v>
      </c>
      <c r="C3979" s="88" t="s">
        <v>311</v>
      </c>
      <c r="D3979" s="89">
        <f>IF(C3979="ID",1,(IF(C3979="PR",2,(IF(C3979="DE",3,(IF(C3979="RS",4,(IF(C3979="RC",5,0)))))))))</f>
        <v>3</v>
      </c>
      <c r="E3979" s="89" t="s">
        <v>326</v>
      </c>
      <c r="F3979" s="89">
        <f>IF(E3979="AM",1,(IF(E3979="BE",2,(IF(E3979="GV",3,(IF(E3979="RA",4,(IF(E3979="RM",5,(IF(E3979="AC",1,(IF(E3979="AT",2,(IF(E3979="DS",3,(IF(E3979="IP",4,(IF(E3979="MA",5,(IF(E3979="PT",6,(IF(E3979="AE",1,(IF(E3979="CM",2,(IF(E3979="DP",3,(IF(E3979="AN",1,(IF(E3979="CO",2,(IF(E3979="IM",3,(IF(E3979="MI",4,(IF(E3979="RP",5,(IF(E3979="SC",6,0)))))))))))))))))))))))))))))))))))))))</f>
        <v>3</v>
      </c>
      <c r="G3979" s="52">
        <v>2</v>
      </c>
      <c r="H3979" s="90" t="s">
        <v>115</v>
      </c>
      <c r="I3979" s="93" t="s">
        <v>73</v>
      </c>
      <c r="J3979" s="86" t="s">
        <v>4215</v>
      </c>
      <c r="K3979" s="101" t="s">
        <v>4402</v>
      </c>
      <c r="L3979" s="117">
        <f>IF(O3979="","",N3979*O3979*M3979)</f>
        <v>0</v>
      </c>
      <c r="M3979" s="108">
        <v>1</v>
      </c>
      <c r="N3979" s="95">
        <v>1</v>
      </c>
      <c r="O3979" s="109">
        <f>IF(Key!D$1="ON",P3979,IF(SUM(Q3979:DL3979)&lt;1,"",SUM(Q3979:DL3979)/COUNTIF(Q3979:DL3979,"&gt;0")))</f>
        <v>0</v>
      </c>
      <c r="P3979" s="109">
        <f>SUMIFS(Q3979:DK3979,Q$1:DK$1,Dashboard!$K$31)</f>
        <v>0</v>
      </c>
      <c r="U3979" s="95">
        <v>33</v>
      </c>
      <c r="AA3979" s="95">
        <v>25</v>
      </c>
      <c r="AH3979" s="95">
        <v>75</v>
      </c>
    </row>
    <row r="3980" spans="1:34" ht="15.6" x14ac:dyDescent="0.3">
      <c r="A3980" s="89" t="str">
        <f>CONCATENATE(D3980,".",F3980,"-",G3980,".",H3980,"")</f>
        <v>3.3-2.1</v>
      </c>
      <c r="B3980" s="89" t="str">
        <f>IF(CONCATENATE(I3980,Key!F$2)=CONCATENATE(INDEX(Dashboard!J:J,MATCH(I3980,Dashboard!J:J,0),1),INDEX(Dashboard!J:K,MATCH(I3980,Dashboard!J:J,0),2)),"ON",IF(Dashboard!K$32="ALL","ON","-"))</f>
        <v>-</v>
      </c>
      <c r="C3980" s="88" t="s">
        <v>311</v>
      </c>
      <c r="D3980" s="89">
        <f>IF(C3980="ID",1,(IF(C3980="PR",2,(IF(C3980="DE",3,(IF(C3980="RS",4,(IF(C3980="RC",5,0)))))))))</f>
        <v>3</v>
      </c>
      <c r="E3980" s="89" t="s">
        <v>326</v>
      </c>
      <c r="F3980" s="89">
        <f>IF(E3980="AM",1,(IF(E3980="BE",2,(IF(E3980="GV",3,(IF(E3980="RA",4,(IF(E3980="RM",5,(IF(E3980="AC",1,(IF(E3980="AT",2,(IF(E3980="DS",3,(IF(E3980="IP",4,(IF(E3980="MA",5,(IF(E3980="PT",6,(IF(E3980="AE",1,(IF(E3980="CM",2,(IF(E3980="DP",3,(IF(E3980="AN",1,(IF(E3980="CO",2,(IF(E3980="IM",3,(IF(E3980="MI",4,(IF(E3980="RP",5,(IF(E3980="SC",6,0)))))))))))))))))))))))))))))))))))))))</f>
        <v>3</v>
      </c>
      <c r="G3980" s="52">
        <v>2</v>
      </c>
      <c r="H3980" s="90" t="s">
        <v>115</v>
      </c>
      <c r="I3980" s="93" t="s">
        <v>73</v>
      </c>
      <c r="J3980" s="86" t="s">
        <v>4248</v>
      </c>
      <c r="K3980" s="101" t="s">
        <v>5186</v>
      </c>
      <c r="L3980" s="117">
        <f>IF(O3980="","",N3980*O3980*M3980)</f>
        <v>0</v>
      </c>
      <c r="M3980" s="108">
        <v>1</v>
      </c>
      <c r="N3980" s="95">
        <v>1</v>
      </c>
      <c r="O3980" s="109">
        <f>IF(Key!D$1="ON",P3980,IF(SUM(Q3980:DL3980)&lt;1,"",SUM(Q3980:DL3980)/COUNTIF(Q3980:DL3980,"&gt;0")))</f>
        <v>0</v>
      </c>
      <c r="P3980" s="109">
        <f>SUMIFS(Q3980:DK3980,Q$1:DK$1,Dashboard!$K$31)</f>
        <v>0</v>
      </c>
      <c r="U3980" s="95">
        <v>33</v>
      </c>
      <c r="AA3980" s="95">
        <v>25</v>
      </c>
      <c r="AH3980" s="95">
        <v>75</v>
      </c>
    </row>
    <row r="3981" spans="1:34" ht="15.6" x14ac:dyDescent="0.3">
      <c r="A3981" s="89" t="str">
        <f>CONCATENATE(D3981,".",F3981,"-",G3981,".",H3981,"")</f>
        <v>3.3-2.1</v>
      </c>
      <c r="B3981" s="89" t="str">
        <f>IF(CONCATENATE(I3981,Key!F$2)=CONCATENATE(INDEX(Dashboard!J:J,MATCH(I3981,Dashboard!J:J,0),1),INDEX(Dashboard!J:K,MATCH(I3981,Dashboard!J:J,0),2)),"ON",IF(Dashboard!K$32="ALL","ON","-"))</f>
        <v>-</v>
      </c>
      <c r="C3981" s="88" t="s">
        <v>311</v>
      </c>
      <c r="D3981" s="89">
        <f>IF(C3981="ID",1,(IF(C3981="PR",2,(IF(C3981="DE",3,(IF(C3981="RS",4,(IF(C3981="RC",5,0)))))))))</f>
        <v>3</v>
      </c>
      <c r="E3981" s="89" t="s">
        <v>326</v>
      </c>
      <c r="F3981" s="89">
        <f>IF(E3981="AM",1,(IF(E3981="BE",2,(IF(E3981="GV",3,(IF(E3981="RA",4,(IF(E3981="RM",5,(IF(E3981="AC",1,(IF(E3981="AT",2,(IF(E3981="DS",3,(IF(E3981="IP",4,(IF(E3981="MA",5,(IF(E3981="PT",6,(IF(E3981="AE",1,(IF(E3981="CM",2,(IF(E3981="DP",3,(IF(E3981="AN",1,(IF(E3981="CO",2,(IF(E3981="IM",3,(IF(E3981="MI",4,(IF(E3981="RP",5,(IF(E3981="SC",6,0)))))))))))))))))))))))))))))))))))))))</f>
        <v>3</v>
      </c>
      <c r="G3981" s="52">
        <v>2</v>
      </c>
      <c r="H3981" s="90" t="s">
        <v>115</v>
      </c>
      <c r="I3981" s="93" t="s">
        <v>73</v>
      </c>
      <c r="J3981" s="86" t="s">
        <v>4249</v>
      </c>
      <c r="K3981" s="101" t="s">
        <v>4416</v>
      </c>
      <c r="L3981" s="117">
        <f>IF(O3981="","",N3981*O3981*M3981)</f>
        <v>0</v>
      </c>
      <c r="M3981" s="108">
        <v>1</v>
      </c>
      <c r="N3981" s="95">
        <v>1</v>
      </c>
      <c r="O3981" s="109">
        <f>IF(Key!D$1="ON",P3981,IF(SUM(Q3981:DL3981)&lt;1,"",SUM(Q3981:DL3981)/COUNTIF(Q3981:DL3981,"&gt;0")))</f>
        <v>0</v>
      </c>
      <c r="P3981" s="109">
        <f>SUMIFS(Q3981:DK3981,Q$1:DK$1,Dashboard!$K$31)</f>
        <v>0</v>
      </c>
      <c r="U3981" s="95">
        <v>33</v>
      </c>
      <c r="AA3981" s="95">
        <v>25</v>
      </c>
      <c r="AH3981" s="95">
        <v>75</v>
      </c>
    </row>
    <row r="3982" spans="1:34" ht="15.6" x14ac:dyDescent="0.3">
      <c r="A3982" s="89" t="str">
        <f>CONCATENATE(D3982,".",F3982,"-",G3982,".",H3982,"")</f>
        <v>3.3-2.1</v>
      </c>
      <c r="B3982" s="89" t="str">
        <f>IF(CONCATENATE(I3982,Key!F$2)=CONCATENATE(INDEX(Dashboard!J:J,MATCH(I3982,Dashboard!J:J,0),1),INDEX(Dashboard!J:K,MATCH(I3982,Dashboard!J:J,0),2)),"ON",IF(Dashboard!K$32="ALL","ON","-"))</f>
        <v>-</v>
      </c>
      <c r="C3982" s="88" t="s">
        <v>311</v>
      </c>
      <c r="D3982" s="89">
        <f>IF(C3982="ID",1,(IF(C3982="PR",2,(IF(C3982="DE",3,(IF(C3982="RS",4,(IF(C3982="RC",5,0)))))))))</f>
        <v>3</v>
      </c>
      <c r="E3982" s="89" t="s">
        <v>326</v>
      </c>
      <c r="F3982" s="89">
        <f>IF(E3982="AM",1,(IF(E3982="BE",2,(IF(E3982="GV",3,(IF(E3982="RA",4,(IF(E3982="RM",5,(IF(E3982="AC",1,(IF(E3982="AT",2,(IF(E3982="DS",3,(IF(E3982="IP",4,(IF(E3982="MA",5,(IF(E3982="PT",6,(IF(E3982="AE",1,(IF(E3982="CM",2,(IF(E3982="DP",3,(IF(E3982="AN",1,(IF(E3982="CO",2,(IF(E3982="IM",3,(IF(E3982="MI",4,(IF(E3982="RP",5,(IF(E3982="SC",6,0)))))))))))))))))))))))))))))))))))))))</f>
        <v>3</v>
      </c>
      <c r="G3982" s="52">
        <v>2</v>
      </c>
      <c r="H3982" s="90" t="s">
        <v>115</v>
      </c>
      <c r="I3982" s="93" t="s">
        <v>85</v>
      </c>
      <c r="J3982" s="86" t="s">
        <v>658</v>
      </c>
      <c r="K3982" s="119" t="s">
        <v>4607</v>
      </c>
      <c r="L3982" s="117">
        <f>IF(O3982="","",N3982*O3982*M3982)</f>
        <v>0</v>
      </c>
      <c r="M3982" s="108">
        <v>1</v>
      </c>
      <c r="N3982" s="95">
        <v>1</v>
      </c>
      <c r="O3982" s="109">
        <f>IF(Key!D$1="ON",P3982,IF(SUM(Q3982:DL3982)&lt;1,"",SUM(Q3982:DL3982)/COUNTIF(Q3982:DL3982,"&gt;0")))</f>
        <v>0</v>
      </c>
      <c r="P3982" s="109">
        <f>SUMIFS(Q3982:DK3982,Q$1:DK$1,Dashboard!$K$31)</f>
        <v>0</v>
      </c>
      <c r="U3982" s="95">
        <v>33</v>
      </c>
      <c r="AA3982" s="95">
        <v>25</v>
      </c>
      <c r="AH3982" s="95">
        <v>75</v>
      </c>
    </row>
    <row r="3983" spans="1:34" ht="15.6" x14ac:dyDescent="0.3">
      <c r="A3983" s="89" t="str">
        <f>CONCATENATE(D3983,".",F3983,"-",G3983,".",H3983,"")</f>
        <v>3.3-2.1</v>
      </c>
      <c r="B3983" s="89" t="str">
        <f>IF(CONCATENATE(I3983,Key!F$2)=CONCATENATE(INDEX(Dashboard!J:J,MATCH(I3983,Dashboard!J:J,0),1),INDEX(Dashboard!J:K,MATCH(I3983,Dashboard!J:J,0),2)),"ON",IF(Dashboard!K$32="ALL","ON","-"))</f>
        <v>-</v>
      </c>
      <c r="C3983" s="88" t="s">
        <v>311</v>
      </c>
      <c r="D3983" s="89">
        <f>IF(C3983="ID",1,(IF(C3983="PR",2,(IF(C3983="DE",3,(IF(C3983="RS",4,(IF(C3983="RC",5,0)))))))))</f>
        <v>3</v>
      </c>
      <c r="E3983" s="89" t="s">
        <v>326</v>
      </c>
      <c r="F3983" s="89">
        <f>IF(E3983="AM",1,(IF(E3983="BE",2,(IF(E3983="GV",3,(IF(E3983="RA",4,(IF(E3983="RM",5,(IF(E3983="AC",1,(IF(E3983="AT",2,(IF(E3983="DS",3,(IF(E3983="IP",4,(IF(E3983="MA",5,(IF(E3983="PT",6,(IF(E3983="AE",1,(IF(E3983="CM",2,(IF(E3983="DP",3,(IF(E3983="AN",1,(IF(E3983="CO",2,(IF(E3983="IM",3,(IF(E3983="MI",4,(IF(E3983="RP",5,(IF(E3983="SC",6,0)))))))))))))))))))))))))))))))))))))))</f>
        <v>3</v>
      </c>
      <c r="G3983" s="52">
        <v>2</v>
      </c>
      <c r="H3983" s="90" t="s">
        <v>115</v>
      </c>
      <c r="I3983" s="93" t="s">
        <v>85</v>
      </c>
      <c r="J3983" s="87" t="s">
        <v>1815</v>
      </c>
      <c r="K3983" s="119" t="s">
        <v>1816</v>
      </c>
      <c r="L3983" s="117">
        <f>IF(O3983="","",N3983*O3983*M3983)</f>
        <v>0</v>
      </c>
      <c r="M3983" s="108">
        <v>1</v>
      </c>
      <c r="N3983" s="95">
        <v>1</v>
      </c>
      <c r="O3983" s="109">
        <f>IF(Key!D$1="ON",P3983,IF(SUM(Q3983:DL3983)&lt;1,"",SUM(Q3983:DL3983)/COUNTIF(Q3983:DL3983,"&gt;0")))</f>
        <v>0</v>
      </c>
      <c r="P3983" s="109">
        <f>SUMIFS(Q3983:DK3983,Q$1:DK$1,Dashboard!$K$31)</f>
        <v>0</v>
      </c>
      <c r="U3983" s="95">
        <v>33</v>
      </c>
      <c r="AA3983" s="95">
        <v>25</v>
      </c>
      <c r="AH3983" s="95">
        <v>75</v>
      </c>
    </row>
    <row r="3984" spans="1:34" ht="15.6" x14ac:dyDescent="0.3">
      <c r="A3984" s="89" t="str">
        <f>CONCATENATE(D3984,".",F3984,"-",G3984,".",H3984,"")</f>
        <v>3.3-2.1</v>
      </c>
      <c r="B3984" s="89" t="str">
        <f>IF(CONCATENATE(I3984,Key!F$2)=CONCATENATE(INDEX(Dashboard!J:J,MATCH(I3984,Dashboard!J:J,0),1),INDEX(Dashboard!J:K,MATCH(I3984,Dashboard!J:J,0),2)),"ON",IF(Dashboard!K$32="ALL","ON","-"))</f>
        <v>-</v>
      </c>
      <c r="C3984" s="96" t="s">
        <v>311</v>
      </c>
      <c r="D3984" s="89">
        <f>IF(C3984="ID",1,(IF(C3984="PR",2,(IF(C3984="DE",3,(IF(C3984="RS",4,(IF(C3984="RC",5,0)))))))))</f>
        <v>3</v>
      </c>
      <c r="E3984" s="89" t="s">
        <v>326</v>
      </c>
      <c r="F3984" s="89">
        <f>IF(E3984="AM",1,(IF(E3984="BE",2,(IF(E3984="GV",3,(IF(E3984="RA",4,(IF(E3984="RM",5,(IF(E3984="AC",1,(IF(E3984="AT",2,(IF(E3984="DS",3,(IF(E3984="IP",4,(IF(E3984="MA",5,(IF(E3984="PT",6,(IF(E3984="AE",1,(IF(E3984="CM",2,(IF(E3984="DP",3,(IF(E3984="AN",1,(IF(E3984="CO",2,(IF(E3984="IM",3,(IF(E3984="MI",4,(IF(E3984="RP",5,(IF(E3984="SC",6,0)))))))))))))))))))))))))))))))))))))))</f>
        <v>3</v>
      </c>
      <c r="G3984" s="98">
        <v>2</v>
      </c>
      <c r="H3984" s="90" t="s">
        <v>115</v>
      </c>
      <c r="I3984" s="93" t="s">
        <v>92</v>
      </c>
      <c r="J3984" s="88">
        <v>10.7</v>
      </c>
      <c r="K3984" s="102" t="s">
        <v>5226</v>
      </c>
      <c r="L3984" s="117">
        <f>IF(O3984="","",N3984*O3984*M3984)</f>
        <v>0</v>
      </c>
      <c r="M3984" s="108">
        <v>1</v>
      </c>
      <c r="N3984" s="95">
        <v>1</v>
      </c>
      <c r="O3984" s="109">
        <f>IF(Key!D$1="ON",P3984,IF(SUM(Q3984:DL3984)&lt;1,"",SUM(Q3984:DL3984)/COUNTIF(Q3984:DL3984,"&gt;0")))</f>
        <v>0</v>
      </c>
      <c r="P3984" s="109">
        <f>SUMIFS(Q3984:DK3984,Q$1:DK$1,Dashboard!$K$31)</f>
        <v>0</v>
      </c>
      <c r="U3984" s="95">
        <v>33</v>
      </c>
      <c r="AA3984" s="95">
        <v>25</v>
      </c>
      <c r="AH3984" s="95">
        <v>75</v>
      </c>
    </row>
    <row r="3985" spans="1:34" ht="15.6" x14ac:dyDescent="0.3">
      <c r="A3985" s="89" t="str">
        <f>CONCATENATE(D3985,".",F3985,"-",G3985,".",H3985,"")</f>
        <v>3.3-2.1</v>
      </c>
      <c r="B3985" s="89" t="str">
        <f>IF(CONCATENATE(I3985,Key!F$2)=CONCATENATE(INDEX(Dashboard!J:J,MATCH(I3985,Dashboard!J:J,0),1),INDEX(Dashboard!J:K,MATCH(I3985,Dashboard!J:J,0),2)),"ON",IF(Dashboard!K$32="ALL","ON","-"))</f>
        <v>-</v>
      </c>
      <c r="C3985" s="96" t="s">
        <v>311</v>
      </c>
      <c r="D3985" s="89">
        <f>IF(C3985="ID",1,(IF(C3985="PR",2,(IF(C3985="DE",3,(IF(C3985="RS",4,(IF(C3985="RC",5,0)))))))))</f>
        <v>3</v>
      </c>
      <c r="E3985" s="89" t="s">
        <v>326</v>
      </c>
      <c r="F3985" s="89">
        <f>IF(E3985="AM",1,(IF(E3985="BE",2,(IF(E3985="GV",3,(IF(E3985="RA",4,(IF(E3985="RM",5,(IF(E3985="AC",1,(IF(E3985="AT",2,(IF(E3985="DS",3,(IF(E3985="IP",4,(IF(E3985="MA",5,(IF(E3985="PT",6,(IF(E3985="AE",1,(IF(E3985="CM",2,(IF(E3985="DP",3,(IF(E3985="AN",1,(IF(E3985="CO",2,(IF(E3985="IM",3,(IF(E3985="MI",4,(IF(E3985="RP",5,(IF(E3985="SC",6,0)))))))))))))))))))))))))))))))))))))))</f>
        <v>3</v>
      </c>
      <c r="G3985" s="98">
        <v>2</v>
      </c>
      <c r="H3985" s="90" t="s">
        <v>115</v>
      </c>
      <c r="I3985" s="93" t="s">
        <v>92</v>
      </c>
      <c r="J3985" s="87">
        <v>11.4</v>
      </c>
      <c r="K3985" s="102" t="s">
        <v>5226</v>
      </c>
      <c r="L3985" s="117">
        <f>IF(O3985="","",N3985*O3985*M3985)</f>
        <v>0</v>
      </c>
      <c r="M3985" s="108">
        <v>1</v>
      </c>
      <c r="N3985" s="95">
        <v>1</v>
      </c>
      <c r="O3985" s="109">
        <f>IF(Key!D$1="ON",P3985,IF(SUM(Q3985:DL3985)&lt;1,"",SUM(Q3985:DL3985)/COUNTIF(Q3985:DL3985,"&gt;0")))</f>
        <v>0</v>
      </c>
      <c r="P3985" s="109">
        <f>SUMIFS(Q3985:DK3985,Q$1:DK$1,Dashboard!$K$31)</f>
        <v>0</v>
      </c>
      <c r="U3985" s="95">
        <v>33</v>
      </c>
      <c r="AA3985" s="95">
        <v>25</v>
      </c>
      <c r="AH3985" s="95">
        <v>75</v>
      </c>
    </row>
    <row r="3986" spans="1:34" ht="15.6" x14ac:dyDescent="0.3">
      <c r="A3986" s="89" t="str">
        <f>CONCATENATE(D3986,".",F3986,"-",G3986,".",H3986,"")</f>
        <v>3.3-2.1</v>
      </c>
      <c r="B3986" s="89" t="str">
        <f>IF(CONCATENATE(I3986,Key!F$2)=CONCATENATE(INDEX(Dashboard!J:J,MATCH(I3986,Dashboard!J:J,0),1),INDEX(Dashboard!J:K,MATCH(I3986,Dashboard!J:J,0),2)),"ON",IF(Dashboard!K$32="ALL","ON","-"))</f>
        <v>-</v>
      </c>
      <c r="C3986" s="96" t="s">
        <v>311</v>
      </c>
      <c r="D3986" s="89">
        <f>IF(C3986="ID",1,(IF(C3986="PR",2,(IF(C3986="DE",3,(IF(C3986="RS",4,(IF(C3986="RC",5,0)))))))))</f>
        <v>3</v>
      </c>
      <c r="E3986" s="89" t="s">
        <v>326</v>
      </c>
      <c r="F3986" s="89">
        <f>IF(E3986="AM",1,(IF(E3986="BE",2,(IF(E3986="GV",3,(IF(E3986="RA",4,(IF(E3986="RM",5,(IF(E3986="AC",1,(IF(E3986="AT",2,(IF(E3986="DS",3,(IF(E3986="IP",4,(IF(E3986="MA",5,(IF(E3986="PT",6,(IF(E3986="AE",1,(IF(E3986="CM",2,(IF(E3986="DP",3,(IF(E3986="AN",1,(IF(E3986="CO",2,(IF(E3986="IM",3,(IF(E3986="MI",4,(IF(E3986="RP",5,(IF(E3986="SC",6,0)))))))))))))))))))))))))))))))))))))))</f>
        <v>3</v>
      </c>
      <c r="G3986" s="98">
        <v>2</v>
      </c>
      <c r="H3986" s="90" t="s">
        <v>115</v>
      </c>
      <c r="I3986" s="93" t="s">
        <v>92</v>
      </c>
      <c r="J3986" s="87">
        <v>11.5</v>
      </c>
      <c r="K3986" s="102" t="s">
        <v>5226</v>
      </c>
      <c r="L3986" s="117">
        <f>IF(O3986="","",N3986*O3986*M3986)</f>
        <v>0</v>
      </c>
      <c r="M3986" s="108">
        <v>1</v>
      </c>
      <c r="N3986" s="95">
        <v>1</v>
      </c>
      <c r="O3986" s="109">
        <f>IF(Key!D$1="ON",P3986,IF(SUM(Q3986:DL3986)&lt;1,"",SUM(Q3986:DL3986)/COUNTIF(Q3986:DL3986,"&gt;0")))</f>
        <v>0</v>
      </c>
      <c r="P3986" s="109">
        <f>SUMIFS(Q3986:DK3986,Q$1:DK$1,Dashboard!$K$31)</f>
        <v>0</v>
      </c>
      <c r="U3986" s="95">
        <v>33</v>
      </c>
      <c r="AA3986" s="95">
        <v>25</v>
      </c>
      <c r="AH3986" s="95">
        <v>75</v>
      </c>
    </row>
    <row r="3987" spans="1:34" ht="15.6" x14ac:dyDescent="0.3">
      <c r="A3987" s="89" t="str">
        <f>CONCATENATE(D3987,".",F3987,"-",G3987,".",H3987,"")</f>
        <v>3.3-2.1</v>
      </c>
      <c r="B3987" s="89" t="str">
        <f>IF(CONCATENATE(I3987,Key!F$2)=CONCATENATE(INDEX(Dashboard!J:J,MATCH(I3987,Dashboard!J:J,0),1),INDEX(Dashboard!J:K,MATCH(I3987,Dashboard!J:J,0),2)),"ON",IF(Dashboard!K$32="ALL","ON","-"))</f>
        <v>-</v>
      </c>
      <c r="C3987" s="88" t="s">
        <v>311</v>
      </c>
      <c r="D3987" s="89">
        <f>IF(C3987="ID",1,(IF(C3987="PR",2,(IF(C3987="DE",3,(IF(C3987="RS",4,(IF(C3987="RC",5,0)))))))))</f>
        <v>3</v>
      </c>
      <c r="E3987" s="89" t="s">
        <v>326</v>
      </c>
      <c r="F3987" s="89">
        <f>IF(E3987="AM",1,(IF(E3987="BE",2,(IF(E3987="GV",3,(IF(E3987="RA",4,(IF(E3987="RM",5,(IF(E3987="AC",1,(IF(E3987="AT",2,(IF(E3987="DS",3,(IF(E3987="IP",4,(IF(E3987="MA",5,(IF(E3987="PT",6,(IF(E3987="AE",1,(IF(E3987="CM",2,(IF(E3987="DP",3,(IF(E3987="AN",1,(IF(E3987="CO",2,(IF(E3987="IM",3,(IF(E3987="MI",4,(IF(E3987="RP",5,(IF(E3987="SC",6,0)))))))))))))))))))))))))))))))))))))))</f>
        <v>3</v>
      </c>
      <c r="G3987" s="52">
        <v>2</v>
      </c>
      <c r="H3987" s="90" t="s">
        <v>115</v>
      </c>
      <c r="I3987" s="93" t="s">
        <v>92</v>
      </c>
      <c r="J3987" s="88" t="s">
        <v>327</v>
      </c>
      <c r="K3987" s="102" t="s">
        <v>5226</v>
      </c>
      <c r="L3987" s="117">
        <f>IF(O3987="","",N3987*O3987*M3987)</f>
        <v>0</v>
      </c>
      <c r="M3987" s="108">
        <v>1</v>
      </c>
      <c r="N3987" s="95">
        <v>1</v>
      </c>
      <c r="O3987" s="109">
        <f>IF(Key!D$1="ON",P3987,IF(SUM(Q3987:DL3987)&lt;1,"",SUM(Q3987:DL3987)/COUNTIF(Q3987:DL3987,"&gt;0")))</f>
        <v>0</v>
      </c>
      <c r="P3987" s="109">
        <f>SUMIFS(Q3987:DK3987,Q$1:DK$1,Dashboard!$K$31)</f>
        <v>0</v>
      </c>
      <c r="U3987" s="95">
        <v>33</v>
      </c>
      <c r="AA3987" s="95">
        <v>25</v>
      </c>
      <c r="AH3987" s="95">
        <v>75</v>
      </c>
    </row>
    <row r="3988" spans="1:34" ht="15.6" x14ac:dyDescent="0.3">
      <c r="A3988" s="89" t="str">
        <f>CONCATENATE(D3988,".",F3988,"-",G3988,".",H3988,"")</f>
        <v>3.3-3.0</v>
      </c>
      <c r="B3988" s="89" t="str">
        <f>IF(CONCATENATE(I3988,Key!F$2)=CONCATENATE(INDEX(Dashboard!J:J,MATCH(I3988,Dashboard!J:J,0),1),INDEX(Dashboard!J:K,MATCH(I3988,Dashboard!J:J,0),2)),"ON",IF(Dashboard!K$32="ALL","ON","-"))</f>
        <v>-</v>
      </c>
      <c r="C3988" s="96" t="s">
        <v>311</v>
      </c>
      <c r="D3988" s="89">
        <f>IF(C3988="ID",1,(IF(C3988="PR",2,(IF(C3988="DE",3,(IF(C3988="RS",4,(IF(C3988="RC",5,0)))))))))</f>
        <v>3</v>
      </c>
      <c r="E3988" s="89" t="s">
        <v>326</v>
      </c>
      <c r="F3988" s="89">
        <f>IF(E3988="AM",1,(IF(E3988="BE",2,(IF(E3988="GV",3,(IF(E3988="RA",4,(IF(E3988="RM",5,(IF(E3988="AC",1,(IF(E3988="AT",2,(IF(E3988="DS",3,(IF(E3988="IP",4,(IF(E3988="MA",5,(IF(E3988="PT",6,(IF(E3988="AE",1,(IF(E3988="CM",2,(IF(E3988="DP",3,(IF(E3988="AN",1,(IF(E3988="CO",2,(IF(E3988="IM",3,(IF(E3988="MI",4,(IF(E3988="RP",5,(IF(E3988="SC",6,0)))))))))))))))))))))))))))))))))))))))</f>
        <v>3</v>
      </c>
      <c r="G3988" s="52">
        <v>3</v>
      </c>
      <c r="H3988" s="90" t="s">
        <v>347</v>
      </c>
      <c r="I3988" s="93" t="s">
        <v>2835</v>
      </c>
      <c r="J3988" s="53" t="s">
        <v>3045</v>
      </c>
      <c r="K3988" s="58" t="s">
        <v>3046</v>
      </c>
      <c r="L3988" s="117">
        <f>IF(O3988="","",N3988*O3988*M3988)</f>
        <v>0</v>
      </c>
      <c r="M3988" s="108">
        <v>1</v>
      </c>
      <c r="N3988" s="95">
        <v>1</v>
      </c>
      <c r="O3988" s="109">
        <f>IF(Key!D$1="ON",P3988,IF(SUM(Q3988:DL3988)&lt;1,"",SUM(Q3988:DL3988)/COUNTIF(Q3988:DL3988,"&gt;0")))</f>
        <v>0</v>
      </c>
      <c r="P3988" s="109">
        <f>SUMIFS(Q3988:DK3988,Q$1:DK$1,Dashboard!$K$31)</f>
        <v>0</v>
      </c>
      <c r="U3988" s="95">
        <v>33</v>
      </c>
    </row>
    <row r="3989" spans="1:34" ht="15.6" x14ac:dyDescent="0.3">
      <c r="A3989" s="89" t="str">
        <f>CONCATENATE(D3989,".",F3989,"-",G3989,".",H3989,"")</f>
        <v>3.3-3.1</v>
      </c>
      <c r="B3989" s="89" t="str">
        <f>IF(CONCATENATE(I3989,Key!F$2)=CONCATENATE(INDEX(Dashboard!J:J,MATCH(I3989,Dashboard!J:J,0),1),INDEX(Dashboard!J:K,MATCH(I3989,Dashboard!J:J,0),2)),"ON",IF(Dashboard!K$32="ALL","ON","-"))</f>
        <v>ON</v>
      </c>
      <c r="C3989" s="130" t="s">
        <v>311</v>
      </c>
      <c r="D3989" s="89">
        <f>IF(C3989="ID",1,(IF(C3989="PR",2,(IF(C3989="DE",3,(IF(C3989="RS",4,(IF(C3989="RC",5,0)))))))))</f>
        <v>3</v>
      </c>
      <c r="E3989" s="95" t="s">
        <v>326</v>
      </c>
      <c r="F3989" s="89">
        <f>IF(E3989="AM",1,(IF(E3989="BE",2,(IF(E3989="GV",3,(IF(E3989="RA",4,(IF(E3989="RM",5,(IF(E3989="AC",1,(IF(E3989="AT",2,(IF(E3989="DS",3,(IF(E3989="IP",4,(IF(E3989="MA",5,(IF(E3989="PT",6,(IF(E3989="AE",1,(IF(E3989="CM",2,(IF(E3989="DP",3,(IF(E3989="AN",1,(IF(E3989="CO",2,(IF(E3989="IM",3,(IF(E3989="MI",4,(IF(E3989="RP",5,(IF(E3989="SC",6,0)))))))))))))))))))))))))))))))))))))))</f>
        <v>3</v>
      </c>
      <c r="G3989" s="52">
        <v>3</v>
      </c>
      <c r="H3989" s="90" t="s">
        <v>115</v>
      </c>
      <c r="I3989" s="93" t="s">
        <v>4107</v>
      </c>
      <c r="J3989" s="86" t="s">
        <v>4057</v>
      </c>
      <c r="K3989" s="101" t="s">
        <v>4400</v>
      </c>
      <c r="L3989" s="117">
        <f>IF(O3989="","",N3989*O3989*M3989)</f>
        <v>0</v>
      </c>
      <c r="M3989" s="108">
        <v>1</v>
      </c>
      <c r="N3989" s="95">
        <v>1</v>
      </c>
      <c r="O3989" s="109">
        <f>IF(Key!D$1="ON",P3989,IF(SUM(Q3989:DL3989)&lt;1,"",SUM(Q3989:DL3989)/COUNTIF(Q3989:DL3989,"&gt;0")))</f>
        <v>0</v>
      </c>
      <c r="P3989" s="109">
        <f>SUMIFS(Q3989:DK3989,Q$1:DK$1,Dashboard!$K$31)</f>
        <v>0</v>
      </c>
      <c r="U3989" s="95">
        <v>33</v>
      </c>
      <c r="AA3989" s="95">
        <v>25</v>
      </c>
      <c r="AH3989" s="95">
        <v>75</v>
      </c>
    </row>
    <row r="3990" spans="1:34" ht="15.6" x14ac:dyDescent="0.3">
      <c r="A3990" s="89" t="str">
        <f>CONCATENATE(D3990,".",F3990,"-",G3990,".",H3990,"")</f>
        <v>3.3-3.1</v>
      </c>
      <c r="B3990" s="89" t="str">
        <f>IF(CONCATENATE(I3990,Key!F$2)=CONCATENATE(INDEX(Dashboard!J:J,MATCH(I3990,Dashboard!J:J,0),1),INDEX(Dashboard!J:K,MATCH(I3990,Dashboard!J:J,0),2)),"ON",IF(Dashboard!K$32="ALL","ON","-"))</f>
        <v>ON</v>
      </c>
      <c r="C3990" s="130" t="s">
        <v>311</v>
      </c>
      <c r="D3990" s="89">
        <f>IF(C3990="ID",1,(IF(C3990="PR",2,(IF(C3990="DE",3,(IF(C3990="RS",4,(IF(C3990="RC",5,0)))))))))</f>
        <v>3</v>
      </c>
      <c r="E3990" s="95" t="s">
        <v>326</v>
      </c>
      <c r="F3990" s="89">
        <f>IF(E3990="AM",1,(IF(E3990="BE",2,(IF(E3990="GV",3,(IF(E3990="RA",4,(IF(E3990="RM",5,(IF(E3990="AC",1,(IF(E3990="AT",2,(IF(E3990="DS",3,(IF(E3990="IP",4,(IF(E3990="MA",5,(IF(E3990="PT",6,(IF(E3990="AE",1,(IF(E3990="CM",2,(IF(E3990="DP",3,(IF(E3990="AN",1,(IF(E3990="CO",2,(IF(E3990="IM",3,(IF(E3990="MI",4,(IF(E3990="RP",5,(IF(E3990="SC",6,0)))))))))))))))))))))))))))))))))))))))</f>
        <v>3</v>
      </c>
      <c r="G3990" s="52">
        <v>3</v>
      </c>
      <c r="H3990" s="90" t="s">
        <v>115</v>
      </c>
      <c r="I3990" s="93" t="s">
        <v>4107</v>
      </c>
      <c r="J3990" s="86" t="s">
        <v>4011</v>
      </c>
      <c r="K3990" s="101" t="s">
        <v>4177</v>
      </c>
      <c r="L3990" s="117">
        <f>IF(O3990="","",N3990*O3990*M3990)</f>
        <v>0</v>
      </c>
      <c r="M3990" s="108">
        <v>1</v>
      </c>
      <c r="N3990" s="95">
        <v>1</v>
      </c>
      <c r="O3990" s="109">
        <f>IF(Key!D$1="ON",P3990,IF(SUM(Q3990:DL3990)&lt;1,"",SUM(Q3990:DL3990)/COUNTIF(Q3990:DL3990,"&gt;0")))</f>
        <v>0</v>
      </c>
      <c r="P3990" s="109">
        <f>SUMIFS(Q3990:DK3990,Q$1:DK$1,Dashboard!$K$31)</f>
        <v>0</v>
      </c>
      <c r="U3990" s="95">
        <v>33</v>
      </c>
      <c r="AA3990" s="95">
        <v>25</v>
      </c>
      <c r="AH3990" s="95">
        <v>75</v>
      </c>
    </row>
    <row r="3991" spans="1:34" ht="15.6" x14ac:dyDescent="0.3">
      <c r="A3991" s="89" t="str">
        <f>CONCATENATE(D3991,".",F3991,"-",G3991,".",H3991,"")</f>
        <v>3.3-3.1</v>
      </c>
      <c r="B3991" s="89" t="str">
        <f>IF(CONCATENATE(I3991,Key!F$2)=CONCATENATE(INDEX(Dashboard!J:J,MATCH(I3991,Dashboard!J:J,0),1),INDEX(Dashboard!J:K,MATCH(I3991,Dashboard!J:J,0),2)),"ON",IF(Dashboard!K$32="ALL","ON","-"))</f>
        <v>-</v>
      </c>
      <c r="C3991" s="88" t="s">
        <v>311</v>
      </c>
      <c r="D3991" s="89">
        <f>IF(C3991="ID",1,(IF(C3991="PR",2,(IF(C3991="DE",3,(IF(C3991="RS",4,(IF(C3991="RC",5,0)))))))))</f>
        <v>3</v>
      </c>
      <c r="E3991" s="89" t="s">
        <v>326</v>
      </c>
      <c r="F3991" s="89">
        <f>IF(E3991="AM",1,(IF(E3991="BE",2,(IF(E3991="GV",3,(IF(E3991="RA",4,(IF(E3991="RM",5,(IF(E3991="AC",1,(IF(E3991="AT",2,(IF(E3991="DS",3,(IF(E3991="IP",4,(IF(E3991="MA",5,(IF(E3991="PT",6,(IF(E3991="AE",1,(IF(E3991="CM",2,(IF(E3991="DP",3,(IF(E3991="AN",1,(IF(E3991="CO",2,(IF(E3991="IM",3,(IF(E3991="MI",4,(IF(E3991="RP",5,(IF(E3991="SC",6,0)))))))))))))))))))))))))))))))))))))))</f>
        <v>3</v>
      </c>
      <c r="G3991" s="52">
        <v>3</v>
      </c>
      <c r="H3991" s="90" t="s">
        <v>115</v>
      </c>
      <c r="I3991" s="93" t="s">
        <v>60</v>
      </c>
      <c r="J3991" s="87" t="s">
        <v>3241</v>
      </c>
      <c r="K3991" s="51" t="s">
        <v>5354</v>
      </c>
      <c r="L3991" s="117">
        <f>IF(O3991="","",N3991*O3991*M3991)</f>
        <v>0</v>
      </c>
      <c r="M3991" s="108">
        <v>1</v>
      </c>
      <c r="N3991" s="95">
        <v>1</v>
      </c>
      <c r="O3991" s="109">
        <f>IF(Key!D$1="ON",P3991,IF(SUM(Q3991:DL3991)&lt;1,"",SUM(Q3991:DL3991)/COUNTIF(Q3991:DL3991,"&gt;0")))</f>
        <v>0</v>
      </c>
      <c r="P3991" s="109">
        <f>SUMIFS(Q3991:DK3991,Q$1:DK$1,Dashboard!$K$31)</f>
        <v>0</v>
      </c>
      <c r="U3991" s="95">
        <v>33</v>
      </c>
      <c r="AA3991" s="95">
        <v>25</v>
      </c>
      <c r="AH3991" s="95">
        <v>75</v>
      </c>
    </row>
    <row r="3992" spans="1:34" ht="15.6" x14ac:dyDescent="0.3">
      <c r="A3992" s="89" t="str">
        <f>CONCATENATE(D3992,".",F3992,"-",G3992,".",H3992,"")</f>
        <v>3.3-3.1</v>
      </c>
      <c r="B3992" s="89" t="str">
        <f>IF(CONCATENATE(I3992,Key!F$2)=CONCATENATE(INDEX(Dashboard!J:J,MATCH(I3992,Dashboard!J:J,0),1),INDEX(Dashboard!J:K,MATCH(I3992,Dashboard!J:J,0),2)),"ON",IF(Dashboard!K$32="ALL","ON","-"))</f>
        <v>-</v>
      </c>
      <c r="C3992" s="88" t="s">
        <v>311</v>
      </c>
      <c r="D3992" s="89">
        <f>IF(C3992="ID",1,(IF(C3992="PR",2,(IF(C3992="DE",3,(IF(C3992="RS",4,(IF(C3992="RC",5,0)))))))))</f>
        <v>3</v>
      </c>
      <c r="E3992" s="89" t="s">
        <v>326</v>
      </c>
      <c r="F3992" s="89">
        <f>IF(E3992="AM",1,(IF(E3992="BE",2,(IF(E3992="GV",3,(IF(E3992="RA",4,(IF(E3992="RM",5,(IF(E3992="AC",1,(IF(E3992="AT",2,(IF(E3992="DS",3,(IF(E3992="IP",4,(IF(E3992="MA",5,(IF(E3992="PT",6,(IF(E3992="AE",1,(IF(E3992="CM",2,(IF(E3992="DP",3,(IF(E3992="AN",1,(IF(E3992="CO",2,(IF(E3992="IM",3,(IF(E3992="MI",4,(IF(E3992="RP",5,(IF(E3992="SC",6,0)))))))))))))))))))))))))))))))))))))))</f>
        <v>3</v>
      </c>
      <c r="G3992" s="52">
        <v>3</v>
      </c>
      <c r="H3992" s="90" t="s">
        <v>115</v>
      </c>
      <c r="I3992" s="93" t="s">
        <v>73</v>
      </c>
      <c r="J3992" s="86" t="s">
        <v>4205</v>
      </c>
      <c r="K3992" s="101" t="s">
        <v>4206</v>
      </c>
      <c r="L3992" s="117">
        <f>IF(O3992="","",N3992*O3992*M3992)</f>
        <v>0</v>
      </c>
      <c r="M3992" s="108">
        <v>1</v>
      </c>
      <c r="N3992" s="95">
        <v>1</v>
      </c>
      <c r="O3992" s="109">
        <f>IF(Key!D$1="ON",P3992,IF(SUM(Q3992:DL3992)&lt;1,"",SUM(Q3992:DL3992)/COUNTIF(Q3992:DL3992,"&gt;0")))</f>
        <v>0</v>
      </c>
      <c r="P3992" s="109">
        <f>SUMIFS(Q3992:DK3992,Q$1:DK$1,Dashboard!$K$31)</f>
        <v>0</v>
      </c>
      <c r="U3992" s="95">
        <v>33</v>
      </c>
      <c r="AA3992" s="95">
        <v>25</v>
      </c>
      <c r="AH3992" s="95">
        <v>75</v>
      </c>
    </row>
    <row r="3993" spans="1:34" ht="15.6" x14ac:dyDescent="0.3">
      <c r="A3993" s="89" t="str">
        <f>CONCATENATE(D3993,".",F3993,"-",G3993,".",H3993,"")</f>
        <v>3.3-3.1</v>
      </c>
      <c r="B3993" s="89" t="str">
        <f>IF(CONCATENATE(I3993,Key!F$2)=CONCATENATE(INDEX(Dashboard!J:J,MATCH(I3993,Dashboard!J:J,0),1),INDEX(Dashboard!J:K,MATCH(I3993,Dashboard!J:J,0),2)),"ON",IF(Dashboard!K$32="ALL","ON","-"))</f>
        <v>-</v>
      </c>
      <c r="C3993" s="88" t="s">
        <v>311</v>
      </c>
      <c r="D3993" s="89">
        <f>IF(C3993="ID",1,(IF(C3993="PR",2,(IF(C3993="DE",3,(IF(C3993="RS",4,(IF(C3993="RC",5,0)))))))))</f>
        <v>3</v>
      </c>
      <c r="E3993" s="89" t="s">
        <v>326</v>
      </c>
      <c r="F3993" s="89">
        <f>IF(E3993="AM",1,(IF(E3993="BE",2,(IF(E3993="GV",3,(IF(E3993="RA",4,(IF(E3993="RM",5,(IF(E3993="AC",1,(IF(E3993="AT",2,(IF(E3993="DS",3,(IF(E3993="IP",4,(IF(E3993="MA",5,(IF(E3993="PT",6,(IF(E3993="AE",1,(IF(E3993="CM",2,(IF(E3993="DP",3,(IF(E3993="AN",1,(IF(E3993="CO",2,(IF(E3993="IM",3,(IF(E3993="MI",4,(IF(E3993="RP",5,(IF(E3993="SC",6,0)))))))))))))))))))))))))))))))))))))))</f>
        <v>3</v>
      </c>
      <c r="G3993" s="52">
        <v>3</v>
      </c>
      <c r="H3993" s="90" t="s">
        <v>115</v>
      </c>
      <c r="I3993" s="93" t="s">
        <v>73</v>
      </c>
      <c r="J3993" s="86" t="s">
        <v>4213</v>
      </c>
      <c r="K3993" s="101" t="s">
        <v>4400</v>
      </c>
      <c r="L3993" s="117">
        <f>IF(O3993="","",N3993*O3993*M3993)</f>
        <v>0</v>
      </c>
      <c r="M3993" s="108">
        <v>1</v>
      </c>
      <c r="N3993" s="95">
        <v>1</v>
      </c>
      <c r="O3993" s="109">
        <f>IF(Key!D$1="ON",P3993,IF(SUM(Q3993:DL3993)&lt;1,"",SUM(Q3993:DL3993)/COUNTIF(Q3993:DL3993,"&gt;0")))</f>
        <v>0</v>
      </c>
      <c r="P3993" s="109">
        <f>SUMIFS(Q3993:DK3993,Q$1:DK$1,Dashboard!$K$31)</f>
        <v>0</v>
      </c>
      <c r="U3993" s="95">
        <v>33</v>
      </c>
      <c r="AA3993" s="95">
        <v>25</v>
      </c>
      <c r="AH3993" s="95">
        <v>75</v>
      </c>
    </row>
    <row r="3994" spans="1:34" ht="15.6" x14ac:dyDescent="0.3">
      <c r="A3994" s="89" t="str">
        <f>CONCATENATE(D3994,".",F3994,"-",G3994,".",H3994,"")</f>
        <v>3.3-3.1</v>
      </c>
      <c r="B3994" s="89" t="str">
        <f>IF(CONCATENATE(I3994,Key!F$2)=CONCATENATE(INDEX(Dashboard!J:J,MATCH(I3994,Dashboard!J:J,0),1),INDEX(Dashboard!J:K,MATCH(I3994,Dashboard!J:J,0),2)),"ON",IF(Dashboard!K$32="ALL","ON","-"))</f>
        <v>-</v>
      </c>
      <c r="C3994" s="88" t="s">
        <v>311</v>
      </c>
      <c r="D3994" s="89">
        <f>IF(C3994="ID",1,(IF(C3994="PR",2,(IF(C3994="DE",3,(IF(C3994="RS",4,(IF(C3994="RC",5,0)))))))))</f>
        <v>3</v>
      </c>
      <c r="E3994" s="89" t="s">
        <v>326</v>
      </c>
      <c r="F3994" s="89">
        <f>IF(E3994="AM",1,(IF(E3994="BE",2,(IF(E3994="GV",3,(IF(E3994="RA",4,(IF(E3994="RM",5,(IF(E3994="AC",1,(IF(E3994="AT",2,(IF(E3994="DS",3,(IF(E3994="IP",4,(IF(E3994="MA",5,(IF(E3994="PT",6,(IF(E3994="AE",1,(IF(E3994="CM",2,(IF(E3994="DP",3,(IF(E3994="AN",1,(IF(E3994="CO",2,(IF(E3994="IM",3,(IF(E3994="MI",4,(IF(E3994="RP",5,(IF(E3994="SC",6,0)))))))))))))))))))))))))))))))))))))))</f>
        <v>3</v>
      </c>
      <c r="G3994" s="52">
        <v>3</v>
      </c>
      <c r="H3994" s="90" t="s">
        <v>115</v>
      </c>
      <c r="I3994" s="93" t="s">
        <v>73</v>
      </c>
      <c r="J3994" s="86" t="s">
        <v>4215</v>
      </c>
      <c r="K3994" s="101" t="s">
        <v>4402</v>
      </c>
      <c r="L3994" s="117">
        <f>IF(O3994="","",N3994*O3994*M3994)</f>
        <v>0</v>
      </c>
      <c r="M3994" s="108">
        <v>1</v>
      </c>
      <c r="N3994" s="95">
        <v>1</v>
      </c>
      <c r="O3994" s="109">
        <f>IF(Key!D$1="ON",P3994,IF(SUM(Q3994:DL3994)&lt;1,"",SUM(Q3994:DL3994)/COUNTIF(Q3994:DL3994,"&gt;0")))</f>
        <v>0</v>
      </c>
      <c r="P3994" s="109">
        <f>SUMIFS(Q3994:DK3994,Q$1:DK$1,Dashboard!$K$31)</f>
        <v>0</v>
      </c>
      <c r="U3994" s="95">
        <v>33</v>
      </c>
      <c r="AA3994" s="95">
        <v>25</v>
      </c>
      <c r="AH3994" s="95">
        <v>75</v>
      </c>
    </row>
    <row r="3995" spans="1:34" x14ac:dyDescent="0.3">
      <c r="A3995" s="89" t="str">
        <f>CONCATENATE(D3995,".",F3995,"-",G3995,".",H3995,"")</f>
        <v>3.3-3.1</v>
      </c>
      <c r="B3995" s="89" t="str">
        <f>IF(CONCATENATE(I3995,Key!F$2)=CONCATENATE(INDEX(Dashboard!J:J,MATCH(I3995,Dashboard!J:J,0),1),INDEX(Dashboard!J:K,MATCH(I3995,Dashboard!J:J,0),2)),"ON",IF(Dashboard!K$32="ALL","ON","-"))</f>
        <v>-</v>
      </c>
      <c r="C3995" s="96" t="s">
        <v>311</v>
      </c>
      <c r="D3995" s="89">
        <f>IF(C3995="ID",1,(IF(C3995="PR",2,(IF(C3995="DE",3,(IF(C3995="RS",4,(IF(C3995="RC",5,0)))))))))</f>
        <v>3</v>
      </c>
      <c r="E3995" s="89" t="s">
        <v>326</v>
      </c>
      <c r="F3995" s="89">
        <f>IF(E3995="AM",1,(IF(E3995="BE",2,(IF(E3995="GV",3,(IF(E3995="RA",4,(IF(E3995="RM",5,(IF(E3995="AC",1,(IF(E3995="AT",2,(IF(E3995="DS",3,(IF(E3995="IP",4,(IF(E3995="MA",5,(IF(E3995="PT",6,(IF(E3995="AE",1,(IF(E3995="CM",2,(IF(E3995="DP",3,(IF(E3995="AN",1,(IF(E3995="CO",2,(IF(E3995="IM",3,(IF(E3995="MI",4,(IF(E3995="RP",5,(IF(E3995="SC",6,0)))))))))))))))))))))))))))))))))))))))</f>
        <v>3</v>
      </c>
      <c r="G3995" s="98">
        <v>3</v>
      </c>
      <c r="H3995" s="90" t="s">
        <v>115</v>
      </c>
      <c r="I3995" s="94" t="s">
        <v>92</v>
      </c>
      <c r="J3995" s="88">
        <v>5.2</v>
      </c>
      <c r="K3995" s="102" t="s">
        <v>5226</v>
      </c>
      <c r="L3995" s="117">
        <f>IF(O3995="","",N3995*O3995*M3995)</f>
        <v>0</v>
      </c>
      <c r="M3995" s="108">
        <v>1</v>
      </c>
      <c r="N3995" s="95">
        <v>1</v>
      </c>
      <c r="O3995" s="109">
        <f>IF(Key!D$1="ON",P3995,IF(SUM(Q3995:DL3995)&lt;1,"",SUM(Q3995:DL3995)/COUNTIF(Q3995:DL3995,"&gt;0")))</f>
        <v>0</v>
      </c>
      <c r="P3995" s="109">
        <f>SUMIFS(Q3995:DK3995,Q$1:DK$1,Dashboard!$K$31)</f>
        <v>0</v>
      </c>
      <c r="U3995" s="95">
        <v>33</v>
      </c>
      <c r="AA3995" s="95">
        <v>25</v>
      </c>
      <c r="AH3995" s="95">
        <v>75</v>
      </c>
    </row>
    <row r="3996" spans="1:34" x14ac:dyDescent="0.3">
      <c r="A3996" s="89" t="str">
        <f>CONCATENATE(D3996,".",F3996,"-",G3996,".",H3996,"")</f>
        <v>3.3-4.0</v>
      </c>
      <c r="B3996" s="89" t="str">
        <f>IF(CONCATENATE(I3996,Key!F$2)=CONCATENATE(INDEX(Dashboard!J:J,MATCH(I3996,Dashboard!J:J,0),1),INDEX(Dashboard!J:K,MATCH(I3996,Dashboard!J:J,0),2)),"ON",IF(Dashboard!K$32="ALL","ON","-"))</f>
        <v>-</v>
      </c>
      <c r="C3996" s="96" t="s">
        <v>311</v>
      </c>
      <c r="D3996" s="89">
        <f>IF(C3996="ID",1,(IF(C3996="PR",2,(IF(C3996="DE",3,(IF(C3996="RS",4,(IF(C3996="RC",5,0)))))))))</f>
        <v>3</v>
      </c>
      <c r="E3996" s="89" t="s">
        <v>326</v>
      </c>
      <c r="F3996" s="89">
        <f>IF(E3996="AM",1,(IF(E3996="BE",2,(IF(E3996="GV",3,(IF(E3996="RA",4,(IF(E3996="RM",5,(IF(E3996="AC",1,(IF(E3996="AT",2,(IF(E3996="DS",3,(IF(E3996="IP",4,(IF(E3996="MA",5,(IF(E3996="PT",6,(IF(E3996="AE",1,(IF(E3996="CM",2,(IF(E3996="DP",3,(IF(E3996="AN",1,(IF(E3996="CO",2,(IF(E3996="IM",3,(IF(E3996="MI",4,(IF(E3996="RP",5,(IF(E3996="SC",6,0)))))))))))))))))))))))))))))))))))))))</f>
        <v>3</v>
      </c>
      <c r="G3996" s="52">
        <v>4</v>
      </c>
      <c r="H3996" s="90" t="s">
        <v>347</v>
      </c>
      <c r="I3996" s="94" t="s">
        <v>2835</v>
      </c>
      <c r="J3996" s="53" t="s">
        <v>3047</v>
      </c>
      <c r="K3996" s="58" t="s">
        <v>3048</v>
      </c>
      <c r="L3996" s="117">
        <f>IF(O3996="","",N3996*O3996*M3996)</f>
        <v>0</v>
      </c>
      <c r="M3996" s="108">
        <v>1</v>
      </c>
      <c r="N3996" s="95">
        <v>1</v>
      </c>
      <c r="O3996" s="109">
        <f>IF(Key!D$1="ON",P3996,IF(SUM(Q3996:DL3996)&lt;1,"",SUM(Q3996:DL3996)/COUNTIF(Q3996:DL3996,"&gt;0")))</f>
        <v>0</v>
      </c>
      <c r="P3996" s="109">
        <f>SUMIFS(Q3996:DK3996,Q$1:DK$1,Dashboard!$K$31)</f>
        <v>0</v>
      </c>
      <c r="U3996" s="95">
        <v>33</v>
      </c>
    </row>
    <row r="3997" spans="1:34" x14ac:dyDescent="0.3">
      <c r="A3997" s="89" t="str">
        <f>CONCATENATE(D3997,".",F3997,"-",G3997,".",H3997,"")</f>
        <v>3.3-4.1</v>
      </c>
      <c r="B3997" s="89" t="str">
        <f>IF(CONCATENATE(I3997,Key!F$2)=CONCATENATE(INDEX(Dashboard!J:J,MATCH(I3997,Dashboard!J:J,0),1),INDEX(Dashboard!J:K,MATCH(I3997,Dashboard!J:J,0),2)),"ON",IF(Dashboard!K$32="ALL","ON","-"))</f>
        <v>ON</v>
      </c>
      <c r="C3997" s="88" t="s">
        <v>311</v>
      </c>
      <c r="D3997" s="89">
        <f>IF(C3997="ID",1,(IF(C3997="PR",2,(IF(C3997="DE",3,(IF(C3997="RS",4,(IF(C3997="RC",5,0)))))))))</f>
        <v>3</v>
      </c>
      <c r="E3997" s="89" t="s">
        <v>326</v>
      </c>
      <c r="F3997" s="89">
        <f>IF(E3997="AM",1,(IF(E3997="BE",2,(IF(E3997="GV",3,(IF(E3997="RA",4,(IF(E3997="RM",5,(IF(E3997="AC",1,(IF(E3997="AT",2,(IF(E3997="DS",3,(IF(E3997="IP",4,(IF(E3997="MA",5,(IF(E3997="PT",6,(IF(E3997="AE",1,(IF(E3997="CM",2,(IF(E3997="DP",3,(IF(E3997="AN",1,(IF(E3997="CO",2,(IF(E3997="IM",3,(IF(E3997="MI",4,(IF(E3997="RP",5,(IF(E3997="SC",6,0)))))))))))))))))))))))))))))))))))))))</f>
        <v>3</v>
      </c>
      <c r="G3997" s="52">
        <v>4</v>
      </c>
      <c r="H3997" s="90" t="s">
        <v>115</v>
      </c>
      <c r="I3997" s="94" t="s">
        <v>4107</v>
      </c>
      <c r="J3997" s="86" t="s">
        <v>4066</v>
      </c>
      <c r="K3997" s="101" t="s">
        <v>4470</v>
      </c>
      <c r="L3997" s="117">
        <f>IF(O3997="","",N3997*O3997*M3997)</f>
        <v>0</v>
      </c>
      <c r="M3997" s="108">
        <v>1</v>
      </c>
      <c r="N3997" s="95">
        <v>1</v>
      </c>
      <c r="O3997" s="109">
        <f>IF(Key!D$1="ON",P3997,IF(SUM(Q3997:DL3997)&lt;1,"",SUM(Q3997:DL3997)/COUNTIF(Q3997:DL3997,"&gt;0")))</f>
        <v>0</v>
      </c>
      <c r="P3997" s="109">
        <f>SUMIFS(Q3997:DK3997,Q$1:DK$1,Dashboard!$K$31)</f>
        <v>0</v>
      </c>
      <c r="U3997" s="95">
        <v>33</v>
      </c>
      <c r="AA3997" s="95">
        <v>25</v>
      </c>
      <c r="AH3997" s="95">
        <v>75</v>
      </c>
    </row>
    <row r="3998" spans="1:34" ht="15.6" x14ac:dyDescent="0.3">
      <c r="A3998" s="89" t="str">
        <f>CONCATENATE(D3998,".",F3998,"-",G3998,".",H3998,"")</f>
        <v>3.3-4.1</v>
      </c>
      <c r="B3998" s="89" t="str">
        <f>IF(CONCATENATE(I3998,Key!F$2)=CONCATENATE(INDEX(Dashboard!J:J,MATCH(I3998,Dashboard!J:J,0),1),INDEX(Dashboard!J:K,MATCH(I3998,Dashboard!J:J,0),2)),"ON",IF(Dashboard!K$32="ALL","ON","-"))</f>
        <v>-</v>
      </c>
      <c r="C3998" s="96" t="s">
        <v>311</v>
      </c>
      <c r="D3998" s="89">
        <f>IF(C3998="ID",1,(IF(C3998="PR",2,(IF(C3998="DE",3,(IF(C3998="RS",4,(IF(C3998="RC",5,0)))))))))</f>
        <v>3</v>
      </c>
      <c r="E3998" s="89" t="s">
        <v>326</v>
      </c>
      <c r="F3998" s="89">
        <f>IF(E3998="AM",1,(IF(E3998="BE",2,(IF(E3998="GV",3,(IF(E3998="RA",4,(IF(E3998="RM",5,(IF(E3998="AC",1,(IF(E3998="AT",2,(IF(E3998="DS",3,(IF(E3998="IP",4,(IF(E3998="MA",5,(IF(E3998="PT",6,(IF(E3998="AE",1,(IF(E3998="CM",2,(IF(E3998="DP",3,(IF(E3998="AN",1,(IF(E3998="CO",2,(IF(E3998="IM",3,(IF(E3998="MI",4,(IF(E3998="RP",5,(IF(E3998="SC",6,0)))))))))))))))))))))))))))))))))))))))</f>
        <v>3</v>
      </c>
      <c r="G3998" s="98">
        <v>4</v>
      </c>
      <c r="H3998" s="90" t="s">
        <v>115</v>
      </c>
      <c r="I3998" s="94" t="s">
        <v>52</v>
      </c>
      <c r="J3998" s="88" t="s">
        <v>3331</v>
      </c>
      <c r="K3998" s="103" t="s">
        <v>3332</v>
      </c>
      <c r="L3998" s="117">
        <f>IF(O3998="","",N3998*O3998*M3998)</f>
        <v>0</v>
      </c>
      <c r="M3998" s="108">
        <v>1</v>
      </c>
      <c r="N3998" s="95">
        <v>1</v>
      </c>
      <c r="O3998" s="109">
        <f>IF(Key!D$1="ON",P3998,IF(SUM(Q3998:DL3998)&lt;1,"",SUM(Q3998:DL3998)/COUNTIF(Q3998:DL3998,"&gt;0")))</f>
        <v>0</v>
      </c>
      <c r="P3998" s="109">
        <f>SUMIFS(Q3998:DK3998,Q$1:DK$1,Dashboard!$K$31)</f>
        <v>0</v>
      </c>
      <c r="U3998" s="95">
        <v>33</v>
      </c>
      <c r="AA3998" s="95">
        <v>25</v>
      </c>
      <c r="AH3998" s="95">
        <v>75</v>
      </c>
    </row>
    <row r="3999" spans="1:34" x14ac:dyDescent="0.3">
      <c r="A3999" s="89" t="str">
        <f>CONCATENATE(D3999,".",F3999,"-",G3999,".",H3999,"")</f>
        <v>3.3-4.1</v>
      </c>
      <c r="B3999" s="89" t="str">
        <f>IF(CONCATENATE(I3999,Key!F$2)=CONCATENATE(INDEX(Dashboard!J:J,MATCH(I3999,Dashboard!J:J,0),1),INDEX(Dashboard!J:K,MATCH(I3999,Dashboard!J:J,0),2)),"ON",IF(Dashboard!K$32="ALL","ON","-"))</f>
        <v>-</v>
      </c>
      <c r="C3999" s="88" t="s">
        <v>311</v>
      </c>
      <c r="D3999" s="89">
        <f>IF(C3999="ID",1,(IF(C3999="PR",2,(IF(C3999="DE",3,(IF(C3999="RS",4,(IF(C3999="RC",5,0)))))))))</f>
        <v>3</v>
      </c>
      <c r="E3999" s="89" t="s">
        <v>326</v>
      </c>
      <c r="F3999" s="89">
        <f>IF(E3999="AM",1,(IF(E3999="BE",2,(IF(E3999="GV",3,(IF(E3999="RA",4,(IF(E3999="RM",5,(IF(E3999="AC",1,(IF(E3999="AT",2,(IF(E3999="DS",3,(IF(E3999="IP",4,(IF(E3999="MA",5,(IF(E3999="PT",6,(IF(E3999="AE",1,(IF(E3999="CM",2,(IF(E3999="DP",3,(IF(E3999="AN",1,(IF(E3999="CO",2,(IF(E3999="IM",3,(IF(E3999="MI",4,(IF(E3999="RP",5,(IF(E3999="SC",6,0)))))))))))))))))))))))))))))))))))))))</f>
        <v>3</v>
      </c>
      <c r="G3999" s="52">
        <v>4</v>
      </c>
      <c r="H3999" s="90" t="s">
        <v>115</v>
      </c>
      <c r="I3999" s="94" t="s">
        <v>60</v>
      </c>
      <c r="J3999" s="87" t="s">
        <v>3269</v>
      </c>
      <c r="K3999" s="51" t="s">
        <v>5382</v>
      </c>
      <c r="L3999" s="117">
        <f>IF(O3999="","",N3999*O3999*M3999)</f>
        <v>0</v>
      </c>
      <c r="M3999" s="108">
        <v>1</v>
      </c>
      <c r="N3999" s="95">
        <v>1</v>
      </c>
      <c r="O3999" s="109">
        <f>IF(Key!D$1="ON",P3999,IF(SUM(Q3999:DL3999)&lt;1,"",SUM(Q3999:DL3999)/COUNTIF(Q3999:DL3999,"&gt;0")))</f>
        <v>0</v>
      </c>
      <c r="P3999" s="109">
        <f>SUMIFS(Q3999:DK3999,Q$1:DK$1,Dashboard!$K$31)</f>
        <v>0</v>
      </c>
      <c r="U3999" s="95">
        <v>33</v>
      </c>
      <c r="AA3999" s="95">
        <v>25</v>
      </c>
      <c r="AH3999" s="95">
        <v>75</v>
      </c>
    </row>
    <row r="4000" spans="1:34" x14ac:dyDescent="0.3">
      <c r="A4000" s="89" t="str">
        <f>CONCATENATE(D4000,".",F4000,"-",G4000,".",H4000,"")</f>
        <v>3.3-4.1</v>
      </c>
      <c r="B4000" s="89" t="str">
        <f>IF(CONCATENATE(I4000,Key!F$2)=CONCATENATE(INDEX(Dashboard!J:J,MATCH(I4000,Dashboard!J:J,0),1),INDEX(Dashboard!J:K,MATCH(I4000,Dashboard!J:J,0),2)),"ON",IF(Dashboard!K$32="ALL","ON","-"))</f>
        <v>-</v>
      </c>
      <c r="C4000" s="88" t="s">
        <v>311</v>
      </c>
      <c r="D4000" s="89">
        <f>IF(C4000="ID",1,(IF(C4000="PR",2,(IF(C4000="DE",3,(IF(C4000="RS",4,(IF(C4000="RC",5,0)))))))))</f>
        <v>3</v>
      </c>
      <c r="E4000" s="89" t="s">
        <v>326</v>
      </c>
      <c r="F4000" s="89">
        <f>IF(E4000="AM",1,(IF(E4000="BE",2,(IF(E4000="GV",3,(IF(E4000="RA",4,(IF(E4000="RM",5,(IF(E4000="AC",1,(IF(E4000="AT",2,(IF(E4000="DS",3,(IF(E4000="IP",4,(IF(E4000="MA",5,(IF(E4000="PT",6,(IF(E4000="AE",1,(IF(E4000="CM",2,(IF(E4000="DP",3,(IF(E4000="AN",1,(IF(E4000="CO",2,(IF(E4000="IM",3,(IF(E4000="MI",4,(IF(E4000="RP",5,(IF(E4000="SC",6,0)))))))))))))))))))))))))))))))))))))))</f>
        <v>3</v>
      </c>
      <c r="G4000" s="52">
        <v>4</v>
      </c>
      <c r="H4000" s="90" t="s">
        <v>115</v>
      </c>
      <c r="I4000" s="94" t="s">
        <v>85</v>
      </c>
      <c r="J4000" s="86" t="s">
        <v>1809</v>
      </c>
      <c r="K4000" s="119" t="s">
        <v>4876</v>
      </c>
      <c r="L4000" s="117">
        <f>IF(O4000="","",N4000*O4000*M4000)</f>
        <v>0</v>
      </c>
      <c r="M4000" s="108">
        <v>1</v>
      </c>
      <c r="N4000" s="95">
        <v>1</v>
      </c>
      <c r="O4000" s="109">
        <f>IF(Key!D$1="ON",P4000,IF(SUM(Q4000:DL4000)&lt;1,"",SUM(Q4000:DL4000)/COUNTIF(Q4000:DL4000,"&gt;0")))</f>
        <v>0</v>
      </c>
      <c r="P4000" s="109">
        <f>SUMIFS(Q4000:DK4000,Q$1:DK$1,Dashboard!$K$31)</f>
        <v>0</v>
      </c>
      <c r="U4000" s="95">
        <v>33</v>
      </c>
      <c r="AA4000" s="95">
        <v>25</v>
      </c>
      <c r="AH4000" s="95">
        <v>75</v>
      </c>
    </row>
    <row r="4001" spans="1:34" x14ac:dyDescent="0.3">
      <c r="A4001" s="89" t="str">
        <f>CONCATENATE(D4001,".",F4001,"-",G4001,".",H4001,"")</f>
        <v>3.3-4.1</v>
      </c>
      <c r="B4001" s="89" t="str">
        <f>IF(CONCATENATE(I4001,Key!F$2)=CONCATENATE(INDEX(Dashboard!J:J,MATCH(I4001,Dashboard!J:J,0),1),INDEX(Dashboard!J:K,MATCH(I4001,Dashboard!J:J,0),2)),"ON",IF(Dashboard!K$32="ALL","ON","-"))</f>
        <v>-</v>
      </c>
      <c r="C4001" s="88" t="s">
        <v>311</v>
      </c>
      <c r="D4001" s="89">
        <f>IF(C4001="ID",1,(IF(C4001="PR",2,(IF(C4001="DE",3,(IF(C4001="RS",4,(IF(C4001="RC",5,0)))))))))</f>
        <v>3</v>
      </c>
      <c r="E4001" s="89" t="s">
        <v>326</v>
      </c>
      <c r="F4001" s="89">
        <f>IF(E4001="AM",1,(IF(E4001="BE",2,(IF(E4001="GV",3,(IF(E4001="RA",4,(IF(E4001="RM",5,(IF(E4001="AC",1,(IF(E4001="AT",2,(IF(E4001="DS",3,(IF(E4001="IP",4,(IF(E4001="MA",5,(IF(E4001="PT",6,(IF(E4001="AE",1,(IF(E4001="CM",2,(IF(E4001="DP",3,(IF(E4001="AN",1,(IF(E4001="CO",2,(IF(E4001="IM",3,(IF(E4001="MI",4,(IF(E4001="RP",5,(IF(E4001="SC",6,0)))))))))))))))))))))))))))))))))))))))</f>
        <v>3</v>
      </c>
      <c r="G4001" s="52">
        <v>4</v>
      </c>
      <c r="H4001" s="90" t="s">
        <v>115</v>
      </c>
      <c r="I4001" s="94" t="s">
        <v>85</v>
      </c>
      <c r="J4001" s="87" t="s">
        <v>1889</v>
      </c>
      <c r="K4001" s="119" t="s">
        <v>1890</v>
      </c>
      <c r="L4001" s="117">
        <f>IF(O4001="","",N4001*O4001*M4001)</f>
        <v>0</v>
      </c>
      <c r="M4001" s="108">
        <v>1</v>
      </c>
      <c r="N4001" s="95">
        <v>1</v>
      </c>
      <c r="O4001" s="109">
        <f>IF(Key!D$1="ON",P4001,IF(SUM(Q4001:DL4001)&lt;1,"",SUM(Q4001:DL4001)/COUNTIF(Q4001:DL4001,"&gt;0")))</f>
        <v>0</v>
      </c>
      <c r="P4001" s="109">
        <f>SUMIFS(Q4001:DK4001,Q$1:DK$1,Dashboard!$K$31)</f>
        <v>0</v>
      </c>
      <c r="U4001" s="95">
        <v>33</v>
      </c>
      <c r="AA4001" s="95">
        <v>25</v>
      </c>
      <c r="AH4001" s="95">
        <v>75</v>
      </c>
    </row>
    <row r="4002" spans="1:34" x14ac:dyDescent="0.3">
      <c r="A4002" s="89" t="str">
        <f>CONCATENATE(D4002,".",F4002,"-",G4002,".",H4002,"")</f>
        <v>3.3-4.1</v>
      </c>
      <c r="B4002" s="89" t="str">
        <f>IF(CONCATENATE(I4002,Key!F$2)=CONCATENATE(INDEX(Dashboard!J:J,MATCH(I4002,Dashboard!J:J,0),1),INDEX(Dashboard!J:K,MATCH(I4002,Dashboard!J:J,0),2)),"ON",IF(Dashboard!K$32="ALL","ON","-"))</f>
        <v>-</v>
      </c>
      <c r="C4002" s="88" t="s">
        <v>311</v>
      </c>
      <c r="D4002" s="89">
        <f>IF(C4002="ID",1,(IF(C4002="PR",2,(IF(C4002="DE",3,(IF(C4002="RS",4,(IF(C4002="RC",5,0)))))))))</f>
        <v>3</v>
      </c>
      <c r="E4002" s="89" t="s">
        <v>326</v>
      </c>
      <c r="F4002" s="89">
        <f>IF(E4002="AM",1,(IF(E4002="BE",2,(IF(E4002="GV",3,(IF(E4002="RA",4,(IF(E4002="RM",5,(IF(E4002="AC",1,(IF(E4002="AT",2,(IF(E4002="DS",3,(IF(E4002="IP",4,(IF(E4002="MA",5,(IF(E4002="PT",6,(IF(E4002="AE",1,(IF(E4002="CM",2,(IF(E4002="DP",3,(IF(E4002="AN",1,(IF(E4002="CO",2,(IF(E4002="IM",3,(IF(E4002="MI",4,(IF(E4002="RP",5,(IF(E4002="SC",6,0)))))))))))))))))))))))))))))))))))))))</f>
        <v>3</v>
      </c>
      <c r="G4002" s="52">
        <v>4</v>
      </c>
      <c r="H4002" s="90" t="s">
        <v>115</v>
      </c>
      <c r="I4002" s="94" t="s">
        <v>85</v>
      </c>
      <c r="J4002" s="86" t="s">
        <v>1808</v>
      </c>
      <c r="K4002" s="119" t="s">
        <v>4803</v>
      </c>
      <c r="L4002" s="117">
        <f>IF(O4002="","",N4002*O4002*M4002)</f>
        <v>0</v>
      </c>
      <c r="M4002" s="108">
        <v>0.9</v>
      </c>
      <c r="N4002" s="95">
        <v>1</v>
      </c>
      <c r="O4002" s="109">
        <f>IF(Key!D$1="ON",P4002,IF(SUM(Q4002:DL4002)&lt;1,"",SUM(Q4002:DL4002)/COUNTIF(Q4002:DL4002,"&gt;0")))</f>
        <v>0</v>
      </c>
      <c r="P4002" s="109">
        <f>SUMIFS(Q4002:DK4002,Q$1:DK$1,Dashboard!$K$31)</f>
        <v>0</v>
      </c>
      <c r="S4002" s="95">
        <v>50</v>
      </c>
      <c r="T4002" s="95">
        <v>80</v>
      </c>
      <c r="U4002" s="95">
        <v>33</v>
      </c>
      <c r="AA4002" s="95">
        <v>25</v>
      </c>
      <c r="AH4002" s="95">
        <v>75</v>
      </c>
    </row>
    <row r="4003" spans="1:34" x14ac:dyDescent="0.3">
      <c r="A4003" s="89" t="str">
        <f>CONCATENATE(D4003,".",F4003,"-",G4003,".",H4003,"")</f>
        <v>3.3-4.1</v>
      </c>
      <c r="B4003" s="89" t="str">
        <f>IF(CONCATENATE(I4003,Key!F$2)=CONCATENATE(INDEX(Dashboard!J:J,MATCH(I4003,Dashboard!J:J,0),1),INDEX(Dashboard!J:K,MATCH(I4003,Dashboard!J:J,0),2)),"ON",IF(Dashboard!K$32="ALL","ON","-"))</f>
        <v>-</v>
      </c>
      <c r="C4003" s="96" t="s">
        <v>311</v>
      </c>
      <c r="D4003" s="89">
        <f>IF(C4003="ID",1,(IF(C4003="PR",2,(IF(C4003="DE",3,(IF(C4003="RS",4,(IF(C4003="RC",5,0)))))))))</f>
        <v>3</v>
      </c>
      <c r="E4003" s="89" t="s">
        <v>326</v>
      </c>
      <c r="F4003" s="89">
        <f>IF(E4003="AM",1,(IF(E4003="BE",2,(IF(E4003="GV",3,(IF(E4003="RA",4,(IF(E4003="RM",5,(IF(E4003="AC",1,(IF(E4003="AT",2,(IF(E4003="DS",3,(IF(E4003="IP",4,(IF(E4003="MA",5,(IF(E4003="PT",6,(IF(E4003="AE",1,(IF(E4003="CM",2,(IF(E4003="DP",3,(IF(E4003="AN",1,(IF(E4003="CO",2,(IF(E4003="IM",3,(IF(E4003="MI",4,(IF(E4003="RP",5,(IF(E4003="SC",6,0)))))))))))))))))))))))))))))))))))))))</f>
        <v>3</v>
      </c>
      <c r="G4003" s="98">
        <v>4</v>
      </c>
      <c r="H4003" s="90" t="s">
        <v>115</v>
      </c>
      <c r="I4003" s="94" t="s">
        <v>92</v>
      </c>
      <c r="J4003" s="87">
        <v>11.4</v>
      </c>
      <c r="K4003" s="102" t="s">
        <v>5226</v>
      </c>
      <c r="L4003" s="117">
        <f>IF(O4003="","",N4003*O4003*M4003)</f>
        <v>0</v>
      </c>
      <c r="M4003" s="108">
        <v>1</v>
      </c>
      <c r="N4003" s="95">
        <v>1</v>
      </c>
      <c r="O4003" s="109">
        <f>IF(Key!D$1="ON",P4003,IF(SUM(Q4003:DL4003)&lt;1,"",SUM(Q4003:DL4003)/COUNTIF(Q4003:DL4003,"&gt;0")))</f>
        <v>0</v>
      </c>
      <c r="P4003" s="109">
        <f>SUMIFS(Q4003:DK4003,Q$1:DK$1,Dashboard!$K$31)</f>
        <v>0</v>
      </c>
      <c r="U4003" s="95">
        <v>33</v>
      </c>
      <c r="AA4003" s="95">
        <v>25</v>
      </c>
      <c r="AH4003" s="95">
        <v>75</v>
      </c>
    </row>
    <row r="4004" spans="1:34" x14ac:dyDescent="0.3">
      <c r="A4004" s="89" t="str">
        <f>CONCATENATE(D4004,".",F4004,"-",G4004,".",H4004,"")</f>
        <v>3.3-4.1</v>
      </c>
      <c r="B4004" s="89" t="str">
        <f>IF(CONCATENATE(I4004,Key!F$2)=CONCATENATE(INDEX(Dashboard!J:J,MATCH(I4004,Dashboard!J:J,0),1),INDEX(Dashboard!J:K,MATCH(I4004,Dashboard!J:J,0),2)),"ON",IF(Dashboard!K$32="ALL","ON","-"))</f>
        <v>-</v>
      </c>
      <c r="C4004" s="96" t="s">
        <v>311</v>
      </c>
      <c r="D4004" s="89">
        <f>IF(C4004="ID",1,(IF(C4004="PR",2,(IF(C4004="DE",3,(IF(C4004="RS",4,(IF(C4004="RC",5,0)))))))))</f>
        <v>3</v>
      </c>
      <c r="E4004" s="89" t="s">
        <v>326</v>
      </c>
      <c r="F4004" s="89">
        <f>IF(E4004="AM",1,(IF(E4004="BE",2,(IF(E4004="GV",3,(IF(E4004="RA",4,(IF(E4004="RM",5,(IF(E4004="AC",1,(IF(E4004="AT",2,(IF(E4004="DS",3,(IF(E4004="IP",4,(IF(E4004="MA",5,(IF(E4004="PT",6,(IF(E4004="AE",1,(IF(E4004="CM",2,(IF(E4004="DP",3,(IF(E4004="AN",1,(IF(E4004="CO",2,(IF(E4004="IM",3,(IF(E4004="MI",4,(IF(E4004="RP",5,(IF(E4004="SC",6,0)))))))))))))))))))))))))))))))))))))))</f>
        <v>3</v>
      </c>
      <c r="G4004" s="98">
        <v>4</v>
      </c>
      <c r="H4004" s="90" t="s">
        <v>115</v>
      </c>
      <c r="I4004" s="94" t="s">
        <v>92</v>
      </c>
      <c r="J4004" s="87">
        <v>11.5</v>
      </c>
      <c r="K4004" s="102" t="s">
        <v>5226</v>
      </c>
      <c r="L4004" s="117">
        <f>IF(O4004="","",N4004*O4004*M4004)</f>
        <v>0</v>
      </c>
      <c r="M4004" s="108">
        <v>1</v>
      </c>
      <c r="N4004" s="95">
        <v>1</v>
      </c>
      <c r="O4004" s="109">
        <f>IF(Key!D$1="ON",P4004,IF(SUM(Q4004:DL4004)&lt;1,"",SUM(Q4004:DL4004)/COUNTIF(Q4004:DL4004,"&gt;0")))</f>
        <v>0</v>
      </c>
      <c r="P4004" s="109">
        <f>SUMIFS(Q4004:DK4004,Q$1:DK$1,Dashboard!$K$31)</f>
        <v>0</v>
      </c>
      <c r="U4004" s="95">
        <v>33</v>
      </c>
      <c r="AA4004" s="95">
        <v>25</v>
      </c>
      <c r="AH4004" s="95">
        <v>75</v>
      </c>
    </row>
    <row r="4005" spans="1:34" x14ac:dyDescent="0.3">
      <c r="A4005" s="89" t="str">
        <f>CONCATENATE(D4005,".",F4005,"-",G4005,".",H4005,"")</f>
        <v>3.3-4.1</v>
      </c>
      <c r="B4005" s="89" t="str">
        <f>IF(CONCATENATE(I4005,Key!F$2)=CONCATENATE(INDEX(Dashboard!J:J,MATCH(I4005,Dashboard!J:J,0),1),INDEX(Dashboard!J:K,MATCH(I4005,Dashboard!J:J,0),2)),"ON",IF(Dashboard!K$32="ALL","ON","-"))</f>
        <v>-</v>
      </c>
      <c r="C4005" s="96" t="s">
        <v>311</v>
      </c>
      <c r="D4005" s="89">
        <f>IF(C4005="ID",1,(IF(C4005="PR",2,(IF(C4005="DE",3,(IF(C4005="RS",4,(IF(C4005="RC",5,0)))))))))</f>
        <v>3</v>
      </c>
      <c r="E4005" s="89" t="s">
        <v>326</v>
      </c>
      <c r="F4005" s="89">
        <f>IF(E4005="AM",1,(IF(E4005="BE",2,(IF(E4005="GV",3,(IF(E4005="RA",4,(IF(E4005="RM",5,(IF(E4005="AC",1,(IF(E4005="AT",2,(IF(E4005="DS",3,(IF(E4005="IP",4,(IF(E4005="MA",5,(IF(E4005="PT",6,(IF(E4005="AE",1,(IF(E4005="CM",2,(IF(E4005="DP",3,(IF(E4005="AN",1,(IF(E4005="CO",2,(IF(E4005="IM",3,(IF(E4005="MI",4,(IF(E4005="RP",5,(IF(E4005="SC",6,0)))))))))))))))))))))))))))))))))))))))</f>
        <v>3</v>
      </c>
      <c r="G4005" s="98">
        <v>4</v>
      </c>
      <c r="H4005" s="90" t="s">
        <v>115</v>
      </c>
      <c r="I4005" s="94" t="s">
        <v>92</v>
      </c>
      <c r="J4005" s="87" t="s">
        <v>317</v>
      </c>
      <c r="K4005" s="102" t="s">
        <v>5226</v>
      </c>
      <c r="L4005" s="117">
        <f>IF(O4005="","",N4005*O4005*M4005)</f>
        <v>0</v>
      </c>
      <c r="M4005" s="108">
        <v>1</v>
      </c>
      <c r="N4005" s="95">
        <v>1</v>
      </c>
      <c r="O4005" s="109">
        <f>IF(Key!D$1="ON",P4005,IF(SUM(Q4005:DL4005)&lt;1,"",SUM(Q4005:DL4005)/COUNTIF(Q4005:DL4005,"&gt;0")))</f>
        <v>0</v>
      </c>
      <c r="P4005" s="109">
        <f>SUMIFS(Q4005:DK4005,Q$1:DK$1,Dashboard!$K$31)</f>
        <v>0</v>
      </c>
      <c r="U4005" s="95">
        <v>33</v>
      </c>
      <c r="AA4005" s="95">
        <v>25</v>
      </c>
      <c r="AH4005" s="95">
        <v>75</v>
      </c>
    </row>
    <row r="4006" spans="1:34" x14ac:dyDescent="0.3">
      <c r="A4006" s="89" t="str">
        <f>CONCATENATE(D4006,".",F4006,"-",G4006,".",H4006,"")</f>
        <v>3.3-4.5</v>
      </c>
      <c r="B4006" s="89" t="str">
        <f>IF(CONCATENATE(I4006,Key!F$2)=CONCATENATE(INDEX(Dashboard!J:J,MATCH(I4006,Dashboard!J:J,0),1),INDEX(Dashboard!J:K,MATCH(I4006,Dashboard!J:J,0),2)),"ON",IF(Dashboard!K$32="ALL","ON","-"))</f>
        <v>-</v>
      </c>
      <c r="C4006" s="88" t="s">
        <v>311</v>
      </c>
      <c r="D4006" s="89">
        <f>IF(C4006="ID",1,(IF(C4006="PR",2,(IF(C4006="DE",3,(IF(C4006="RS",4,(IF(C4006="RC",5,0)))))))))</f>
        <v>3</v>
      </c>
      <c r="E4006" s="89" t="s">
        <v>326</v>
      </c>
      <c r="F4006" s="89">
        <f>IF(E4006="AM",1,(IF(E4006="BE",2,(IF(E4006="GV",3,(IF(E4006="RA",4,(IF(E4006="RM",5,(IF(E4006="AC",1,(IF(E4006="AT",2,(IF(E4006="DS",3,(IF(E4006="IP",4,(IF(E4006="MA",5,(IF(E4006="PT",6,(IF(E4006="AE",1,(IF(E4006="CM",2,(IF(E4006="DP",3,(IF(E4006="AN",1,(IF(E4006="CO",2,(IF(E4006="IM",3,(IF(E4006="MI",4,(IF(E4006="RP",5,(IF(E4006="SC",6,0)))))))))))))))))))))))))))))))))))))))</f>
        <v>3</v>
      </c>
      <c r="G4006" s="52">
        <v>4</v>
      </c>
      <c r="H4006" s="90" t="s">
        <v>123</v>
      </c>
      <c r="I4006" s="94" t="s">
        <v>77</v>
      </c>
      <c r="J4006" s="87" t="s">
        <v>1889</v>
      </c>
      <c r="K4006" s="102" t="s">
        <v>2790</v>
      </c>
      <c r="L4006" s="117">
        <f>IF(O4006="","",N4006*O4006*M4006)</f>
        <v>0</v>
      </c>
      <c r="M4006" s="108">
        <v>1</v>
      </c>
      <c r="N4006" s="95">
        <v>1</v>
      </c>
      <c r="O4006" s="109">
        <f>IF(Key!D$1="ON",P4006,IF(SUM(Q4006:DL4006)&lt;1,"",SUM(Q4006:DL4006)/COUNTIF(Q4006:DL4006,"&gt;0")))</f>
        <v>0</v>
      </c>
      <c r="P4006" s="109">
        <f>SUMIFS(Q4006:DK4006,Q$1:DK$1,Dashboard!$K$31)</f>
        <v>0</v>
      </c>
      <c r="U4006" s="95">
        <v>33</v>
      </c>
      <c r="AA4006" s="95">
        <v>25</v>
      </c>
      <c r="AH4006" s="95">
        <v>75</v>
      </c>
    </row>
    <row r="4007" spans="1:34" x14ac:dyDescent="0.3">
      <c r="A4007" s="89" t="str">
        <f>CONCATENATE(D4007,".",F4007,"-",G4007,".",H4007,"")</f>
        <v>3.3-5.0</v>
      </c>
      <c r="B4007" s="89" t="str">
        <f>IF(CONCATENATE(I4007,Key!F$2)=CONCATENATE(INDEX(Dashboard!J:J,MATCH(I4007,Dashboard!J:J,0),1),INDEX(Dashboard!J:K,MATCH(I4007,Dashboard!J:J,0),2)),"ON",IF(Dashboard!K$32="ALL","ON","-"))</f>
        <v>-</v>
      </c>
      <c r="C4007" s="96" t="s">
        <v>311</v>
      </c>
      <c r="D4007" s="89">
        <f>IF(C4007="ID",1,(IF(C4007="PR",2,(IF(C4007="DE",3,(IF(C4007="RS",4,(IF(C4007="RC",5,0)))))))))</f>
        <v>3</v>
      </c>
      <c r="E4007" s="89" t="s">
        <v>326</v>
      </c>
      <c r="F4007" s="89">
        <f>IF(E4007="AM",1,(IF(E4007="BE",2,(IF(E4007="GV",3,(IF(E4007="RA",4,(IF(E4007="RM",5,(IF(E4007="AC",1,(IF(E4007="AT",2,(IF(E4007="DS",3,(IF(E4007="IP",4,(IF(E4007="MA",5,(IF(E4007="PT",6,(IF(E4007="AE",1,(IF(E4007="CM",2,(IF(E4007="DP",3,(IF(E4007="AN",1,(IF(E4007="CO",2,(IF(E4007="IM",3,(IF(E4007="MI",4,(IF(E4007="RP",5,(IF(E4007="SC",6,0)))))))))))))))))))))))))))))))))))))))</f>
        <v>3</v>
      </c>
      <c r="G4007" s="52">
        <v>5</v>
      </c>
      <c r="H4007" s="90" t="s">
        <v>347</v>
      </c>
      <c r="I4007" s="94" t="s">
        <v>2835</v>
      </c>
      <c r="J4007" s="53" t="s">
        <v>3049</v>
      </c>
      <c r="K4007" s="58" t="s">
        <v>3050</v>
      </c>
      <c r="L4007" s="117">
        <f>IF(O4007="","",N4007*O4007*M4007)</f>
        <v>0</v>
      </c>
      <c r="M4007" s="108">
        <v>1</v>
      </c>
      <c r="N4007" s="95">
        <v>1</v>
      </c>
      <c r="O4007" s="109">
        <f>IF(Key!D$1="ON",P4007,IF(SUM(Q4007:DL4007)&lt;1,"",SUM(Q4007:DL4007)/COUNTIF(Q4007:DL4007,"&gt;0")))</f>
        <v>0</v>
      </c>
      <c r="P4007" s="109">
        <f>SUMIFS(Q4007:DK4007,Q$1:DK$1,Dashboard!$K$31)</f>
        <v>0</v>
      </c>
      <c r="U4007" s="95">
        <v>33</v>
      </c>
    </row>
    <row r="4008" spans="1:34" x14ac:dyDescent="0.3">
      <c r="A4008" s="89" t="str">
        <f>CONCATENATE(D4008,".",F4008,"-",G4008,".",H4008,"")</f>
        <v>3.3-5.1</v>
      </c>
      <c r="B4008" s="89" t="str">
        <f>IF(CONCATENATE(I4008,Key!F$2)=CONCATENATE(INDEX(Dashboard!J:J,MATCH(I4008,Dashboard!J:J,0),1),INDEX(Dashboard!J:K,MATCH(I4008,Dashboard!J:J,0),2)),"ON",IF(Dashboard!K$32="ALL","ON","-"))</f>
        <v>ON</v>
      </c>
      <c r="C4008" s="130" t="s">
        <v>311</v>
      </c>
      <c r="D4008" s="89">
        <f>IF(C4008="ID",1,(IF(C4008="PR",2,(IF(C4008="DE",3,(IF(C4008="RS",4,(IF(C4008="RC",5,0)))))))))</f>
        <v>3</v>
      </c>
      <c r="E4008" s="95" t="s">
        <v>326</v>
      </c>
      <c r="F4008" s="89">
        <f>IF(E4008="AM",1,(IF(E4008="BE",2,(IF(E4008="GV",3,(IF(E4008="RA",4,(IF(E4008="RM",5,(IF(E4008="AC",1,(IF(E4008="AT",2,(IF(E4008="DS",3,(IF(E4008="IP",4,(IF(E4008="MA",5,(IF(E4008="PT",6,(IF(E4008="AE",1,(IF(E4008="CM",2,(IF(E4008="DP",3,(IF(E4008="AN",1,(IF(E4008="CO",2,(IF(E4008="IM",3,(IF(E4008="MI",4,(IF(E4008="RP",5,(IF(E4008="SC",6,0)))))))))))))))))))))))))))))))))))))))</f>
        <v>3</v>
      </c>
      <c r="G4008" s="52">
        <v>5</v>
      </c>
      <c r="H4008" s="90" t="s">
        <v>115</v>
      </c>
      <c r="I4008" s="94" t="s">
        <v>4107</v>
      </c>
      <c r="J4008" s="86" t="s">
        <v>4059</v>
      </c>
      <c r="K4008" s="101" t="s">
        <v>4402</v>
      </c>
      <c r="L4008" s="117">
        <f>IF(O4008="","",N4008*O4008*M4008)</f>
        <v>0</v>
      </c>
      <c r="M4008" s="108">
        <v>1</v>
      </c>
      <c r="N4008" s="95">
        <v>1</v>
      </c>
      <c r="O4008" s="109">
        <f>IF(Key!D$1="ON",P4008,IF(SUM(Q4008:DL4008)&lt;1,"",SUM(Q4008:DL4008)/COUNTIF(Q4008:DL4008,"&gt;0")))</f>
        <v>0</v>
      </c>
      <c r="P4008" s="109">
        <f>SUMIFS(Q4008:DK4008,Q$1:DK$1,Dashboard!$K$31)</f>
        <v>0</v>
      </c>
      <c r="U4008" s="95">
        <v>33</v>
      </c>
      <c r="AA4008" s="95">
        <v>25</v>
      </c>
      <c r="AH4008" s="95">
        <v>75</v>
      </c>
    </row>
    <row r="4009" spans="1:34" x14ac:dyDescent="0.3">
      <c r="A4009" s="89" t="str">
        <f>CONCATENATE(D4009,".",F4009,"-",G4009,".",H4009,"")</f>
        <v>3.3-5.1</v>
      </c>
      <c r="B4009" s="89" t="str">
        <f>IF(CONCATENATE(I4009,Key!F$2)=CONCATENATE(INDEX(Dashboard!J:J,MATCH(I4009,Dashboard!J:J,0),1),INDEX(Dashboard!J:K,MATCH(I4009,Dashboard!J:J,0),2)),"ON",IF(Dashboard!K$32="ALL","ON","-"))</f>
        <v>ON</v>
      </c>
      <c r="C4009" s="96" t="s">
        <v>311</v>
      </c>
      <c r="D4009" s="89">
        <f>IF(C4009="ID",1,(IF(C4009="PR",2,(IF(C4009="DE",3,(IF(C4009="RS",4,(IF(C4009="RC",5,0)))))))))</f>
        <v>3</v>
      </c>
      <c r="E4009" s="89" t="s">
        <v>326</v>
      </c>
      <c r="F4009" s="89">
        <f>IF(E4009="AM",1,(IF(E4009="BE",2,(IF(E4009="GV",3,(IF(E4009="RA",4,(IF(E4009="RM",5,(IF(E4009="AC",1,(IF(E4009="AT",2,(IF(E4009="DS",3,(IF(E4009="IP",4,(IF(E4009="MA",5,(IF(E4009="PT",6,(IF(E4009="AE",1,(IF(E4009="CM",2,(IF(E4009="DP",3,(IF(E4009="AN",1,(IF(E4009="CO",2,(IF(E4009="IM",3,(IF(E4009="MI",4,(IF(E4009="RP",5,(IF(E4009="SC",6,0)))))))))))))))))))))))))))))))))))))))</f>
        <v>3</v>
      </c>
      <c r="G4009" s="52">
        <v>5</v>
      </c>
      <c r="H4009" s="90" t="s">
        <v>115</v>
      </c>
      <c r="I4009" s="94" t="s">
        <v>4107</v>
      </c>
      <c r="J4009" s="86" t="s">
        <v>4017</v>
      </c>
      <c r="K4009" s="101" t="s">
        <v>4383</v>
      </c>
      <c r="L4009" s="117">
        <f>IF(O4009="","",N4009*O4009*M4009)</f>
        <v>0</v>
      </c>
      <c r="M4009" s="108">
        <v>1</v>
      </c>
      <c r="N4009" s="95">
        <v>1</v>
      </c>
      <c r="O4009" s="109">
        <f>IF(Key!D$1="ON",P4009,IF(SUM(Q4009:DL4009)&lt;1,"",SUM(Q4009:DL4009)/COUNTIF(Q4009:DL4009,"&gt;0")))</f>
        <v>0</v>
      </c>
      <c r="P4009" s="109">
        <f>SUMIFS(Q4009:DK4009,Q$1:DK$1,Dashboard!$K$31)</f>
        <v>0</v>
      </c>
      <c r="U4009" s="95">
        <v>33</v>
      </c>
      <c r="AA4009" s="95">
        <v>25</v>
      </c>
      <c r="AH4009" s="95">
        <v>75</v>
      </c>
    </row>
    <row r="4010" spans="1:34" x14ac:dyDescent="0.3">
      <c r="A4010" s="89" t="str">
        <f>CONCATENATE(D4010,".",F4010,"-",G4010,".",H4010,"")</f>
        <v>3.3-5.1</v>
      </c>
      <c r="B4010" s="89" t="str">
        <f>IF(CONCATENATE(I4010,Key!F$2)=CONCATENATE(INDEX(Dashboard!J:J,MATCH(I4010,Dashboard!J:J,0),1),INDEX(Dashboard!J:K,MATCH(I4010,Dashboard!J:J,0),2)),"ON",IF(Dashboard!K$32="ALL","ON","-"))</f>
        <v>-</v>
      </c>
      <c r="C4010" s="96" t="s">
        <v>311</v>
      </c>
      <c r="D4010" s="89">
        <f>IF(C4010="ID",1,(IF(C4010="PR",2,(IF(C4010="DE",3,(IF(C4010="RS",4,(IF(C4010="RC",5,0)))))))))</f>
        <v>3</v>
      </c>
      <c r="E4010" s="89" t="s">
        <v>326</v>
      </c>
      <c r="F4010" s="89">
        <f>IF(E4010="AM",1,(IF(E4010="BE",2,(IF(E4010="GV",3,(IF(E4010="RA",4,(IF(E4010="RM",5,(IF(E4010="AC",1,(IF(E4010="AT",2,(IF(E4010="DS",3,(IF(E4010="IP",4,(IF(E4010="MA",5,(IF(E4010="PT",6,(IF(E4010="AE",1,(IF(E4010="CM",2,(IF(E4010="DP",3,(IF(E4010="AN",1,(IF(E4010="CO",2,(IF(E4010="IM",3,(IF(E4010="MI",4,(IF(E4010="RP",5,(IF(E4010="SC",6,0)))))))))))))))))))))))))))))))))))))))</f>
        <v>3</v>
      </c>
      <c r="G4010" s="52">
        <v>5</v>
      </c>
      <c r="H4010" s="99">
        <v>1</v>
      </c>
      <c r="I4010" s="94" t="s">
        <v>41</v>
      </c>
      <c r="J4010" s="86">
        <v>6.8</v>
      </c>
      <c r="K4010" s="103" t="s">
        <v>3500</v>
      </c>
      <c r="L4010" s="117">
        <f>IF(O4010="","",N4010*O4010*M4010)</f>
        <v>0</v>
      </c>
      <c r="M4010" s="108">
        <v>1</v>
      </c>
      <c r="N4010" s="95">
        <v>1</v>
      </c>
      <c r="O4010" s="109">
        <f>IF(Key!D$1="ON",P4010,IF(SUM(Q4010:DL4010)&lt;1,"",SUM(Q4010:DL4010)/COUNTIF(Q4010:DL4010,"&gt;0")))</f>
        <v>0</v>
      </c>
      <c r="P4010" s="109">
        <f>SUMIFS(Q4010:DK4010,Q$1:DK$1,Dashboard!$K$31)</f>
        <v>0</v>
      </c>
      <c r="U4010" s="95">
        <v>33</v>
      </c>
    </row>
    <row r="4011" spans="1:34" x14ac:dyDescent="0.3">
      <c r="A4011" s="89" t="str">
        <f>CONCATENATE(D4011,".",F4011,"-",G4011,".",H4011,"")</f>
        <v>3.3-5.1</v>
      </c>
      <c r="B4011" s="89" t="str">
        <f>IF(CONCATENATE(I4011,Key!F$2)=CONCATENATE(INDEX(Dashboard!J:J,MATCH(I4011,Dashboard!J:J,0),1),INDEX(Dashboard!J:K,MATCH(I4011,Dashboard!J:J,0),2)),"ON",IF(Dashboard!K$32="ALL","ON","-"))</f>
        <v>-</v>
      </c>
      <c r="C4011" s="96" t="s">
        <v>311</v>
      </c>
      <c r="D4011" s="89">
        <f>IF(C4011="ID",1,(IF(C4011="PR",2,(IF(C4011="DE",3,(IF(C4011="RS",4,(IF(C4011="RC",5,0)))))))))</f>
        <v>3</v>
      </c>
      <c r="E4011" s="89" t="s">
        <v>326</v>
      </c>
      <c r="F4011" s="89">
        <f>IF(E4011="AM",1,(IF(E4011="BE",2,(IF(E4011="GV",3,(IF(E4011="RA",4,(IF(E4011="RM",5,(IF(E4011="AC",1,(IF(E4011="AT",2,(IF(E4011="DS",3,(IF(E4011="IP",4,(IF(E4011="MA",5,(IF(E4011="PT",6,(IF(E4011="AE",1,(IF(E4011="CM",2,(IF(E4011="DP",3,(IF(E4011="AN",1,(IF(E4011="CO",2,(IF(E4011="IM",3,(IF(E4011="MI",4,(IF(E4011="RP",5,(IF(E4011="SC",6,0)))))))))))))))))))))))))))))))))))))))</f>
        <v>3</v>
      </c>
      <c r="G4011" s="98">
        <v>5</v>
      </c>
      <c r="H4011" s="90" t="s">
        <v>115</v>
      </c>
      <c r="I4011" s="94" t="s">
        <v>52</v>
      </c>
      <c r="J4011" s="88" t="s">
        <v>3292</v>
      </c>
      <c r="K4011" s="103" t="s">
        <v>3293</v>
      </c>
      <c r="L4011" s="117">
        <f>IF(O4011="","",N4011*O4011*M4011)</f>
        <v>0</v>
      </c>
      <c r="M4011" s="108">
        <v>1</v>
      </c>
      <c r="N4011" s="95">
        <v>1</v>
      </c>
      <c r="O4011" s="109">
        <f>IF(Key!D$1="ON",P4011,IF(SUM(Q4011:DL4011)&lt;1,"",SUM(Q4011:DL4011)/COUNTIF(Q4011:DL4011,"&gt;0")))</f>
        <v>0</v>
      </c>
      <c r="P4011" s="109">
        <f>SUMIFS(Q4011:DK4011,Q$1:DK$1,Dashboard!$K$31)</f>
        <v>0</v>
      </c>
      <c r="U4011" s="95">
        <v>33</v>
      </c>
      <c r="AA4011" s="95">
        <v>25</v>
      </c>
      <c r="AH4011" s="95">
        <v>75</v>
      </c>
    </row>
    <row r="4012" spans="1:34" x14ac:dyDescent="0.3">
      <c r="A4012" s="89" t="str">
        <f>CONCATENATE(D4012,".",F4012,"-",G4012,".",H4012,"")</f>
        <v>3.3-5.1</v>
      </c>
      <c r="B4012" s="89" t="str">
        <f>IF(CONCATENATE(I4012,Key!F$2)=CONCATENATE(INDEX(Dashboard!J:J,MATCH(I4012,Dashboard!J:J,0),1),INDEX(Dashboard!J:K,MATCH(I4012,Dashboard!J:J,0),2)),"ON",IF(Dashboard!K$32="ALL","ON","-"))</f>
        <v>-</v>
      </c>
      <c r="C4012" s="96" t="s">
        <v>311</v>
      </c>
      <c r="D4012" s="89">
        <f>IF(C4012="ID",1,(IF(C4012="PR",2,(IF(C4012="DE",3,(IF(C4012="RS",4,(IF(C4012="RC",5,0)))))))))</f>
        <v>3</v>
      </c>
      <c r="E4012" s="89" t="s">
        <v>326</v>
      </c>
      <c r="F4012" s="89">
        <f>IF(E4012="AM",1,(IF(E4012="BE",2,(IF(E4012="GV",3,(IF(E4012="RA",4,(IF(E4012="RM",5,(IF(E4012="AC",1,(IF(E4012="AT",2,(IF(E4012="DS",3,(IF(E4012="IP",4,(IF(E4012="MA",5,(IF(E4012="PT",6,(IF(E4012="AE",1,(IF(E4012="CM",2,(IF(E4012="DP",3,(IF(E4012="AN",1,(IF(E4012="CO",2,(IF(E4012="IM",3,(IF(E4012="MI",4,(IF(E4012="RP",5,(IF(E4012="SC",6,0)))))))))))))))))))))))))))))))))))))))</f>
        <v>3</v>
      </c>
      <c r="G4012" s="98">
        <v>5</v>
      </c>
      <c r="H4012" s="90" t="s">
        <v>115</v>
      </c>
      <c r="I4012" s="94" t="s">
        <v>52</v>
      </c>
      <c r="J4012" s="88" t="s">
        <v>3448</v>
      </c>
      <c r="K4012" s="103" t="s">
        <v>3449</v>
      </c>
      <c r="L4012" s="117">
        <f>IF(O4012="","",N4012*O4012*M4012)</f>
        <v>0</v>
      </c>
      <c r="M4012" s="108">
        <v>1</v>
      </c>
      <c r="N4012" s="95">
        <v>1</v>
      </c>
      <c r="O4012" s="109">
        <f>IF(Key!D$1="ON",P4012,IF(SUM(Q4012:DL4012)&lt;1,"",SUM(Q4012:DL4012)/COUNTIF(Q4012:DL4012,"&gt;0")))</f>
        <v>0</v>
      </c>
      <c r="P4012" s="109">
        <f>SUMIFS(Q4012:DK4012,Q$1:DK$1,Dashboard!$K$31)</f>
        <v>0</v>
      </c>
      <c r="U4012" s="95">
        <v>33</v>
      </c>
      <c r="AA4012" s="95">
        <v>25</v>
      </c>
      <c r="AH4012" s="95">
        <v>75</v>
      </c>
    </row>
    <row r="4013" spans="1:34" x14ac:dyDescent="0.3">
      <c r="A4013" s="89" t="str">
        <f>CONCATENATE(D4013,".",F4013,"-",G4013,".",H4013,"")</f>
        <v>3.3-5.1</v>
      </c>
      <c r="B4013" s="89" t="str">
        <f>IF(CONCATENATE(I4013,Key!F$2)=CONCATENATE(INDEX(Dashboard!J:J,MATCH(I4013,Dashboard!J:J,0),1),INDEX(Dashboard!J:K,MATCH(I4013,Dashboard!J:J,0),2)),"ON",IF(Dashboard!K$32="ALL","ON","-"))</f>
        <v>-</v>
      </c>
      <c r="C4013" s="88" t="s">
        <v>311</v>
      </c>
      <c r="D4013" s="89">
        <f>IF(C4013="ID",1,(IF(C4013="PR",2,(IF(C4013="DE",3,(IF(C4013="RS",4,(IF(C4013="RC",5,0)))))))))</f>
        <v>3</v>
      </c>
      <c r="E4013" s="89" t="s">
        <v>326</v>
      </c>
      <c r="F4013" s="89">
        <f>IF(E4013="AM",1,(IF(E4013="BE",2,(IF(E4013="GV",3,(IF(E4013="RA",4,(IF(E4013="RM",5,(IF(E4013="AC",1,(IF(E4013="AT",2,(IF(E4013="DS",3,(IF(E4013="IP",4,(IF(E4013="MA",5,(IF(E4013="PT",6,(IF(E4013="AE",1,(IF(E4013="CM",2,(IF(E4013="DP",3,(IF(E4013="AN",1,(IF(E4013="CO",2,(IF(E4013="IM",3,(IF(E4013="MI",4,(IF(E4013="RP",5,(IF(E4013="SC",6,0)))))))))))))))))))))))))))))))))))))))</f>
        <v>3</v>
      </c>
      <c r="G4013" s="52">
        <v>5</v>
      </c>
      <c r="H4013" s="90" t="s">
        <v>115</v>
      </c>
      <c r="I4013" s="94" t="s">
        <v>60</v>
      </c>
      <c r="J4013" s="87" t="s">
        <v>3251</v>
      </c>
      <c r="K4013" s="51" t="s">
        <v>5365</v>
      </c>
      <c r="L4013" s="117">
        <f>IF(O4013="","",N4013*O4013*M4013)</f>
        <v>0</v>
      </c>
      <c r="M4013" s="108">
        <v>1</v>
      </c>
      <c r="N4013" s="95">
        <v>1</v>
      </c>
      <c r="O4013" s="109">
        <f>IF(Key!D$1="ON",P4013,IF(SUM(Q4013:DL4013)&lt;1,"",SUM(Q4013:DL4013)/COUNTIF(Q4013:DL4013,"&gt;0")))</f>
        <v>0</v>
      </c>
      <c r="P4013" s="109">
        <f>SUMIFS(Q4013:DK4013,Q$1:DK$1,Dashboard!$K$31)</f>
        <v>0</v>
      </c>
      <c r="U4013" s="95">
        <v>33</v>
      </c>
      <c r="AA4013" s="95">
        <v>25</v>
      </c>
      <c r="AH4013" s="95">
        <v>75</v>
      </c>
    </row>
    <row r="4014" spans="1:34" x14ac:dyDescent="0.3">
      <c r="A4014" s="89" t="str">
        <f>CONCATENATE(D4014,".",F4014,"-",G4014,".",H4014,"")</f>
        <v>3.3-5.1</v>
      </c>
      <c r="B4014" s="89" t="str">
        <f>IF(CONCATENATE(I4014,Key!F$2)=CONCATENATE(INDEX(Dashboard!J:J,MATCH(I4014,Dashboard!J:J,0),1),INDEX(Dashboard!J:K,MATCH(I4014,Dashboard!J:J,0),2)),"ON",IF(Dashboard!K$32="ALL","ON","-"))</f>
        <v>-</v>
      </c>
      <c r="C4014" s="88" t="s">
        <v>311</v>
      </c>
      <c r="D4014" s="89">
        <f>IF(C4014="ID",1,(IF(C4014="PR",2,(IF(C4014="DE",3,(IF(C4014="RS",4,(IF(C4014="RC",5,0)))))))))</f>
        <v>3</v>
      </c>
      <c r="E4014" s="89" t="s">
        <v>326</v>
      </c>
      <c r="F4014" s="89">
        <f>IF(E4014="AM",1,(IF(E4014="BE",2,(IF(E4014="GV",3,(IF(E4014="RA",4,(IF(E4014="RM",5,(IF(E4014="AC",1,(IF(E4014="AT",2,(IF(E4014="DS",3,(IF(E4014="IP",4,(IF(E4014="MA",5,(IF(E4014="PT",6,(IF(E4014="AE",1,(IF(E4014="CM",2,(IF(E4014="DP",3,(IF(E4014="AN",1,(IF(E4014="CO",2,(IF(E4014="IM",3,(IF(E4014="MI",4,(IF(E4014="RP",5,(IF(E4014="SC",6,0)))))))))))))))))))))))))))))))))))))))</f>
        <v>3</v>
      </c>
      <c r="G4014" s="52">
        <v>5</v>
      </c>
      <c r="H4014" s="90" t="s">
        <v>115</v>
      </c>
      <c r="I4014" s="94" t="s">
        <v>64</v>
      </c>
      <c r="J4014" s="87" t="s">
        <v>1891</v>
      </c>
      <c r="K4014" s="102" t="s">
        <v>2791</v>
      </c>
      <c r="L4014" s="117">
        <f>IF(O4014="","",N4014*O4014*M4014)</f>
        <v>0</v>
      </c>
      <c r="M4014" s="108">
        <v>1</v>
      </c>
      <c r="N4014" s="95">
        <v>1</v>
      </c>
      <c r="O4014" s="109">
        <f>IF(Key!D$1="ON",P4014,IF(SUM(Q4014:DL4014)&lt;1,"",SUM(Q4014:DL4014)/COUNTIF(Q4014:DL4014,"&gt;0")))</f>
        <v>0</v>
      </c>
      <c r="P4014" s="109">
        <f>SUMIFS(Q4014:DK4014,Q$1:DK$1,Dashboard!$K$31)</f>
        <v>0</v>
      </c>
      <c r="U4014" s="95">
        <v>33</v>
      </c>
      <c r="AA4014" s="95">
        <v>25</v>
      </c>
      <c r="AH4014" s="95">
        <v>75</v>
      </c>
    </row>
    <row r="4015" spans="1:34" x14ac:dyDescent="0.3">
      <c r="A4015" s="89" t="str">
        <f>CONCATENATE(D4015,".",F4015,"-",G4015,".",H4015,"")</f>
        <v>3.3-5.1</v>
      </c>
      <c r="B4015" s="89" t="str">
        <f>IF(CONCATENATE(I4015,Key!F$2)=CONCATENATE(INDEX(Dashboard!J:J,MATCH(I4015,Dashboard!J:J,0),1),INDEX(Dashboard!J:K,MATCH(I4015,Dashboard!J:J,0),2)),"ON",IF(Dashboard!K$32="ALL","ON","-"))</f>
        <v>-</v>
      </c>
      <c r="C4015" s="88" t="s">
        <v>311</v>
      </c>
      <c r="D4015" s="89">
        <f>IF(C4015="ID",1,(IF(C4015="PR",2,(IF(C4015="DE",3,(IF(C4015="RS",4,(IF(C4015="RC",5,0)))))))))</f>
        <v>3</v>
      </c>
      <c r="E4015" s="89" t="s">
        <v>326</v>
      </c>
      <c r="F4015" s="89">
        <f>IF(E4015="AM",1,(IF(E4015="BE",2,(IF(E4015="GV",3,(IF(E4015="RA",4,(IF(E4015="RM",5,(IF(E4015="AC",1,(IF(E4015="AT",2,(IF(E4015="DS",3,(IF(E4015="IP",4,(IF(E4015="MA",5,(IF(E4015="PT",6,(IF(E4015="AE",1,(IF(E4015="CM",2,(IF(E4015="DP",3,(IF(E4015="AN",1,(IF(E4015="CO",2,(IF(E4015="IM",3,(IF(E4015="MI",4,(IF(E4015="RP",5,(IF(E4015="SC",6,0)))))))))))))))))))))))))))))))))))))))</f>
        <v>3</v>
      </c>
      <c r="G4015" s="52">
        <v>5</v>
      </c>
      <c r="H4015" s="90" t="s">
        <v>115</v>
      </c>
      <c r="I4015" s="94" t="s">
        <v>77</v>
      </c>
      <c r="J4015" s="87" t="s">
        <v>1891</v>
      </c>
      <c r="K4015" s="102" t="s">
        <v>2791</v>
      </c>
      <c r="L4015" s="117">
        <f>IF(O4015="","",N4015*O4015*M4015)</f>
        <v>0</v>
      </c>
      <c r="M4015" s="108">
        <v>1</v>
      </c>
      <c r="N4015" s="95">
        <v>1</v>
      </c>
      <c r="O4015" s="109">
        <f>IF(Key!D$1="ON",P4015,IF(SUM(Q4015:DL4015)&lt;1,"",SUM(Q4015:DL4015)/COUNTIF(Q4015:DL4015,"&gt;0")))</f>
        <v>0</v>
      </c>
      <c r="P4015" s="109">
        <f>SUMIFS(Q4015:DK4015,Q$1:DK$1,Dashboard!$K$31)</f>
        <v>0</v>
      </c>
      <c r="U4015" s="95">
        <v>33</v>
      </c>
      <c r="AA4015" s="95">
        <v>25</v>
      </c>
      <c r="AH4015" s="95">
        <v>75</v>
      </c>
    </row>
    <row r="4016" spans="1:34" x14ac:dyDescent="0.3">
      <c r="A4016" s="89" t="str">
        <f>CONCATENATE(D4016,".",F4016,"-",G4016,".",H4016,"")</f>
        <v>3.3-5.1</v>
      </c>
      <c r="B4016" s="89" t="str">
        <f>IF(CONCATENATE(I4016,Key!F$2)=CONCATENATE(INDEX(Dashboard!J:J,MATCH(I4016,Dashboard!J:J,0),1),INDEX(Dashboard!J:K,MATCH(I4016,Dashboard!J:J,0),2)),"ON",IF(Dashboard!K$32="ALL","ON","-"))</f>
        <v>-</v>
      </c>
      <c r="C4016" s="88" t="s">
        <v>311</v>
      </c>
      <c r="D4016" s="89">
        <f>IF(C4016="ID",1,(IF(C4016="PR",2,(IF(C4016="DE",3,(IF(C4016="RS",4,(IF(C4016="RC",5,0)))))))))</f>
        <v>3</v>
      </c>
      <c r="E4016" s="89" t="s">
        <v>326</v>
      </c>
      <c r="F4016" s="89">
        <f>IF(E4016="AM",1,(IF(E4016="BE",2,(IF(E4016="GV",3,(IF(E4016="RA",4,(IF(E4016="RM",5,(IF(E4016="AC",1,(IF(E4016="AT",2,(IF(E4016="DS",3,(IF(E4016="IP",4,(IF(E4016="MA",5,(IF(E4016="PT",6,(IF(E4016="AE",1,(IF(E4016="CM",2,(IF(E4016="DP",3,(IF(E4016="AN",1,(IF(E4016="CO",2,(IF(E4016="IM",3,(IF(E4016="MI",4,(IF(E4016="RP",5,(IF(E4016="SC",6,0)))))))))))))))))))))))))))))))))))))))</f>
        <v>3</v>
      </c>
      <c r="G4016" s="52">
        <v>5</v>
      </c>
      <c r="H4016" s="90" t="s">
        <v>115</v>
      </c>
      <c r="I4016" s="94" t="s">
        <v>85</v>
      </c>
      <c r="J4016" s="87" t="s">
        <v>5217</v>
      </c>
      <c r="K4016" s="119" t="s">
        <v>1826</v>
      </c>
      <c r="L4016" s="117">
        <f>IF(O4016="","",N4016*O4016*M4016)</f>
        <v>0</v>
      </c>
      <c r="M4016" s="108">
        <v>1</v>
      </c>
      <c r="N4016" s="95">
        <v>1</v>
      </c>
      <c r="O4016" s="109">
        <f>IF(Key!D$1="ON",P4016,IF(SUM(Q4016:DL4016)&lt;1,"",SUM(Q4016:DL4016)/COUNTIF(Q4016:DL4016,"&gt;0")))</f>
        <v>0</v>
      </c>
      <c r="P4016" s="109">
        <f>SUMIFS(Q4016:DK4016,Q$1:DK$1,Dashboard!$K$31)</f>
        <v>0</v>
      </c>
      <c r="U4016" s="95">
        <v>33</v>
      </c>
      <c r="AA4016" s="95">
        <v>25</v>
      </c>
      <c r="AH4016" s="95">
        <v>75</v>
      </c>
    </row>
    <row r="4017" spans="1:34" x14ac:dyDescent="0.3">
      <c r="A4017" s="89" t="str">
        <f>CONCATENATE(D4017,".",F4017,"-",G4017,".",H4017,"")</f>
        <v>3.3-5.1</v>
      </c>
      <c r="B4017" s="89" t="str">
        <f>IF(CONCATENATE(I4017,Key!F$2)=CONCATENATE(INDEX(Dashboard!J:J,MATCH(I4017,Dashboard!J:J,0),1),INDEX(Dashboard!J:K,MATCH(I4017,Dashboard!J:J,0),2)),"ON",IF(Dashboard!K$32="ALL","ON","-"))</f>
        <v>-</v>
      </c>
      <c r="C4017" s="96" t="s">
        <v>311</v>
      </c>
      <c r="D4017" s="89">
        <f>IF(C4017="ID",1,(IF(C4017="PR",2,(IF(C4017="DE",3,(IF(C4017="RS",4,(IF(C4017="RC",5,0)))))))))</f>
        <v>3</v>
      </c>
      <c r="E4017" s="89" t="s">
        <v>326</v>
      </c>
      <c r="F4017" s="89">
        <f>IF(E4017="AM",1,(IF(E4017="BE",2,(IF(E4017="GV",3,(IF(E4017="RA",4,(IF(E4017="RM",5,(IF(E4017="AC",1,(IF(E4017="AT",2,(IF(E4017="DS",3,(IF(E4017="IP",4,(IF(E4017="MA",5,(IF(E4017="PT",6,(IF(E4017="AE",1,(IF(E4017="CM",2,(IF(E4017="DP",3,(IF(E4017="AN",1,(IF(E4017="CO",2,(IF(E4017="IM",3,(IF(E4017="MI",4,(IF(E4017="RP",5,(IF(E4017="SC",6,0)))))))))))))))))))))))))))))))))))))))</f>
        <v>3</v>
      </c>
      <c r="G4017" s="98">
        <v>5</v>
      </c>
      <c r="H4017" s="90" t="s">
        <v>115</v>
      </c>
      <c r="I4017" s="94" t="s">
        <v>92</v>
      </c>
      <c r="J4017" s="87">
        <v>11.4</v>
      </c>
      <c r="K4017" s="102" t="s">
        <v>5226</v>
      </c>
      <c r="L4017" s="117">
        <f>IF(O4017="","",N4017*O4017*M4017)</f>
        <v>0</v>
      </c>
      <c r="M4017" s="108">
        <v>1</v>
      </c>
      <c r="N4017" s="95">
        <v>1</v>
      </c>
      <c r="O4017" s="109">
        <f>IF(Key!D$1="ON",P4017,IF(SUM(Q4017:DL4017)&lt;1,"",SUM(Q4017:DL4017)/COUNTIF(Q4017:DL4017,"&gt;0")))</f>
        <v>0</v>
      </c>
      <c r="P4017" s="109">
        <f>SUMIFS(Q4017:DK4017,Q$1:DK$1,Dashboard!$K$31)</f>
        <v>0</v>
      </c>
      <c r="U4017" s="95">
        <v>33</v>
      </c>
      <c r="AA4017" s="95">
        <v>25</v>
      </c>
      <c r="AH4017" s="95">
        <v>75</v>
      </c>
    </row>
    <row r="4018" spans="1:34" x14ac:dyDescent="0.3">
      <c r="A4018" s="89" t="str">
        <f>CONCATENATE(D4018,".",F4018,"-",G4018,".",H4018,"")</f>
        <v>3.3-5.1</v>
      </c>
      <c r="B4018" s="89" t="str">
        <f>IF(CONCATENATE(I4018,Key!F$2)=CONCATENATE(INDEX(Dashboard!J:J,MATCH(I4018,Dashboard!J:J,0),1),INDEX(Dashboard!J:K,MATCH(I4018,Dashboard!J:J,0),2)),"ON",IF(Dashboard!K$32="ALL","ON","-"))</f>
        <v>-</v>
      </c>
      <c r="C4018" s="96" t="s">
        <v>311</v>
      </c>
      <c r="D4018" s="89">
        <f>IF(C4018="ID",1,(IF(C4018="PR",2,(IF(C4018="DE",3,(IF(C4018="RS",4,(IF(C4018="RC",5,0)))))))))</f>
        <v>3</v>
      </c>
      <c r="E4018" s="89" t="s">
        <v>326</v>
      </c>
      <c r="F4018" s="89">
        <f>IF(E4018="AM",1,(IF(E4018="BE",2,(IF(E4018="GV",3,(IF(E4018="RA",4,(IF(E4018="RM",5,(IF(E4018="AC",1,(IF(E4018="AT",2,(IF(E4018="DS",3,(IF(E4018="IP",4,(IF(E4018="MA",5,(IF(E4018="PT",6,(IF(E4018="AE",1,(IF(E4018="CM",2,(IF(E4018="DP",3,(IF(E4018="AN",1,(IF(E4018="CO",2,(IF(E4018="IM",3,(IF(E4018="MI",4,(IF(E4018="RP",5,(IF(E4018="SC",6,0)))))))))))))))))))))))))))))))))))))))</f>
        <v>3</v>
      </c>
      <c r="G4018" s="98">
        <v>5</v>
      </c>
      <c r="H4018" s="90" t="s">
        <v>115</v>
      </c>
      <c r="I4018" s="94" t="s">
        <v>92</v>
      </c>
      <c r="J4018" s="88" t="s">
        <v>319</v>
      </c>
      <c r="K4018" s="102" t="s">
        <v>5226</v>
      </c>
      <c r="L4018" s="117">
        <f>IF(O4018="","",N4018*O4018*M4018)</f>
        <v>0</v>
      </c>
      <c r="M4018" s="108">
        <v>1</v>
      </c>
      <c r="N4018" s="95">
        <v>1</v>
      </c>
      <c r="O4018" s="109">
        <f>IF(Key!D$1="ON",P4018,IF(SUM(Q4018:DL4018)&lt;1,"",SUM(Q4018:DL4018)/COUNTIF(Q4018:DL4018,"&gt;0")))</f>
        <v>0</v>
      </c>
      <c r="P4018" s="109">
        <f>SUMIFS(Q4018:DK4018,Q$1:DK$1,Dashboard!$K$31)</f>
        <v>0</v>
      </c>
      <c r="U4018" s="95">
        <v>33</v>
      </c>
      <c r="AA4018" s="95">
        <v>25</v>
      </c>
      <c r="AH4018" s="95">
        <v>75</v>
      </c>
    </row>
    <row r="4019" spans="1:34" x14ac:dyDescent="0.3">
      <c r="A4019" s="89" t="str">
        <f>CONCATENATE(D4019,".",F4019,"-",G4019,".",H4019,"")</f>
        <v>3.3-5.1</v>
      </c>
      <c r="B4019" s="89" t="str">
        <f>IF(CONCATENATE(I4019,Key!F$2)=CONCATENATE(INDEX(Dashboard!J:J,MATCH(I4019,Dashboard!J:J,0),1),INDEX(Dashboard!J:K,MATCH(I4019,Dashboard!J:J,0),2)),"ON",IF(Dashboard!K$32="ALL","ON","-"))</f>
        <v>-</v>
      </c>
      <c r="C4019" s="88" t="s">
        <v>311</v>
      </c>
      <c r="D4019" s="89">
        <f>IF(C4019="ID",1,(IF(C4019="PR",2,(IF(C4019="DE",3,(IF(C4019="RS",4,(IF(C4019="RC",5,0)))))))))</f>
        <v>3</v>
      </c>
      <c r="E4019" s="89" t="s">
        <v>326</v>
      </c>
      <c r="F4019" s="89">
        <f>IF(E4019="AM",1,(IF(E4019="BE",2,(IF(E4019="GV",3,(IF(E4019="RA",4,(IF(E4019="RM",5,(IF(E4019="AC",1,(IF(E4019="AT",2,(IF(E4019="DS",3,(IF(E4019="IP",4,(IF(E4019="MA",5,(IF(E4019="PT",6,(IF(E4019="AE",1,(IF(E4019="CM",2,(IF(E4019="DP",3,(IF(E4019="AN",1,(IF(E4019="CO",2,(IF(E4019="IM",3,(IF(E4019="MI",4,(IF(E4019="RP",5,(IF(E4019="SC",6,0)))))))))))))))))))))))))))))))))))))))</f>
        <v>3</v>
      </c>
      <c r="G4019" s="52">
        <v>5</v>
      </c>
      <c r="H4019" s="90" t="s">
        <v>115</v>
      </c>
      <c r="I4019" s="94" t="s">
        <v>92</v>
      </c>
      <c r="J4019" s="88" t="s">
        <v>328</v>
      </c>
      <c r="K4019" s="102" t="s">
        <v>5226</v>
      </c>
      <c r="L4019" s="117">
        <f>IF(O4019="","",N4019*O4019*M4019)</f>
        <v>0</v>
      </c>
      <c r="M4019" s="108">
        <v>1</v>
      </c>
      <c r="N4019" s="95">
        <v>1</v>
      </c>
      <c r="O4019" s="109">
        <f>IF(Key!D$1="ON",P4019,IF(SUM(Q4019:DL4019)&lt;1,"",SUM(Q4019:DL4019)/COUNTIF(Q4019:DL4019,"&gt;0")))</f>
        <v>0</v>
      </c>
      <c r="P4019" s="109">
        <f>SUMIFS(Q4019:DK4019,Q$1:DK$1,Dashboard!$K$31)</f>
        <v>0</v>
      </c>
      <c r="U4019" s="95">
        <v>33</v>
      </c>
      <c r="AA4019" s="95">
        <v>25</v>
      </c>
      <c r="AH4019" s="95">
        <v>75</v>
      </c>
    </row>
    <row r="4020" spans="1:34" x14ac:dyDescent="0.3">
      <c r="A4020" s="89" t="str">
        <f>CONCATENATE(D4020,".",F4020,"-",G4020,".",H4020,"")</f>
        <v>3.6-3.1</v>
      </c>
      <c r="B4020" s="89" t="str">
        <f>IF(CONCATENATE(I4020,Key!F$2)=CONCATENATE(INDEX(Dashboard!J:J,MATCH(I4020,Dashboard!J:J,0),1),INDEX(Dashboard!J:K,MATCH(I4020,Dashboard!J:J,0),2)),"ON",IF(Dashboard!K$32="ALL","ON","-"))</f>
        <v>ON</v>
      </c>
      <c r="C4020" s="88" t="s">
        <v>311</v>
      </c>
      <c r="D4020" s="89">
        <f>IF(C4020="ID",1,(IF(C4020="PR",2,(IF(C4020="DE",3,(IF(C4020="RS",4,(IF(C4020="RC",5,0)))))))))</f>
        <v>3</v>
      </c>
      <c r="E4020" s="89" t="s">
        <v>271</v>
      </c>
      <c r="F4020" s="89">
        <f>IF(E4020="AM",1,(IF(E4020="BE",2,(IF(E4020="GV",3,(IF(E4020="RA",4,(IF(E4020="RM",5,(IF(E4020="AC",1,(IF(E4020="AT",2,(IF(E4020="DS",3,(IF(E4020="IP",4,(IF(E4020="MA",5,(IF(E4020="PT",6,(IF(E4020="AE",1,(IF(E4020="CM",2,(IF(E4020="DP",3,(IF(E4020="AN",1,(IF(E4020="CO",2,(IF(E4020="IM",3,(IF(E4020="MI",4,(IF(E4020="RP",5,(IF(E4020="SC",6,0)))))))))))))))))))))))))))))))))))))))</f>
        <v>6</v>
      </c>
      <c r="G4020" s="52">
        <v>3</v>
      </c>
      <c r="H4020" s="89">
        <v>1</v>
      </c>
      <c r="I4020" s="94" t="s">
        <v>4107</v>
      </c>
      <c r="J4020" s="86" t="s">
        <v>4092</v>
      </c>
      <c r="K4020" s="101" t="s">
        <v>4413</v>
      </c>
      <c r="L4020" s="117">
        <f>IF(O4020="","",N4020*O4020*M4020)</f>
        <v>0</v>
      </c>
      <c r="M4020" s="108">
        <v>1</v>
      </c>
      <c r="N4020" s="95">
        <v>1</v>
      </c>
      <c r="O4020" s="109">
        <f>IF(Key!D$1="ON",P4020,IF(SUM(Q4020:DL4020)&lt;1,"",SUM(Q4020:DL4020)/COUNTIF(Q4020:DL4020,"&gt;0")))</f>
        <v>0</v>
      </c>
      <c r="P4020" s="109">
        <f>SUMIFS(Q4020:DK4020,Q$1:DK$1,Dashboard!$K$31)</f>
        <v>0</v>
      </c>
      <c r="U4020" s="95">
        <v>33</v>
      </c>
      <c r="AA4020" s="95">
        <v>25</v>
      </c>
      <c r="AH4020" s="95">
        <v>75</v>
      </c>
    </row>
    <row r="4021" spans="1:34" x14ac:dyDescent="0.3">
      <c r="A4021" s="89" t="str">
        <f>CONCATENATE(D4021,".",F4021,"-",G4021,".",H4021,"")</f>
        <v>4.0-0.1</v>
      </c>
      <c r="B4021" s="89" t="str">
        <f>IF(CONCATENATE(I4021,Key!F$2)=CONCATENATE(INDEX(Dashboard!J:J,MATCH(I4021,Dashboard!J:J,0),1),INDEX(Dashboard!J:K,MATCH(I4021,Dashboard!J:J,0),2)),"ON",IF(Dashboard!K$32="ALL","ON","-"))</f>
        <v>-</v>
      </c>
      <c r="C4021" s="96" t="s">
        <v>329</v>
      </c>
      <c r="D4021" s="89">
        <f>IF(C4021="ID",1,(IF(C4021="PR",2,(IF(C4021="DE",3,(IF(C4021="RS",4,(IF(C4021="RC",5,0)))))))))</f>
        <v>4</v>
      </c>
      <c r="E4021" s="89">
        <v>0</v>
      </c>
      <c r="F4021" s="89">
        <f>IF(E4021="AM",1,(IF(E4021="BE",2,(IF(E4021="GV",3,(IF(E4021="RA",4,(IF(E4021="RM",5,(IF(E4021="AC",1,(IF(E4021="AT",2,(IF(E4021="DS",3,(IF(E4021="IP",4,(IF(E4021="MA",5,(IF(E4021="PT",6,(IF(E4021="AE",1,(IF(E4021="CM",2,(IF(E4021="DP",3,(IF(E4021="AN",1,(IF(E4021="CO",2,(IF(E4021="IM",3,(IF(E4021="MI",4,(IF(E4021="RP",5,(IF(E4021="SC",6,0)))))))))))))))))))))))))))))))))))))))</f>
        <v>0</v>
      </c>
      <c r="G4021" s="52">
        <v>0</v>
      </c>
      <c r="H4021" s="90" t="s">
        <v>115</v>
      </c>
      <c r="I4021" s="94" t="s">
        <v>92</v>
      </c>
      <c r="J4021" s="88" t="s">
        <v>330</v>
      </c>
      <c r="K4021" s="102" t="s">
        <v>5226</v>
      </c>
      <c r="L4021" s="117">
        <f>IF(O4021="","",N4021*O4021*M4021)</f>
        <v>0</v>
      </c>
      <c r="M4021" s="108">
        <v>1</v>
      </c>
      <c r="N4021" s="95">
        <v>1</v>
      </c>
      <c r="O4021" s="109">
        <f>IF(Key!D$1="ON",P4021,IF(SUM(Q4021:DL4021)&lt;1,"",SUM(Q4021:DL4021)/COUNTIF(Q4021:DL4021,"&gt;0")))</f>
        <v>0</v>
      </c>
      <c r="P4021" s="109">
        <f>SUMIFS(Q4021:DK4021,Q$1:DK$1,Dashboard!$K$31)</f>
        <v>0</v>
      </c>
      <c r="U4021" s="95">
        <v>33</v>
      </c>
      <c r="AA4021" s="95">
        <v>25</v>
      </c>
      <c r="AH4021" s="95">
        <v>75</v>
      </c>
    </row>
    <row r="4022" spans="1:34" x14ac:dyDescent="0.3">
      <c r="A4022" s="89" t="str">
        <f>CONCATENATE(D4022,".",F4022,"-",G4022,".",H4022,"")</f>
        <v>4.1-0.0</v>
      </c>
      <c r="B4022" s="89" t="str">
        <f>IF(CONCATENATE(I4022,Key!F$2)=CONCATENATE(INDEX(Dashboard!J:J,MATCH(I4022,Dashboard!J:J,0),1),INDEX(Dashboard!J:K,MATCH(I4022,Dashboard!J:J,0),2)),"ON",IF(Dashboard!K$32="ALL","ON","-"))</f>
        <v>-</v>
      </c>
      <c r="C4022" s="96" t="s">
        <v>329</v>
      </c>
      <c r="D4022" s="89">
        <f>IF(C4022="ID",1,(IF(C4022="PR",2,(IF(C4022="DE",3,(IF(C4022="RS",4,(IF(C4022="RC",5,0)))))))))</f>
        <v>4</v>
      </c>
      <c r="E4022" s="89" t="s">
        <v>331</v>
      </c>
      <c r="F4022" s="89">
        <f>IF(E4022="AM",1,(IF(E4022="BE",2,(IF(E4022="GV",3,(IF(E4022="RA",4,(IF(E4022="RM",5,(IF(E4022="AC",1,(IF(E4022="AT",2,(IF(E4022="DS",3,(IF(E4022="IP",4,(IF(E4022="MA",5,(IF(E4022="PT",6,(IF(E4022="AE",1,(IF(E4022="CM",2,(IF(E4022="DP",3,(IF(E4022="AN",1,(IF(E4022="CO",2,(IF(E4022="IM",3,(IF(E4022="MI",4,(IF(E4022="RP",5,(IF(E4022="SC",6,0)))))))))))))))))))))))))))))))))))))))</f>
        <v>1</v>
      </c>
      <c r="G4022" s="52">
        <v>0</v>
      </c>
      <c r="H4022" s="90" t="s">
        <v>347</v>
      </c>
      <c r="I4022" s="94" t="s">
        <v>2835</v>
      </c>
      <c r="J4022" s="140" t="s">
        <v>3051</v>
      </c>
      <c r="K4022" s="145" t="s">
        <v>3052</v>
      </c>
      <c r="L4022" s="117">
        <f>IF(O4022="","",N4022*O4022*M4022)</f>
        <v>0</v>
      </c>
      <c r="M4022" s="108">
        <v>1</v>
      </c>
      <c r="N4022" s="95">
        <v>1</v>
      </c>
      <c r="O4022" s="109">
        <f>IF(Key!D$1="ON",P4022,IF(SUM(Q4022:DL4022)&lt;1,"",SUM(Q4022:DL4022)/COUNTIF(Q4022:DL4022,"&gt;0")))</f>
        <v>0</v>
      </c>
      <c r="P4022" s="109">
        <f>SUMIFS(Q4022:DK4022,Q$1:DK$1,Dashboard!$K$31)</f>
        <v>0</v>
      </c>
      <c r="Q4022" s="110">
        <v>83</v>
      </c>
      <c r="U4022" s="95">
        <v>33</v>
      </c>
    </row>
    <row r="4023" spans="1:34" x14ac:dyDescent="0.3">
      <c r="A4023" s="89" t="str">
        <f>CONCATENATE(D4023,".",F4023,"-",G4023,".",H4023,"")</f>
        <v>4.1-0.1</v>
      </c>
      <c r="B4023" s="89" t="str">
        <f>IF(CONCATENATE(I4023,Key!F$2)=CONCATENATE(INDEX(Dashboard!J:J,MATCH(I4023,Dashboard!J:J,0),1),INDEX(Dashboard!J:K,MATCH(I4023,Dashboard!J:J,0),2)),"ON",IF(Dashboard!K$32="ALL","ON","-"))</f>
        <v>-</v>
      </c>
      <c r="C4023" s="96" t="s">
        <v>329</v>
      </c>
      <c r="D4023" s="89">
        <f>IF(C4023="ID",1,(IF(C4023="PR",2,(IF(C4023="DE",3,(IF(C4023="RS",4,(IF(C4023="RC",5,0)))))))))</f>
        <v>4</v>
      </c>
      <c r="E4023" s="89" t="s">
        <v>331</v>
      </c>
      <c r="F4023" s="89">
        <f>IF(E4023="AM",1,(IF(E4023="BE",2,(IF(E4023="GV",3,(IF(E4023="RA",4,(IF(E4023="RM",5,(IF(E4023="AC",1,(IF(E4023="AT",2,(IF(E4023="DS",3,(IF(E4023="IP",4,(IF(E4023="MA",5,(IF(E4023="PT",6,(IF(E4023="AE",1,(IF(E4023="CM",2,(IF(E4023="DP",3,(IF(E4023="AN",1,(IF(E4023="CO",2,(IF(E4023="IM",3,(IF(E4023="MI",4,(IF(E4023="RP",5,(IF(E4023="SC",6,0)))))))))))))))))))))))))))))))))))))))</f>
        <v>1</v>
      </c>
      <c r="G4023" s="52">
        <v>0</v>
      </c>
      <c r="H4023" s="90" t="s">
        <v>115</v>
      </c>
      <c r="I4023" s="94" t="s">
        <v>2835</v>
      </c>
      <c r="J4023" s="59" t="s">
        <v>3051</v>
      </c>
      <c r="K4023" s="105" t="s">
        <v>3053</v>
      </c>
      <c r="L4023" s="117">
        <f>IF(O4023="","",N4023*O4023*M4023)</f>
        <v>0</v>
      </c>
      <c r="M4023" s="108">
        <v>1</v>
      </c>
      <c r="N4023" s="95">
        <v>1</v>
      </c>
      <c r="O4023" s="109">
        <f>IF(Key!D$1="ON",P4023,IF(SUM(Q4023:DL4023)&lt;1,"",SUM(Q4023:DL4023)/COUNTIF(Q4023:DL4023,"&gt;0")))</f>
        <v>0</v>
      </c>
      <c r="P4023" s="109">
        <f>SUMIFS(Q4023:DK4023,Q$1:DK$1,Dashboard!$K$31)</f>
        <v>0</v>
      </c>
      <c r="Q4023" s="110">
        <v>83</v>
      </c>
      <c r="U4023" s="95">
        <v>33</v>
      </c>
      <c r="AA4023" s="95">
        <v>50</v>
      </c>
    </row>
    <row r="4024" spans="1:34" ht="15.6" x14ac:dyDescent="0.3">
      <c r="A4024" s="89" t="str">
        <f>CONCATENATE(D4024,".",F4024,"-",G4024,".",H4024,"")</f>
        <v>4.1-1.0</v>
      </c>
      <c r="B4024" s="89" t="str">
        <f>IF(CONCATENATE(I4024,Key!F$2)=CONCATENATE(INDEX(Dashboard!J:J,MATCH(I4024,Dashboard!J:J,0),1),INDEX(Dashboard!J:K,MATCH(I4024,Dashboard!J:J,0),2)),"ON",IF(Dashboard!K$32="ALL","ON","-"))</f>
        <v>-</v>
      </c>
      <c r="C4024" s="96" t="s">
        <v>329</v>
      </c>
      <c r="D4024" s="89">
        <f>IF(C4024="ID",1,(IF(C4024="PR",2,(IF(C4024="DE",3,(IF(C4024="RS",4,(IF(C4024="RC",5,0)))))))))</f>
        <v>4</v>
      </c>
      <c r="E4024" s="89" t="s">
        <v>331</v>
      </c>
      <c r="F4024" s="89">
        <f>IF(E4024="AM",1,(IF(E4024="BE",2,(IF(E4024="GV",3,(IF(E4024="RA",4,(IF(E4024="RM",5,(IF(E4024="AC",1,(IF(E4024="AT",2,(IF(E4024="DS",3,(IF(E4024="IP",4,(IF(E4024="MA",5,(IF(E4024="PT",6,(IF(E4024="AE",1,(IF(E4024="CM",2,(IF(E4024="DP",3,(IF(E4024="AN",1,(IF(E4024="CO",2,(IF(E4024="IM",3,(IF(E4024="MI",4,(IF(E4024="RP",5,(IF(E4024="SC",6,0)))))))))))))))))))))))))))))))))))))))</f>
        <v>1</v>
      </c>
      <c r="G4024" s="52">
        <v>1</v>
      </c>
      <c r="H4024" s="90" t="s">
        <v>347</v>
      </c>
      <c r="I4024" s="94" t="s">
        <v>2835</v>
      </c>
      <c r="J4024" s="53" t="s">
        <v>3054</v>
      </c>
      <c r="K4024" s="105" t="s">
        <v>3055</v>
      </c>
      <c r="L4024" s="117">
        <f>IF(O4024="","",N4024*O4024*M4024)</f>
        <v>0</v>
      </c>
      <c r="M4024" s="108">
        <v>1</v>
      </c>
      <c r="N4024" s="95">
        <v>1</v>
      </c>
      <c r="O4024" s="109">
        <f>IF(Key!D$1="ON",P4024,IF(SUM(Q4024:DL4024)&lt;1,"",SUM(Q4024:DL4024)/COUNTIF(Q4024:DL4024,"&gt;0")))</f>
        <v>0</v>
      </c>
      <c r="P4024" s="109">
        <f>SUMIFS(Q4024:DK4024,Q$1:DK$1,Dashboard!$K$31)</f>
        <v>0</v>
      </c>
      <c r="U4024" s="95">
        <v>33</v>
      </c>
    </row>
    <row r="4025" spans="1:34" x14ac:dyDescent="0.3">
      <c r="A4025" s="89" t="str">
        <f>CONCATENATE(D4025,".",F4025,"-",G4025,".",H4025,"")</f>
        <v>4.1-1.1</v>
      </c>
      <c r="B4025" s="89" t="str">
        <f>IF(CONCATENATE(I4025,Key!F$2)=CONCATENATE(INDEX(Dashboard!J:J,MATCH(I4025,Dashboard!J:J,0),1),INDEX(Dashboard!J:K,MATCH(I4025,Dashboard!J:J,0),2)),"ON",IF(Dashboard!K$32="ALL","ON","-"))</f>
        <v>-</v>
      </c>
      <c r="C4025" s="88" t="s">
        <v>329</v>
      </c>
      <c r="D4025" s="89">
        <f>IF(C4025="ID",1,(IF(C4025="PR",2,(IF(C4025="DE",3,(IF(C4025="RS",4,(IF(C4025="RC",5,0)))))))))</f>
        <v>4</v>
      </c>
      <c r="E4025" s="89" t="s">
        <v>331</v>
      </c>
      <c r="F4025" s="89">
        <f>IF(E4025="AM",1,(IF(E4025="BE",2,(IF(E4025="GV",3,(IF(E4025="RA",4,(IF(E4025="RM",5,(IF(E4025="AC",1,(IF(E4025="AT",2,(IF(E4025="DS",3,(IF(E4025="IP",4,(IF(E4025="MA",5,(IF(E4025="PT",6,(IF(E4025="AE",1,(IF(E4025="CM",2,(IF(E4025="DP",3,(IF(E4025="AN",1,(IF(E4025="CO",2,(IF(E4025="IM",3,(IF(E4025="MI",4,(IF(E4025="RP",5,(IF(E4025="SC",6,0)))))))))))))))))))))))))))))))))))))))</f>
        <v>1</v>
      </c>
      <c r="G4025" s="52">
        <v>1</v>
      </c>
      <c r="H4025" s="99">
        <v>1</v>
      </c>
      <c r="I4025" s="94" t="s">
        <v>37</v>
      </c>
      <c r="J4025" s="86">
        <v>4.7</v>
      </c>
      <c r="K4025" s="102" t="s">
        <v>3845</v>
      </c>
      <c r="L4025" s="117">
        <f>IF(O4025="","",N4025*O4025*M4025)</f>
        <v>0</v>
      </c>
      <c r="M4025" s="108">
        <v>1</v>
      </c>
      <c r="N4025" s="95">
        <v>1</v>
      </c>
      <c r="O4025" s="109">
        <f>IF(Key!D$1="ON",P4025,IF(SUM(Q4025:DL4025)&lt;1,"",SUM(Q4025:DL4025)/COUNTIF(Q4025:DL4025,"&gt;0")))</f>
        <v>0</v>
      </c>
      <c r="P4025" s="109">
        <f>SUMIFS(Q4025:DK4025,Q$1:DK$1,Dashboard!$K$31)</f>
        <v>0</v>
      </c>
      <c r="U4025" s="95">
        <v>33</v>
      </c>
      <c r="AA4025" s="95">
        <v>25</v>
      </c>
      <c r="AH4025" s="95">
        <v>75</v>
      </c>
    </row>
    <row r="4026" spans="1:34" x14ac:dyDescent="0.3">
      <c r="A4026" s="89" t="str">
        <f>CONCATENATE(D4026,".",F4026,"-",G4026,".",H4026,"")</f>
        <v>4.1-1.1</v>
      </c>
      <c r="B4026" s="89" t="str">
        <f>IF(CONCATENATE(I4026,Key!F$2)=CONCATENATE(INDEX(Dashboard!J:J,MATCH(I4026,Dashboard!J:J,0),1),INDEX(Dashboard!J:K,MATCH(I4026,Dashboard!J:J,0),2)),"ON",IF(Dashboard!K$32="ALL","ON","-"))</f>
        <v>-</v>
      </c>
      <c r="C4026" s="88" t="s">
        <v>329</v>
      </c>
      <c r="D4026" s="89">
        <f>IF(C4026="ID",1,(IF(C4026="PR",2,(IF(C4026="DE",3,(IF(C4026="RS",4,(IF(C4026="RC",5,0)))))))))</f>
        <v>4</v>
      </c>
      <c r="E4026" s="89" t="s">
        <v>331</v>
      </c>
      <c r="F4026" s="89">
        <f>IF(E4026="AM",1,(IF(E4026="BE",2,(IF(E4026="GV",3,(IF(E4026="RA",4,(IF(E4026="RM",5,(IF(E4026="AC",1,(IF(E4026="AT",2,(IF(E4026="DS",3,(IF(E4026="IP",4,(IF(E4026="MA",5,(IF(E4026="PT",6,(IF(E4026="AE",1,(IF(E4026="CM",2,(IF(E4026="DP",3,(IF(E4026="AN",1,(IF(E4026="CO",2,(IF(E4026="IM",3,(IF(E4026="MI",4,(IF(E4026="RP",5,(IF(E4026="SC",6,0)))))))))))))))))))))))))))))))))))))))</f>
        <v>1</v>
      </c>
      <c r="G4026" s="52">
        <v>1</v>
      </c>
      <c r="H4026" s="99">
        <v>1</v>
      </c>
      <c r="I4026" s="94" t="s">
        <v>37</v>
      </c>
      <c r="J4026" s="86">
        <v>6.4</v>
      </c>
      <c r="K4026" s="102" t="s">
        <v>3846</v>
      </c>
      <c r="L4026" s="117">
        <f>IF(O4026="","",N4026*O4026*M4026)</f>
        <v>0</v>
      </c>
      <c r="M4026" s="108">
        <v>1</v>
      </c>
      <c r="N4026" s="95">
        <v>1</v>
      </c>
      <c r="O4026" s="109">
        <f>IF(Key!D$1="ON",P4026,IF(SUM(Q4026:DL4026)&lt;1,"",SUM(Q4026:DL4026)/COUNTIF(Q4026:DL4026,"&gt;0")))</f>
        <v>0</v>
      </c>
      <c r="P4026" s="109">
        <f>SUMIFS(Q4026:DK4026,Q$1:DK$1,Dashboard!$K$31)</f>
        <v>0</v>
      </c>
      <c r="U4026" s="95">
        <v>33</v>
      </c>
      <c r="AA4026" s="95">
        <v>25</v>
      </c>
      <c r="AH4026" s="95">
        <v>75</v>
      </c>
    </row>
    <row r="4027" spans="1:34" x14ac:dyDescent="0.3">
      <c r="A4027" s="89" t="str">
        <f>CONCATENATE(D4027,".",F4027,"-",G4027,".",H4027,"")</f>
        <v>4.1-1.1</v>
      </c>
      <c r="B4027" s="89" t="str">
        <f>IF(CONCATENATE(I4027,Key!F$2)=CONCATENATE(INDEX(Dashboard!J:J,MATCH(I4027,Dashboard!J:J,0),1),INDEX(Dashboard!J:K,MATCH(I4027,Dashboard!J:J,0),2)),"ON",IF(Dashboard!K$32="ALL","ON","-"))</f>
        <v>-</v>
      </c>
      <c r="C4027" s="96" t="s">
        <v>329</v>
      </c>
      <c r="D4027" s="89">
        <f>IF(C4027="ID",1,(IF(C4027="PR",2,(IF(C4027="DE",3,(IF(C4027="RS",4,(IF(C4027="RC",5,0)))))))))</f>
        <v>4</v>
      </c>
      <c r="E4027" s="89" t="s">
        <v>331</v>
      </c>
      <c r="F4027" s="89">
        <f>IF(E4027="AM",1,(IF(E4027="BE",2,(IF(E4027="GV",3,(IF(E4027="RA",4,(IF(E4027="RM",5,(IF(E4027="AC",1,(IF(E4027="AT",2,(IF(E4027="DS",3,(IF(E4027="IP",4,(IF(E4027="MA",5,(IF(E4027="PT",6,(IF(E4027="AE",1,(IF(E4027="CM",2,(IF(E4027="DP",3,(IF(E4027="AN",1,(IF(E4027="CO",2,(IF(E4027="IM",3,(IF(E4027="MI",4,(IF(E4027="RP",5,(IF(E4027="SC",6,0)))))))))))))))))))))))))))))))))))))))</f>
        <v>1</v>
      </c>
      <c r="G4027" s="98">
        <v>1</v>
      </c>
      <c r="H4027" s="90" t="s">
        <v>115</v>
      </c>
      <c r="I4027" s="94" t="s">
        <v>52</v>
      </c>
      <c r="J4027" s="88" t="s">
        <v>3446</v>
      </c>
      <c r="K4027" s="103" t="s">
        <v>3447</v>
      </c>
      <c r="L4027" s="117">
        <f>IF(O4027="","",N4027*O4027*M4027)</f>
        <v>0</v>
      </c>
      <c r="M4027" s="108">
        <v>1</v>
      </c>
      <c r="N4027" s="95">
        <v>1</v>
      </c>
      <c r="O4027" s="109">
        <f>IF(Key!D$1="ON",P4027,IF(SUM(Q4027:DL4027)&lt;1,"",SUM(Q4027:DL4027)/COUNTIF(Q4027:DL4027,"&gt;0")))</f>
        <v>0</v>
      </c>
      <c r="P4027" s="109">
        <f>SUMIFS(Q4027:DK4027,Q$1:DK$1,Dashboard!$K$31)</f>
        <v>0</v>
      </c>
      <c r="U4027" s="95">
        <v>33</v>
      </c>
      <c r="AA4027" s="95">
        <v>25</v>
      </c>
      <c r="AH4027" s="95">
        <v>75</v>
      </c>
    </row>
    <row r="4028" spans="1:34" x14ac:dyDescent="0.3">
      <c r="A4028" s="89" t="str">
        <f>CONCATENATE(D4028,".",F4028,"-",G4028,".",H4028,"")</f>
        <v>4.1-1.1</v>
      </c>
      <c r="B4028" s="89" t="str">
        <f>IF(CONCATENATE(I4028,Key!F$2)=CONCATENATE(INDEX(Dashboard!J:J,MATCH(I4028,Dashboard!J:J,0),1),INDEX(Dashboard!J:K,MATCH(I4028,Dashboard!J:J,0),2)),"ON",IF(Dashboard!K$32="ALL","ON","-"))</f>
        <v>-</v>
      </c>
      <c r="C4028" s="96" t="s">
        <v>329</v>
      </c>
      <c r="D4028" s="89">
        <f>IF(C4028="ID",1,(IF(C4028="PR",2,(IF(C4028="DE",3,(IF(C4028="RS",4,(IF(C4028="RC",5,0)))))))))</f>
        <v>4</v>
      </c>
      <c r="E4028" s="89" t="s">
        <v>331</v>
      </c>
      <c r="F4028" s="89">
        <f>IF(E4028="AM",1,(IF(E4028="BE",2,(IF(E4028="GV",3,(IF(E4028="RA",4,(IF(E4028="RM",5,(IF(E4028="AC",1,(IF(E4028="AT",2,(IF(E4028="DS",3,(IF(E4028="IP",4,(IF(E4028="MA",5,(IF(E4028="PT",6,(IF(E4028="AE",1,(IF(E4028="CM",2,(IF(E4028="DP",3,(IF(E4028="AN",1,(IF(E4028="CO",2,(IF(E4028="IM",3,(IF(E4028="MI",4,(IF(E4028="RP",5,(IF(E4028="SC",6,0)))))))))))))))))))))))))))))))))))))))</f>
        <v>1</v>
      </c>
      <c r="G4028" s="98">
        <v>1</v>
      </c>
      <c r="H4028" s="90" t="s">
        <v>115</v>
      </c>
      <c r="I4028" s="94" t="s">
        <v>52</v>
      </c>
      <c r="J4028" s="88" t="s">
        <v>3437</v>
      </c>
      <c r="K4028" s="103" t="s">
        <v>3438</v>
      </c>
      <c r="L4028" s="117">
        <f>IF(O4028="","",N4028*O4028*M4028)</f>
        <v>0</v>
      </c>
      <c r="M4028" s="108">
        <v>1</v>
      </c>
      <c r="N4028" s="95">
        <v>1</v>
      </c>
      <c r="O4028" s="109">
        <f>IF(Key!D$1="ON",P4028,IF(SUM(Q4028:DL4028)&lt;1,"",SUM(Q4028:DL4028)/COUNTIF(Q4028:DL4028,"&gt;0")))</f>
        <v>0</v>
      </c>
      <c r="P4028" s="109">
        <f>SUMIFS(Q4028:DK4028,Q$1:DK$1,Dashboard!$K$31)</f>
        <v>0</v>
      </c>
      <c r="U4028" s="95">
        <v>33</v>
      </c>
      <c r="AA4028" s="95">
        <v>25</v>
      </c>
      <c r="AH4028" s="95">
        <v>75</v>
      </c>
    </row>
    <row r="4029" spans="1:34" x14ac:dyDescent="0.3">
      <c r="A4029" s="89" t="str">
        <f>CONCATENATE(D4029,".",F4029,"-",G4029,".",H4029,"")</f>
        <v>4.1-1.1</v>
      </c>
      <c r="B4029" s="89" t="str">
        <f>IF(CONCATENATE(I4029,Key!F$2)=CONCATENATE(INDEX(Dashboard!J:J,MATCH(I4029,Dashboard!J:J,0),1),INDEX(Dashboard!J:K,MATCH(I4029,Dashboard!J:J,0),2)),"ON",IF(Dashboard!K$32="ALL","ON","-"))</f>
        <v>-</v>
      </c>
      <c r="C4029" s="96" t="s">
        <v>329</v>
      </c>
      <c r="D4029" s="89">
        <f>IF(C4029="ID",1,(IF(C4029="PR",2,(IF(C4029="DE",3,(IF(C4029="RS",4,(IF(C4029="RC",5,0)))))))))</f>
        <v>4</v>
      </c>
      <c r="E4029" s="89" t="s">
        <v>331</v>
      </c>
      <c r="F4029" s="89">
        <f>IF(E4029="AM",1,(IF(E4029="BE",2,(IF(E4029="GV",3,(IF(E4029="RA",4,(IF(E4029="RM",5,(IF(E4029="AC",1,(IF(E4029="AT",2,(IF(E4029="DS",3,(IF(E4029="IP",4,(IF(E4029="MA",5,(IF(E4029="PT",6,(IF(E4029="AE",1,(IF(E4029="CM",2,(IF(E4029="DP",3,(IF(E4029="AN",1,(IF(E4029="CO",2,(IF(E4029="IM",3,(IF(E4029="MI",4,(IF(E4029="RP",5,(IF(E4029="SC",6,0)))))))))))))))))))))))))))))))))))))))</f>
        <v>1</v>
      </c>
      <c r="G4029" s="98">
        <v>1</v>
      </c>
      <c r="H4029" s="90" t="s">
        <v>115</v>
      </c>
      <c r="I4029" s="94" t="s">
        <v>52</v>
      </c>
      <c r="J4029" s="88" t="s">
        <v>3305</v>
      </c>
      <c r="K4029" s="103" t="s">
        <v>3306</v>
      </c>
      <c r="L4029" s="117">
        <f>IF(O4029="","",N4029*O4029*M4029)</f>
        <v>0</v>
      </c>
      <c r="M4029" s="108">
        <v>1</v>
      </c>
      <c r="N4029" s="95">
        <v>1</v>
      </c>
      <c r="O4029" s="109">
        <f>IF(Key!D$1="ON",P4029,IF(SUM(Q4029:DL4029)&lt;1,"",SUM(Q4029:DL4029)/COUNTIF(Q4029:DL4029,"&gt;0")))</f>
        <v>0</v>
      </c>
      <c r="P4029" s="109">
        <f>SUMIFS(Q4029:DK4029,Q$1:DK$1,Dashboard!$K$31)</f>
        <v>0</v>
      </c>
      <c r="U4029" s="95">
        <v>33</v>
      </c>
      <c r="AA4029" s="95">
        <v>25</v>
      </c>
      <c r="AH4029" s="95">
        <v>75</v>
      </c>
    </row>
    <row r="4030" spans="1:34" x14ac:dyDescent="0.3">
      <c r="A4030" s="89" t="str">
        <f>CONCATENATE(D4030,".",F4030,"-",G4030,".",H4030,"")</f>
        <v>4.1-1.1</v>
      </c>
      <c r="B4030" s="89" t="str">
        <f>IF(CONCATENATE(I4030,Key!F$2)=CONCATENATE(INDEX(Dashboard!J:J,MATCH(I4030,Dashboard!J:J,0),1),INDEX(Dashboard!J:K,MATCH(I4030,Dashboard!J:J,0),2)),"ON",IF(Dashboard!K$32="ALL","ON","-"))</f>
        <v>-</v>
      </c>
      <c r="C4030" s="96" t="s">
        <v>329</v>
      </c>
      <c r="D4030" s="89">
        <f>IF(C4030="ID",1,(IF(C4030="PR",2,(IF(C4030="DE",3,(IF(C4030="RS",4,(IF(C4030="RC",5,0)))))))))</f>
        <v>4</v>
      </c>
      <c r="E4030" s="89" t="s">
        <v>331</v>
      </c>
      <c r="F4030" s="89">
        <f>IF(E4030="AM",1,(IF(E4030="BE",2,(IF(E4030="GV",3,(IF(E4030="RA",4,(IF(E4030="RM",5,(IF(E4030="AC",1,(IF(E4030="AT",2,(IF(E4030="DS",3,(IF(E4030="IP",4,(IF(E4030="MA",5,(IF(E4030="PT",6,(IF(E4030="AE",1,(IF(E4030="CM",2,(IF(E4030="DP",3,(IF(E4030="AN",1,(IF(E4030="CO",2,(IF(E4030="IM",3,(IF(E4030="MI",4,(IF(E4030="RP",5,(IF(E4030="SC",6,0)))))))))))))))))))))))))))))))))))))))</f>
        <v>1</v>
      </c>
      <c r="G4030" s="98">
        <v>1</v>
      </c>
      <c r="H4030" s="90" t="s">
        <v>115</v>
      </c>
      <c r="I4030" s="94" t="s">
        <v>52</v>
      </c>
      <c r="J4030" s="88" t="s">
        <v>3441</v>
      </c>
      <c r="K4030" s="103" t="s">
        <v>3442</v>
      </c>
      <c r="L4030" s="117">
        <f>IF(O4030="","",N4030*O4030*M4030)</f>
        <v>0</v>
      </c>
      <c r="M4030" s="108">
        <v>1</v>
      </c>
      <c r="N4030" s="95">
        <v>1</v>
      </c>
      <c r="O4030" s="109">
        <f>IF(Key!D$1="ON",P4030,IF(SUM(Q4030:DL4030)&lt;1,"",SUM(Q4030:DL4030)/COUNTIF(Q4030:DL4030,"&gt;0")))</f>
        <v>0</v>
      </c>
      <c r="P4030" s="109">
        <f>SUMIFS(Q4030:DK4030,Q$1:DK$1,Dashboard!$K$31)</f>
        <v>0</v>
      </c>
      <c r="U4030" s="95">
        <v>33</v>
      </c>
      <c r="AA4030" s="95">
        <v>25</v>
      </c>
      <c r="AH4030" s="95">
        <v>75</v>
      </c>
    </row>
    <row r="4031" spans="1:34" x14ac:dyDescent="0.3">
      <c r="A4031" s="89" t="str">
        <f>CONCATENATE(D4031,".",F4031,"-",G4031,".",H4031,"")</f>
        <v>4.1-1.1</v>
      </c>
      <c r="B4031" s="89" t="str">
        <f>IF(CONCATENATE(I4031,Key!F$2)=CONCATENATE(INDEX(Dashboard!J:J,MATCH(I4031,Dashboard!J:J,0),1),INDEX(Dashboard!J:K,MATCH(I4031,Dashboard!J:J,0),2)),"ON",IF(Dashboard!K$32="ALL","ON","-"))</f>
        <v>-</v>
      </c>
      <c r="C4031" s="88" t="s">
        <v>329</v>
      </c>
      <c r="D4031" s="89">
        <f>IF(C4031="ID",1,(IF(C4031="PR",2,(IF(C4031="DE",3,(IF(C4031="RS",4,(IF(C4031="RC",5,0)))))))))</f>
        <v>4</v>
      </c>
      <c r="E4031" s="89" t="s">
        <v>331</v>
      </c>
      <c r="F4031" s="89">
        <f>IF(E4031="AM",1,(IF(E4031="BE",2,(IF(E4031="GV",3,(IF(E4031="RA",4,(IF(E4031="RM",5,(IF(E4031="AC",1,(IF(E4031="AT",2,(IF(E4031="DS",3,(IF(E4031="IP",4,(IF(E4031="MA",5,(IF(E4031="PT",6,(IF(E4031="AE",1,(IF(E4031="CM",2,(IF(E4031="DP",3,(IF(E4031="AN",1,(IF(E4031="CO",2,(IF(E4031="IM",3,(IF(E4031="MI",4,(IF(E4031="RP",5,(IF(E4031="SC",6,0)))))))))))))))))))))))))))))))))))))))</f>
        <v>1</v>
      </c>
      <c r="G4031" s="52">
        <v>1</v>
      </c>
      <c r="H4031" s="90" t="s">
        <v>115</v>
      </c>
      <c r="I4031" s="94" t="s">
        <v>60</v>
      </c>
      <c r="J4031" s="87" t="s">
        <v>3258</v>
      </c>
      <c r="K4031" s="51" t="s">
        <v>5371</v>
      </c>
      <c r="L4031" s="117">
        <f>IF(O4031="","",N4031*O4031*M4031)</f>
        <v>0</v>
      </c>
      <c r="M4031" s="108">
        <v>1</v>
      </c>
      <c r="N4031" s="95">
        <v>1</v>
      </c>
      <c r="O4031" s="109">
        <f>IF(Key!D$1="ON",P4031,IF(SUM(Q4031:DL4031)&lt;1,"",SUM(Q4031:DL4031)/COUNTIF(Q4031:DL4031,"&gt;0")))</f>
        <v>0</v>
      </c>
      <c r="P4031" s="109">
        <f>SUMIFS(Q4031:DK4031,Q$1:DK$1,Dashboard!$K$31)</f>
        <v>0</v>
      </c>
      <c r="U4031" s="95">
        <v>33</v>
      </c>
      <c r="AA4031" s="95">
        <v>25</v>
      </c>
      <c r="AH4031" s="95">
        <v>75</v>
      </c>
    </row>
    <row r="4032" spans="1:34" x14ac:dyDescent="0.3">
      <c r="A4032" s="89" t="str">
        <f>CONCATENATE(D4032,".",F4032,"-",G4032,".",H4032,"")</f>
        <v>4.1-1.1</v>
      </c>
      <c r="B4032" s="89" t="str">
        <f>IF(CONCATENATE(I4032,Key!F$2)=CONCATENATE(INDEX(Dashboard!J:J,MATCH(I4032,Dashboard!J:J,0),1),INDEX(Dashboard!J:K,MATCH(I4032,Dashboard!J:J,0),2)),"ON",IF(Dashboard!K$32="ALL","ON","-"))</f>
        <v>-</v>
      </c>
      <c r="C4032" s="88" t="s">
        <v>329</v>
      </c>
      <c r="D4032" s="89">
        <f>IF(C4032="ID",1,(IF(C4032="PR",2,(IF(C4032="DE",3,(IF(C4032="RS",4,(IF(C4032="RC",5,0)))))))))</f>
        <v>4</v>
      </c>
      <c r="E4032" s="89" t="s">
        <v>331</v>
      </c>
      <c r="F4032" s="89">
        <f>IF(E4032="AM",1,(IF(E4032="BE",2,(IF(E4032="GV",3,(IF(E4032="RA",4,(IF(E4032="RM",5,(IF(E4032="AC",1,(IF(E4032="AT",2,(IF(E4032="DS",3,(IF(E4032="IP",4,(IF(E4032="MA",5,(IF(E4032="PT",6,(IF(E4032="AE",1,(IF(E4032="CM",2,(IF(E4032="DP",3,(IF(E4032="AN",1,(IF(E4032="CO",2,(IF(E4032="IM",3,(IF(E4032="MI",4,(IF(E4032="RP",5,(IF(E4032="SC",6,0)))))))))))))))))))))))))))))))))))))))</f>
        <v>1</v>
      </c>
      <c r="G4032" s="52">
        <v>1</v>
      </c>
      <c r="H4032" s="90" t="s">
        <v>115</v>
      </c>
      <c r="I4032" s="94" t="s">
        <v>60</v>
      </c>
      <c r="J4032" s="87" t="s">
        <v>3258</v>
      </c>
      <c r="K4032" s="51" t="s">
        <v>5371</v>
      </c>
      <c r="L4032" s="117">
        <f>IF(O4032="","",N4032*O4032*M4032)</f>
        <v>0</v>
      </c>
      <c r="M4032" s="108">
        <v>1</v>
      </c>
      <c r="N4032" s="95">
        <v>1</v>
      </c>
      <c r="O4032" s="109">
        <f>IF(Key!D$1="ON",P4032,IF(SUM(Q4032:DL4032)&lt;1,"",SUM(Q4032:DL4032)/COUNTIF(Q4032:DL4032,"&gt;0")))</f>
        <v>0</v>
      </c>
      <c r="P4032" s="109">
        <f>SUMIFS(Q4032:DK4032,Q$1:DK$1,Dashboard!$K$31)</f>
        <v>0</v>
      </c>
      <c r="U4032" s="95">
        <v>33</v>
      </c>
      <c r="AA4032" s="95">
        <v>25</v>
      </c>
      <c r="AH4032" s="95">
        <v>75</v>
      </c>
    </row>
    <row r="4033" spans="1:34" x14ac:dyDescent="0.3">
      <c r="A4033" s="89" t="str">
        <f>CONCATENATE(D4033,".",F4033,"-",G4033,".",H4033,"")</f>
        <v>4.1-1.1</v>
      </c>
      <c r="B4033" s="89" t="str">
        <f>IF(CONCATENATE(I4033,Key!F$2)=CONCATENATE(INDEX(Dashboard!J:J,MATCH(I4033,Dashboard!J:J,0),1),INDEX(Dashboard!J:K,MATCH(I4033,Dashboard!J:J,0),2)),"ON",IF(Dashboard!K$32="ALL","ON","-"))</f>
        <v>-</v>
      </c>
      <c r="C4033" s="88" t="s">
        <v>329</v>
      </c>
      <c r="D4033" s="89">
        <f>IF(C4033="ID",1,(IF(C4033="PR",2,(IF(C4033="DE",3,(IF(C4033="RS",4,(IF(C4033="RC",5,0)))))))))</f>
        <v>4</v>
      </c>
      <c r="E4033" s="89" t="s">
        <v>331</v>
      </c>
      <c r="F4033" s="89">
        <f>IF(E4033="AM",1,(IF(E4033="BE",2,(IF(E4033="GV",3,(IF(E4033="RA",4,(IF(E4033="RM",5,(IF(E4033="AC",1,(IF(E4033="AT",2,(IF(E4033="DS",3,(IF(E4033="IP",4,(IF(E4033="MA",5,(IF(E4033="PT",6,(IF(E4033="AE",1,(IF(E4033="CM",2,(IF(E4033="DP",3,(IF(E4033="AN",1,(IF(E4033="CO",2,(IF(E4033="IM",3,(IF(E4033="MI",4,(IF(E4033="RP",5,(IF(E4033="SC",6,0)))))))))))))))))))))))))))))))))))))))</f>
        <v>1</v>
      </c>
      <c r="G4033" s="52">
        <v>1</v>
      </c>
      <c r="H4033" s="90" t="s">
        <v>115</v>
      </c>
      <c r="I4033" s="94" t="s">
        <v>60</v>
      </c>
      <c r="J4033" s="87" t="s">
        <v>3260</v>
      </c>
      <c r="K4033" s="51" t="s">
        <v>5373</v>
      </c>
      <c r="L4033" s="117">
        <f>IF(O4033="","",N4033*O4033*M4033)</f>
        <v>0</v>
      </c>
      <c r="M4033" s="108">
        <v>1</v>
      </c>
      <c r="N4033" s="95">
        <v>1</v>
      </c>
      <c r="O4033" s="109">
        <f>IF(Key!D$1="ON",P4033,IF(SUM(Q4033:DL4033)&lt;1,"",SUM(Q4033:DL4033)/COUNTIF(Q4033:DL4033,"&gt;0")))</f>
        <v>0</v>
      </c>
      <c r="P4033" s="109">
        <f>SUMIFS(Q4033:DK4033,Q$1:DK$1,Dashboard!$K$31)</f>
        <v>0</v>
      </c>
      <c r="U4033" s="95">
        <v>33</v>
      </c>
      <c r="AA4033" s="95">
        <v>25</v>
      </c>
      <c r="AH4033" s="95">
        <v>75</v>
      </c>
    </row>
    <row r="4034" spans="1:34" x14ac:dyDescent="0.3">
      <c r="A4034" s="89" t="str">
        <f>CONCATENATE(D4034,".",F4034,"-",G4034,".",H4034,"")</f>
        <v>4.1-1.1</v>
      </c>
      <c r="B4034" s="89" t="str">
        <f>IF(CONCATENATE(I4034,Key!F$2)=CONCATENATE(INDEX(Dashboard!J:J,MATCH(I4034,Dashboard!J:J,0),1),INDEX(Dashboard!J:K,MATCH(I4034,Dashboard!J:J,0),2)),"ON",IF(Dashboard!K$32="ALL","ON","-"))</f>
        <v>-</v>
      </c>
      <c r="C4034" s="88" t="s">
        <v>329</v>
      </c>
      <c r="D4034" s="89">
        <f>IF(C4034="ID",1,(IF(C4034="PR",2,(IF(C4034="DE",3,(IF(C4034="RS",4,(IF(C4034="RC",5,0)))))))))</f>
        <v>4</v>
      </c>
      <c r="E4034" s="89" t="s">
        <v>331</v>
      </c>
      <c r="F4034" s="89">
        <f>IF(E4034="AM",1,(IF(E4034="BE",2,(IF(E4034="GV",3,(IF(E4034="RA",4,(IF(E4034="RM",5,(IF(E4034="AC",1,(IF(E4034="AT",2,(IF(E4034="DS",3,(IF(E4034="IP",4,(IF(E4034="MA",5,(IF(E4034="PT",6,(IF(E4034="AE",1,(IF(E4034="CM",2,(IF(E4034="DP",3,(IF(E4034="AN",1,(IF(E4034="CO",2,(IF(E4034="IM",3,(IF(E4034="MI",4,(IF(E4034="RP",5,(IF(E4034="SC",6,0)))))))))))))))))))))))))))))))))))))))</f>
        <v>1</v>
      </c>
      <c r="G4034" s="52">
        <v>1</v>
      </c>
      <c r="H4034" s="90" t="s">
        <v>115</v>
      </c>
      <c r="I4034" s="94" t="s">
        <v>60</v>
      </c>
      <c r="J4034" s="87" t="s">
        <v>3275</v>
      </c>
      <c r="K4034" s="51" t="s">
        <v>5388</v>
      </c>
      <c r="L4034" s="117">
        <f>IF(O4034="","",N4034*O4034*M4034)</f>
        <v>0</v>
      </c>
      <c r="M4034" s="108">
        <v>1</v>
      </c>
      <c r="N4034" s="95">
        <v>1</v>
      </c>
      <c r="O4034" s="109">
        <f>IF(Key!D$1="ON",P4034,IF(SUM(Q4034:DL4034)&lt;1,"",SUM(Q4034:DL4034)/COUNTIF(Q4034:DL4034,"&gt;0")))</f>
        <v>0</v>
      </c>
      <c r="P4034" s="109">
        <f>SUMIFS(Q4034:DK4034,Q$1:DK$1,Dashboard!$K$31)</f>
        <v>0</v>
      </c>
      <c r="U4034" s="95">
        <v>33</v>
      </c>
      <c r="AA4034" s="95">
        <v>25</v>
      </c>
      <c r="AH4034" s="95">
        <v>75</v>
      </c>
    </row>
    <row r="4035" spans="1:34" x14ac:dyDescent="0.3">
      <c r="A4035" s="89" t="str">
        <f>CONCATENATE(D4035,".",F4035,"-",G4035,".",H4035,"")</f>
        <v>4.1-1.1</v>
      </c>
      <c r="B4035" s="89" t="str">
        <f>IF(CONCATENATE(I4035,Key!F$2)=CONCATENATE(INDEX(Dashboard!J:J,MATCH(I4035,Dashboard!J:J,0),1),INDEX(Dashboard!J:K,MATCH(I4035,Dashboard!J:J,0),2)),"ON",IF(Dashboard!K$32="ALL","ON","-"))</f>
        <v>-</v>
      </c>
      <c r="C4035" s="88" t="s">
        <v>329</v>
      </c>
      <c r="D4035" s="89">
        <f>IF(C4035="ID",1,(IF(C4035="PR",2,(IF(C4035="DE",3,(IF(C4035="RS",4,(IF(C4035="RC",5,0)))))))))</f>
        <v>4</v>
      </c>
      <c r="E4035" s="89" t="s">
        <v>331</v>
      </c>
      <c r="F4035" s="89">
        <f>IF(E4035="AM",1,(IF(E4035="BE",2,(IF(E4035="GV",3,(IF(E4035="RA",4,(IF(E4035="RM",5,(IF(E4035="AC",1,(IF(E4035="AT",2,(IF(E4035="DS",3,(IF(E4035="IP",4,(IF(E4035="MA",5,(IF(E4035="PT",6,(IF(E4035="AE",1,(IF(E4035="CM",2,(IF(E4035="DP",3,(IF(E4035="AN",1,(IF(E4035="CO",2,(IF(E4035="IM",3,(IF(E4035="MI",4,(IF(E4035="RP",5,(IF(E4035="SC",6,0)))))))))))))))))))))))))))))))))))))))</f>
        <v>1</v>
      </c>
      <c r="G4035" s="52">
        <v>1</v>
      </c>
      <c r="H4035" s="90" t="s">
        <v>115</v>
      </c>
      <c r="I4035" s="94" t="s">
        <v>60</v>
      </c>
      <c r="J4035" s="87" t="s">
        <v>3276</v>
      </c>
      <c r="K4035" s="51" t="s">
        <v>5389</v>
      </c>
      <c r="L4035" s="117">
        <f>IF(O4035="","",N4035*O4035*M4035)</f>
        <v>0</v>
      </c>
      <c r="M4035" s="108">
        <v>1</v>
      </c>
      <c r="N4035" s="95">
        <v>1</v>
      </c>
      <c r="O4035" s="109">
        <f>IF(Key!D$1="ON",P4035,IF(SUM(Q4035:DL4035)&lt;1,"",SUM(Q4035:DL4035)/COUNTIF(Q4035:DL4035,"&gt;0")))</f>
        <v>0</v>
      </c>
      <c r="P4035" s="109">
        <f>SUMIFS(Q4035:DK4035,Q$1:DK$1,Dashboard!$K$31)</f>
        <v>0</v>
      </c>
      <c r="U4035" s="95">
        <v>33</v>
      </c>
      <c r="AA4035" s="95">
        <v>25</v>
      </c>
      <c r="AH4035" s="95">
        <v>75</v>
      </c>
    </row>
    <row r="4036" spans="1:34" x14ac:dyDescent="0.3">
      <c r="A4036" s="89" t="str">
        <f>CONCATENATE(D4036,".",F4036,"-",G4036,".",H4036,"")</f>
        <v>4.1-1.1</v>
      </c>
      <c r="B4036" s="89" t="str">
        <f>IF(CONCATENATE(I4036,Key!F$2)=CONCATENATE(INDEX(Dashboard!J:J,MATCH(I4036,Dashboard!J:J,0),1),INDEX(Dashboard!J:K,MATCH(I4036,Dashboard!J:J,0),2)),"ON",IF(Dashboard!K$32="ALL","ON","-"))</f>
        <v>-</v>
      </c>
      <c r="C4036" s="88" t="s">
        <v>329</v>
      </c>
      <c r="D4036" s="89">
        <f>IF(C4036="ID",1,(IF(C4036="PR",2,(IF(C4036="DE",3,(IF(C4036="RS",4,(IF(C4036="RC",5,0)))))))))</f>
        <v>4</v>
      </c>
      <c r="E4036" s="89" t="s">
        <v>331</v>
      </c>
      <c r="F4036" s="89">
        <f>IF(E4036="AM",1,(IF(E4036="BE",2,(IF(E4036="GV",3,(IF(E4036="RA",4,(IF(E4036="RM",5,(IF(E4036="AC",1,(IF(E4036="AT",2,(IF(E4036="DS",3,(IF(E4036="IP",4,(IF(E4036="MA",5,(IF(E4036="PT",6,(IF(E4036="AE",1,(IF(E4036="CM",2,(IF(E4036="DP",3,(IF(E4036="AN",1,(IF(E4036="CO",2,(IF(E4036="IM",3,(IF(E4036="MI",4,(IF(E4036="RP",5,(IF(E4036="SC",6,0)))))))))))))))))))))))))))))))))))))))</f>
        <v>1</v>
      </c>
      <c r="G4036" s="52">
        <v>1</v>
      </c>
      <c r="H4036" s="90" t="s">
        <v>115</v>
      </c>
      <c r="I4036" s="94" t="s">
        <v>64</v>
      </c>
      <c r="J4036" s="87" t="s">
        <v>1878</v>
      </c>
      <c r="K4036" s="102" t="s">
        <v>2780</v>
      </c>
      <c r="L4036" s="117">
        <f>IF(O4036="","",N4036*O4036*M4036)</f>
        <v>0</v>
      </c>
      <c r="M4036" s="108">
        <v>1</v>
      </c>
      <c r="N4036" s="95">
        <v>1</v>
      </c>
      <c r="O4036" s="109">
        <f>IF(Key!D$1="ON",P4036,IF(SUM(Q4036:DL4036)&lt;1,"",SUM(Q4036:DL4036)/COUNTIF(Q4036:DL4036,"&gt;0")))</f>
        <v>0</v>
      </c>
      <c r="P4036" s="109">
        <f>SUMIFS(Q4036:DK4036,Q$1:DK$1,Dashboard!$K$31)</f>
        <v>0</v>
      </c>
      <c r="U4036" s="95">
        <v>33</v>
      </c>
      <c r="AA4036" s="95">
        <v>25</v>
      </c>
      <c r="AH4036" s="95">
        <v>75</v>
      </c>
    </row>
    <row r="4037" spans="1:34" x14ac:dyDescent="0.3">
      <c r="A4037" s="89" t="str">
        <f>CONCATENATE(D4037,".",F4037,"-",G4037,".",H4037,"")</f>
        <v>4.1-1.1</v>
      </c>
      <c r="B4037" s="89" t="str">
        <f>IF(CONCATENATE(I4037,Key!F$2)=CONCATENATE(INDEX(Dashboard!J:J,MATCH(I4037,Dashboard!J:J,0),1),INDEX(Dashboard!J:K,MATCH(I4037,Dashboard!J:J,0),2)),"ON",IF(Dashboard!K$32="ALL","ON","-"))</f>
        <v>-</v>
      </c>
      <c r="C4037" s="88" t="s">
        <v>329</v>
      </c>
      <c r="D4037" s="89">
        <f>IF(C4037="ID",1,(IF(C4037="PR",2,(IF(C4037="DE",3,(IF(C4037="RS",4,(IF(C4037="RC",5,0)))))))))</f>
        <v>4</v>
      </c>
      <c r="E4037" s="89" t="s">
        <v>331</v>
      </c>
      <c r="F4037" s="89">
        <f>IF(E4037="AM",1,(IF(E4037="BE",2,(IF(E4037="GV",3,(IF(E4037="RA",4,(IF(E4037="RM",5,(IF(E4037="AC",1,(IF(E4037="AT",2,(IF(E4037="DS",3,(IF(E4037="IP",4,(IF(E4037="MA",5,(IF(E4037="PT",6,(IF(E4037="AE",1,(IF(E4037="CM",2,(IF(E4037="DP",3,(IF(E4037="AN",1,(IF(E4037="CO",2,(IF(E4037="IM",3,(IF(E4037="MI",4,(IF(E4037="RP",5,(IF(E4037="SC",6,0)))))))))))))))))))))))))))))))))))))))</f>
        <v>1</v>
      </c>
      <c r="G4037" s="52">
        <v>1</v>
      </c>
      <c r="H4037" s="90" t="s">
        <v>115</v>
      </c>
      <c r="I4037" s="94" t="s">
        <v>73</v>
      </c>
      <c r="J4037" s="86" t="s">
        <v>4151</v>
      </c>
      <c r="K4037" s="101" t="s">
        <v>5206</v>
      </c>
      <c r="L4037" s="117">
        <f>IF(O4037="","",N4037*O4037*M4037)</f>
        <v>0</v>
      </c>
      <c r="M4037" s="108">
        <v>1</v>
      </c>
      <c r="N4037" s="95">
        <v>1</v>
      </c>
      <c r="O4037" s="109">
        <f>IF(Key!D$1="ON",P4037,IF(SUM(Q4037:DL4037)&lt;1,"",SUM(Q4037:DL4037)/COUNTIF(Q4037:DL4037,"&gt;0")))</f>
        <v>0</v>
      </c>
      <c r="P4037" s="109">
        <f>SUMIFS(Q4037:DK4037,Q$1:DK$1,Dashboard!$K$31)</f>
        <v>0</v>
      </c>
      <c r="U4037" s="95">
        <v>33</v>
      </c>
      <c r="AA4037" s="95">
        <v>25</v>
      </c>
      <c r="AH4037" s="95">
        <v>75</v>
      </c>
    </row>
    <row r="4038" spans="1:34" x14ac:dyDescent="0.3">
      <c r="A4038" s="89" t="str">
        <f>CONCATENATE(D4038,".",F4038,"-",G4038,".",H4038,"")</f>
        <v>4.1-1.1</v>
      </c>
      <c r="B4038" s="89" t="str">
        <f>IF(CONCATENATE(I4038,Key!F$2)=CONCATENATE(INDEX(Dashboard!J:J,MATCH(I4038,Dashboard!J:J,0),1),INDEX(Dashboard!J:K,MATCH(I4038,Dashboard!J:J,0),2)),"ON",IF(Dashboard!K$32="ALL","ON","-"))</f>
        <v>-</v>
      </c>
      <c r="C4038" s="88" t="s">
        <v>329</v>
      </c>
      <c r="D4038" s="89">
        <f>IF(C4038="ID",1,(IF(C4038="PR",2,(IF(C4038="DE",3,(IF(C4038="RS",4,(IF(C4038="RC",5,0)))))))))</f>
        <v>4</v>
      </c>
      <c r="E4038" s="89" t="s">
        <v>331</v>
      </c>
      <c r="F4038" s="89">
        <f>IF(E4038="AM",1,(IF(E4038="BE",2,(IF(E4038="GV",3,(IF(E4038="RA",4,(IF(E4038="RM",5,(IF(E4038="AC",1,(IF(E4038="AT",2,(IF(E4038="DS",3,(IF(E4038="IP",4,(IF(E4038="MA",5,(IF(E4038="PT",6,(IF(E4038="AE",1,(IF(E4038="CM",2,(IF(E4038="DP",3,(IF(E4038="AN",1,(IF(E4038="CO",2,(IF(E4038="IM",3,(IF(E4038="MI",4,(IF(E4038="RP",5,(IF(E4038="SC",6,0)))))))))))))))))))))))))))))))))))))))</f>
        <v>1</v>
      </c>
      <c r="G4038" s="52">
        <v>1</v>
      </c>
      <c r="H4038" s="90" t="s">
        <v>115</v>
      </c>
      <c r="I4038" s="94" t="s">
        <v>73</v>
      </c>
      <c r="J4038" s="86" t="s">
        <v>295</v>
      </c>
      <c r="K4038" s="101" t="s">
        <v>5207</v>
      </c>
      <c r="L4038" s="117">
        <f>IF(O4038="","",N4038*O4038*M4038)</f>
        <v>0</v>
      </c>
      <c r="M4038" s="108">
        <v>1</v>
      </c>
      <c r="N4038" s="95">
        <v>1</v>
      </c>
      <c r="O4038" s="109">
        <f>IF(Key!D$1="ON",P4038,IF(SUM(Q4038:DL4038)&lt;1,"",SUM(Q4038:DL4038)/COUNTIF(Q4038:DL4038,"&gt;0")))</f>
        <v>0</v>
      </c>
      <c r="P4038" s="109">
        <f>SUMIFS(Q4038:DK4038,Q$1:DK$1,Dashboard!$K$31)</f>
        <v>0</v>
      </c>
      <c r="U4038" s="95">
        <v>33</v>
      </c>
      <c r="AA4038" s="95">
        <v>25</v>
      </c>
      <c r="AH4038" s="95">
        <v>75</v>
      </c>
    </row>
    <row r="4039" spans="1:34" x14ac:dyDescent="0.3">
      <c r="A4039" s="89" t="str">
        <f>CONCATENATE(D4039,".",F4039,"-",G4039,".",H4039,"")</f>
        <v>4.1-1.1</v>
      </c>
      <c r="B4039" s="89" t="str">
        <f>IF(CONCATENATE(I4039,Key!F$2)=CONCATENATE(INDEX(Dashboard!J:J,MATCH(I4039,Dashboard!J:J,0),1),INDEX(Dashboard!J:K,MATCH(I4039,Dashboard!J:J,0),2)),"ON",IF(Dashboard!K$32="ALL","ON","-"))</f>
        <v>-</v>
      </c>
      <c r="C4039" s="88" t="s">
        <v>329</v>
      </c>
      <c r="D4039" s="89">
        <f>IF(C4039="ID",1,(IF(C4039="PR",2,(IF(C4039="DE",3,(IF(C4039="RS",4,(IF(C4039="RC",5,0)))))))))</f>
        <v>4</v>
      </c>
      <c r="E4039" s="89" t="s">
        <v>331</v>
      </c>
      <c r="F4039" s="89">
        <f>IF(E4039="AM",1,(IF(E4039="BE",2,(IF(E4039="GV",3,(IF(E4039="RA",4,(IF(E4039="RM",5,(IF(E4039="AC",1,(IF(E4039="AT",2,(IF(E4039="DS",3,(IF(E4039="IP",4,(IF(E4039="MA",5,(IF(E4039="PT",6,(IF(E4039="AE",1,(IF(E4039="CM",2,(IF(E4039="DP",3,(IF(E4039="AN",1,(IF(E4039="CO",2,(IF(E4039="IM",3,(IF(E4039="MI",4,(IF(E4039="RP",5,(IF(E4039="SC",6,0)))))))))))))))))))))))))))))))))))))))</f>
        <v>1</v>
      </c>
      <c r="G4039" s="52">
        <v>1</v>
      </c>
      <c r="H4039" s="90" t="s">
        <v>115</v>
      </c>
      <c r="I4039" s="94" t="s">
        <v>73</v>
      </c>
      <c r="J4039" s="86" t="s">
        <v>296</v>
      </c>
      <c r="K4039" s="101" t="s">
        <v>5201</v>
      </c>
      <c r="L4039" s="117">
        <f>IF(O4039="","",N4039*O4039*M4039)</f>
        <v>0</v>
      </c>
      <c r="M4039" s="108">
        <v>1</v>
      </c>
      <c r="N4039" s="95">
        <v>1</v>
      </c>
      <c r="O4039" s="109">
        <f>IF(Key!D$1="ON",P4039,IF(SUM(Q4039:DL4039)&lt;1,"",SUM(Q4039:DL4039)/COUNTIF(Q4039:DL4039,"&gt;0")))</f>
        <v>0</v>
      </c>
      <c r="P4039" s="109">
        <f>SUMIFS(Q4039:DK4039,Q$1:DK$1,Dashboard!$K$31)</f>
        <v>0</v>
      </c>
      <c r="U4039" s="95">
        <v>33</v>
      </c>
      <c r="AA4039" s="95">
        <v>25</v>
      </c>
      <c r="AH4039" s="95">
        <v>75</v>
      </c>
    </row>
    <row r="4040" spans="1:34" x14ac:dyDescent="0.3">
      <c r="A4040" s="89" t="str">
        <f>CONCATENATE(D4040,".",F4040,"-",G4040,".",H4040,"")</f>
        <v>4.1-1.1</v>
      </c>
      <c r="B4040" s="89" t="str">
        <f>IF(CONCATENATE(I4040,Key!F$2)=CONCATENATE(INDEX(Dashboard!J:J,MATCH(I4040,Dashboard!J:J,0),1),INDEX(Dashboard!J:K,MATCH(I4040,Dashboard!J:J,0),2)),"ON",IF(Dashboard!K$32="ALL","ON","-"))</f>
        <v>-</v>
      </c>
      <c r="C4040" s="88" t="s">
        <v>329</v>
      </c>
      <c r="D4040" s="89">
        <f>IF(C4040="ID",1,(IF(C4040="PR",2,(IF(C4040="DE",3,(IF(C4040="RS",4,(IF(C4040="RC",5,0)))))))))</f>
        <v>4</v>
      </c>
      <c r="E4040" s="89" t="s">
        <v>331</v>
      </c>
      <c r="F4040" s="89">
        <f>IF(E4040="AM",1,(IF(E4040="BE",2,(IF(E4040="GV",3,(IF(E4040="RA",4,(IF(E4040="RM",5,(IF(E4040="AC",1,(IF(E4040="AT",2,(IF(E4040="DS",3,(IF(E4040="IP",4,(IF(E4040="MA",5,(IF(E4040="PT",6,(IF(E4040="AE",1,(IF(E4040="CM",2,(IF(E4040="DP",3,(IF(E4040="AN",1,(IF(E4040="CO",2,(IF(E4040="IM",3,(IF(E4040="MI",4,(IF(E4040="RP",5,(IF(E4040="SC",6,0)))))))))))))))))))))))))))))))))))))))</f>
        <v>1</v>
      </c>
      <c r="G4040" s="52">
        <v>1</v>
      </c>
      <c r="H4040" s="90" t="s">
        <v>115</v>
      </c>
      <c r="I4040" s="94" t="s">
        <v>77</v>
      </c>
      <c r="J4040" s="87" t="s">
        <v>1878</v>
      </c>
      <c r="K4040" s="102" t="s">
        <v>2780</v>
      </c>
      <c r="L4040" s="117">
        <f>IF(O4040="","",N4040*O4040*M4040)</f>
        <v>0</v>
      </c>
      <c r="M4040" s="108">
        <v>1</v>
      </c>
      <c r="N4040" s="95">
        <v>1</v>
      </c>
      <c r="O4040" s="109">
        <f>IF(Key!D$1="ON",P4040,IF(SUM(Q4040:DL4040)&lt;1,"",SUM(Q4040:DL4040)/COUNTIF(Q4040:DL4040,"&gt;0")))</f>
        <v>0</v>
      </c>
      <c r="P4040" s="109">
        <f>SUMIFS(Q4040:DK4040,Q$1:DK$1,Dashboard!$K$31)</f>
        <v>0</v>
      </c>
      <c r="U4040" s="95">
        <v>33</v>
      </c>
      <c r="AA4040" s="95">
        <v>25</v>
      </c>
      <c r="AH4040" s="95">
        <v>75</v>
      </c>
    </row>
    <row r="4041" spans="1:34" x14ac:dyDescent="0.3">
      <c r="A4041" s="89" t="str">
        <f>CONCATENATE(D4041,".",F4041,"-",G4041,".",H4041,"")</f>
        <v>4.1-1.1</v>
      </c>
      <c r="B4041" s="89" t="str">
        <f>IF(CONCATENATE(I4041,Key!F$2)=CONCATENATE(INDEX(Dashboard!J:J,MATCH(I4041,Dashboard!J:J,0),1),INDEX(Dashboard!J:K,MATCH(I4041,Dashboard!J:J,0),2)),"ON",IF(Dashboard!K$32="ALL","ON","-"))</f>
        <v>-</v>
      </c>
      <c r="C4041" s="88" t="s">
        <v>329</v>
      </c>
      <c r="D4041" s="89">
        <f>IF(C4041="ID",1,(IF(C4041="PR",2,(IF(C4041="DE",3,(IF(C4041="RS",4,(IF(C4041="RC",5,0)))))))))</f>
        <v>4</v>
      </c>
      <c r="E4041" s="89" t="s">
        <v>331</v>
      </c>
      <c r="F4041" s="89">
        <f>IF(E4041="AM",1,(IF(E4041="BE",2,(IF(E4041="GV",3,(IF(E4041="RA",4,(IF(E4041="RM",5,(IF(E4041="AC",1,(IF(E4041="AT",2,(IF(E4041="DS",3,(IF(E4041="IP",4,(IF(E4041="MA",5,(IF(E4041="PT",6,(IF(E4041="AE",1,(IF(E4041="CM",2,(IF(E4041="DP",3,(IF(E4041="AN",1,(IF(E4041="CO",2,(IF(E4041="IM",3,(IF(E4041="MI",4,(IF(E4041="RP",5,(IF(E4041="SC",6,0)))))))))))))))))))))))))))))))))))))))</f>
        <v>1</v>
      </c>
      <c r="G4041" s="52">
        <v>1</v>
      </c>
      <c r="H4041" s="90" t="s">
        <v>115</v>
      </c>
      <c r="I4041" s="94" t="s">
        <v>85</v>
      </c>
      <c r="J4041" s="87" t="s">
        <v>1469</v>
      </c>
      <c r="K4041" s="119" t="s">
        <v>5138</v>
      </c>
      <c r="L4041" s="117">
        <f>IF(O4041="","",N4041*O4041*M4041)</f>
        <v>0</v>
      </c>
      <c r="M4041" s="108">
        <v>1</v>
      </c>
      <c r="N4041" s="95">
        <v>1</v>
      </c>
      <c r="O4041" s="109">
        <f>IF(Key!D$1="ON",P4041,IF(SUM(Q4041:DL4041)&lt;1,"",SUM(Q4041:DL4041)/COUNTIF(Q4041:DL4041,"&gt;0")))</f>
        <v>0</v>
      </c>
      <c r="P4041" s="109">
        <f>SUMIFS(Q4041:DK4041,Q$1:DK$1,Dashboard!$K$31)</f>
        <v>0</v>
      </c>
      <c r="U4041" s="95">
        <v>33</v>
      </c>
      <c r="AA4041" s="95">
        <v>25</v>
      </c>
      <c r="AH4041" s="95">
        <v>75</v>
      </c>
    </row>
    <row r="4042" spans="1:34" x14ac:dyDescent="0.3">
      <c r="A4042" s="89" t="str">
        <f>CONCATENATE(D4042,".",F4042,"-",G4042,".",H4042,"")</f>
        <v>4.1-1.1</v>
      </c>
      <c r="B4042" s="89" t="str">
        <f>IF(CONCATENATE(I4042,Key!F$2)=CONCATENATE(INDEX(Dashboard!J:J,MATCH(I4042,Dashboard!J:J,0),1),INDEX(Dashboard!J:K,MATCH(I4042,Dashboard!J:J,0),2)),"ON",IF(Dashboard!K$32="ALL","ON","-"))</f>
        <v>-</v>
      </c>
      <c r="C4042" s="88" t="s">
        <v>329</v>
      </c>
      <c r="D4042" s="89">
        <f>IF(C4042="ID",1,(IF(C4042="PR",2,(IF(C4042="DE",3,(IF(C4042="RS",4,(IF(C4042="RC",5,0)))))))))</f>
        <v>4</v>
      </c>
      <c r="E4042" s="89" t="s">
        <v>331</v>
      </c>
      <c r="F4042" s="89">
        <f>IF(E4042="AM",1,(IF(E4042="BE",2,(IF(E4042="GV",3,(IF(E4042="RA",4,(IF(E4042="RM",5,(IF(E4042="AC",1,(IF(E4042="AT",2,(IF(E4042="DS",3,(IF(E4042="IP",4,(IF(E4042="MA",5,(IF(E4042="PT",6,(IF(E4042="AE",1,(IF(E4042="CM",2,(IF(E4042="DP",3,(IF(E4042="AN",1,(IF(E4042="CO",2,(IF(E4042="IM",3,(IF(E4042="MI",4,(IF(E4042="RP",5,(IF(E4042="SC",6,0)))))))))))))))))))))))))))))))))))))))</f>
        <v>1</v>
      </c>
      <c r="G4042" s="98">
        <v>1</v>
      </c>
      <c r="H4042" s="90" t="s">
        <v>115</v>
      </c>
      <c r="I4042" s="94" t="s">
        <v>85</v>
      </c>
      <c r="J4042" s="87" t="s">
        <v>896</v>
      </c>
      <c r="K4042" s="119" t="s">
        <v>897</v>
      </c>
      <c r="L4042" s="117">
        <f>IF(O4042="","",N4042*O4042*M4042)</f>
        <v>0</v>
      </c>
      <c r="M4042" s="108">
        <v>1</v>
      </c>
      <c r="N4042" s="95">
        <v>1</v>
      </c>
      <c r="O4042" s="109">
        <f>IF(Key!D$1="ON",P4042,IF(SUM(Q4042:DL4042)&lt;1,"",SUM(Q4042:DL4042)/COUNTIF(Q4042:DL4042,"&gt;0")))</f>
        <v>0</v>
      </c>
      <c r="P4042" s="109">
        <f>SUMIFS(Q4042:DK4042,Q$1:DK$1,Dashboard!$K$31)</f>
        <v>0</v>
      </c>
      <c r="U4042" s="95">
        <v>33</v>
      </c>
      <c r="AA4042" s="95">
        <v>25</v>
      </c>
      <c r="AH4042" s="95">
        <v>75</v>
      </c>
    </row>
    <row r="4043" spans="1:34" x14ac:dyDescent="0.3">
      <c r="A4043" s="89" t="str">
        <f>CONCATENATE(D4043,".",F4043,"-",G4043,".",H4043,"")</f>
        <v>4.1-1.1</v>
      </c>
      <c r="B4043" s="89" t="str">
        <f>IF(CONCATENATE(I4043,Key!F$2)=CONCATENATE(INDEX(Dashboard!J:J,MATCH(I4043,Dashboard!J:J,0),1),INDEX(Dashboard!J:K,MATCH(I4043,Dashboard!J:J,0),2)),"ON",IF(Dashboard!K$32="ALL","ON","-"))</f>
        <v>-</v>
      </c>
      <c r="C4043" s="96" t="s">
        <v>329</v>
      </c>
      <c r="D4043" s="89">
        <f>IF(C4043="ID",1,(IF(C4043="PR",2,(IF(C4043="DE",3,(IF(C4043="RS",4,(IF(C4043="RC",5,0)))))))))</f>
        <v>4</v>
      </c>
      <c r="E4043" s="89" t="s">
        <v>331</v>
      </c>
      <c r="F4043" s="89">
        <f>IF(E4043="AM",1,(IF(E4043="BE",2,(IF(E4043="GV",3,(IF(E4043="RA",4,(IF(E4043="RM",5,(IF(E4043="AC",1,(IF(E4043="AT",2,(IF(E4043="DS",3,(IF(E4043="IP",4,(IF(E4043="MA",5,(IF(E4043="PT",6,(IF(E4043="AE",1,(IF(E4043="CM",2,(IF(E4043="DP",3,(IF(E4043="AN",1,(IF(E4043="CO",2,(IF(E4043="IM",3,(IF(E4043="MI",4,(IF(E4043="RP",5,(IF(E4043="SC",6,0)))))))))))))))))))))))))))))))))))))))</f>
        <v>1</v>
      </c>
      <c r="G4043" s="98">
        <v>1</v>
      </c>
      <c r="H4043" s="90" t="s">
        <v>115</v>
      </c>
      <c r="I4043" s="94" t="s">
        <v>92</v>
      </c>
      <c r="J4043" s="87">
        <v>10.6</v>
      </c>
      <c r="K4043" s="102" t="s">
        <v>5226</v>
      </c>
      <c r="L4043" s="117">
        <f>IF(O4043="","",N4043*O4043*M4043)</f>
        <v>0</v>
      </c>
      <c r="M4043" s="108">
        <v>1</v>
      </c>
      <c r="N4043" s="95">
        <v>1</v>
      </c>
      <c r="O4043" s="109">
        <f>IF(Key!D$1="ON",P4043,IF(SUM(Q4043:DL4043)&lt;1,"",SUM(Q4043:DL4043)/COUNTIF(Q4043:DL4043,"&gt;0")))</f>
        <v>0</v>
      </c>
      <c r="P4043" s="109">
        <f>SUMIFS(Q4043:DK4043,Q$1:DK$1,Dashboard!$K$31)</f>
        <v>0</v>
      </c>
      <c r="U4043" s="95">
        <v>33</v>
      </c>
      <c r="AA4043" s="95">
        <v>25</v>
      </c>
      <c r="AH4043" s="95">
        <v>75</v>
      </c>
    </row>
    <row r="4044" spans="1:34" x14ac:dyDescent="0.3">
      <c r="A4044" s="89" t="str">
        <f>CONCATENATE(D4044,".",F4044,"-",G4044,".",H4044,"")</f>
        <v>4.1-1.1</v>
      </c>
      <c r="B4044" s="89" t="str">
        <f>IF(CONCATENATE(I4044,Key!F$2)=CONCATENATE(INDEX(Dashboard!J:J,MATCH(I4044,Dashboard!J:J,0),1),INDEX(Dashboard!J:K,MATCH(I4044,Dashboard!J:J,0),2)),"ON",IF(Dashboard!K$32="ALL","ON","-"))</f>
        <v>-</v>
      </c>
      <c r="C4044" s="96" t="s">
        <v>329</v>
      </c>
      <c r="D4044" s="89">
        <f>IF(C4044="ID",1,(IF(C4044="PR",2,(IF(C4044="DE",3,(IF(C4044="RS",4,(IF(C4044="RC",5,0)))))))))</f>
        <v>4</v>
      </c>
      <c r="E4044" s="89" t="s">
        <v>331</v>
      </c>
      <c r="F4044" s="89">
        <f>IF(E4044="AM",1,(IF(E4044="BE",2,(IF(E4044="GV",3,(IF(E4044="RA",4,(IF(E4044="RM",5,(IF(E4044="AC",1,(IF(E4044="AT",2,(IF(E4044="DS",3,(IF(E4044="IP",4,(IF(E4044="MA",5,(IF(E4044="PT",6,(IF(E4044="AE",1,(IF(E4044="CM",2,(IF(E4044="DP",3,(IF(E4044="AN",1,(IF(E4044="CO",2,(IF(E4044="IM",3,(IF(E4044="MI",4,(IF(E4044="RP",5,(IF(E4044="SC",6,0)))))))))))))))))))))))))))))))))))))))</f>
        <v>1</v>
      </c>
      <c r="G4044" s="98">
        <v>1</v>
      </c>
      <c r="H4044" s="90" t="s">
        <v>115</v>
      </c>
      <c r="I4044" s="94" t="s">
        <v>92</v>
      </c>
      <c r="J4044" s="87">
        <v>11.4</v>
      </c>
      <c r="K4044" s="102" t="s">
        <v>5226</v>
      </c>
      <c r="L4044" s="117">
        <f>IF(O4044="","",N4044*O4044*M4044)</f>
        <v>0</v>
      </c>
      <c r="M4044" s="108">
        <v>1</v>
      </c>
      <c r="N4044" s="95">
        <v>1</v>
      </c>
      <c r="O4044" s="109">
        <f>IF(Key!D$1="ON",P4044,IF(SUM(Q4044:DL4044)&lt;1,"",SUM(Q4044:DL4044)/COUNTIF(Q4044:DL4044,"&gt;0")))</f>
        <v>0</v>
      </c>
      <c r="P4044" s="109">
        <f>SUMIFS(Q4044:DK4044,Q$1:DK$1,Dashboard!$K$31)</f>
        <v>0</v>
      </c>
      <c r="U4044" s="95">
        <v>33</v>
      </c>
      <c r="AA4044" s="95">
        <v>25</v>
      </c>
      <c r="AH4044" s="95">
        <v>75</v>
      </c>
    </row>
    <row r="4045" spans="1:34" x14ac:dyDescent="0.3">
      <c r="A4045" s="89" t="str">
        <f>CONCATENATE(D4045,".",F4045,"-",G4045,".",H4045,"")</f>
        <v>4.1-1.1</v>
      </c>
      <c r="B4045" s="89" t="str">
        <f>IF(CONCATENATE(I4045,Key!F$2)=CONCATENATE(INDEX(Dashboard!J:J,MATCH(I4045,Dashboard!J:J,0),1),INDEX(Dashboard!J:K,MATCH(I4045,Dashboard!J:J,0),2)),"ON",IF(Dashboard!K$32="ALL","ON","-"))</f>
        <v>-</v>
      </c>
      <c r="C4045" s="96" t="s">
        <v>329</v>
      </c>
      <c r="D4045" s="89">
        <f>IF(C4045="ID",1,(IF(C4045="PR",2,(IF(C4045="DE",3,(IF(C4045="RS",4,(IF(C4045="RC",5,0)))))))))</f>
        <v>4</v>
      </c>
      <c r="E4045" s="89" t="s">
        <v>331</v>
      </c>
      <c r="F4045" s="89">
        <f>IF(E4045="AM",1,(IF(E4045="BE",2,(IF(E4045="GV",3,(IF(E4045="RA",4,(IF(E4045="RM",5,(IF(E4045="AC",1,(IF(E4045="AT",2,(IF(E4045="DS",3,(IF(E4045="IP",4,(IF(E4045="MA",5,(IF(E4045="PT",6,(IF(E4045="AE",1,(IF(E4045="CM",2,(IF(E4045="DP",3,(IF(E4045="AN",1,(IF(E4045="CO",2,(IF(E4045="IM",3,(IF(E4045="MI",4,(IF(E4045="RP",5,(IF(E4045="SC",6,0)))))))))))))))))))))))))))))))))))))))</f>
        <v>1</v>
      </c>
      <c r="G4045" s="98">
        <v>1</v>
      </c>
      <c r="H4045" s="90" t="s">
        <v>115</v>
      </c>
      <c r="I4045" s="94" t="s">
        <v>92</v>
      </c>
      <c r="J4045" s="87">
        <v>11.5</v>
      </c>
      <c r="K4045" s="102" t="s">
        <v>5226</v>
      </c>
      <c r="L4045" s="117">
        <f>IF(O4045="","",N4045*O4045*M4045)</f>
        <v>0</v>
      </c>
      <c r="M4045" s="108">
        <v>1</v>
      </c>
      <c r="N4045" s="95">
        <v>1</v>
      </c>
      <c r="O4045" s="109">
        <f>IF(Key!D$1="ON",P4045,IF(SUM(Q4045:DL4045)&lt;1,"",SUM(Q4045:DL4045)/COUNTIF(Q4045:DL4045,"&gt;0")))</f>
        <v>0</v>
      </c>
      <c r="P4045" s="109">
        <f>SUMIFS(Q4045:DK4045,Q$1:DK$1,Dashboard!$K$31)</f>
        <v>0</v>
      </c>
      <c r="U4045" s="95">
        <v>33</v>
      </c>
      <c r="AA4045" s="95">
        <v>25</v>
      </c>
      <c r="AH4045" s="95">
        <v>75</v>
      </c>
    </row>
    <row r="4046" spans="1:34" x14ac:dyDescent="0.3">
      <c r="A4046" s="89" t="str">
        <f>CONCATENATE(D4046,".",F4046,"-",G4046,".",H4046,"")</f>
        <v>4.1-1.1</v>
      </c>
      <c r="B4046" s="89" t="str">
        <f>IF(CONCATENATE(I4046,Key!F$2)=CONCATENATE(INDEX(Dashboard!J:J,MATCH(I4046,Dashboard!J:J,0),1),INDEX(Dashboard!J:K,MATCH(I4046,Dashboard!J:J,0),2)),"ON",IF(Dashboard!K$32="ALL","ON","-"))</f>
        <v>-</v>
      </c>
      <c r="C4046" s="88" t="s">
        <v>329</v>
      </c>
      <c r="D4046" s="89">
        <f>IF(C4046="ID",1,(IF(C4046="PR",2,(IF(C4046="DE",3,(IF(C4046="RS",4,(IF(C4046="RC",5,0)))))))))</f>
        <v>4</v>
      </c>
      <c r="E4046" s="89" t="s">
        <v>331</v>
      </c>
      <c r="F4046" s="89">
        <f>IF(E4046="AM",1,(IF(E4046="BE",2,(IF(E4046="GV",3,(IF(E4046="RA",4,(IF(E4046="RM",5,(IF(E4046="AC",1,(IF(E4046="AT",2,(IF(E4046="DS",3,(IF(E4046="IP",4,(IF(E4046="MA",5,(IF(E4046="PT",6,(IF(E4046="AE",1,(IF(E4046="CM",2,(IF(E4046="DP",3,(IF(E4046="AN",1,(IF(E4046="CO",2,(IF(E4046="IM",3,(IF(E4046="MI",4,(IF(E4046="RP",5,(IF(E4046="SC",6,0)))))))))))))))))))))))))))))))))))))))</f>
        <v>1</v>
      </c>
      <c r="G4046" s="52">
        <v>1</v>
      </c>
      <c r="H4046" s="90" t="s">
        <v>115</v>
      </c>
      <c r="I4046" s="94" t="s">
        <v>92</v>
      </c>
      <c r="J4046" s="88" t="s">
        <v>332</v>
      </c>
      <c r="K4046" s="102" t="s">
        <v>5226</v>
      </c>
      <c r="L4046" s="117">
        <f>IF(O4046="","",N4046*O4046*M4046)</f>
        <v>0</v>
      </c>
      <c r="M4046" s="108">
        <v>1</v>
      </c>
      <c r="N4046" s="95">
        <v>1</v>
      </c>
      <c r="O4046" s="109">
        <f>IF(Key!D$1="ON",P4046,IF(SUM(Q4046:DL4046)&lt;1,"",SUM(Q4046:DL4046)/COUNTIF(Q4046:DL4046,"&gt;0")))</f>
        <v>0</v>
      </c>
      <c r="P4046" s="109">
        <f>SUMIFS(Q4046:DK4046,Q$1:DK$1,Dashboard!$K$31)</f>
        <v>0</v>
      </c>
      <c r="U4046" s="95">
        <v>33</v>
      </c>
      <c r="AA4046" s="95">
        <v>25</v>
      </c>
      <c r="AH4046" s="95">
        <v>75</v>
      </c>
    </row>
    <row r="4047" spans="1:34" x14ac:dyDescent="0.3">
      <c r="A4047" s="89" t="str">
        <f>CONCATENATE(D4047,".",F4047,"-",G4047,".",H4047,"")</f>
        <v>4.1-1.1</v>
      </c>
      <c r="B4047" s="89" t="str">
        <f>IF(CONCATENATE(I4047,Key!F$2)=CONCATENATE(INDEX(Dashboard!J:J,MATCH(I4047,Dashboard!J:J,0),1),INDEX(Dashboard!J:K,MATCH(I4047,Dashboard!J:J,0),2)),"ON",IF(Dashboard!K$32="ALL","ON","-"))</f>
        <v>-</v>
      </c>
      <c r="C4047" s="88" t="s">
        <v>329</v>
      </c>
      <c r="D4047" s="89">
        <f>IF(C4047="ID",1,(IF(C4047="PR",2,(IF(C4047="DE",3,(IF(C4047="RS",4,(IF(C4047="RC",5,0)))))))))</f>
        <v>4</v>
      </c>
      <c r="E4047" s="89" t="s">
        <v>331</v>
      </c>
      <c r="F4047" s="89">
        <f>IF(E4047="AM",1,(IF(E4047="BE",2,(IF(E4047="GV",3,(IF(E4047="RA",4,(IF(E4047="RM",5,(IF(E4047="AC",1,(IF(E4047="AT",2,(IF(E4047="DS",3,(IF(E4047="IP",4,(IF(E4047="MA",5,(IF(E4047="PT",6,(IF(E4047="AE",1,(IF(E4047="CM",2,(IF(E4047="DP",3,(IF(E4047="AN",1,(IF(E4047="CO",2,(IF(E4047="IM",3,(IF(E4047="MI",4,(IF(E4047="RP",5,(IF(E4047="SC",6,0)))))))))))))))))))))))))))))))))))))))</f>
        <v>1</v>
      </c>
      <c r="G4047" s="52">
        <v>1</v>
      </c>
      <c r="H4047" s="90" t="s">
        <v>115</v>
      </c>
      <c r="I4047" s="94" t="s">
        <v>92</v>
      </c>
      <c r="J4047" s="88" t="s">
        <v>333</v>
      </c>
      <c r="K4047" s="102" t="s">
        <v>5226</v>
      </c>
      <c r="L4047" s="117">
        <f>IF(O4047="","",N4047*O4047*M4047)</f>
        <v>0</v>
      </c>
      <c r="M4047" s="108">
        <v>1</v>
      </c>
      <c r="N4047" s="95">
        <v>1</v>
      </c>
      <c r="O4047" s="109">
        <f>IF(Key!D$1="ON",P4047,IF(SUM(Q4047:DL4047)&lt;1,"",SUM(Q4047:DL4047)/COUNTIF(Q4047:DL4047,"&gt;0")))</f>
        <v>0</v>
      </c>
      <c r="P4047" s="109">
        <f>SUMIFS(Q4047:DK4047,Q$1:DK$1,Dashboard!$K$31)</f>
        <v>0</v>
      </c>
      <c r="U4047" s="95">
        <v>33</v>
      </c>
      <c r="AA4047" s="95">
        <v>25</v>
      </c>
      <c r="AH4047" s="95">
        <v>75</v>
      </c>
    </row>
    <row r="4048" spans="1:34" x14ac:dyDescent="0.3">
      <c r="A4048" s="89" t="str">
        <f>CONCATENATE(D4048,".",F4048,"-",G4048,".",H4048,"")</f>
        <v>4.1-1.1</v>
      </c>
      <c r="B4048" s="89" t="str">
        <f>IF(CONCATENATE(I4048,Key!F$2)=CONCATENATE(INDEX(Dashboard!J:J,MATCH(I4048,Dashboard!J:J,0),1),INDEX(Dashboard!J:K,MATCH(I4048,Dashboard!J:J,0),2)),"ON",IF(Dashboard!K$32="ALL","ON","-"))</f>
        <v>-</v>
      </c>
      <c r="C4048" s="88" t="s">
        <v>329</v>
      </c>
      <c r="D4048" s="89">
        <f>IF(C4048="ID",1,(IF(C4048="PR",2,(IF(C4048="DE",3,(IF(C4048="RS",4,(IF(C4048="RC",5,0)))))))))</f>
        <v>4</v>
      </c>
      <c r="E4048" s="89" t="s">
        <v>331</v>
      </c>
      <c r="F4048" s="89">
        <f>IF(E4048="AM",1,(IF(E4048="BE",2,(IF(E4048="GV",3,(IF(E4048="RA",4,(IF(E4048="RM",5,(IF(E4048="AC",1,(IF(E4048="AT",2,(IF(E4048="DS",3,(IF(E4048="IP",4,(IF(E4048="MA",5,(IF(E4048="PT",6,(IF(E4048="AE",1,(IF(E4048="CM",2,(IF(E4048="DP",3,(IF(E4048="AN",1,(IF(E4048="CO",2,(IF(E4048="IM",3,(IF(E4048="MI",4,(IF(E4048="RP",5,(IF(E4048="SC",6,0)))))))))))))))))))))))))))))))))))))))</f>
        <v>1</v>
      </c>
      <c r="G4048" s="52">
        <v>1</v>
      </c>
      <c r="H4048" s="90" t="s">
        <v>115</v>
      </c>
      <c r="I4048" s="94" t="s">
        <v>92</v>
      </c>
      <c r="J4048" s="88" t="s">
        <v>334</v>
      </c>
      <c r="K4048" s="102" t="s">
        <v>5226</v>
      </c>
      <c r="L4048" s="117">
        <f>IF(O4048="","",N4048*O4048*M4048)</f>
        <v>0</v>
      </c>
      <c r="M4048" s="108">
        <v>1</v>
      </c>
      <c r="N4048" s="95">
        <v>1</v>
      </c>
      <c r="O4048" s="109">
        <f>IF(Key!D$1="ON",P4048,IF(SUM(Q4048:DL4048)&lt;1,"",SUM(Q4048:DL4048)/COUNTIF(Q4048:DL4048,"&gt;0")))</f>
        <v>0</v>
      </c>
      <c r="P4048" s="109">
        <f>SUMIFS(Q4048:DK4048,Q$1:DK$1,Dashboard!$K$31)</f>
        <v>0</v>
      </c>
      <c r="U4048" s="95">
        <v>33</v>
      </c>
      <c r="AA4048" s="95">
        <v>25</v>
      </c>
      <c r="AH4048" s="95">
        <v>75</v>
      </c>
    </row>
    <row r="4049" spans="1:34" x14ac:dyDescent="0.3">
      <c r="A4049" s="89" t="str">
        <f>CONCATENATE(D4049,".",F4049,"-",G4049,".",H4049,"")</f>
        <v>4.1-1.1</v>
      </c>
      <c r="B4049" s="89" t="str">
        <f>IF(CONCATENATE(I4049,Key!F$2)=CONCATENATE(INDEX(Dashboard!J:J,MATCH(I4049,Dashboard!J:J,0),1),INDEX(Dashboard!J:K,MATCH(I4049,Dashboard!J:J,0),2)),"ON",IF(Dashboard!K$32="ALL","ON","-"))</f>
        <v>-</v>
      </c>
      <c r="C4049" s="88" t="s">
        <v>329</v>
      </c>
      <c r="D4049" s="89">
        <f>IF(C4049="ID",1,(IF(C4049="PR",2,(IF(C4049="DE",3,(IF(C4049="RS",4,(IF(C4049="RC",5,0)))))))))</f>
        <v>4</v>
      </c>
      <c r="E4049" s="89" t="s">
        <v>331</v>
      </c>
      <c r="F4049" s="89">
        <f>IF(E4049="AM",1,(IF(E4049="BE",2,(IF(E4049="GV",3,(IF(E4049="RA",4,(IF(E4049="RM",5,(IF(E4049="AC",1,(IF(E4049="AT",2,(IF(E4049="DS",3,(IF(E4049="IP",4,(IF(E4049="MA",5,(IF(E4049="PT",6,(IF(E4049="AE",1,(IF(E4049="CM",2,(IF(E4049="DP",3,(IF(E4049="AN",1,(IF(E4049="CO",2,(IF(E4049="IM",3,(IF(E4049="MI",4,(IF(E4049="RP",5,(IF(E4049="SC",6,0)))))))))))))))))))))))))))))))))))))))</f>
        <v>1</v>
      </c>
      <c r="G4049" s="52">
        <v>1</v>
      </c>
      <c r="H4049" s="90" t="s">
        <v>115</v>
      </c>
      <c r="I4049" s="94" t="s">
        <v>92</v>
      </c>
      <c r="J4049" s="88" t="s">
        <v>335</v>
      </c>
      <c r="K4049" s="102" t="s">
        <v>5226</v>
      </c>
      <c r="L4049" s="117">
        <f>IF(O4049="","",N4049*O4049*M4049)</f>
        <v>0</v>
      </c>
      <c r="M4049" s="108">
        <v>1</v>
      </c>
      <c r="N4049" s="95">
        <v>1</v>
      </c>
      <c r="O4049" s="109">
        <f>IF(Key!D$1="ON",P4049,IF(SUM(Q4049:DL4049)&lt;1,"",SUM(Q4049:DL4049)/COUNTIF(Q4049:DL4049,"&gt;0")))</f>
        <v>0</v>
      </c>
      <c r="P4049" s="109">
        <f>SUMIFS(Q4049:DK4049,Q$1:DK$1,Dashboard!$K$31)</f>
        <v>0</v>
      </c>
      <c r="U4049" s="95">
        <v>33</v>
      </c>
      <c r="AA4049" s="95">
        <v>25</v>
      </c>
      <c r="AH4049" s="95">
        <v>75</v>
      </c>
    </row>
    <row r="4050" spans="1:34" x14ac:dyDescent="0.3">
      <c r="A4050" s="89" t="str">
        <f>CONCATENATE(D4050,".",F4050,"-",G4050,".",H4050,"")</f>
        <v>4.1-1.1</v>
      </c>
      <c r="B4050" s="89" t="str">
        <f>IF(CONCATENATE(I4050,Key!F$2)=CONCATENATE(INDEX(Dashboard!J:J,MATCH(I4050,Dashboard!J:J,0),1),INDEX(Dashboard!J:K,MATCH(I4050,Dashboard!J:J,0),2)),"ON",IF(Dashboard!K$32="ALL","ON","-"))</f>
        <v>-</v>
      </c>
      <c r="C4050" s="96" t="s">
        <v>329</v>
      </c>
      <c r="D4050" s="89">
        <f>IF(C4050="ID",1,(IF(C4050="PR",2,(IF(C4050="DE",3,(IF(C4050="RS",4,(IF(C4050="RC",5,0)))))))))</f>
        <v>4</v>
      </c>
      <c r="E4050" s="89" t="s">
        <v>331</v>
      </c>
      <c r="F4050" s="89">
        <f>IF(E4050="AM",1,(IF(E4050="BE",2,(IF(E4050="GV",3,(IF(E4050="RA",4,(IF(E4050="RM",5,(IF(E4050="AC",1,(IF(E4050="AT",2,(IF(E4050="DS",3,(IF(E4050="IP",4,(IF(E4050="MA",5,(IF(E4050="PT",6,(IF(E4050="AE",1,(IF(E4050="CM",2,(IF(E4050="DP",3,(IF(E4050="AN",1,(IF(E4050="CO",2,(IF(E4050="IM",3,(IF(E4050="MI",4,(IF(E4050="RP",5,(IF(E4050="SC",6,0)))))))))))))))))))))))))))))))))))))))</f>
        <v>1</v>
      </c>
      <c r="G4050" s="98">
        <v>1</v>
      </c>
      <c r="H4050" s="90" t="s">
        <v>115</v>
      </c>
      <c r="I4050" s="94" t="s">
        <v>92</v>
      </c>
      <c r="J4050" s="87" t="s">
        <v>317</v>
      </c>
      <c r="K4050" s="102" t="s">
        <v>5226</v>
      </c>
      <c r="L4050" s="117">
        <f>IF(O4050="","",N4050*O4050*M4050)</f>
        <v>0</v>
      </c>
      <c r="M4050" s="108">
        <v>1</v>
      </c>
      <c r="N4050" s="95">
        <v>1</v>
      </c>
      <c r="O4050" s="109">
        <f>IF(Key!D$1="ON",P4050,IF(SUM(Q4050:DL4050)&lt;1,"",SUM(Q4050:DL4050)/COUNTIF(Q4050:DL4050,"&gt;0")))</f>
        <v>0</v>
      </c>
      <c r="P4050" s="109">
        <f>SUMIFS(Q4050:DK4050,Q$1:DK$1,Dashboard!$K$31)</f>
        <v>0</v>
      </c>
      <c r="U4050" s="95">
        <v>33</v>
      </c>
      <c r="AA4050" s="95">
        <v>25</v>
      </c>
      <c r="AH4050" s="95">
        <v>75</v>
      </c>
    </row>
    <row r="4051" spans="1:34" x14ac:dyDescent="0.3">
      <c r="A4051" s="89" t="str">
        <f>CONCATENATE(D4051,".",F4051,"-",G4051,".",H4051,"")</f>
        <v>4.1-1.1</v>
      </c>
      <c r="B4051" s="89" t="str">
        <f>IF(CONCATENATE(I4051,Key!F$2)=CONCATENATE(INDEX(Dashboard!J:J,MATCH(I4051,Dashboard!J:J,0),1),INDEX(Dashboard!J:K,MATCH(I4051,Dashboard!J:J,0),2)),"ON",IF(Dashboard!K$32="ALL","ON","-"))</f>
        <v>-</v>
      </c>
      <c r="C4051" s="88" t="s">
        <v>329</v>
      </c>
      <c r="D4051" s="89">
        <f>IF(C4051="ID",1,(IF(C4051="PR",2,(IF(C4051="DE",3,(IF(C4051="RS",4,(IF(C4051="RC",5,0)))))))))</f>
        <v>4</v>
      </c>
      <c r="E4051" s="89" t="s">
        <v>331</v>
      </c>
      <c r="F4051" s="89">
        <f>IF(E4051="AM",1,(IF(E4051="BE",2,(IF(E4051="GV",3,(IF(E4051="RA",4,(IF(E4051="RM",5,(IF(E4051="AC",1,(IF(E4051="AT",2,(IF(E4051="DS",3,(IF(E4051="IP",4,(IF(E4051="MA",5,(IF(E4051="PT",6,(IF(E4051="AE",1,(IF(E4051="CM",2,(IF(E4051="DP",3,(IF(E4051="AN",1,(IF(E4051="CO",2,(IF(E4051="IM",3,(IF(E4051="MI",4,(IF(E4051="RP",5,(IF(E4051="SC",6,0)))))))))))))))))))))))))))))))))))))))</f>
        <v>1</v>
      </c>
      <c r="G4051" s="52">
        <v>1</v>
      </c>
      <c r="H4051" s="90" t="s">
        <v>115</v>
      </c>
      <c r="I4051" s="94" t="s">
        <v>92</v>
      </c>
      <c r="J4051" s="88" t="s">
        <v>336</v>
      </c>
      <c r="K4051" s="102" t="s">
        <v>5226</v>
      </c>
      <c r="L4051" s="117">
        <f>IF(O4051="","",N4051*O4051*M4051)</f>
        <v>0</v>
      </c>
      <c r="M4051" s="108">
        <v>1</v>
      </c>
      <c r="N4051" s="95">
        <v>1</v>
      </c>
      <c r="O4051" s="109">
        <f>IF(Key!D$1="ON",P4051,IF(SUM(Q4051:DL4051)&lt;1,"",SUM(Q4051:DL4051)/COUNTIF(Q4051:DL4051,"&gt;0")))</f>
        <v>0</v>
      </c>
      <c r="P4051" s="109">
        <f>SUMIFS(Q4051:DK4051,Q$1:DK$1,Dashboard!$K$31)</f>
        <v>0</v>
      </c>
      <c r="U4051" s="95">
        <v>33</v>
      </c>
      <c r="AA4051" s="95">
        <v>25</v>
      </c>
      <c r="AH4051" s="95">
        <v>75</v>
      </c>
    </row>
    <row r="4052" spans="1:34" x14ac:dyDescent="0.3">
      <c r="A4052" s="89" t="str">
        <f>CONCATENATE(D4052,".",F4052,"-",G4052,".",H4052,"")</f>
        <v>4.1-1.1</v>
      </c>
      <c r="B4052" s="89" t="str">
        <f>IF(CONCATENATE(I4052,Key!F$2)=CONCATENATE(INDEX(Dashboard!J:J,MATCH(I4052,Dashboard!J:J,0),1),INDEX(Dashboard!J:K,MATCH(I4052,Dashboard!J:J,0),2)),"ON",IF(Dashboard!K$32="ALL","ON","-"))</f>
        <v>-</v>
      </c>
      <c r="C4052" s="96" t="s">
        <v>329</v>
      </c>
      <c r="D4052" s="89">
        <f>IF(C4052="ID",1,(IF(C4052="PR",2,(IF(C4052="DE",3,(IF(C4052="RS",4,(IF(C4052="RC",5,0)))))))))</f>
        <v>4</v>
      </c>
      <c r="E4052" s="89" t="s">
        <v>331</v>
      </c>
      <c r="F4052" s="89">
        <f>IF(E4052="AM",1,(IF(E4052="BE",2,(IF(E4052="GV",3,(IF(E4052="RA",4,(IF(E4052="RM",5,(IF(E4052="AC",1,(IF(E4052="AT",2,(IF(E4052="DS",3,(IF(E4052="IP",4,(IF(E4052="MA",5,(IF(E4052="PT",6,(IF(E4052="AE",1,(IF(E4052="CM",2,(IF(E4052="DP",3,(IF(E4052="AN",1,(IF(E4052="CO",2,(IF(E4052="IM",3,(IF(E4052="MI",4,(IF(E4052="RP",5,(IF(E4052="SC",6,0)))))))))))))))))))))))))))))))))))))))</f>
        <v>1</v>
      </c>
      <c r="G4052" s="52">
        <v>1</v>
      </c>
      <c r="H4052" s="90" t="s">
        <v>115</v>
      </c>
      <c r="I4052" s="94" t="s">
        <v>92</v>
      </c>
      <c r="J4052" s="88" t="s">
        <v>337</v>
      </c>
      <c r="K4052" s="102" t="s">
        <v>5226</v>
      </c>
      <c r="L4052" s="117">
        <f>IF(O4052="","",N4052*O4052*M4052)</f>
        <v>0</v>
      </c>
      <c r="M4052" s="108">
        <v>1</v>
      </c>
      <c r="N4052" s="95">
        <v>1</v>
      </c>
      <c r="O4052" s="109">
        <f>IF(Key!D$1="ON",P4052,IF(SUM(Q4052:DL4052)&lt;1,"",SUM(Q4052:DL4052)/COUNTIF(Q4052:DL4052,"&gt;0")))</f>
        <v>0</v>
      </c>
      <c r="P4052" s="109">
        <f>SUMIFS(Q4052:DK4052,Q$1:DK$1,Dashboard!$K$31)</f>
        <v>0</v>
      </c>
      <c r="U4052" s="95">
        <v>33</v>
      </c>
      <c r="AA4052" s="95">
        <v>25</v>
      </c>
      <c r="AH4052" s="95">
        <v>75</v>
      </c>
    </row>
    <row r="4053" spans="1:34" x14ac:dyDescent="0.3">
      <c r="A4053" s="89" t="str">
        <f>CONCATENATE(D4053,".",F4053,"-",G4053,".",H4053,"")</f>
        <v>4.1-1.1</v>
      </c>
      <c r="B4053" s="89" t="str">
        <f>IF(CONCATENATE(I4053,Key!F$2)=CONCATENATE(INDEX(Dashboard!J:J,MATCH(I4053,Dashboard!J:J,0),1),INDEX(Dashboard!J:K,MATCH(I4053,Dashboard!J:J,0),2)),"ON",IF(Dashboard!K$32="ALL","ON","-"))</f>
        <v>-</v>
      </c>
      <c r="C4053" s="96" t="s">
        <v>329</v>
      </c>
      <c r="D4053" s="89">
        <f>IF(C4053="ID",1,(IF(C4053="PR",2,(IF(C4053="DE",3,(IF(C4053="RS",4,(IF(C4053="RC",5,0)))))))))</f>
        <v>4</v>
      </c>
      <c r="E4053" s="89" t="s">
        <v>331</v>
      </c>
      <c r="F4053" s="89">
        <f>IF(E4053="AM",1,(IF(E4053="BE",2,(IF(E4053="GV",3,(IF(E4053="RA",4,(IF(E4053="RM",5,(IF(E4053="AC",1,(IF(E4053="AT",2,(IF(E4053="DS",3,(IF(E4053="IP",4,(IF(E4053="MA",5,(IF(E4053="PT",6,(IF(E4053="AE",1,(IF(E4053="CM",2,(IF(E4053="DP",3,(IF(E4053="AN",1,(IF(E4053="CO",2,(IF(E4053="IM",3,(IF(E4053="MI",4,(IF(E4053="RP",5,(IF(E4053="SC",6,0)))))))))))))))))))))))))))))))))))))))</f>
        <v>1</v>
      </c>
      <c r="G4053" s="52">
        <v>1</v>
      </c>
      <c r="H4053" s="90" t="s">
        <v>115</v>
      </c>
      <c r="I4053" s="94" t="s">
        <v>92</v>
      </c>
      <c r="J4053" s="88" t="s">
        <v>338</v>
      </c>
      <c r="K4053" s="102" t="s">
        <v>5226</v>
      </c>
      <c r="L4053" s="117">
        <f>IF(O4053="","",N4053*O4053*M4053)</f>
        <v>0</v>
      </c>
      <c r="M4053" s="108">
        <v>1</v>
      </c>
      <c r="N4053" s="95">
        <v>1</v>
      </c>
      <c r="O4053" s="109">
        <f>IF(Key!D$1="ON",P4053,IF(SUM(Q4053:DL4053)&lt;1,"",SUM(Q4053:DL4053)/COUNTIF(Q4053:DL4053,"&gt;0")))</f>
        <v>0</v>
      </c>
      <c r="P4053" s="109">
        <f>SUMIFS(Q4053:DK4053,Q$1:DK$1,Dashboard!$K$31)</f>
        <v>0</v>
      </c>
      <c r="U4053" s="95">
        <v>33</v>
      </c>
      <c r="AA4053" s="95">
        <v>25</v>
      </c>
      <c r="AH4053" s="95">
        <v>75</v>
      </c>
    </row>
    <row r="4054" spans="1:34" x14ac:dyDescent="0.3">
      <c r="A4054" s="89" t="str">
        <f>CONCATENATE(D4054,".",F4054,"-",G4054,".",H4054,"")</f>
        <v>4.1-1.1</v>
      </c>
      <c r="B4054" s="89" t="str">
        <f>IF(CONCATENATE(I4054,Key!F$2)=CONCATENATE(INDEX(Dashboard!J:J,MATCH(I4054,Dashboard!J:J,0),1),INDEX(Dashboard!J:K,MATCH(I4054,Dashboard!J:J,0),2)),"ON",IF(Dashboard!K$32="ALL","ON","-"))</f>
        <v>-</v>
      </c>
      <c r="C4054" s="96" t="s">
        <v>329</v>
      </c>
      <c r="D4054" s="89">
        <f>IF(C4054="ID",1,(IF(C4054="PR",2,(IF(C4054="DE",3,(IF(C4054="RS",4,(IF(C4054="RC",5,0)))))))))</f>
        <v>4</v>
      </c>
      <c r="E4054" s="89" t="s">
        <v>331</v>
      </c>
      <c r="F4054" s="89">
        <f>IF(E4054="AM",1,(IF(E4054="BE",2,(IF(E4054="GV",3,(IF(E4054="RA",4,(IF(E4054="RM",5,(IF(E4054="AC",1,(IF(E4054="AT",2,(IF(E4054="DS",3,(IF(E4054="IP",4,(IF(E4054="MA",5,(IF(E4054="PT",6,(IF(E4054="AE",1,(IF(E4054="CM",2,(IF(E4054="DP",3,(IF(E4054="AN",1,(IF(E4054="CO",2,(IF(E4054="IM",3,(IF(E4054="MI",4,(IF(E4054="RP",5,(IF(E4054="SC",6,0)))))))))))))))))))))))))))))))))))))))</f>
        <v>1</v>
      </c>
      <c r="G4054" s="52">
        <v>1</v>
      </c>
      <c r="H4054" s="90" t="s">
        <v>115</v>
      </c>
      <c r="I4054" s="94" t="s">
        <v>92</v>
      </c>
      <c r="J4054" s="88" t="s">
        <v>339</v>
      </c>
      <c r="K4054" s="102" t="s">
        <v>5226</v>
      </c>
      <c r="L4054" s="117">
        <f>IF(O4054="","",N4054*O4054*M4054)</f>
        <v>0</v>
      </c>
      <c r="M4054" s="108">
        <v>1</v>
      </c>
      <c r="N4054" s="95">
        <v>1</v>
      </c>
      <c r="O4054" s="109">
        <f>IF(Key!D$1="ON",P4054,IF(SUM(Q4054:DL4054)&lt;1,"",SUM(Q4054:DL4054)/COUNTIF(Q4054:DL4054,"&gt;0")))</f>
        <v>0</v>
      </c>
      <c r="P4054" s="109">
        <f>SUMIFS(Q4054:DK4054,Q$1:DK$1,Dashboard!$K$31)</f>
        <v>0</v>
      </c>
      <c r="U4054" s="95">
        <v>33</v>
      </c>
      <c r="AA4054" s="95">
        <v>25</v>
      </c>
      <c r="AH4054" s="95">
        <v>75</v>
      </c>
    </row>
    <row r="4055" spans="1:34" x14ac:dyDescent="0.3">
      <c r="A4055" s="89" t="str">
        <f>CONCATENATE(D4055,".",F4055,"-",G4055,".",H4055,"")</f>
        <v>4.1-1.1</v>
      </c>
      <c r="B4055" s="89" t="str">
        <f>IF(CONCATENATE(I4055,Key!F$2)=CONCATENATE(INDEX(Dashboard!J:J,MATCH(I4055,Dashboard!J:J,0),1),INDEX(Dashboard!J:K,MATCH(I4055,Dashboard!J:J,0),2)),"ON",IF(Dashboard!K$32="ALL","ON","-"))</f>
        <v>-</v>
      </c>
      <c r="C4055" s="96" t="s">
        <v>329</v>
      </c>
      <c r="D4055" s="89">
        <f>IF(C4055="ID",1,(IF(C4055="PR",2,(IF(C4055="DE",3,(IF(C4055="RS",4,(IF(C4055="RC",5,0)))))))))</f>
        <v>4</v>
      </c>
      <c r="E4055" s="89" t="s">
        <v>331</v>
      </c>
      <c r="F4055" s="89">
        <f>IF(E4055="AM",1,(IF(E4055="BE",2,(IF(E4055="GV",3,(IF(E4055="RA",4,(IF(E4055="RM",5,(IF(E4055="AC",1,(IF(E4055="AT",2,(IF(E4055="DS",3,(IF(E4055="IP",4,(IF(E4055="MA",5,(IF(E4055="PT",6,(IF(E4055="AE",1,(IF(E4055="CM",2,(IF(E4055="DP",3,(IF(E4055="AN",1,(IF(E4055="CO",2,(IF(E4055="IM",3,(IF(E4055="MI",4,(IF(E4055="RP",5,(IF(E4055="SC",6,0)))))))))))))))))))))))))))))))))))))))</f>
        <v>1</v>
      </c>
      <c r="G4055" s="52">
        <v>1</v>
      </c>
      <c r="H4055" s="90" t="s">
        <v>115</v>
      </c>
      <c r="I4055" s="94" t="s">
        <v>92</v>
      </c>
      <c r="J4055" s="88" t="s">
        <v>340</v>
      </c>
      <c r="K4055" s="102" t="s">
        <v>5226</v>
      </c>
      <c r="L4055" s="117">
        <f>IF(O4055="","",N4055*O4055*M4055)</f>
        <v>0</v>
      </c>
      <c r="M4055" s="108">
        <v>1</v>
      </c>
      <c r="N4055" s="95">
        <v>1</v>
      </c>
      <c r="O4055" s="109">
        <f>IF(Key!D$1="ON",P4055,IF(SUM(Q4055:DL4055)&lt;1,"",SUM(Q4055:DL4055)/COUNTIF(Q4055:DL4055,"&gt;0")))</f>
        <v>0</v>
      </c>
      <c r="P4055" s="109">
        <f>SUMIFS(Q4055:DK4055,Q$1:DK$1,Dashboard!$K$31)</f>
        <v>0</v>
      </c>
      <c r="U4055" s="95">
        <v>33</v>
      </c>
      <c r="AA4055" s="95">
        <v>25</v>
      </c>
      <c r="AH4055" s="95">
        <v>75</v>
      </c>
    </row>
    <row r="4056" spans="1:34" x14ac:dyDescent="0.3">
      <c r="A4056" s="89" t="str">
        <f>CONCATENATE(D4056,".",F4056,"-",G4056,".",H4056,"")</f>
        <v>4.1-2.0</v>
      </c>
      <c r="B4056" s="89" t="str">
        <f>IF(CONCATENATE(I4056,Key!F$2)=CONCATENATE(INDEX(Dashboard!J:J,MATCH(I4056,Dashboard!J:J,0),1),INDEX(Dashboard!J:K,MATCH(I4056,Dashboard!J:J,0),2)),"ON",IF(Dashboard!K$32="ALL","ON","-"))</f>
        <v>-</v>
      </c>
      <c r="C4056" s="96" t="s">
        <v>329</v>
      </c>
      <c r="D4056" s="89">
        <f>IF(C4056="ID",1,(IF(C4056="PR",2,(IF(C4056="DE",3,(IF(C4056="RS",4,(IF(C4056="RC",5,0)))))))))</f>
        <v>4</v>
      </c>
      <c r="E4056" s="89" t="s">
        <v>331</v>
      </c>
      <c r="F4056" s="89">
        <f>IF(E4056="AM",1,(IF(E4056="BE",2,(IF(E4056="GV",3,(IF(E4056="RA",4,(IF(E4056="RM",5,(IF(E4056="AC",1,(IF(E4056="AT",2,(IF(E4056="DS",3,(IF(E4056="IP",4,(IF(E4056="MA",5,(IF(E4056="PT",6,(IF(E4056="AE",1,(IF(E4056="CM",2,(IF(E4056="DP",3,(IF(E4056="AN",1,(IF(E4056="CO",2,(IF(E4056="IM",3,(IF(E4056="MI",4,(IF(E4056="RP",5,(IF(E4056="SC",6,0)))))))))))))))))))))))))))))))))))))))</f>
        <v>1</v>
      </c>
      <c r="G4056" s="52">
        <v>2</v>
      </c>
      <c r="H4056" s="90" t="s">
        <v>347</v>
      </c>
      <c r="I4056" s="94" t="s">
        <v>2835</v>
      </c>
      <c r="J4056" s="53" t="s">
        <v>3056</v>
      </c>
      <c r="K4056" s="105" t="s">
        <v>3057</v>
      </c>
      <c r="L4056" s="117">
        <f>IF(O4056="","",N4056*O4056*M4056)</f>
        <v>0</v>
      </c>
      <c r="M4056" s="108">
        <v>1</v>
      </c>
      <c r="N4056" s="95">
        <v>1</v>
      </c>
      <c r="O4056" s="109">
        <f>IF(Key!D$1="ON",P4056,IF(SUM(Q4056:DL4056)&lt;1,"",SUM(Q4056:DL4056)/COUNTIF(Q4056:DL4056,"&gt;0")))</f>
        <v>0</v>
      </c>
      <c r="P4056" s="109">
        <f>SUMIFS(Q4056:DK4056,Q$1:DK$1,Dashboard!$K$31)</f>
        <v>0</v>
      </c>
      <c r="U4056" s="95">
        <v>33</v>
      </c>
    </row>
    <row r="4057" spans="1:34" x14ac:dyDescent="0.3">
      <c r="A4057" s="89" t="str">
        <f>CONCATENATE(D4057,".",F4057,"-",G4057,".",H4057,"")</f>
        <v>4.1-2.1</v>
      </c>
      <c r="B4057" s="89" t="str">
        <f>IF(CONCATENATE(I4057,Key!F$2)=CONCATENATE(INDEX(Dashboard!J:J,MATCH(I4057,Dashboard!J:J,0),1),INDEX(Dashboard!J:K,MATCH(I4057,Dashboard!J:J,0),2)),"ON",IF(Dashboard!K$32="ALL","ON","-"))</f>
        <v>ON</v>
      </c>
      <c r="C4057" s="88" t="s">
        <v>329</v>
      </c>
      <c r="D4057" s="89">
        <f>IF(C4057="ID",1,(IF(C4057="PR",2,(IF(C4057="DE",3,(IF(C4057="RS",4,(IF(C4057="RC",5,0)))))))))</f>
        <v>4</v>
      </c>
      <c r="E4057" s="89" t="s">
        <v>331</v>
      </c>
      <c r="F4057" s="89">
        <f>IF(E4057="AM",1,(IF(E4057="BE",2,(IF(E4057="GV",3,(IF(E4057="RA",4,(IF(E4057="RM",5,(IF(E4057="AC",1,(IF(E4057="AT",2,(IF(E4057="DS",3,(IF(E4057="IP",4,(IF(E4057="MA",5,(IF(E4057="PT",6,(IF(E4057="AE",1,(IF(E4057="CM",2,(IF(E4057="DP",3,(IF(E4057="AN",1,(IF(E4057="CO",2,(IF(E4057="IM",3,(IF(E4057="MI",4,(IF(E4057="RP",5,(IF(E4057="SC",6,0)))))))))))))))))))))))))))))))))))))))</f>
        <v>1</v>
      </c>
      <c r="G4057" s="52">
        <v>2</v>
      </c>
      <c r="H4057" s="90" t="s">
        <v>115</v>
      </c>
      <c r="I4057" s="94" t="s">
        <v>4107</v>
      </c>
      <c r="J4057" s="86" t="s">
        <v>4015</v>
      </c>
      <c r="K4057" s="101" t="s">
        <v>4453</v>
      </c>
      <c r="L4057" s="117">
        <f>IF(O4057="","",N4057*O4057*M4057)</f>
        <v>0</v>
      </c>
      <c r="M4057" s="108">
        <v>1</v>
      </c>
      <c r="N4057" s="95">
        <v>1</v>
      </c>
      <c r="O4057" s="109">
        <f>IF(Key!D$1="ON",P4057,IF(SUM(Q4057:DL4057)&lt;1,"",SUM(Q4057:DL4057)/COUNTIF(Q4057:DL4057,"&gt;0")))</f>
        <v>0</v>
      </c>
      <c r="P4057" s="109">
        <f>SUMIFS(Q4057:DK4057,Q$1:DK$1,Dashboard!$K$31)</f>
        <v>0</v>
      </c>
      <c r="U4057" s="95">
        <v>33</v>
      </c>
      <c r="AA4057" s="95">
        <v>25</v>
      </c>
      <c r="AH4057" s="95">
        <v>75</v>
      </c>
    </row>
    <row r="4058" spans="1:34" x14ac:dyDescent="0.3">
      <c r="A4058" s="89" t="str">
        <f>CONCATENATE(D4058,".",F4058,"-",G4058,".",H4058,"")</f>
        <v>4.1-2.1</v>
      </c>
      <c r="B4058" s="89" t="str">
        <f>IF(CONCATENATE(I4058,Key!F$2)=CONCATENATE(INDEX(Dashboard!J:J,MATCH(I4058,Dashboard!J:J,0),1),INDEX(Dashboard!J:K,MATCH(I4058,Dashboard!J:J,0),2)),"ON",IF(Dashboard!K$32="ALL","ON","-"))</f>
        <v>-</v>
      </c>
      <c r="C4058" s="88" t="s">
        <v>329</v>
      </c>
      <c r="D4058" s="89">
        <f>IF(C4058="ID",1,(IF(C4058="PR",2,(IF(C4058="DE",3,(IF(C4058="RS",4,(IF(C4058="RC",5,0)))))))))</f>
        <v>4</v>
      </c>
      <c r="E4058" s="89" t="s">
        <v>331</v>
      </c>
      <c r="F4058" s="89">
        <f>IF(E4058="AM",1,(IF(E4058="BE",2,(IF(E4058="GV",3,(IF(E4058="RA",4,(IF(E4058="RM",5,(IF(E4058="AC",1,(IF(E4058="AT",2,(IF(E4058="DS",3,(IF(E4058="IP",4,(IF(E4058="MA",5,(IF(E4058="PT",6,(IF(E4058="AE",1,(IF(E4058="CM",2,(IF(E4058="DP",3,(IF(E4058="AN",1,(IF(E4058="CO",2,(IF(E4058="IM",3,(IF(E4058="MI",4,(IF(E4058="RP",5,(IF(E4058="SC",6,0)))))))))))))))))))))))))))))))))))))))</f>
        <v>1</v>
      </c>
      <c r="G4058" s="52">
        <v>2</v>
      </c>
      <c r="H4058" s="99">
        <v>1</v>
      </c>
      <c r="I4058" s="94" t="s">
        <v>37</v>
      </c>
      <c r="J4058" s="86">
        <v>19.7</v>
      </c>
      <c r="K4058" s="102" t="s">
        <v>3847</v>
      </c>
      <c r="L4058" s="117">
        <f>IF(O4058="","",N4058*O4058*M4058)</f>
        <v>0</v>
      </c>
      <c r="M4058" s="108">
        <v>1</v>
      </c>
      <c r="N4058" s="95">
        <v>1</v>
      </c>
      <c r="O4058" s="109">
        <f>IF(Key!D$1="ON",P4058,IF(SUM(Q4058:DL4058)&lt;1,"",SUM(Q4058:DL4058)/COUNTIF(Q4058:DL4058,"&gt;0")))</f>
        <v>0</v>
      </c>
      <c r="P4058" s="109">
        <f>SUMIFS(Q4058:DK4058,Q$1:DK$1,Dashboard!$K$31)</f>
        <v>0</v>
      </c>
      <c r="U4058" s="95">
        <v>33</v>
      </c>
      <c r="AA4058" s="95">
        <v>25</v>
      </c>
      <c r="AH4058" s="95">
        <v>75</v>
      </c>
    </row>
    <row r="4059" spans="1:34" x14ac:dyDescent="0.3">
      <c r="A4059" s="89" t="str">
        <f>CONCATENATE(D4059,".",F4059,"-",G4059,".",H4059,"")</f>
        <v>4.1-2.1</v>
      </c>
      <c r="B4059" s="89" t="str">
        <f>IF(CONCATENATE(I4059,Key!F$2)=CONCATENATE(INDEX(Dashboard!J:J,MATCH(I4059,Dashboard!J:J,0),1),INDEX(Dashboard!J:K,MATCH(I4059,Dashboard!J:J,0),2)),"ON",IF(Dashboard!K$32="ALL","ON","-"))</f>
        <v>-</v>
      </c>
      <c r="C4059" s="88" t="s">
        <v>329</v>
      </c>
      <c r="D4059" s="89">
        <f>IF(C4059="ID",1,(IF(C4059="PR",2,(IF(C4059="DE",3,(IF(C4059="RS",4,(IF(C4059="RC",5,0)))))))))</f>
        <v>4</v>
      </c>
      <c r="E4059" s="89" t="s">
        <v>331</v>
      </c>
      <c r="F4059" s="89">
        <f>IF(E4059="AM",1,(IF(E4059="BE",2,(IF(E4059="GV",3,(IF(E4059="RA",4,(IF(E4059="RM",5,(IF(E4059="AC",1,(IF(E4059="AT",2,(IF(E4059="DS",3,(IF(E4059="IP",4,(IF(E4059="MA",5,(IF(E4059="PT",6,(IF(E4059="AE",1,(IF(E4059="CM",2,(IF(E4059="DP",3,(IF(E4059="AN",1,(IF(E4059="CO",2,(IF(E4059="IM",3,(IF(E4059="MI",4,(IF(E4059="RP",5,(IF(E4059="SC",6,0)))))))))))))))))))))))))))))))))))))))</f>
        <v>1</v>
      </c>
      <c r="G4059" s="52">
        <v>2</v>
      </c>
      <c r="H4059" s="99">
        <v>1</v>
      </c>
      <c r="I4059" s="94" t="s">
        <v>41</v>
      </c>
      <c r="J4059" s="86" t="s">
        <v>3656</v>
      </c>
      <c r="K4059" s="103" t="s">
        <v>3657</v>
      </c>
      <c r="L4059" s="117">
        <f>IF(O4059="","",N4059*O4059*M4059)</f>
        <v>0</v>
      </c>
      <c r="M4059" s="108">
        <v>1</v>
      </c>
      <c r="N4059" s="95">
        <v>1</v>
      </c>
      <c r="O4059" s="109">
        <f>IF(Key!D$1="ON",P4059,IF(SUM(Q4059:DL4059)&lt;1,"",SUM(Q4059:DL4059)/COUNTIF(Q4059:DL4059,"&gt;0")))</f>
        <v>0</v>
      </c>
      <c r="P4059" s="109">
        <f>SUMIFS(Q4059:DK4059,Q$1:DK$1,Dashboard!$K$31)</f>
        <v>0</v>
      </c>
      <c r="U4059" s="95">
        <v>33</v>
      </c>
    </row>
    <row r="4060" spans="1:34" x14ac:dyDescent="0.3">
      <c r="A4060" s="89" t="str">
        <f>CONCATENATE(D4060,".",F4060,"-",G4060,".",H4060,"")</f>
        <v>4.1-2.1</v>
      </c>
      <c r="B4060" s="89" t="str">
        <f>IF(CONCATENATE(I4060,Key!F$2)=CONCATENATE(INDEX(Dashboard!J:J,MATCH(I4060,Dashboard!J:J,0),1),INDEX(Dashboard!J:K,MATCH(I4060,Dashboard!J:J,0),2)),"ON",IF(Dashboard!K$32="ALL","ON","-"))</f>
        <v>-</v>
      </c>
      <c r="C4060" s="96" t="s">
        <v>329</v>
      </c>
      <c r="D4060" s="89">
        <f>IF(C4060="ID",1,(IF(C4060="PR",2,(IF(C4060="DE",3,(IF(C4060="RS",4,(IF(C4060="RC",5,0)))))))))</f>
        <v>4</v>
      </c>
      <c r="E4060" s="89" t="s">
        <v>331</v>
      </c>
      <c r="F4060" s="89">
        <f>IF(E4060="AM",1,(IF(E4060="BE",2,(IF(E4060="GV",3,(IF(E4060="RA",4,(IF(E4060="RM",5,(IF(E4060="AC",1,(IF(E4060="AT",2,(IF(E4060="DS",3,(IF(E4060="IP",4,(IF(E4060="MA",5,(IF(E4060="PT",6,(IF(E4060="AE",1,(IF(E4060="CM",2,(IF(E4060="DP",3,(IF(E4060="AN",1,(IF(E4060="CO",2,(IF(E4060="IM",3,(IF(E4060="MI",4,(IF(E4060="RP",5,(IF(E4060="SC",6,0)))))))))))))))))))))))))))))))))))))))</f>
        <v>1</v>
      </c>
      <c r="G4060" s="98">
        <v>2</v>
      </c>
      <c r="H4060" s="90" t="s">
        <v>115</v>
      </c>
      <c r="I4060" s="94" t="s">
        <v>52</v>
      </c>
      <c r="J4060" s="88" t="s">
        <v>3437</v>
      </c>
      <c r="K4060" s="103" t="s">
        <v>3438</v>
      </c>
      <c r="L4060" s="117">
        <f>IF(O4060="","",N4060*O4060*M4060)</f>
        <v>0</v>
      </c>
      <c r="M4060" s="108">
        <v>1</v>
      </c>
      <c r="N4060" s="95">
        <v>1</v>
      </c>
      <c r="O4060" s="109">
        <f>IF(Key!D$1="ON",P4060,IF(SUM(Q4060:DL4060)&lt;1,"",SUM(Q4060:DL4060)/COUNTIF(Q4060:DL4060,"&gt;0")))</f>
        <v>0</v>
      </c>
      <c r="P4060" s="109">
        <f>SUMIFS(Q4060:DK4060,Q$1:DK$1,Dashboard!$K$31)</f>
        <v>0</v>
      </c>
      <c r="U4060" s="95">
        <v>33</v>
      </c>
      <c r="AA4060" s="95">
        <v>25</v>
      </c>
      <c r="AH4060" s="95">
        <v>75</v>
      </c>
    </row>
    <row r="4061" spans="1:34" x14ac:dyDescent="0.3">
      <c r="A4061" s="89" t="str">
        <f>CONCATENATE(D4061,".",F4061,"-",G4061,".",H4061,"")</f>
        <v>4.1-2.1</v>
      </c>
      <c r="B4061" s="89" t="str">
        <f>IF(CONCATENATE(I4061,Key!F$2)=CONCATENATE(INDEX(Dashboard!J:J,MATCH(I4061,Dashboard!J:J,0),1),INDEX(Dashboard!J:K,MATCH(I4061,Dashboard!J:J,0),2)),"ON",IF(Dashboard!K$32="ALL","ON","-"))</f>
        <v>-</v>
      </c>
      <c r="C4061" s="96" t="s">
        <v>329</v>
      </c>
      <c r="D4061" s="89">
        <f>IF(C4061="ID",1,(IF(C4061="PR",2,(IF(C4061="DE",3,(IF(C4061="RS",4,(IF(C4061="RC",5,0)))))))))</f>
        <v>4</v>
      </c>
      <c r="E4061" s="89" t="s">
        <v>331</v>
      </c>
      <c r="F4061" s="89">
        <f>IF(E4061="AM",1,(IF(E4061="BE",2,(IF(E4061="GV",3,(IF(E4061="RA",4,(IF(E4061="RM",5,(IF(E4061="AC",1,(IF(E4061="AT",2,(IF(E4061="DS",3,(IF(E4061="IP",4,(IF(E4061="MA",5,(IF(E4061="PT",6,(IF(E4061="AE",1,(IF(E4061="CM",2,(IF(E4061="DP",3,(IF(E4061="AN",1,(IF(E4061="CO",2,(IF(E4061="IM",3,(IF(E4061="MI",4,(IF(E4061="RP",5,(IF(E4061="SC",6,0)))))))))))))))))))))))))))))))))))))))</f>
        <v>1</v>
      </c>
      <c r="G4061" s="98">
        <v>2</v>
      </c>
      <c r="H4061" s="90" t="s">
        <v>115</v>
      </c>
      <c r="I4061" s="94" t="s">
        <v>52</v>
      </c>
      <c r="J4061" s="88" t="s">
        <v>3305</v>
      </c>
      <c r="K4061" s="103" t="s">
        <v>3306</v>
      </c>
      <c r="L4061" s="117">
        <f>IF(O4061="","",N4061*O4061*M4061)</f>
        <v>0</v>
      </c>
      <c r="M4061" s="108">
        <v>1</v>
      </c>
      <c r="N4061" s="95">
        <v>1</v>
      </c>
      <c r="O4061" s="109">
        <f>IF(Key!D$1="ON",P4061,IF(SUM(Q4061:DL4061)&lt;1,"",SUM(Q4061:DL4061)/COUNTIF(Q4061:DL4061,"&gt;0")))</f>
        <v>0</v>
      </c>
      <c r="P4061" s="109">
        <f>SUMIFS(Q4061:DK4061,Q$1:DK$1,Dashboard!$K$31)</f>
        <v>0</v>
      </c>
      <c r="U4061" s="95">
        <v>33</v>
      </c>
      <c r="AA4061" s="95">
        <v>25</v>
      </c>
      <c r="AH4061" s="95">
        <v>75</v>
      </c>
    </row>
    <row r="4062" spans="1:34" x14ac:dyDescent="0.3">
      <c r="A4062" s="89" t="str">
        <f>CONCATENATE(D4062,".",F4062,"-",G4062,".",H4062,"")</f>
        <v>4.1-2.1</v>
      </c>
      <c r="B4062" s="89" t="str">
        <f>IF(CONCATENATE(I4062,Key!F$2)=CONCATENATE(INDEX(Dashboard!J:J,MATCH(I4062,Dashboard!J:J,0),1),INDEX(Dashboard!J:K,MATCH(I4062,Dashboard!J:J,0),2)),"ON",IF(Dashboard!K$32="ALL","ON","-"))</f>
        <v>-</v>
      </c>
      <c r="C4062" s="96" t="s">
        <v>329</v>
      </c>
      <c r="D4062" s="89">
        <f>IF(C4062="ID",1,(IF(C4062="PR",2,(IF(C4062="DE",3,(IF(C4062="RS",4,(IF(C4062="RC",5,0)))))))))</f>
        <v>4</v>
      </c>
      <c r="E4062" s="89" t="s">
        <v>331</v>
      </c>
      <c r="F4062" s="89">
        <f>IF(E4062="AM",1,(IF(E4062="BE",2,(IF(E4062="GV",3,(IF(E4062="RA",4,(IF(E4062="RM",5,(IF(E4062="AC",1,(IF(E4062="AT",2,(IF(E4062="DS",3,(IF(E4062="IP",4,(IF(E4062="MA",5,(IF(E4062="PT",6,(IF(E4062="AE",1,(IF(E4062="CM",2,(IF(E4062="DP",3,(IF(E4062="AN",1,(IF(E4062="CO",2,(IF(E4062="IM",3,(IF(E4062="MI",4,(IF(E4062="RP",5,(IF(E4062="SC",6,0)))))))))))))))))))))))))))))))))))))))</f>
        <v>1</v>
      </c>
      <c r="G4062" s="98">
        <v>2</v>
      </c>
      <c r="H4062" s="90" t="s">
        <v>115</v>
      </c>
      <c r="I4062" s="94" t="s">
        <v>52</v>
      </c>
      <c r="J4062" s="88" t="s">
        <v>3290</v>
      </c>
      <c r="K4062" s="103" t="s">
        <v>3291</v>
      </c>
      <c r="L4062" s="117">
        <f>IF(O4062="","",N4062*O4062*M4062)</f>
        <v>0</v>
      </c>
      <c r="M4062" s="108">
        <v>1</v>
      </c>
      <c r="N4062" s="95">
        <v>1</v>
      </c>
      <c r="O4062" s="109">
        <f>IF(Key!D$1="ON",P4062,IF(SUM(Q4062:DL4062)&lt;1,"",SUM(Q4062:DL4062)/COUNTIF(Q4062:DL4062,"&gt;0")))</f>
        <v>0</v>
      </c>
      <c r="P4062" s="109">
        <f>SUMIFS(Q4062:DK4062,Q$1:DK$1,Dashboard!$K$31)</f>
        <v>0</v>
      </c>
      <c r="U4062" s="95">
        <v>33</v>
      </c>
      <c r="AA4062" s="95">
        <v>25</v>
      </c>
      <c r="AH4062" s="95">
        <v>75</v>
      </c>
    </row>
    <row r="4063" spans="1:34" x14ac:dyDescent="0.3">
      <c r="A4063" s="89" t="str">
        <f>CONCATENATE(D4063,".",F4063,"-",G4063,".",H4063,"")</f>
        <v>4.1-2.1</v>
      </c>
      <c r="B4063" s="89" t="str">
        <f>IF(CONCATENATE(I4063,Key!F$2)=CONCATENATE(INDEX(Dashboard!J:J,MATCH(I4063,Dashboard!J:J,0),1),INDEX(Dashboard!J:K,MATCH(I4063,Dashboard!J:J,0),2)),"ON",IF(Dashboard!K$32="ALL","ON","-"))</f>
        <v>-</v>
      </c>
      <c r="C4063" s="96" t="s">
        <v>329</v>
      </c>
      <c r="D4063" s="89">
        <f>IF(C4063="ID",1,(IF(C4063="PR",2,(IF(C4063="DE",3,(IF(C4063="RS",4,(IF(C4063="RC",5,0)))))))))</f>
        <v>4</v>
      </c>
      <c r="E4063" s="89" t="s">
        <v>331</v>
      </c>
      <c r="F4063" s="89">
        <f>IF(E4063="AM",1,(IF(E4063="BE",2,(IF(E4063="GV",3,(IF(E4063="RA",4,(IF(E4063="RM",5,(IF(E4063="AC",1,(IF(E4063="AT",2,(IF(E4063="DS",3,(IF(E4063="IP",4,(IF(E4063="MA",5,(IF(E4063="PT",6,(IF(E4063="AE",1,(IF(E4063="CM",2,(IF(E4063="DP",3,(IF(E4063="AN",1,(IF(E4063="CO",2,(IF(E4063="IM",3,(IF(E4063="MI",4,(IF(E4063="RP",5,(IF(E4063="SC",6,0)))))))))))))))))))))))))))))))))))))))</f>
        <v>1</v>
      </c>
      <c r="G4063" s="98">
        <v>2</v>
      </c>
      <c r="H4063" s="90" t="s">
        <v>115</v>
      </c>
      <c r="I4063" s="94" t="s">
        <v>52</v>
      </c>
      <c r="J4063" s="88" t="s">
        <v>3282</v>
      </c>
      <c r="K4063" s="103" t="s">
        <v>3283</v>
      </c>
      <c r="L4063" s="117">
        <f>IF(O4063="","",N4063*O4063*M4063)</f>
        <v>0</v>
      </c>
      <c r="M4063" s="108">
        <v>1</v>
      </c>
      <c r="N4063" s="95">
        <v>1</v>
      </c>
      <c r="O4063" s="109">
        <f>IF(Key!D$1="ON",P4063,IF(SUM(Q4063:DL4063)&lt;1,"",SUM(Q4063:DL4063)/COUNTIF(Q4063:DL4063,"&gt;0")))</f>
        <v>0</v>
      </c>
      <c r="P4063" s="109">
        <f>SUMIFS(Q4063:DK4063,Q$1:DK$1,Dashboard!$K$31)</f>
        <v>0</v>
      </c>
      <c r="U4063" s="95">
        <v>33</v>
      </c>
      <c r="AA4063" s="95">
        <v>25</v>
      </c>
      <c r="AH4063" s="95">
        <v>75</v>
      </c>
    </row>
    <row r="4064" spans="1:34" x14ac:dyDescent="0.3">
      <c r="A4064" s="89" t="str">
        <f>CONCATENATE(D4064,".",F4064,"-",G4064,".",H4064,"")</f>
        <v>4.1-2.1</v>
      </c>
      <c r="B4064" s="89" t="str">
        <f>IF(CONCATENATE(I4064,Key!F$2)=CONCATENATE(INDEX(Dashboard!J:J,MATCH(I4064,Dashboard!J:J,0),1),INDEX(Dashboard!J:K,MATCH(I4064,Dashboard!J:J,0),2)),"ON",IF(Dashboard!K$32="ALL","ON","-"))</f>
        <v>-</v>
      </c>
      <c r="C4064" s="88" t="s">
        <v>329</v>
      </c>
      <c r="D4064" s="89">
        <f>IF(C4064="ID",1,(IF(C4064="PR",2,(IF(C4064="DE",3,(IF(C4064="RS",4,(IF(C4064="RC",5,0)))))))))</f>
        <v>4</v>
      </c>
      <c r="E4064" s="89" t="s">
        <v>312</v>
      </c>
      <c r="F4064" s="89">
        <f>IF(E4064="AM",1,(IF(E4064="BE",2,(IF(E4064="GV",3,(IF(E4064="RA",4,(IF(E4064="RM",5,(IF(E4064="AC",1,(IF(E4064="AT",2,(IF(E4064="DS",3,(IF(E4064="IP",4,(IF(E4064="MA",5,(IF(E4064="PT",6,(IF(E4064="AE",1,(IF(E4064="CM",2,(IF(E4064="DP",3,(IF(E4064="AN",1,(IF(E4064="CO",2,(IF(E4064="IM",3,(IF(E4064="MI",4,(IF(E4064="RP",5,(IF(E4064="SC",6,0)))))))))))))))))))))))))))))))))))))))</f>
        <v>1</v>
      </c>
      <c r="G4064" s="52">
        <v>2</v>
      </c>
      <c r="H4064" s="90" t="s">
        <v>115</v>
      </c>
      <c r="I4064" s="94" t="s">
        <v>60</v>
      </c>
      <c r="J4064" s="87" t="s">
        <v>3273</v>
      </c>
      <c r="K4064" s="51" t="s">
        <v>5386</v>
      </c>
      <c r="L4064" s="117">
        <f>IF(O4064="","",N4064*O4064*M4064)</f>
        <v>0</v>
      </c>
      <c r="M4064" s="108">
        <v>1</v>
      </c>
      <c r="N4064" s="95">
        <v>1</v>
      </c>
      <c r="O4064" s="109">
        <f>IF(Key!D$1="ON",P4064,IF(SUM(Q4064:DL4064)&lt;1,"",SUM(Q4064:DL4064)/COUNTIF(Q4064:DL4064,"&gt;0")))</f>
        <v>0</v>
      </c>
      <c r="P4064" s="109">
        <f>SUMIFS(Q4064:DK4064,Q$1:DK$1,Dashboard!$K$31)</f>
        <v>0</v>
      </c>
      <c r="U4064" s="95">
        <v>33</v>
      </c>
      <c r="AA4064" s="95">
        <v>25</v>
      </c>
      <c r="AH4064" s="95">
        <v>75</v>
      </c>
    </row>
    <row r="4065" spans="1:34" x14ac:dyDescent="0.3">
      <c r="A4065" s="89" t="str">
        <f>CONCATENATE(D4065,".",F4065,"-",G4065,".",H4065,"")</f>
        <v>4.1-2.1</v>
      </c>
      <c r="B4065" s="89" t="str">
        <f>IF(CONCATENATE(I4065,Key!F$2)=CONCATENATE(INDEX(Dashboard!J:J,MATCH(I4065,Dashboard!J:J,0),1),INDEX(Dashboard!J:K,MATCH(I4065,Dashboard!J:J,0),2)),"ON",IF(Dashboard!K$32="ALL","ON","-"))</f>
        <v>-</v>
      </c>
      <c r="C4065" s="88" t="s">
        <v>329</v>
      </c>
      <c r="D4065" s="89">
        <f>IF(C4065="ID",1,(IF(C4065="PR",2,(IF(C4065="DE",3,(IF(C4065="RS",4,(IF(C4065="RC",5,0)))))))))</f>
        <v>4</v>
      </c>
      <c r="E4065" s="89" t="s">
        <v>331</v>
      </c>
      <c r="F4065" s="89">
        <f>IF(E4065="AM",1,(IF(E4065="BE",2,(IF(E4065="GV",3,(IF(E4065="RA",4,(IF(E4065="RM",5,(IF(E4065="AC",1,(IF(E4065="AT",2,(IF(E4065="DS",3,(IF(E4065="IP",4,(IF(E4065="MA",5,(IF(E4065="PT",6,(IF(E4065="AE",1,(IF(E4065="CM",2,(IF(E4065="DP",3,(IF(E4065="AN",1,(IF(E4065="CO",2,(IF(E4065="IM",3,(IF(E4065="MI",4,(IF(E4065="RP",5,(IF(E4065="SC",6,0)))))))))))))))))))))))))))))))))))))))</f>
        <v>1</v>
      </c>
      <c r="G4065" s="52">
        <v>2</v>
      </c>
      <c r="H4065" s="90" t="s">
        <v>115</v>
      </c>
      <c r="I4065" s="94" t="s">
        <v>60</v>
      </c>
      <c r="J4065" s="87" t="s">
        <v>3251</v>
      </c>
      <c r="K4065" s="51" t="s">
        <v>5365</v>
      </c>
      <c r="L4065" s="117">
        <f>IF(O4065="","",N4065*O4065*M4065)</f>
        <v>0</v>
      </c>
      <c r="M4065" s="108">
        <v>1</v>
      </c>
      <c r="N4065" s="95">
        <v>1</v>
      </c>
      <c r="O4065" s="109">
        <f>IF(Key!D$1="ON",P4065,IF(SUM(Q4065:DL4065)&lt;1,"",SUM(Q4065:DL4065)/COUNTIF(Q4065:DL4065,"&gt;0")))</f>
        <v>0</v>
      </c>
      <c r="P4065" s="109">
        <f>SUMIFS(Q4065:DK4065,Q$1:DK$1,Dashboard!$K$31)</f>
        <v>0</v>
      </c>
      <c r="U4065" s="95">
        <v>33</v>
      </c>
      <c r="AA4065" s="95">
        <v>25</v>
      </c>
      <c r="AH4065" s="95">
        <v>75</v>
      </c>
    </row>
    <row r="4066" spans="1:34" x14ac:dyDescent="0.3">
      <c r="A4066" s="89" t="str">
        <f>CONCATENATE(D4066,".",F4066,"-",G4066,".",H4066,"")</f>
        <v>4.1-2.1</v>
      </c>
      <c r="B4066" s="89" t="str">
        <f>IF(CONCATENATE(I4066,Key!F$2)=CONCATENATE(INDEX(Dashboard!J:J,MATCH(I4066,Dashboard!J:J,0),1),INDEX(Dashboard!J:K,MATCH(I4066,Dashboard!J:J,0),2)),"ON",IF(Dashboard!K$32="ALL","ON","-"))</f>
        <v>-</v>
      </c>
      <c r="C4066" s="88" t="s">
        <v>329</v>
      </c>
      <c r="D4066" s="89">
        <f>IF(C4066="ID",1,(IF(C4066="PR",2,(IF(C4066="DE",3,(IF(C4066="RS",4,(IF(C4066="RC",5,0)))))))))</f>
        <v>4</v>
      </c>
      <c r="E4066" s="89" t="s">
        <v>331</v>
      </c>
      <c r="F4066" s="89">
        <f>IF(E4066="AM",1,(IF(E4066="BE",2,(IF(E4066="GV",3,(IF(E4066="RA",4,(IF(E4066="RM",5,(IF(E4066="AC",1,(IF(E4066="AT",2,(IF(E4066="DS",3,(IF(E4066="IP",4,(IF(E4066="MA",5,(IF(E4066="PT",6,(IF(E4066="AE",1,(IF(E4066="CM",2,(IF(E4066="DP",3,(IF(E4066="AN",1,(IF(E4066="CO",2,(IF(E4066="IM",3,(IF(E4066="MI",4,(IF(E4066="RP",5,(IF(E4066="SC",6,0)))))))))))))))))))))))))))))))))))))))</f>
        <v>1</v>
      </c>
      <c r="G4066" s="52">
        <v>2</v>
      </c>
      <c r="H4066" s="90" t="s">
        <v>115</v>
      </c>
      <c r="I4066" s="94" t="s">
        <v>64</v>
      </c>
      <c r="J4066" s="87" t="s">
        <v>1118</v>
      </c>
      <c r="K4066" s="102" t="s">
        <v>2154</v>
      </c>
      <c r="L4066" s="117">
        <f>IF(O4066="","",N4066*O4066*M4066)</f>
        <v>0</v>
      </c>
      <c r="M4066" s="108">
        <v>1</v>
      </c>
      <c r="N4066" s="95">
        <v>1</v>
      </c>
      <c r="O4066" s="109">
        <f>IF(Key!D$1="ON",P4066,IF(SUM(Q4066:DL4066)&lt;1,"",SUM(Q4066:DL4066)/COUNTIF(Q4066:DL4066,"&gt;0")))</f>
        <v>0</v>
      </c>
      <c r="P4066" s="109">
        <f>SUMIFS(Q4066:DK4066,Q$1:DK$1,Dashboard!$K$31)</f>
        <v>0</v>
      </c>
      <c r="U4066" s="95">
        <v>33</v>
      </c>
      <c r="AA4066" s="95">
        <v>25</v>
      </c>
      <c r="AH4066" s="95">
        <v>75</v>
      </c>
    </row>
    <row r="4067" spans="1:34" x14ac:dyDescent="0.3">
      <c r="A4067" s="89" t="str">
        <f>CONCATENATE(D4067,".",F4067,"-",G4067,".",H4067,"")</f>
        <v>4.1-2.1</v>
      </c>
      <c r="B4067" s="89" t="str">
        <f>IF(CONCATENATE(I4067,Key!F$2)=CONCATENATE(INDEX(Dashboard!J:J,MATCH(I4067,Dashboard!J:J,0),1),INDEX(Dashboard!J:K,MATCH(I4067,Dashboard!J:J,0),2)),"ON",IF(Dashboard!K$32="ALL","ON","-"))</f>
        <v>-</v>
      </c>
      <c r="C4067" s="88" t="s">
        <v>329</v>
      </c>
      <c r="D4067" s="89">
        <f>IF(C4067="ID",1,(IF(C4067="PR",2,(IF(C4067="DE",3,(IF(C4067="RS",4,(IF(C4067="RC",5,0)))))))))</f>
        <v>4</v>
      </c>
      <c r="E4067" s="89" t="s">
        <v>331</v>
      </c>
      <c r="F4067" s="89">
        <f>IF(E4067="AM",1,(IF(E4067="BE",2,(IF(E4067="GV",3,(IF(E4067="RA",4,(IF(E4067="RM",5,(IF(E4067="AC",1,(IF(E4067="AT",2,(IF(E4067="DS",3,(IF(E4067="IP",4,(IF(E4067="MA",5,(IF(E4067="PT",6,(IF(E4067="AE",1,(IF(E4067="CM",2,(IF(E4067="DP",3,(IF(E4067="AN",1,(IF(E4067="CO",2,(IF(E4067="IM",3,(IF(E4067="MI",4,(IF(E4067="RP",5,(IF(E4067="SC",6,0)))))))))))))))))))))))))))))))))))))))</f>
        <v>1</v>
      </c>
      <c r="G4067" s="52">
        <v>2</v>
      </c>
      <c r="H4067" s="90" t="s">
        <v>115</v>
      </c>
      <c r="I4067" s="94" t="s">
        <v>73</v>
      </c>
      <c r="J4067" s="86" t="s">
        <v>4210</v>
      </c>
      <c r="K4067" s="101" t="s">
        <v>5182</v>
      </c>
      <c r="L4067" s="117">
        <f>IF(O4067="","",N4067*O4067*M4067)</f>
        <v>0</v>
      </c>
      <c r="M4067" s="108">
        <v>1</v>
      </c>
      <c r="N4067" s="95">
        <v>1</v>
      </c>
      <c r="O4067" s="109">
        <f>IF(Key!D$1="ON",P4067,IF(SUM(Q4067:DL4067)&lt;1,"",SUM(Q4067:DL4067)/COUNTIF(Q4067:DL4067,"&gt;0")))</f>
        <v>0</v>
      </c>
      <c r="P4067" s="109">
        <f>SUMIFS(Q4067:DK4067,Q$1:DK$1,Dashboard!$K$31)</f>
        <v>0</v>
      </c>
      <c r="U4067" s="95">
        <v>33</v>
      </c>
      <c r="AA4067" s="95">
        <v>25</v>
      </c>
      <c r="AH4067" s="95">
        <v>75</v>
      </c>
    </row>
    <row r="4068" spans="1:34" x14ac:dyDescent="0.3">
      <c r="A4068" s="89" t="str">
        <f>CONCATENATE(D4068,".",F4068,"-",G4068,".",H4068,"")</f>
        <v>4.1-2.1</v>
      </c>
      <c r="B4068" s="89" t="str">
        <f>IF(CONCATENATE(I4068,Key!F$2)=CONCATENATE(INDEX(Dashboard!J:J,MATCH(I4068,Dashboard!J:J,0),1),INDEX(Dashboard!J:K,MATCH(I4068,Dashboard!J:J,0),2)),"ON",IF(Dashboard!K$32="ALL","ON","-"))</f>
        <v>-</v>
      </c>
      <c r="C4068" s="88" t="s">
        <v>329</v>
      </c>
      <c r="D4068" s="89">
        <f>IF(C4068="ID",1,(IF(C4068="PR",2,(IF(C4068="DE",3,(IF(C4068="RS",4,(IF(C4068="RC",5,0)))))))))</f>
        <v>4</v>
      </c>
      <c r="E4068" s="89" t="s">
        <v>331</v>
      </c>
      <c r="F4068" s="89">
        <f>IF(E4068="AM",1,(IF(E4068="BE",2,(IF(E4068="GV",3,(IF(E4068="RA",4,(IF(E4068="RM",5,(IF(E4068="AC",1,(IF(E4068="AT",2,(IF(E4068="DS",3,(IF(E4068="IP",4,(IF(E4068="MA",5,(IF(E4068="PT",6,(IF(E4068="AE",1,(IF(E4068="CM",2,(IF(E4068="DP",3,(IF(E4068="AN",1,(IF(E4068="CO",2,(IF(E4068="IM",3,(IF(E4068="MI",4,(IF(E4068="RP",5,(IF(E4068="SC",6,0)))))))))))))))))))))))))))))))))))))))</f>
        <v>1</v>
      </c>
      <c r="G4068" s="52">
        <v>2</v>
      </c>
      <c r="H4068" s="90" t="s">
        <v>115</v>
      </c>
      <c r="I4068" s="94" t="s">
        <v>77</v>
      </c>
      <c r="J4068" s="87" t="s">
        <v>1118</v>
      </c>
      <c r="K4068" s="102" t="s">
        <v>2154</v>
      </c>
      <c r="L4068" s="117">
        <f>IF(O4068="","",N4068*O4068*M4068)</f>
        <v>0</v>
      </c>
      <c r="M4068" s="108">
        <v>1</v>
      </c>
      <c r="N4068" s="95">
        <v>1</v>
      </c>
      <c r="O4068" s="109">
        <f>IF(Key!D$1="ON",P4068,IF(SUM(Q4068:DL4068)&lt;1,"",SUM(Q4068:DL4068)/COUNTIF(Q4068:DL4068,"&gt;0")))</f>
        <v>0</v>
      </c>
      <c r="P4068" s="109">
        <f>SUMIFS(Q4068:DK4068,Q$1:DK$1,Dashboard!$K$31)</f>
        <v>0</v>
      </c>
      <c r="U4068" s="95">
        <v>33</v>
      </c>
      <c r="AA4068" s="95">
        <v>25</v>
      </c>
      <c r="AH4068" s="95">
        <v>75</v>
      </c>
    </row>
    <row r="4069" spans="1:34" x14ac:dyDescent="0.3">
      <c r="A4069" s="89" t="str">
        <f>CONCATENATE(D4069,".",F4069,"-",G4069,".",H4069,"")</f>
        <v>4.1-2.1</v>
      </c>
      <c r="B4069" s="89" t="str">
        <f>IF(CONCATENATE(I4069,Key!F$2)=CONCATENATE(INDEX(Dashboard!J:J,MATCH(I4069,Dashboard!J:J,0),1),INDEX(Dashboard!J:K,MATCH(I4069,Dashboard!J:J,0),2)),"ON",IF(Dashboard!K$32="ALL","ON","-"))</f>
        <v>-</v>
      </c>
      <c r="C4069" s="88" t="s">
        <v>329</v>
      </c>
      <c r="D4069" s="89">
        <f>IF(C4069="ID",1,(IF(C4069="PR",2,(IF(C4069="DE",3,(IF(C4069="RS",4,(IF(C4069="RC",5,0)))))))))</f>
        <v>4</v>
      </c>
      <c r="E4069" s="89" t="s">
        <v>331</v>
      </c>
      <c r="F4069" s="89">
        <f>IF(E4069="AM",1,(IF(E4069="BE",2,(IF(E4069="GV",3,(IF(E4069="RA",4,(IF(E4069="RM",5,(IF(E4069="AC",1,(IF(E4069="AT",2,(IF(E4069="DS",3,(IF(E4069="IP",4,(IF(E4069="MA",5,(IF(E4069="PT",6,(IF(E4069="AE",1,(IF(E4069="CM",2,(IF(E4069="DP",3,(IF(E4069="AN",1,(IF(E4069="CO",2,(IF(E4069="IM",3,(IF(E4069="MI",4,(IF(E4069="RP",5,(IF(E4069="SC",6,0)))))))))))))))))))))))))))))))))))))))</f>
        <v>1</v>
      </c>
      <c r="G4069" s="52">
        <v>2</v>
      </c>
      <c r="H4069" s="90" t="s">
        <v>115</v>
      </c>
      <c r="I4069" s="94" t="s">
        <v>85</v>
      </c>
      <c r="J4069" s="87" t="s">
        <v>1118</v>
      </c>
      <c r="K4069" s="119" t="s">
        <v>4579</v>
      </c>
      <c r="L4069" s="117">
        <f>IF(O4069="","",N4069*O4069*M4069)</f>
        <v>0</v>
      </c>
      <c r="M4069" s="108">
        <v>1</v>
      </c>
      <c r="N4069" s="95">
        <v>1</v>
      </c>
      <c r="O4069" s="109">
        <f>IF(Key!D$1="ON",P4069,IF(SUM(Q4069:DL4069)&lt;1,"",SUM(Q4069:DL4069)/COUNTIF(Q4069:DL4069,"&gt;0")))</f>
        <v>0</v>
      </c>
      <c r="P4069" s="109">
        <f>SUMIFS(Q4069:DK4069,Q$1:DK$1,Dashboard!$K$31)</f>
        <v>0</v>
      </c>
      <c r="U4069" s="95">
        <v>33</v>
      </c>
      <c r="AA4069" s="95">
        <v>25</v>
      </c>
      <c r="AH4069" s="95">
        <v>75</v>
      </c>
    </row>
    <row r="4070" spans="1:34" x14ac:dyDescent="0.3">
      <c r="A4070" s="89" t="str">
        <f>CONCATENATE(D4070,".",F4070,"-",G4070,".",H4070,"")</f>
        <v>4.1-3.0</v>
      </c>
      <c r="B4070" s="89" t="str">
        <f>IF(CONCATENATE(I4070,Key!F$2)=CONCATENATE(INDEX(Dashboard!J:J,MATCH(I4070,Dashboard!J:J,0),1),INDEX(Dashboard!J:K,MATCH(I4070,Dashboard!J:J,0),2)),"ON",IF(Dashboard!K$32="ALL","ON","-"))</f>
        <v>-</v>
      </c>
      <c r="C4070" s="96" t="s">
        <v>329</v>
      </c>
      <c r="D4070" s="89">
        <f>IF(C4070="ID",1,(IF(C4070="PR",2,(IF(C4070="DE",3,(IF(C4070="RS",4,(IF(C4070="RC",5,0)))))))))</f>
        <v>4</v>
      </c>
      <c r="E4070" s="89" t="s">
        <v>331</v>
      </c>
      <c r="F4070" s="89">
        <f>IF(E4070="AM",1,(IF(E4070="BE",2,(IF(E4070="GV",3,(IF(E4070="RA",4,(IF(E4070="RM",5,(IF(E4070="AC",1,(IF(E4070="AT",2,(IF(E4070="DS",3,(IF(E4070="IP",4,(IF(E4070="MA",5,(IF(E4070="PT",6,(IF(E4070="AE",1,(IF(E4070="CM",2,(IF(E4070="DP",3,(IF(E4070="AN",1,(IF(E4070="CO",2,(IF(E4070="IM",3,(IF(E4070="MI",4,(IF(E4070="RP",5,(IF(E4070="SC",6,0)))))))))))))))))))))))))))))))))))))))</f>
        <v>1</v>
      </c>
      <c r="G4070" s="52">
        <v>3</v>
      </c>
      <c r="H4070" s="90" t="s">
        <v>347</v>
      </c>
      <c r="I4070" s="94" t="s">
        <v>2835</v>
      </c>
      <c r="J4070" s="53" t="s">
        <v>3058</v>
      </c>
      <c r="K4070" s="105" t="s">
        <v>3059</v>
      </c>
      <c r="L4070" s="117">
        <f>IF(O4070="","",N4070*O4070*M4070)</f>
        <v>0</v>
      </c>
      <c r="M4070" s="108">
        <v>1</v>
      </c>
      <c r="N4070" s="95">
        <v>1</v>
      </c>
      <c r="O4070" s="109">
        <f>IF(Key!D$1="ON",P4070,IF(SUM(Q4070:DL4070)&lt;1,"",SUM(Q4070:DL4070)/COUNTIF(Q4070:DL4070,"&gt;0")))</f>
        <v>0</v>
      </c>
      <c r="P4070" s="109">
        <f>SUMIFS(Q4070:DK4070,Q$1:DK$1,Dashboard!$K$31)</f>
        <v>0</v>
      </c>
      <c r="U4070" s="95">
        <v>33</v>
      </c>
    </row>
    <row r="4071" spans="1:34" x14ac:dyDescent="0.3">
      <c r="A4071" s="89" t="str">
        <f>CONCATENATE(D4071,".",F4071,"-",G4071,".",H4071,"")</f>
        <v>4.1-3.1</v>
      </c>
      <c r="B4071" s="89" t="str">
        <f>IF(CONCATENATE(I4071,Key!F$2)=CONCATENATE(INDEX(Dashboard!J:J,MATCH(I4071,Dashboard!J:J,0),1),INDEX(Dashboard!J:K,MATCH(I4071,Dashboard!J:J,0),2)),"ON",IF(Dashboard!K$32="ALL","ON","-"))</f>
        <v>ON</v>
      </c>
      <c r="C4071" s="130" t="s">
        <v>329</v>
      </c>
      <c r="D4071" s="89">
        <f>IF(C4071="ID",1,(IF(C4071="PR",2,(IF(C4071="DE",3,(IF(C4071="RS",4,(IF(C4071="RC",5,0)))))))))</f>
        <v>4</v>
      </c>
      <c r="E4071" s="95" t="s">
        <v>331</v>
      </c>
      <c r="F4071" s="89">
        <f>IF(E4071="AM",1,(IF(E4071="BE",2,(IF(E4071="GV",3,(IF(E4071="RA",4,(IF(E4071="RM",5,(IF(E4071="AC",1,(IF(E4071="AT",2,(IF(E4071="DS",3,(IF(E4071="IP",4,(IF(E4071="MA",5,(IF(E4071="PT",6,(IF(E4071="AE",1,(IF(E4071="CM",2,(IF(E4071="DP",3,(IF(E4071="AN",1,(IF(E4071="CO",2,(IF(E4071="IM",3,(IF(E4071="MI",4,(IF(E4071="RP",5,(IF(E4071="SC",6,0)))))))))))))))))))))))))))))))))))))))</f>
        <v>1</v>
      </c>
      <c r="G4071" s="52">
        <v>3</v>
      </c>
      <c r="H4071" s="90" t="s">
        <v>115</v>
      </c>
      <c r="I4071" s="94" t="s">
        <v>4107</v>
      </c>
      <c r="J4071" s="86" t="s">
        <v>3974</v>
      </c>
      <c r="K4071" s="101" t="s">
        <v>4433</v>
      </c>
      <c r="L4071" s="117">
        <f>IF(O4071="","",N4071*O4071*M4071)</f>
        <v>0</v>
      </c>
      <c r="M4071" s="108">
        <v>1</v>
      </c>
      <c r="N4071" s="95">
        <v>1</v>
      </c>
      <c r="O4071" s="109">
        <f>IF(Key!D$1="ON",P4071,IF(SUM(Q4071:DL4071)&lt;1,"",SUM(Q4071:DL4071)/COUNTIF(Q4071:DL4071,"&gt;0")))</f>
        <v>0</v>
      </c>
      <c r="P4071" s="109">
        <f>SUMIFS(Q4071:DK4071,Q$1:DK$1,Dashboard!$K$31)</f>
        <v>0</v>
      </c>
      <c r="U4071" s="95">
        <v>33</v>
      </c>
      <c r="AA4071" s="95">
        <v>25</v>
      </c>
      <c r="AH4071" s="95">
        <v>75</v>
      </c>
    </row>
    <row r="4072" spans="1:34" x14ac:dyDescent="0.3">
      <c r="A4072" s="89" t="str">
        <f>CONCATENATE(D4072,".",F4072,"-",G4072,".",H4072,"")</f>
        <v>4.1-3.1</v>
      </c>
      <c r="B4072" s="89" t="str">
        <f>IF(CONCATENATE(I4072,Key!F$2)=CONCATENATE(INDEX(Dashboard!J:J,MATCH(I4072,Dashboard!J:J,0),1),INDEX(Dashboard!J:K,MATCH(I4072,Dashboard!J:J,0),2)),"ON",IF(Dashboard!K$32="ALL","ON","-"))</f>
        <v>ON</v>
      </c>
      <c r="C4072" s="130" t="s">
        <v>329</v>
      </c>
      <c r="D4072" s="89">
        <f>IF(C4072="ID",1,(IF(C4072="PR",2,(IF(C4072="DE",3,(IF(C4072="RS",4,(IF(C4072="RC",5,0)))))))))</f>
        <v>4</v>
      </c>
      <c r="E4072" s="95" t="s">
        <v>111</v>
      </c>
      <c r="F4072" s="89">
        <f>IF(E4072="AM",1,(IF(E4072="BE",2,(IF(E4072="GV",3,(IF(E4072="RA",4,(IF(E4072="RM",5,(IF(E4072="AC",1,(IF(E4072="AT",2,(IF(E4072="DS",3,(IF(E4072="IP",4,(IF(E4072="MA",5,(IF(E4072="PT",6,(IF(E4072="AE",1,(IF(E4072="CM",2,(IF(E4072="DP",3,(IF(E4072="AN",1,(IF(E4072="CO",2,(IF(E4072="IM",3,(IF(E4072="MI",4,(IF(E4072="RP",5,(IF(E4072="SC",6,0)))))))))))))))))))))))))))))))))))))))</f>
        <v>1</v>
      </c>
      <c r="G4072" s="52">
        <v>3</v>
      </c>
      <c r="H4072" s="90" t="s">
        <v>115</v>
      </c>
      <c r="I4072" s="94" t="s">
        <v>4107</v>
      </c>
      <c r="J4072" s="86" t="s">
        <v>4014</v>
      </c>
      <c r="K4072" s="101" t="s">
        <v>4452</v>
      </c>
      <c r="L4072" s="117">
        <f>IF(O4072="","",N4072*O4072*M4072)</f>
        <v>0</v>
      </c>
      <c r="M4072" s="108">
        <v>1</v>
      </c>
      <c r="N4072" s="95">
        <v>1</v>
      </c>
      <c r="O4072" s="109">
        <f>IF(Key!D$1="ON",P4072,IF(SUM(Q4072:DL4072)&lt;1,"",SUM(Q4072:DL4072)/COUNTIF(Q4072:DL4072,"&gt;0")))</f>
        <v>0</v>
      </c>
      <c r="P4072" s="109">
        <f>SUMIFS(Q4072:DK4072,Q$1:DK$1,Dashboard!$K$31)</f>
        <v>0</v>
      </c>
      <c r="U4072" s="95">
        <v>33</v>
      </c>
      <c r="AA4072" s="95">
        <v>25</v>
      </c>
      <c r="AH4072" s="95">
        <v>75</v>
      </c>
    </row>
    <row r="4073" spans="1:34" x14ac:dyDescent="0.3">
      <c r="A4073" s="89" t="str">
        <f>CONCATENATE(D4073,".",F4073,"-",G4073,".",H4073,"")</f>
        <v>4.1-3.1</v>
      </c>
      <c r="B4073" s="89" t="str">
        <f>IF(CONCATENATE(I4073,Key!F$2)=CONCATENATE(INDEX(Dashboard!J:J,MATCH(I4073,Dashboard!J:J,0),1),INDEX(Dashboard!J:K,MATCH(I4073,Dashboard!J:J,0),2)),"ON",IF(Dashboard!K$32="ALL","ON","-"))</f>
        <v>-</v>
      </c>
      <c r="C4073" s="88" t="s">
        <v>329</v>
      </c>
      <c r="D4073" s="89">
        <f>IF(C4073="ID",1,(IF(C4073="PR",2,(IF(C4073="DE",3,(IF(C4073="RS",4,(IF(C4073="RC",5,0)))))))))</f>
        <v>4</v>
      </c>
      <c r="E4073" s="89" t="s">
        <v>331</v>
      </c>
      <c r="F4073" s="89">
        <f>IF(E4073="AM",1,(IF(E4073="BE",2,(IF(E4073="GV",3,(IF(E4073="RA",4,(IF(E4073="RM",5,(IF(E4073="AC",1,(IF(E4073="AT",2,(IF(E4073="DS",3,(IF(E4073="IP",4,(IF(E4073="MA",5,(IF(E4073="PT",6,(IF(E4073="AE",1,(IF(E4073="CM",2,(IF(E4073="DP",3,(IF(E4073="AN",1,(IF(E4073="CO",2,(IF(E4073="IM",3,(IF(E4073="MI",4,(IF(E4073="RP",5,(IF(E4073="SC",6,0)))))))))))))))))))))))))))))))))))))))</f>
        <v>1</v>
      </c>
      <c r="G4073" s="52">
        <v>3</v>
      </c>
      <c r="H4073" s="90" t="s">
        <v>115</v>
      </c>
      <c r="I4073" s="94" t="s">
        <v>60</v>
      </c>
      <c r="J4073" s="87" t="s">
        <v>3277</v>
      </c>
      <c r="K4073" s="51" t="s">
        <v>5390</v>
      </c>
      <c r="L4073" s="117">
        <f>IF(O4073="","",N4073*O4073*M4073)</f>
        <v>0</v>
      </c>
      <c r="M4073" s="108">
        <v>1</v>
      </c>
      <c r="N4073" s="95">
        <v>1</v>
      </c>
      <c r="O4073" s="109">
        <f>IF(Key!D$1="ON",P4073,IF(SUM(Q4073:DL4073)&lt;1,"",SUM(Q4073:DL4073)/COUNTIF(Q4073:DL4073,"&gt;0")))</f>
        <v>0</v>
      </c>
      <c r="P4073" s="109">
        <f>SUMIFS(Q4073:DK4073,Q$1:DK$1,Dashboard!$K$31)</f>
        <v>0</v>
      </c>
      <c r="U4073" s="95">
        <v>33</v>
      </c>
      <c r="AA4073" s="95">
        <v>25</v>
      </c>
      <c r="AH4073" s="95">
        <v>75</v>
      </c>
    </row>
    <row r="4074" spans="1:34" x14ac:dyDescent="0.3">
      <c r="A4074" s="89" t="str">
        <f>CONCATENATE(D4074,".",F4074,"-",G4074,".",H4074,"")</f>
        <v>4.1-3.1</v>
      </c>
      <c r="B4074" s="89" t="str">
        <f>IF(CONCATENATE(I4074,Key!F$2)=CONCATENATE(INDEX(Dashboard!J:J,MATCH(I4074,Dashboard!J:J,0),1),INDEX(Dashboard!J:K,MATCH(I4074,Dashboard!J:J,0),2)),"ON",IF(Dashboard!K$32="ALL","ON","-"))</f>
        <v>-</v>
      </c>
      <c r="C4074" s="88" t="s">
        <v>329</v>
      </c>
      <c r="D4074" s="89">
        <f>IF(C4074="ID",1,(IF(C4074="PR",2,(IF(C4074="DE",3,(IF(C4074="RS",4,(IF(C4074="RC",5,0)))))))))</f>
        <v>4</v>
      </c>
      <c r="E4074" s="89" t="s">
        <v>331</v>
      </c>
      <c r="F4074" s="89">
        <f>IF(E4074="AM",1,(IF(E4074="BE",2,(IF(E4074="GV",3,(IF(E4074="RA",4,(IF(E4074="RM",5,(IF(E4074="AC",1,(IF(E4074="AT",2,(IF(E4074="DS",3,(IF(E4074="IP",4,(IF(E4074="MA",5,(IF(E4074="PT",6,(IF(E4074="AE",1,(IF(E4074="CM",2,(IF(E4074="DP",3,(IF(E4074="AN",1,(IF(E4074="CO",2,(IF(E4074="IM",3,(IF(E4074="MI",4,(IF(E4074="RP",5,(IF(E4074="SC",6,0)))))))))))))))))))))))))))))))))))))))</f>
        <v>1</v>
      </c>
      <c r="G4074" s="52">
        <v>3</v>
      </c>
      <c r="H4074" s="90" t="s">
        <v>115</v>
      </c>
      <c r="I4074" s="94" t="s">
        <v>85</v>
      </c>
      <c r="J4074" s="86" t="s">
        <v>700</v>
      </c>
      <c r="K4074" s="119" t="s">
        <v>4801</v>
      </c>
      <c r="L4074" s="117">
        <f>IF(O4074="","",N4074*O4074*M4074)</f>
        <v>0</v>
      </c>
      <c r="M4074" s="108">
        <v>1</v>
      </c>
      <c r="N4074" s="95">
        <v>1</v>
      </c>
      <c r="O4074" s="109">
        <f>IF(Key!D$1="ON",P4074,IF(SUM(Q4074:DL4074)&lt;1,"",SUM(Q4074:DL4074)/COUNTIF(Q4074:DL4074,"&gt;0")))</f>
        <v>0</v>
      </c>
      <c r="P4074" s="109">
        <f>SUMIFS(Q4074:DK4074,Q$1:DK$1,Dashboard!$K$31)</f>
        <v>0</v>
      </c>
      <c r="U4074" s="95">
        <v>33</v>
      </c>
      <c r="AA4074" s="95">
        <v>25</v>
      </c>
      <c r="AH4074" s="95">
        <v>75</v>
      </c>
    </row>
    <row r="4075" spans="1:34" x14ac:dyDescent="0.3">
      <c r="A4075" s="89" t="str">
        <f>CONCATENATE(D4075,".",F4075,"-",G4075,".",H4075,"")</f>
        <v>4.1-4.0</v>
      </c>
      <c r="B4075" s="89" t="str">
        <f>IF(CONCATENATE(I4075,Key!F$2)=CONCATENATE(INDEX(Dashboard!J:J,MATCH(I4075,Dashboard!J:J,0),1),INDEX(Dashboard!J:K,MATCH(I4075,Dashboard!J:J,0),2)),"ON",IF(Dashboard!K$32="ALL","ON","-"))</f>
        <v>-</v>
      </c>
      <c r="C4075" s="96" t="s">
        <v>329</v>
      </c>
      <c r="D4075" s="89">
        <f>IF(C4075="ID",1,(IF(C4075="PR",2,(IF(C4075="DE",3,(IF(C4075="RS",4,(IF(C4075="RC",5,0)))))))))</f>
        <v>4</v>
      </c>
      <c r="E4075" s="89" t="s">
        <v>331</v>
      </c>
      <c r="F4075" s="89">
        <f>IF(E4075="AM",1,(IF(E4075="BE",2,(IF(E4075="GV",3,(IF(E4075="RA",4,(IF(E4075="RM",5,(IF(E4075="AC",1,(IF(E4075="AT",2,(IF(E4075="DS",3,(IF(E4075="IP",4,(IF(E4075="MA",5,(IF(E4075="PT",6,(IF(E4075="AE",1,(IF(E4075="CM",2,(IF(E4075="DP",3,(IF(E4075="AN",1,(IF(E4075="CO",2,(IF(E4075="IM",3,(IF(E4075="MI",4,(IF(E4075="RP",5,(IF(E4075="SC",6,0)))))))))))))))))))))))))))))))))))))))</f>
        <v>1</v>
      </c>
      <c r="G4075" s="52">
        <v>4</v>
      </c>
      <c r="H4075" s="90" t="s">
        <v>347</v>
      </c>
      <c r="I4075" s="94" t="s">
        <v>2835</v>
      </c>
      <c r="J4075" s="53" t="s">
        <v>3060</v>
      </c>
      <c r="K4075" s="105" t="s">
        <v>3061</v>
      </c>
      <c r="L4075" s="117">
        <f>IF(O4075="","",N4075*O4075*M4075)</f>
        <v>0</v>
      </c>
      <c r="M4075" s="108">
        <v>1</v>
      </c>
      <c r="N4075" s="95">
        <v>1</v>
      </c>
      <c r="O4075" s="109">
        <f>IF(Key!D$1="ON",P4075,IF(SUM(Q4075:DL4075)&lt;1,"",SUM(Q4075:DL4075)/COUNTIF(Q4075:DL4075,"&gt;0")))</f>
        <v>0</v>
      </c>
      <c r="P4075" s="109">
        <f>SUMIFS(Q4075:DK4075,Q$1:DK$1,Dashboard!$K$31)</f>
        <v>0</v>
      </c>
      <c r="U4075" s="95">
        <v>33</v>
      </c>
    </row>
    <row r="4076" spans="1:34" x14ac:dyDescent="0.3">
      <c r="A4076" s="89" t="str">
        <f>CONCATENATE(D4076,".",F4076,"-",G4076,".",H4076,"")</f>
        <v>4.1-4.1</v>
      </c>
      <c r="B4076" s="89" t="str">
        <f>IF(CONCATENATE(I4076,Key!F$2)=CONCATENATE(INDEX(Dashboard!J:J,MATCH(I4076,Dashboard!J:J,0),1),INDEX(Dashboard!J:K,MATCH(I4076,Dashboard!J:J,0),2)),"ON",IF(Dashboard!K$32="ALL","ON","-"))</f>
        <v>-</v>
      </c>
      <c r="C4076" s="96" t="s">
        <v>329</v>
      </c>
      <c r="D4076" s="89">
        <f>IF(C4076="ID",1,(IF(C4076="PR",2,(IF(C4076="DE",3,(IF(C4076="RS",4,(IF(C4076="RC",5,0)))))))))</f>
        <v>4</v>
      </c>
      <c r="E4076" s="89" t="s">
        <v>331</v>
      </c>
      <c r="F4076" s="89">
        <f>IF(E4076="AM",1,(IF(E4076="BE",2,(IF(E4076="GV",3,(IF(E4076="RA",4,(IF(E4076="RM",5,(IF(E4076="AC",1,(IF(E4076="AT",2,(IF(E4076="DS",3,(IF(E4076="IP",4,(IF(E4076="MA",5,(IF(E4076="PT",6,(IF(E4076="AE",1,(IF(E4076="CM",2,(IF(E4076="DP",3,(IF(E4076="AN",1,(IF(E4076="CO",2,(IF(E4076="IM",3,(IF(E4076="MI",4,(IF(E4076="RP",5,(IF(E4076="SC",6,0)))))))))))))))))))))))))))))))))))))))</f>
        <v>1</v>
      </c>
      <c r="G4076" s="98">
        <v>4</v>
      </c>
      <c r="H4076" s="90" t="s">
        <v>115</v>
      </c>
      <c r="I4076" s="94" t="s">
        <v>52</v>
      </c>
      <c r="J4076" s="88" t="s">
        <v>3305</v>
      </c>
      <c r="K4076" s="103" t="s">
        <v>3306</v>
      </c>
      <c r="L4076" s="117">
        <f>IF(O4076="","",N4076*O4076*M4076)</f>
        <v>0</v>
      </c>
      <c r="M4076" s="108">
        <v>1</v>
      </c>
      <c r="N4076" s="95">
        <v>1</v>
      </c>
      <c r="O4076" s="109">
        <f>IF(Key!D$1="ON",P4076,IF(SUM(Q4076:DL4076)&lt;1,"",SUM(Q4076:DL4076)/COUNTIF(Q4076:DL4076,"&gt;0")))</f>
        <v>0</v>
      </c>
      <c r="P4076" s="109">
        <f>SUMIFS(Q4076:DK4076,Q$1:DK$1,Dashboard!$K$31)</f>
        <v>0</v>
      </c>
      <c r="U4076" s="95">
        <v>33</v>
      </c>
      <c r="AA4076" s="95">
        <v>25</v>
      </c>
      <c r="AH4076" s="95">
        <v>75</v>
      </c>
    </row>
    <row r="4077" spans="1:34" x14ac:dyDescent="0.3">
      <c r="A4077" s="89" t="str">
        <f>CONCATENATE(D4077,".",F4077,"-",G4077,".",H4077,"")</f>
        <v>4.1-4.1</v>
      </c>
      <c r="B4077" s="89" t="str">
        <f>IF(CONCATENATE(I4077,Key!F$2)=CONCATENATE(INDEX(Dashboard!J:J,MATCH(I4077,Dashboard!J:J,0),1),INDEX(Dashboard!J:K,MATCH(I4077,Dashboard!J:J,0),2)),"ON",IF(Dashboard!K$32="ALL","ON","-"))</f>
        <v>-</v>
      </c>
      <c r="C4077" s="88" t="s">
        <v>329</v>
      </c>
      <c r="D4077" s="89">
        <f>IF(C4077="ID",1,(IF(C4077="PR",2,(IF(C4077="DE",3,(IF(C4077="RS",4,(IF(C4077="RC",5,0)))))))))</f>
        <v>4</v>
      </c>
      <c r="E4077" s="89" t="s">
        <v>331</v>
      </c>
      <c r="F4077" s="89">
        <f>IF(E4077="AM",1,(IF(E4077="BE",2,(IF(E4077="GV",3,(IF(E4077="RA",4,(IF(E4077="RM",5,(IF(E4077="AC",1,(IF(E4077="AT",2,(IF(E4077="DS",3,(IF(E4077="IP",4,(IF(E4077="MA",5,(IF(E4077="PT",6,(IF(E4077="AE",1,(IF(E4077="CM",2,(IF(E4077="DP",3,(IF(E4077="AN",1,(IF(E4077="CO",2,(IF(E4077="IM",3,(IF(E4077="MI",4,(IF(E4077="RP",5,(IF(E4077="SC",6,0)))))))))))))))))))))))))))))))))))))))</f>
        <v>1</v>
      </c>
      <c r="G4077" s="52">
        <v>4</v>
      </c>
      <c r="H4077" s="90" t="s">
        <v>115</v>
      </c>
      <c r="I4077" s="94" t="s">
        <v>73</v>
      </c>
      <c r="J4077" s="86" t="s">
        <v>295</v>
      </c>
      <c r="K4077" s="101" t="s">
        <v>5207</v>
      </c>
      <c r="L4077" s="117">
        <f>IF(O4077="","",N4077*O4077*M4077)</f>
        <v>0</v>
      </c>
      <c r="M4077" s="108">
        <v>1</v>
      </c>
      <c r="N4077" s="95">
        <v>1</v>
      </c>
      <c r="O4077" s="109">
        <f>IF(Key!D$1="ON",P4077,IF(SUM(Q4077:DL4077)&lt;1,"",SUM(Q4077:DL4077)/COUNTIF(Q4077:DL4077,"&gt;0")))</f>
        <v>0</v>
      </c>
      <c r="P4077" s="109">
        <f>SUMIFS(Q4077:DK4077,Q$1:DK$1,Dashboard!$K$31)</f>
        <v>0</v>
      </c>
      <c r="U4077" s="95">
        <v>33</v>
      </c>
      <c r="AA4077" s="95">
        <v>25</v>
      </c>
      <c r="AH4077" s="95">
        <v>75</v>
      </c>
    </row>
    <row r="4078" spans="1:34" x14ac:dyDescent="0.3">
      <c r="A4078" s="89" t="str">
        <f>CONCATENATE(D4078,".",F4078,"-",G4078,".",H4078,"")</f>
        <v>4.1-4.1</v>
      </c>
      <c r="B4078" s="89" t="str">
        <f>IF(CONCATENATE(I4078,Key!F$2)=CONCATENATE(INDEX(Dashboard!J:J,MATCH(I4078,Dashboard!J:J,0),1),INDEX(Dashboard!J:K,MATCH(I4078,Dashboard!J:J,0),2)),"ON",IF(Dashboard!K$32="ALL","ON","-"))</f>
        <v>-</v>
      </c>
      <c r="C4078" s="88" t="s">
        <v>329</v>
      </c>
      <c r="D4078" s="89">
        <f>IF(C4078="ID",1,(IF(C4078="PR",2,(IF(C4078="DE",3,(IF(C4078="RS",4,(IF(C4078="RC",5,0)))))))))</f>
        <v>4</v>
      </c>
      <c r="E4078" s="89" t="s">
        <v>331</v>
      </c>
      <c r="F4078" s="89">
        <f>IF(E4078="AM",1,(IF(E4078="BE",2,(IF(E4078="GV",3,(IF(E4078="RA",4,(IF(E4078="RM",5,(IF(E4078="AC",1,(IF(E4078="AT",2,(IF(E4078="DS",3,(IF(E4078="IP",4,(IF(E4078="MA",5,(IF(E4078="PT",6,(IF(E4078="AE",1,(IF(E4078="CM",2,(IF(E4078="DP",3,(IF(E4078="AN",1,(IF(E4078="CO",2,(IF(E4078="IM",3,(IF(E4078="MI",4,(IF(E4078="RP",5,(IF(E4078="SC",6,0)))))))))))))))))))))))))))))))))))))))</f>
        <v>1</v>
      </c>
      <c r="G4078" s="52">
        <v>4</v>
      </c>
      <c r="H4078" s="90" t="s">
        <v>115</v>
      </c>
      <c r="I4078" s="94" t="s">
        <v>73</v>
      </c>
      <c r="J4078" s="86" t="s">
        <v>296</v>
      </c>
      <c r="K4078" s="101" t="s">
        <v>5201</v>
      </c>
      <c r="L4078" s="117">
        <f>IF(O4078="","",N4078*O4078*M4078)</f>
        <v>0</v>
      </c>
      <c r="M4078" s="108">
        <v>1</v>
      </c>
      <c r="N4078" s="95">
        <v>1</v>
      </c>
      <c r="O4078" s="109">
        <f>IF(Key!D$1="ON",P4078,IF(SUM(Q4078:DL4078)&lt;1,"",SUM(Q4078:DL4078)/COUNTIF(Q4078:DL4078,"&gt;0")))</f>
        <v>0</v>
      </c>
      <c r="P4078" s="109">
        <f>SUMIFS(Q4078:DK4078,Q$1:DK$1,Dashboard!$K$31)</f>
        <v>0</v>
      </c>
      <c r="U4078" s="95">
        <v>33</v>
      </c>
      <c r="AA4078" s="95">
        <v>25</v>
      </c>
      <c r="AH4078" s="95">
        <v>75</v>
      </c>
    </row>
    <row r="4079" spans="1:34" x14ac:dyDescent="0.3">
      <c r="A4079" s="89" t="str">
        <f>CONCATENATE(D4079,".",F4079,"-",G4079,".",H4079,"")</f>
        <v>4.1-4.1</v>
      </c>
      <c r="B4079" s="89" t="str">
        <f>IF(CONCATENATE(I4079,Key!F$2)=CONCATENATE(INDEX(Dashboard!J:J,MATCH(I4079,Dashboard!J:J,0),1),INDEX(Dashboard!J:K,MATCH(I4079,Dashboard!J:J,0),2)),"ON",IF(Dashboard!K$32="ALL","ON","-"))</f>
        <v>-</v>
      </c>
      <c r="C4079" s="88" t="s">
        <v>329</v>
      </c>
      <c r="D4079" s="89">
        <f>IF(C4079="ID",1,(IF(C4079="PR",2,(IF(C4079="DE",3,(IF(C4079="RS",4,(IF(C4079="RC",5,0)))))))))</f>
        <v>4</v>
      </c>
      <c r="E4079" s="89" t="s">
        <v>331</v>
      </c>
      <c r="F4079" s="89">
        <f>IF(E4079="AM",1,(IF(E4079="BE",2,(IF(E4079="GV",3,(IF(E4079="RA",4,(IF(E4079="RM",5,(IF(E4079="AC",1,(IF(E4079="AT",2,(IF(E4079="DS",3,(IF(E4079="IP",4,(IF(E4079="MA",5,(IF(E4079="PT",6,(IF(E4079="AE",1,(IF(E4079="CM",2,(IF(E4079="DP",3,(IF(E4079="AN",1,(IF(E4079="CO",2,(IF(E4079="IM",3,(IF(E4079="MI",4,(IF(E4079="RP",5,(IF(E4079="SC",6,0)))))))))))))))))))))))))))))))))))))))</f>
        <v>1</v>
      </c>
      <c r="G4079" s="52">
        <v>4</v>
      </c>
      <c r="H4079" s="90" t="s">
        <v>115</v>
      </c>
      <c r="I4079" s="94" t="s">
        <v>77</v>
      </c>
      <c r="J4079" s="87" t="s">
        <v>1892</v>
      </c>
      <c r="K4079" s="102" t="s">
        <v>2792</v>
      </c>
      <c r="L4079" s="117">
        <f>IF(O4079="","",N4079*O4079*M4079)</f>
        <v>0</v>
      </c>
      <c r="M4079" s="108">
        <v>1</v>
      </c>
      <c r="N4079" s="95">
        <v>1</v>
      </c>
      <c r="O4079" s="109">
        <f>IF(Key!D$1="ON",P4079,IF(SUM(Q4079:DL4079)&lt;1,"",SUM(Q4079:DL4079)/COUNTIF(Q4079:DL4079,"&gt;0")))</f>
        <v>0</v>
      </c>
      <c r="P4079" s="109">
        <f>SUMIFS(Q4079:DK4079,Q$1:DK$1,Dashboard!$K$31)</f>
        <v>0</v>
      </c>
      <c r="U4079" s="95">
        <v>33</v>
      </c>
      <c r="AA4079" s="95">
        <v>25</v>
      </c>
      <c r="AH4079" s="95">
        <v>75</v>
      </c>
    </row>
    <row r="4080" spans="1:34" x14ac:dyDescent="0.3">
      <c r="A4080" s="89" t="str">
        <f>CONCATENATE(D4080,".",F4080,"-",G4080,".",H4080,"")</f>
        <v>4.1-4.1</v>
      </c>
      <c r="B4080" s="89" t="str">
        <f>IF(CONCATENATE(I4080,Key!F$2)=CONCATENATE(INDEX(Dashboard!J:J,MATCH(I4080,Dashboard!J:J,0),1),INDEX(Dashboard!J:K,MATCH(I4080,Dashboard!J:J,0),2)),"ON",IF(Dashboard!K$32="ALL","ON","-"))</f>
        <v>-</v>
      </c>
      <c r="C4080" s="88" t="s">
        <v>329</v>
      </c>
      <c r="D4080" s="89">
        <f>IF(C4080="ID",1,(IF(C4080="PR",2,(IF(C4080="DE",3,(IF(C4080="RS",4,(IF(C4080="RC",5,0)))))))))</f>
        <v>4</v>
      </c>
      <c r="E4080" s="89" t="s">
        <v>331</v>
      </c>
      <c r="F4080" s="89">
        <f>IF(E4080="AM",1,(IF(E4080="BE",2,(IF(E4080="GV",3,(IF(E4080="RA",4,(IF(E4080="RM",5,(IF(E4080="AC",1,(IF(E4080="AT",2,(IF(E4080="DS",3,(IF(E4080="IP",4,(IF(E4080="MA",5,(IF(E4080="PT",6,(IF(E4080="AE",1,(IF(E4080="CM",2,(IF(E4080="DP",3,(IF(E4080="AN",1,(IF(E4080="CO",2,(IF(E4080="IM",3,(IF(E4080="MI",4,(IF(E4080="RP",5,(IF(E4080="SC",6,0)))))))))))))))))))))))))))))))))))))))</f>
        <v>1</v>
      </c>
      <c r="G4080" s="52">
        <v>4</v>
      </c>
      <c r="H4080" s="90" t="s">
        <v>115</v>
      </c>
      <c r="I4080" s="94" t="s">
        <v>85</v>
      </c>
      <c r="J4080" s="87" t="s">
        <v>1892</v>
      </c>
      <c r="K4080" s="119" t="s">
        <v>4610</v>
      </c>
      <c r="L4080" s="117">
        <f>IF(O4080="","",N4080*O4080*M4080)</f>
        <v>0</v>
      </c>
      <c r="M4080" s="108">
        <v>1</v>
      </c>
      <c r="N4080" s="95">
        <v>1</v>
      </c>
      <c r="O4080" s="109">
        <f>IF(Key!D$1="ON",P4080,IF(SUM(Q4080:DL4080)&lt;1,"",SUM(Q4080:DL4080)/COUNTIF(Q4080:DL4080,"&gt;0")))</f>
        <v>0</v>
      </c>
      <c r="P4080" s="109">
        <f>SUMIFS(Q4080:DK4080,Q$1:DK$1,Dashboard!$K$31)</f>
        <v>0</v>
      </c>
      <c r="U4080" s="95">
        <v>33</v>
      </c>
      <c r="AA4080" s="95">
        <v>25</v>
      </c>
      <c r="AH4080" s="95">
        <v>75</v>
      </c>
    </row>
    <row r="4081" spans="1:34" x14ac:dyDescent="0.3">
      <c r="A4081" s="89" t="str">
        <f>CONCATENATE(D4081,".",F4081,"-",G4081,".",H4081,"")</f>
        <v>4.1-5.1</v>
      </c>
      <c r="B4081" s="89" t="str">
        <f>IF(CONCATENATE(I4081,Key!F$2)=CONCATENATE(INDEX(Dashboard!J:J,MATCH(I4081,Dashboard!J:J,0),1),INDEX(Dashboard!J:K,MATCH(I4081,Dashboard!J:J,0),2)),"ON",IF(Dashboard!K$32="ALL","ON","-"))</f>
        <v>ON</v>
      </c>
      <c r="C4081" s="130" t="s">
        <v>329</v>
      </c>
      <c r="D4081" s="89">
        <f>IF(C4081="ID",1,(IF(C4081="PR",2,(IF(C4081="DE",3,(IF(C4081="RS",4,(IF(C4081="RC",5,0)))))))))</f>
        <v>4</v>
      </c>
      <c r="E4081" s="95" t="s">
        <v>331</v>
      </c>
      <c r="F4081" s="89">
        <f>IF(E4081="AM",1,(IF(E4081="BE",2,(IF(E4081="GV",3,(IF(E4081="RA",4,(IF(E4081="RM",5,(IF(E4081="AC",1,(IF(E4081="AT",2,(IF(E4081="DS",3,(IF(E4081="IP",4,(IF(E4081="MA",5,(IF(E4081="PT",6,(IF(E4081="AE",1,(IF(E4081="CM",2,(IF(E4081="DP",3,(IF(E4081="AN",1,(IF(E4081="CO",2,(IF(E4081="IM",3,(IF(E4081="MI",4,(IF(E4081="RP",5,(IF(E4081="SC",6,0)))))))))))))))))))))))))))))))))))))))</f>
        <v>1</v>
      </c>
      <c r="G4081" s="52">
        <v>5</v>
      </c>
      <c r="H4081" s="90" t="s">
        <v>115</v>
      </c>
      <c r="I4081" s="94" t="s">
        <v>4107</v>
      </c>
      <c r="J4081" s="86" t="s">
        <v>4098</v>
      </c>
      <c r="K4081" s="101" t="s">
        <v>4415</v>
      </c>
      <c r="L4081" s="117">
        <f>IF(O4081="","",N4081*O4081*M4081)</f>
        <v>0</v>
      </c>
      <c r="M4081" s="108">
        <v>1</v>
      </c>
      <c r="N4081" s="95">
        <v>1</v>
      </c>
      <c r="O4081" s="109">
        <f>IF(Key!D$1="ON",P4081,IF(SUM(Q4081:DL4081)&lt;1,"",SUM(Q4081:DL4081)/COUNTIF(Q4081:DL4081,"&gt;0")))</f>
        <v>0</v>
      </c>
      <c r="P4081" s="109">
        <f>SUMIFS(Q4081:DK4081,Q$1:DK$1,Dashboard!$K$31)</f>
        <v>0</v>
      </c>
      <c r="U4081" s="95">
        <v>33</v>
      </c>
      <c r="AA4081" s="95">
        <v>25</v>
      </c>
      <c r="AH4081" s="95">
        <v>75</v>
      </c>
    </row>
    <row r="4082" spans="1:34" x14ac:dyDescent="0.3">
      <c r="A4082" s="89" t="str">
        <f>CONCATENATE(D4082,".",F4082,"-",G4082,".",H4082,"")</f>
        <v>4.1-5.1</v>
      </c>
      <c r="B4082" s="89" t="str">
        <f>IF(CONCATENATE(I4082,Key!F$2)=CONCATENATE(INDEX(Dashboard!J:J,MATCH(I4082,Dashboard!J:J,0),1),INDEX(Dashboard!J:K,MATCH(I4082,Dashboard!J:J,0),2)),"ON",IF(Dashboard!K$32="ALL","ON","-"))</f>
        <v>-</v>
      </c>
      <c r="C4082" s="88" t="s">
        <v>329</v>
      </c>
      <c r="D4082" s="89">
        <f>IF(C4082="ID",1,(IF(C4082="PR",2,(IF(C4082="DE",3,(IF(C4082="RS",4,(IF(C4082="RC",5,0)))))))))</f>
        <v>4</v>
      </c>
      <c r="E4082" s="89" t="s">
        <v>331</v>
      </c>
      <c r="F4082" s="89">
        <f>IF(E4082="AM",1,(IF(E4082="BE",2,(IF(E4082="GV",3,(IF(E4082="RA",4,(IF(E4082="RM",5,(IF(E4082="AC",1,(IF(E4082="AT",2,(IF(E4082="DS",3,(IF(E4082="IP",4,(IF(E4082="MA",5,(IF(E4082="PT",6,(IF(E4082="AE",1,(IF(E4082="CM",2,(IF(E4082="DP",3,(IF(E4082="AN",1,(IF(E4082="CO",2,(IF(E4082="IM",3,(IF(E4082="MI",4,(IF(E4082="RP",5,(IF(E4082="SC",6,0)))))))))))))))))))))))))))))))))))))))</f>
        <v>1</v>
      </c>
      <c r="G4082" s="52">
        <v>5</v>
      </c>
      <c r="H4082" s="90" t="s">
        <v>115</v>
      </c>
      <c r="I4082" s="94" t="s">
        <v>85</v>
      </c>
      <c r="J4082" s="87" t="s">
        <v>1815</v>
      </c>
      <c r="K4082" s="119" t="s">
        <v>1816</v>
      </c>
      <c r="L4082" s="117">
        <f>IF(O4082="","",N4082*O4082*M4082)</f>
        <v>0</v>
      </c>
      <c r="M4082" s="108">
        <v>1</v>
      </c>
      <c r="N4082" s="95">
        <v>1</v>
      </c>
      <c r="O4082" s="109">
        <f>IF(Key!D$1="ON",P4082,IF(SUM(Q4082:DL4082)&lt;1,"",SUM(Q4082:DL4082)/COUNTIF(Q4082:DL4082,"&gt;0")))</f>
        <v>0</v>
      </c>
      <c r="P4082" s="109">
        <f>SUMIFS(Q4082:DK4082,Q$1:DK$1,Dashboard!$K$31)</f>
        <v>0</v>
      </c>
      <c r="U4082" s="95">
        <v>33</v>
      </c>
      <c r="AA4082" s="95">
        <v>25</v>
      </c>
      <c r="AH4082" s="95">
        <v>75</v>
      </c>
    </row>
    <row r="4083" spans="1:34" x14ac:dyDescent="0.3">
      <c r="A4083" s="89" t="str">
        <f>CONCATENATE(D4083,".",F4083,"-",G4083,".",H4083,"")</f>
        <v>4.2-0.0</v>
      </c>
      <c r="B4083" s="89" t="str">
        <f>IF(CONCATENATE(I4083,Key!F$2)=CONCATENATE(INDEX(Dashboard!J:J,MATCH(I4083,Dashboard!J:J,0),1),INDEX(Dashboard!J:K,MATCH(I4083,Dashboard!J:J,0),2)),"ON",IF(Dashboard!K$32="ALL","ON","-"))</f>
        <v>-</v>
      </c>
      <c r="C4083" s="96" t="s">
        <v>329</v>
      </c>
      <c r="D4083" s="89">
        <f>IF(C4083="ID",1,(IF(C4083="PR",2,(IF(C4083="DE",3,(IF(C4083="RS",4,(IF(C4083="RC",5,0)))))))))</f>
        <v>4</v>
      </c>
      <c r="E4083" s="89" t="s">
        <v>341</v>
      </c>
      <c r="F4083" s="89">
        <f>IF(E4083="AM",1,(IF(E4083="BE",2,(IF(E4083="GV",3,(IF(E4083="RA",4,(IF(E4083="RM",5,(IF(E4083="AC",1,(IF(E4083="AT",2,(IF(E4083="DS",3,(IF(E4083="IP",4,(IF(E4083="MA",5,(IF(E4083="PT",6,(IF(E4083="AE",1,(IF(E4083="CM",2,(IF(E4083="DP",3,(IF(E4083="AN",1,(IF(E4083="CO",2,(IF(E4083="IM",3,(IF(E4083="MI",4,(IF(E4083="RP",5,(IF(E4083="SC",6,0)))))))))))))))))))))))))))))))))))))))</f>
        <v>2</v>
      </c>
      <c r="G4083" s="52">
        <v>0</v>
      </c>
      <c r="H4083" s="90" t="s">
        <v>347</v>
      </c>
      <c r="I4083" s="94" t="s">
        <v>2835</v>
      </c>
      <c r="J4083" s="140" t="s">
        <v>3062</v>
      </c>
      <c r="K4083" s="145" t="s">
        <v>3063</v>
      </c>
      <c r="L4083" s="117">
        <f>IF(O4083="","",N4083*O4083*M4083)</f>
        <v>0</v>
      </c>
      <c r="M4083" s="108">
        <v>1</v>
      </c>
      <c r="N4083" s="95">
        <v>1</v>
      </c>
      <c r="O4083" s="109">
        <f>IF(Key!D$1="ON",P4083,IF(SUM(Q4083:DL4083)&lt;1,"",SUM(Q4083:DL4083)/COUNTIF(Q4083:DL4083,"&gt;0")))</f>
        <v>0</v>
      </c>
      <c r="P4083" s="109">
        <f>SUMIFS(Q4083:DK4083,Q$1:DK$1,Dashboard!$K$31)</f>
        <v>0</v>
      </c>
      <c r="Q4083" s="110">
        <v>83</v>
      </c>
      <c r="U4083" s="95">
        <v>33</v>
      </c>
    </row>
    <row r="4084" spans="1:34" x14ac:dyDescent="0.3">
      <c r="A4084" s="89" t="str">
        <f>CONCATENATE(D4084,".",F4084,"-",G4084,".",H4084,"")</f>
        <v>4.2-0.1</v>
      </c>
      <c r="B4084" s="89" t="str">
        <f>IF(CONCATENATE(I4084,Key!F$2)=CONCATENATE(INDEX(Dashboard!J:J,MATCH(I4084,Dashboard!J:J,0),1),INDEX(Dashboard!J:K,MATCH(I4084,Dashboard!J:J,0),2)),"ON",IF(Dashboard!K$32="ALL","ON","-"))</f>
        <v>-</v>
      </c>
      <c r="C4084" s="96" t="s">
        <v>329</v>
      </c>
      <c r="D4084" s="89">
        <f>IF(C4084="ID",1,(IF(C4084="PR",2,(IF(C4084="DE",3,(IF(C4084="RS",4,(IF(C4084="RC",5,0)))))))))</f>
        <v>4</v>
      </c>
      <c r="E4084" s="89" t="s">
        <v>341</v>
      </c>
      <c r="F4084" s="89">
        <f>IF(E4084="AM",1,(IF(E4084="BE",2,(IF(E4084="GV",3,(IF(E4084="RA",4,(IF(E4084="RM",5,(IF(E4084="AC",1,(IF(E4084="AT",2,(IF(E4084="DS",3,(IF(E4084="IP",4,(IF(E4084="MA",5,(IF(E4084="PT",6,(IF(E4084="AE",1,(IF(E4084="CM",2,(IF(E4084="DP",3,(IF(E4084="AN",1,(IF(E4084="CO",2,(IF(E4084="IM",3,(IF(E4084="MI",4,(IF(E4084="RP",5,(IF(E4084="SC",6,0)))))))))))))))))))))))))))))))))))))))</f>
        <v>2</v>
      </c>
      <c r="G4084" s="52">
        <v>0</v>
      </c>
      <c r="H4084" s="90" t="s">
        <v>115</v>
      </c>
      <c r="I4084" s="94" t="s">
        <v>2835</v>
      </c>
      <c r="J4084" s="59" t="s">
        <v>3062</v>
      </c>
      <c r="K4084" s="105" t="s">
        <v>3064</v>
      </c>
      <c r="L4084" s="117">
        <f>IF(O4084="","",N4084*O4084*M4084)</f>
        <v>0</v>
      </c>
      <c r="M4084" s="108">
        <v>1</v>
      </c>
      <c r="N4084" s="95">
        <v>1</v>
      </c>
      <c r="O4084" s="109">
        <f>IF(Key!D$1="ON",P4084,IF(SUM(Q4084:DL4084)&lt;1,"",SUM(Q4084:DL4084)/COUNTIF(Q4084:DL4084,"&gt;0")))</f>
        <v>0</v>
      </c>
      <c r="P4084" s="109">
        <f>SUMIFS(Q4084:DK4084,Q$1:DK$1,Dashboard!$K$31)</f>
        <v>0</v>
      </c>
      <c r="Q4084" s="110">
        <v>83</v>
      </c>
      <c r="U4084" s="95">
        <v>33</v>
      </c>
      <c r="AA4084" s="95">
        <v>50</v>
      </c>
    </row>
    <row r="4085" spans="1:34" x14ac:dyDescent="0.3">
      <c r="A4085" s="89" t="str">
        <f>CONCATENATE(D4085,".",F4085,"-",G4085,".",H4085,"")</f>
        <v>4.2-1.0</v>
      </c>
      <c r="B4085" s="89" t="str">
        <f>IF(CONCATENATE(I4085,Key!F$2)=CONCATENATE(INDEX(Dashboard!J:J,MATCH(I4085,Dashboard!J:J,0),1),INDEX(Dashboard!J:K,MATCH(I4085,Dashboard!J:J,0),2)),"ON",IF(Dashboard!K$32="ALL","ON","-"))</f>
        <v>-</v>
      </c>
      <c r="C4085" s="96" t="s">
        <v>329</v>
      </c>
      <c r="D4085" s="89">
        <f>IF(C4085="ID",1,(IF(C4085="PR",2,(IF(C4085="DE",3,(IF(C4085="RS",4,(IF(C4085="RC",5,0)))))))))</f>
        <v>4</v>
      </c>
      <c r="E4085" s="89" t="s">
        <v>341</v>
      </c>
      <c r="F4085" s="89">
        <f>IF(E4085="AM",1,(IF(E4085="BE",2,(IF(E4085="GV",3,(IF(E4085="RA",4,(IF(E4085="RM",5,(IF(E4085="AC",1,(IF(E4085="AT",2,(IF(E4085="DS",3,(IF(E4085="IP",4,(IF(E4085="MA",5,(IF(E4085="PT",6,(IF(E4085="AE",1,(IF(E4085="CM",2,(IF(E4085="DP",3,(IF(E4085="AN",1,(IF(E4085="CO",2,(IF(E4085="IM",3,(IF(E4085="MI",4,(IF(E4085="RP",5,(IF(E4085="SC",6,0)))))))))))))))))))))))))))))))))))))))</f>
        <v>2</v>
      </c>
      <c r="G4085" s="52">
        <v>1</v>
      </c>
      <c r="H4085" s="90" t="s">
        <v>347</v>
      </c>
      <c r="I4085" s="94" t="s">
        <v>2835</v>
      </c>
      <c r="J4085" s="53" t="s">
        <v>3065</v>
      </c>
      <c r="K4085" s="105" t="s">
        <v>3066</v>
      </c>
      <c r="L4085" s="117">
        <f>IF(O4085="","",N4085*O4085*M4085)</f>
        <v>0</v>
      </c>
      <c r="M4085" s="108">
        <v>1</v>
      </c>
      <c r="N4085" s="95">
        <v>1</v>
      </c>
      <c r="O4085" s="109">
        <f>IF(Key!D$1="ON",P4085,IF(SUM(Q4085:DL4085)&lt;1,"",SUM(Q4085:DL4085)/COUNTIF(Q4085:DL4085,"&gt;0")))</f>
        <v>0</v>
      </c>
      <c r="P4085" s="109">
        <f>SUMIFS(Q4085:DK4085,Q$1:DK$1,Dashboard!$K$31)</f>
        <v>0</v>
      </c>
      <c r="U4085" s="95">
        <v>33</v>
      </c>
    </row>
    <row r="4086" spans="1:34" x14ac:dyDescent="0.3">
      <c r="A4086" s="89" t="str">
        <f>CONCATENATE(D4086,".",F4086,"-",G4086,".",H4086,"")</f>
        <v>4.2-1.1</v>
      </c>
      <c r="B4086" s="89" t="str">
        <f>IF(CONCATENATE(I4086,Key!F$2)=CONCATENATE(INDEX(Dashboard!J:J,MATCH(I4086,Dashboard!J:J,0),1),INDEX(Dashboard!J:K,MATCH(I4086,Dashboard!J:J,0),2)),"ON",IF(Dashboard!K$32="ALL","ON","-"))</f>
        <v>-</v>
      </c>
      <c r="C4086" s="88" t="s">
        <v>329</v>
      </c>
      <c r="D4086" s="89">
        <f>IF(C4086="ID",1,(IF(C4086="PR",2,(IF(C4086="DE",3,(IF(C4086="RS",4,(IF(C4086="RC",5,0)))))))))</f>
        <v>4</v>
      </c>
      <c r="E4086" s="89" t="s">
        <v>341</v>
      </c>
      <c r="F4086" s="89">
        <f>IF(E4086="AM",1,(IF(E4086="BE",2,(IF(E4086="GV",3,(IF(E4086="RA",4,(IF(E4086="RM",5,(IF(E4086="AC",1,(IF(E4086="AT",2,(IF(E4086="DS",3,(IF(E4086="IP",4,(IF(E4086="MA",5,(IF(E4086="PT",6,(IF(E4086="AE",1,(IF(E4086="CM",2,(IF(E4086="DP",3,(IF(E4086="AN",1,(IF(E4086="CO",2,(IF(E4086="IM",3,(IF(E4086="MI",4,(IF(E4086="RP",5,(IF(E4086="SC",6,0)))))))))))))))))))))))))))))))))))))))</f>
        <v>2</v>
      </c>
      <c r="G4086" s="52">
        <v>1</v>
      </c>
      <c r="H4086" s="99">
        <v>1</v>
      </c>
      <c r="I4086" s="94" t="s">
        <v>37</v>
      </c>
      <c r="J4086" s="86">
        <v>19.100000000000001</v>
      </c>
      <c r="K4086" s="102" t="s">
        <v>3848</v>
      </c>
      <c r="L4086" s="117">
        <f>IF(O4086="","",N4086*O4086*M4086)</f>
        <v>0</v>
      </c>
      <c r="M4086" s="108">
        <v>1</v>
      </c>
      <c r="N4086" s="95">
        <v>1</v>
      </c>
      <c r="O4086" s="109">
        <f>IF(Key!D$1="ON",P4086,IF(SUM(Q4086:DL4086)&lt;1,"",SUM(Q4086:DL4086)/COUNTIF(Q4086:DL4086,"&gt;0")))</f>
        <v>0</v>
      </c>
      <c r="P4086" s="109">
        <f>SUMIFS(Q4086:DK4086,Q$1:DK$1,Dashboard!$K$31)</f>
        <v>0</v>
      </c>
      <c r="U4086" s="95">
        <v>33</v>
      </c>
      <c r="AA4086" s="95">
        <v>25</v>
      </c>
      <c r="AH4086" s="95">
        <v>75</v>
      </c>
    </row>
    <row r="4087" spans="1:34" x14ac:dyDescent="0.3">
      <c r="A4087" s="89" t="str">
        <f>CONCATENATE(D4087,".",F4087,"-",G4087,".",H4087,"")</f>
        <v>4.2-1.1</v>
      </c>
      <c r="B4087" s="89" t="str">
        <f>IF(CONCATENATE(I4087,Key!F$2)=CONCATENATE(INDEX(Dashboard!J:J,MATCH(I4087,Dashboard!J:J,0),1),INDEX(Dashboard!J:K,MATCH(I4087,Dashboard!J:J,0),2)),"ON",IF(Dashboard!K$32="ALL","ON","-"))</f>
        <v>-</v>
      </c>
      <c r="C4087" s="88" t="s">
        <v>329</v>
      </c>
      <c r="D4087" s="89">
        <f>IF(C4087="ID",1,(IF(C4087="PR",2,(IF(C4087="DE",3,(IF(C4087="RS",4,(IF(C4087="RC",5,0)))))))))</f>
        <v>4</v>
      </c>
      <c r="E4087" s="89" t="s">
        <v>341</v>
      </c>
      <c r="F4087" s="89">
        <f>IF(E4087="AM",1,(IF(E4087="BE",2,(IF(E4087="GV",3,(IF(E4087="RA",4,(IF(E4087="RM",5,(IF(E4087="AC",1,(IF(E4087="AT",2,(IF(E4087="DS",3,(IF(E4087="IP",4,(IF(E4087="MA",5,(IF(E4087="PT",6,(IF(E4087="AE",1,(IF(E4087="CM",2,(IF(E4087="DP",3,(IF(E4087="AN",1,(IF(E4087="CO",2,(IF(E4087="IM",3,(IF(E4087="MI",4,(IF(E4087="RP",5,(IF(E4087="SC",6,0)))))))))))))))))))))))))))))))))))))))</f>
        <v>2</v>
      </c>
      <c r="G4087" s="52">
        <v>1</v>
      </c>
      <c r="H4087" s="99">
        <v>1</v>
      </c>
      <c r="I4087" s="94" t="s">
        <v>37</v>
      </c>
      <c r="J4087" s="86">
        <v>19.2</v>
      </c>
      <c r="K4087" s="102" t="s">
        <v>3849</v>
      </c>
      <c r="L4087" s="117">
        <f>IF(O4087="","",N4087*O4087*M4087)</f>
        <v>0</v>
      </c>
      <c r="M4087" s="108">
        <v>1</v>
      </c>
      <c r="N4087" s="95">
        <v>1</v>
      </c>
      <c r="O4087" s="109">
        <f>IF(Key!D$1="ON",P4087,IF(SUM(Q4087:DL4087)&lt;1,"",SUM(Q4087:DL4087)/COUNTIF(Q4087:DL4087,"&gt;0")))</f>
        <v>0</v>
      </c>
      <c r="P4087" s="109">
        <f>SUMIFS(Q4087:DK4087,Q$1:DK$1,Dashboard!$K$31)</f>
        <v>0</v>
      </c>
      <c r="U4087" s="95">
        <v>33</v>
      </c>
      <c r="AA4087" s="95">
        <v>25</v>
      </c>
      <c r="AH4087" s="95">
        <v>75</v>
      </c>
    </row>
    <row r="4088" spans="1:34" x14ac:dyDescent="0.3">
      <c r="A4088" s="89" t="str">
        <f>CONCATENATE(D4088,".",F4088,"-",G4088,".",H4088,"")</f>
        <v>4.2-1.1</v>
      </c>
      <c r="B4088" s="89" t="str">
        <f>IF(CONCATENATE(I4088,Key!F$2)=CONCATENATE(INDEX(Dashboard!J:J,MATCH(I4088,Dashboard!J:J,0),1),INDEX(Dashboard!J:K,MATCH(I4088,Dashboard!J:J,0),2)),"ON",IF(Dashboard!K$32="ALL","ON","-"))</f>
        <v>-</v>
      </c>
      <c r="C4088" s="88" t="s">
        <v>329</v>
      </c>
      <c r="D4088" s="89">
        <f>IF(C4088="ID",1,(IF(C4088="PR",2,(IF(C4088="DE",3,(IF(C4088="RS",4,(IF(C4088="RC",5,0)))))))))</f>
        <v>4</v>
      </c>
      <c r="E4088" s="89" t="s">
        <v>341</v>
      </c>
      <c r="F4088" s="89">
        <f>IF(E4088="AM",1,(IF(E4088="BE",2,(IF(E4088="GV",3,(IF(E4088="RA",4,(IF(E4088="RM",5,(IF(E4088="AC",1,(IF(E4088="AT",2,(IF(E4088="DS",3,(IF(E4088="IP",4,(IF(E4088="MA",5,(IF(E4088="PT",6,(IF(E4088="AE",1,(IF(E4088="CM",2,(IF(E4088="DP",3,(IF(E4088="AN",1,(IF(E4088="CO",2,(IF(E4088="IM",3,(IF(E4088="MI",4,(IF(E4088="RP",5,(IF(E4088="SC",6,0)))))))))))))))))))))))))))))))))))))))</f>
        <v>2</v>
      </c>
      <c r="G4088" s="52">
        <v>1</v>
      </c>
      <c r="H4088" s="99">
        <v>1</v>
      </c>
      <c r="I4088" s="94" t="s">
        <v>41</v>
      </c>
      <c r="J4088" s="86" t="s">
        <v>3644</v>
      </c>
      <c r="K4088" s="103" t="s">
        <v>3645</v>
      </c>
      <c r="L4088" s="117">
        <f>IF(O4088="","",N4088*O4088*M4088)</f>
        <v>0</v>
      </c>
      <c r="M4088" s="108">
        <v>1</v>
      </c>
      <c r="N4088" s="95">
        <v>1</v>
      </c>
      <c r="O4088" s="109">
        <f>IF(Key!D$1="ON",P4088,IF(SUM(Q4088:DL4088)&lt;1,"",SUM(Q4088:DL4088)/COUNTIF(Q4088:DL4088,"&gt;0")))</f>
        <v>0</v>
      </c>
      <c r="P4088" s="109">
        <f>SUMIFS(Q4088:DK4088,Q$1:DK$1,Dashboard!$K$31)</f>
        <v>0</v>
      </c>
      <c r="U4088" s="95">
        <v>33</v>
      </c>
    </row>
    <row r="4089" spans="1:34" x14ac:dyDescent="0.3">
      <c r="A4089" s="89" t="str">
        <f>CONCATENATE(D4089,".",F4089,"-",G4089,".",H4089,"")</f>
        <v>4.2-1.1</v>
      </c>
      <c r="B4089" s="89" t="str">
        <f>IF(CONCATENATE(I4089,Key!F$2)=CONCATENATE(INDEX(Dashboard!J:J,MATCH(I4089,Dashboard!J:J,0),1),INDEX(Dashboard!J:K,MATCH(I4089,Dashboard!J:J,0),2)),"ON",IF(Dashboard!K$32="ALL","ON","-"))</f>
        <v>-</v>
      </c>
      <c r="C4089" s="88" t="s">
        <v>329</v>
      </c>
      <c r="D4089" s="89">
        <f>IF(C4089="ID",1,(IF(C4089="PR",2,(IF(C4089="DE",3,(IF(C4089="RS",4,(IF(C4089="RC",5,0)))))))))</f>
        <v>4</v>
      </c>
      <c r="E4089" s="89" t="s">
        <v>341</v>
      </c>
      <c r="F4089" s="89">
        <f>IF(E4089="AM",1,(IF(E4089="BE",2,(IF(E4089="GV",3,(IF(E4089="RA",4,(IF(E4089="RM",5,(IF(E4089="AC",1,(IF(E4089="AT",2,(IF(E4089="DS",3,(IF(E4089="IP",4,(IF(E4089="MA",5,(IF(E4089="PT",6,(IF(E4089="AE",1,(IF(E4089="CM",2,(IF(E4089="DP",3,(IF(E4089="AN",1,(IF(E4089="CO",2,(IF(E4089="IM",3,(IF(E4089="MI",4,(IF(E4089="RP",5,(IF(E4089="SC",6,0)))))))))))))))))))))))))))))))))))))))</f>
        <v>2</v>
      </c>
      <c r="G4089" s="52">
        <v>1</v>
      </c>
      <c r="H4089" s="99">
        <v>1</v>
      </c>
      <c r="I4089" s="94" t="s">
        <v>41</v>
      </c>
      <c r="J4089" s="86" t="s">
        <v>3646</v>
      </c>
      <c r="K4089" s="103" t="s">
        <v>3647</v>
      </c>
      <c r="L4089" s="117">
        <f>IF(O4089="","",N4089*O4089*M4089)</f>
        <v>0</v>
      </c>
      <c r="M4089" s="108">
        <v>1</v>
      </c>
      <c r="N4089" s="95">
        <v>1</v>
      </c>
      <c r="O4089" s="109">
        <f>IF(Key!D$1="ON",P4089,IF(SUM(Q4089:DL4089)&lt;1,"",SUM(Q4089:DL4089)/COUNTIF(Q4089:DL4089,"&gt;0")))</f>
        <v>0</v>
      </c>
      <c r="P4089" s="109">
        <f>SUMIFS(Q4089:DK4089,Q$1:DK$1,Dashboard!$K$31)</f>
        <v>0</v>
      </c>
      <c r="U4089" s="95">
        <v>33</v>
      </c>
    </row>
    <row r="4090" spans="1:34" x14ac:dyDescent="0.3">
      <c r="A4090" s="89" t="str">
        <f>CONCATENATE(D4090,".",F4090,"-",G4090,".",H4090,"")</f>
        <v>4.2-1.1</v>
      </c>
      <c r="B4090" s="89" t="str">
        <f>IF(CONCATENATE(I4090,Key!F$2)=CONCATENATE(INDEX(Dashboard!J:J,MATCH(I4090,Dashboard!J:J,0),1),INDEX(Dashboard!J:K,MATCH(I4090,Dashboard!J:J,0),2)),"ON",IF(Dashboard!K$32="ALL","ON","-"))</f>
        <v>-</v>
      </c>
      <c r="C4090" s="96" t="s">
        <v>329</v>
      </c>
      <c r="D4090" s="89">
        <f>IF(C4090="ID",1,(IF(C4090="PR",2,(IF(C4090="DE",3,(IF(C4090="RS",4,(IF(C4090="RC",5,0)))))))))</f>
        <v>4</v>
      </c>
      <c r="E4090" s="89" t="s">
        <v>341</v>
      </c>
      <c r="F4090" s="89">
        <f>IF(E4090="AM",1,(IF(E4090="BE",2,(IF(E4090="GV",3,(IF(E4090="RA",4,(IF(E4090="RM",5,(IF(E4090="AC",1,(IF(E4090="AT",2,(IF(E4090="DS",3,(IF(E4090="IP",4,(IF(E4090="MA",5,(IF(E4090="PT",6,(IF(E4090="AE",1,(IF(E4090="CM",2,(IF(E4090="DP",3,(IF(E4090="AN",1,(IF(E4090="CO",2,(IF(E4090="IM",3,(IF(E4090="MI",4,(IF(E4090="RP",5,(IF(E4090="SC",6,0)))))))))))))))))))))))))))))))))))))))</f>
        <v>2</v>
      </c>
      <c r="G4090" s="98">
        <v>1</v>
      </c>
      <c r="H4090" s="90" t="s">
        <v>115</v>
      </c>
      <c r="I4090" s="94" t="s">
        <v>52</v>
      </c>
      <c r="J4090" s="88" t="s">
        <v>3284</v>
      </c>
      <c r="K4090" s="103" t="s">
        <v>3285</v>
      </c>
      <c r="L4090" s="117">
        <f>IF(O4090="","",N4090*O4090*M4090)</f>
        <v>0</v>
      </c>
      <c r="M4090" s="108">
        <v>1</v>
      </c>
      <c r="N4090" s="95">
        <v>1</v>
      </c>
      <c r="O4090" s="109">
        <f>IF(Key!D$1="ON",P4090,IF(SUM(Q4090:DL4090)&lt;1,"",SUM(Q4090:DL4090)/COUNTIF(Q4090:DL4090,"&gt;0")))</f>
        <v>0</v>
      </c>
      <c r="P4090" s="109">
        <f>SUMIFS(Q4090:DK4090,Q$1:DK$1,Dashboard!$K$31)</f>
        <v>0</v>
      </c>
      <c r="U4090" s="95">
        <v>33</v>
      </c>
      <c r="AA4090" s="95">
        <v>25</v>
      </c>
      <c r="AH4090" s="95">
        <v>75</v>
      </c>
    </row>
    <row r="4091" spans="1:34" x14ac:dyDescent="0.3">
      <c r="A4091" s="89" t="str">
        <f>CONCATENATE(D4091,".",F4091,"-",G4091,".",H4091,"")</f>
        <v>4.2-1.1</v>
      </c>
      <c r="B4091" s="89" t="str">
        <f>IF(CONCATENATE(I4091,Key!F$2)=CONCATENATE(INDEX(Dashboard!J:J,MATCH(I4091,Dashboard!J:J,0),1),INDEX(Dashboard!J:K,MATCH(I4091,Dashboard!J:J,0),2)),"ON",IF(Dashboard!K$32="ALL","ON","-"))</f>
        <v>-</v>
      </c>
      <c r="C4091" s="96" t="s">
        <v>329</v>
      </c>
      <c r="D4091" s="89">
        <f>IF(C4091="ID",1,(IF(C4091="PR",2,(IF(C4091="DE",3,(IF(C4091="RS",4,(IF(C4091="RC",5,0)))))))))</f>
        <v>4</v>
      </c>
      <c r="E4091" s="89" t="s">
        <v>341</v>
      </c>
      <c r="F4091" s="89">
        <f>IF(E4091="AM",1,(IF(E4091="BE",2,(IF(E4091="GV",3,(IF(E4091="RA",4,(IF(E4091="RM",5,(IF(E4091="AC",1,(IF(E4091="AT",2,(IF(E4091="DS",3,(IF(E4091="IP",4,(IF(E4091="MA",5,(IF(E4091="PT",6,(IF(E4091="AE",1,(IF(E4091="CM",2,(IF(E4091="DP",3,(IF(E4091="AN",1,(IF(E4091="CO",2,(IF(E4091="IM",3,(IF(E4091="MI",4,(IF(E4091="RP",5,(IF(E4091="SC",6,0)))))))))))))))))))))))))))))))))))))))</f>
        <v>2</v>
      </c>
      <c r="G4091" s="98">
        <v>1</v>
      </c>
      <c r="H4091" s="90" t="s">
        <v>115</v>
      </c>
      <c r="I4091" s="94" t="s">
        <v>52</v>
      </c>
      <c r="J4091" s="88" t="s">
        <v>3437</v>
      </c>
      <c r="K4091" s="103" t="s">
        <v>3438</v>
      </c>
      <c r="L4091" s="117">
        <f>IF(O4091="","",N4091*O4091*M4091)</f>
        <v>0</v>
      </c>
      <c r="M4091" s="108">
        <v>1</v>
      </c>
      <c r="N4091" s="95">
        <v>1</v>
      </c>
      <c r="O4091" s="109">
        <f>IF(Key!D$1="ON",P4091,IF(SUM(Q4091:DL4091)&lt;1,"",SUM(Q4091:DL4091)/COUNTIF(Q4091:DL4091,"&gt;0")))</f>
        <v>0</v>
      </c>
      <c r="P4091" s="109">
        <f>SUMIFS(Q4091:DK4091,Q$1:DK$1,Dashboard!$K$31)</f>
        <v>0</v>
      </c>
      <c r="U4091" s="95">
        <v>33</v>
      </c>
      <c r="AA4091" s="95">
        <v>25</v>
      </c>
      <c r="AH4091" s="95">
        <v>75</v>
      </c>
    </row>
    <row r="4092" spans="1:34" x14ac:dyDescent="0.3">
      <c r="A4092" s="89" t="str">
        <f>CONCATENATE(D4092,".",F4092,"-",G4092,".",H4092,"")</f>
        <v>4.2-1.1</v>
      </c>
      <c r="B4092" s="89" t="str">
        <f>IF(CONCATENATE(I4092,Key!F$2)=CONCATENATE(INDEX(Dashboard!J:J,MATCH(I4092,Dashboard!J:J,0),1),INDEX(Dashboard!J:K,MATCH(I4092,Dashboard!J:J,0),2)),"ON",IF(Dashboard!K$32="ALL","ON","-"))</f>
        <v>-</v>
      </c>
      <c r="C4092" s="96" t="s">
        <v>329</v>
      </c>
      <c r="D4092" s="89">
        <f>IF(C4092="ID",1,(IF(C4092="PR",2,(IF(C4092="DE",3,(IF(C4092="RS",4,(IF(C4092="RC",5,0)))))))))</f>
        <v>4</v>
      </c>
      <c r="E4092" s="89" t="s">
        <v>341</v>
      </c>
      <c r="F4092" s="89">
        <f>IF(E4092="AM",1,(IF(E4092="BE",2,(IF(E4092="GV",3,(IF(E4092="RA",4,(IF(E4092="RM",5,(IF(E4092="AC",1,(IF(E4092="AT",2,(IF(E4092="DS",3,(IF(E4092="IP",4,(IF(E4092="MA",5,(IF(E4092="PT",6,(IF(E4092="AE",1,(IF(E4092="CM",2,(IF(E4092="DP",3,(IF(E4092="AN",1,(IF(E4092="CO",2,(IF(E4092="IM",3,(IF(E4092="MI",4,(IF(E4092="RP",5,(IF(E4092="SC",6,0)))))))))))))))))))))))))))))))))))))))</f>
        <v>2</v>
      </c>
      <c r="G4092" s="98">
        <v>1</v>
      </c>
      <c r="H4092" s="90" t="s">
        <v>115</v>
      </c>
      <c r="I4092" s="94" t="s">
        <v>52</v>
      </c>
      <c r="J4092" s="88" t="s">
        <v>3367</v>
      </c>
      <c r="K4092" s="103" t="s">
        <v>3368</v>
      </c>
      <c r="L4092" s="117">
        <f>IF(O4092="","",N4092*O4092*M4092)</f>
        <v>0</v>
      </c>
      <c r="M4092" s="108">
        <v>1</v>
      </c>
      <c r="N4092" s="95">
        <v>1</v>
      </c>
      <c r="O4092" s="109">
        <f>IF(Key!D$1="ON",P4092,IF(SUM(Q4092:DL4092)&lt;1,"",SUM(Q4092:DL4092)/COUNTIF(Q4092:DL4092,"&gt;0")))</f>
        <v>0</v>
      </c>
      <c r="P4092" s="109">
        <f>SUMIFS(Q4092:DK4092,Q$1:DK$1,Dashboard!$K$31)</f>
        <v>0</v>
      </c>
      <c r="U4092" s="95">
        <v>33</v>
      </c>
      <c r="AA4092" s="95">
        <v>25</v>
      </c>
      <c r="AH4092" s="95">
        <v>75</v>
      </c>
    </row>
    <row r="4093" spans="1:34" x14ac:dyDescent="0.3">
      <c r="A4093" s="89" t="str">
        <f>CONCATENATE(D4093,".",F4093,"-",G4093,".",H4093,"")</f>
        <v>4.2-1.1</v>
      </c>
      <c r="B4093" s="89" t="str">
        <f>IF(CONCATENATE(I4093,Key!F$2)=CONCATENATE(INDEX(Dashboard!J:J,MATCH(I4093,Dashboard!J:J,0),1),INDEX(Dashboard!J:K,MATCH(I4093,Dashboard!J:J,0),2)),"ON",IF(Dashboard!K$32="ALL","ON","-"))</f>
        <v>-</v>
      </c>
      <c r="C4093" s="96" t="s">
        <v>329</v>
      </c>
      <c r="D4093" s="89">
        <f>IF(C4093="ID",1,(IF(C4093="PR",2,(IF(C4093="DE",3,(IF(C4093="RS",4,(IF(C4093="RC",5,0)))))))))</f>
        <v>4</v>
      </c>
      <c r="E4093" s="89" t="s">
        <v>341</v>
      </c>
      <c r="F4093" s="89">
        <f>IF(E4093="AM",1,(IF(E4093="BE",2,(IF(E4093="GV",3,(IF(E4093="RA",4,(IF(E4093="RM",5,(IF(E4093="AC",1,(IF(E4093="AT",2,(IF(E4093="DS",3,(IF(E4093="IP",4,(IF(E4093="MA",5,(IF(E4093="PT",6,(IF(E4093="AE",1,(IF(E4093="CM",2,(IF(E4093="DP",3,(IF(E4093="AN",1,(IF(E4093="CO",2,(IF(E4093="IM",3,(IF(E4093="MI",4,(IF(E4093="RP",5,(IF(E4093="SC",6,0)))))))))))))))))))))))))))))))))))))))</f>
        <v>2</v>
      </c>
      <c r="G4093" s="98">
        <v>1</v>
      </c>
      <c r="H4093" s="90" t="s">
        <v>115</v>
      </c>
      <c r="I4093" s="94" t="s">
        <v>52</v>
      </c>
      <c r="J4093" s="88" t="s">
        <v>3299</v>
      </c>
      <c r="K4093" s="103" t="s">
        <v>3300</v>
      </c>
      <c r="L4093" s="117">
        <f>IF(O4093="","",N4093*O4093*M4093)</f>
        <v>0</v>
      </c>
      <c r="M4093" s="108">
        <v>1</v>
      </c>
      <c r="N4093" s="95">
        <v>1</v>
      </c>
      <c r="O4093" s="109">
        <f>IF(Key!D$1="ON",P4093,IF(SUM(Q4093:DL4093)&lt;1,"",SUM(Q4093:DL4093)/COUNTIF(Q4093:DL4093,"&gt;0")))</f>
        <v>0</v>
      </c>
      <c r="P4093" s="109">
        <f>SUMIFS(Q4093:DK4093,Q$1:DK$1,Dashboard!$K$31)</f>
        <v>0</v>
      </c>
      <c r="U4093" s="95">
        <v>33</v>
      </c>
      <c r="AA4093" s="95">
        <v>25</v>
      </c>
      <c r="AH4093" s="95">
        <v>75</v>
      </c>
    </row>
    <row r="4094" spans="1:34" x14ac:dyDescent="0.3">
      <c r="A4094" s="89" t="str">
        <f>CONCATENATE(D4094,".",F4094,"-",G4094,".",H4094,"")</f>
        <v>4.2-1.1</v>
      </c>
      <c r="B4094" s="89" t="str">
        <f>IF(CONCATENATE(I4094,Key!F$2)=CONCATENATE(INDEX(Dashboard!J:J,MATCH(I4094,Dashboard!J:J,0),1),INDEX(Dashboard!J:K,MATCH(I4094,Dashboard!J:J,0),2)),"ON",IF(Dashboard!K$32="ALL","ON","-"))</f>
        <v>-</v>
      </c>
      <c r="C4094" s="96" t="s">
        <v>329</v>
      </c>
      <c r="D4094" s="89">
        <f>IF(C4094="ID",1,(IF(C4094="PR",2,(IF(C4094="DE",3,(IF(C4094="RS",4,(IF(C4094="RC",5,0)))))))))</f>
        <v>4</v>
      </c>
      <c r="E4094" s="89" t="s">
        <v>341</v>
      </c>
      <c r="F4094" s="89">
        <f>IF(E4094="AM",1,(IF(E4094="BE",2,(IF(E4094="GV",3,(IF(E4094="RA",4,(IF(E4094="RM",5,(IF(E4094="AC",1,(IF(E4094="AT",2,(IF(E4094="DS",3,(IF(E4094="IP",4,(IF(E4094="MA",5,(IF(E4094="PT",6,(IF(E4094="AE",1,(IF(E4094="CM",2,(IF(E4094="DP",3,(IF(E4094="AN",1,(IF(E4094="CO",2,(IF(E4094="IM",3,(IF(E4094="MI",4,(IF(E4094="RP",5,(IF(E4094="SC",6,0)))))))))))))))))))))))))))))))))))))))</f>
        <v>2</v>
      </c>
      <c r="G4094" s="98">
        <v>1</v>
      </c>
      <c r="H4094" s="90" t="s">
        <v>115</v>
      </c>
      <c r="I4094" s="94" t="s">
        <v>52</v>
      </c>
      <c r="J4094" s="88" t="s">
        <v>3290</v>
      </c>
      <c r="K4094" s="103" t="s">
        <v>3291</v>
      </c>
      <c r="L4094" s="117">
        <f>IF(O4094="","",N4094*O4094*M4094)</f>
        <v>0</v>
      </c>
      <c r="M4094" s="108">
        <v>1</v>
      </c>
      <c r="N4094" s="95">
        <v>1</v>
      </c>
      <c r="O4094" s="109">
        <f>IF(Key!D$1="ON",P4094,IF(SUM(Q4094:DL4094)&lt;1,"",SUM(Q4094:DL4094)/COUNTIF(Q4094:DL4094,"&gt;0")))</f>
        <v>0</v>
      </c>
      <c r="P4094" s="109">
        <f>SUMIFS(Q4094:DK4094,Q$1:DK$1,Dashboard!$K$31)</f>
        <v>0</v>
      </c>
      <c r="U4094" s="95">
        <v>33</v>
      </c>
      <c r="AA4094" s="95">
        <v>25</v>
      </c>
      <c r="AH4094" s="95">
        <v>75</v>
      </c>
    </row>
    <row r="4095" spans="1:34" x14ac:dyDescent="0.3">
      <c r="A4095" s="89" t="str">
        <f>CONCATENATE(D4095,".",F4095,"-",G4095,".",H4095,"")</f>
        <v>4.2-1.1</v>
      </c>
      <c r="B4095" s="89" t="str">
        <f>IF(CONCATENATE(I4095,Key!F$2)=CONCATENATE(INDEX(Dashboard!J:J,MATCH(I4095,Dashboard!J:J,0),1),INDEX(Dashboard!J:K,MATCH(I4095,Dashboard!J:J,0),2)),"ON",IF(Dashboard!K$32="ALL","ON","-"))</f>
        <v>-</v>
      </c>
      <c r="C4095" s="96" t="s">
        <v>329</v>
      </c>
      <c r="D4095" s="89">
        <f>IF(C4095="ID",1,(IF(C4095="PR",2,(IF(C4095="DE",3,(IF(C4095="RS",4,(IF(C4095="RC",5,0)))))))))</f>
        <v>4</v>
      </c>
      <c r="E4095" s="89" t="s">
        <v>341</v>
      </c>
      <c r="F4095" s="89">
        <f>IF(E4095="AM",1,(IF(E4095="BE",2,(IF(E4095="GV",3,(IF(E4095="RA",4,(IF(E4095="RM",5,(IF(E4095="AC",1,(IF(E4095="AT",2,(IF(E4095="DS",3,(IF(E4095="IP",4,(IF(E4095="MA",5,(IF(E4095="PT",6,(IF(E4095="AE",1,(IF(E4095="CM",2,(IF(E4095="DP",3,(IF(E4095="AN",1,(IF(E4095="CO",2,(IF(E4095="IM",3,(IF(E4095="MI",4,(IF(E4095="RP",5,(IF(E4095="SC",6,0)))))))))))))))))))))))))))))))))))))))</f>
        <v>2</v>
      </c>
      <c r="G4095" s="98">
        <v>1</v>
      </c>
      <c r="H4095" s="90" t="s">
        <v>115</v>
      </c>
      <c r="I4095" s="94" t="s">
        <v>52</v>
      </c>
      <c r="J4095" s="88" t="s">
        <v>3307</v>
      </c>
      <c r="K4095" s="103" t="s">
        <v>3308</v>
      </c>
      <c r="L4095" s="117">
        <f>IF(O4095="","",N4095*O4095*M4095)</f>
        <v>0</v>
      </c>
      <c r="M4095" s="108">
        <v>1</v>
      </c>
      <c r="N4095" s="95">
        <v>1</v>
      </c>
      <c r="O4095" s="109">
        <f>IF(Key!D$1="ON",P4095,IF(SUM(Q4095:DL4095)&lt;1,"",SUM(Q4095:DL4095)/COUNTIF(Q4095:DL4095,"&gt;0")))</f>
        <v>0</v>
      </c>
      <c r="P4095" s="109">
        <f>SUMIFS(Q4095:DK4095,Q$1:DK$1,Dashboard!$K$31)</f>
        <v>0</v>
      </c>
      <c r="U4095" s="95">
        <v>33</v>
      </c>
      <c r="AA4095" s="95">
        <v>25</v>
      </c>
      <c r="AH4095" s="95">
        <v>75</v>
      </c>
    </row>
    <row r="4096" spans="1:34" x14ac:dyDescent="0.3">
      <c r="A4096" s="89" t="str">
        <f>CONCATENATE(D4096,".",F4096,"-",G4096,".",H4096,"")</f>
        <v>4.2-1.1</v>
      </c>
      <c r="B4096" s="89" t="str">
        <f>IF(CONCATENATE(I4096,Key!F$2)=CONCATENATE(INDEX(Dashboard!J:J,MATCH(I4096,Dashboard!J:J,0),1),INDEX(Dashboard!J:K,MATCH(I4096,Dashboard!J:J,0),2)),"ON",IF(Dashboard!K$32="ALL","ON","-"))</f>
        <v>-</v>
      </c>
      <c r="C4096" s="96" t="s">
        <v>329</v>
      </c>
      <c r="D4096" s="89">
        <f>IF(C4096="ID",1,(IF(C4096="PR",2,(IF(C4096="DE",3,(IF(C4096="RS",4,(IF(C4096="RC",5,0)))))))))</f>
        <v>4</v>
      </c>
      <c r="E4096" s="89" t="s">
        <v>341</v>
      </c>
      <c r="F4096" s="89">
        <f>IF(E4096="AM",1,(IF(E4096="BE",2,(IF(E4096="GV",3,(IF(E4096="RA",4,(IF(E4096="RM",5,(IF(E4096="AC",1,(IF(E4096="AT",2,(IF(E4096="DS",3,(IF(E4096="IP",4,(IF(E4096="MA",5,(IF(E4096="PT",6,(IF(E4096="AE",1,(IF(E4096="CM",2,(IF(E4096="DP",3,(IF(E4096="AN",1,(IF(E4096="CO",2,(IF(E4096="IM",3,(IF(E4096="MI",4,(IF(E4096="RP",5,(IF(E4096="SC",6,0)))))))))))))))))))))))))))))))))))))))</f>
        <v>2</v>
      </c>
      <c r="G4096" s="98">
        <v>1</v>
      </c>
      <c r="H4096" s="90" t="s">
        <v>115</v>
      </c>
      <c r="I4096" s="94" t="s">
        <v>52</v>
      </c>
      <c r="J4096" s="88" t="s">
        <v>3303</v>
      </c>
      <c r="K4096" s="103" t="s">
        <v>3304</v>
      </c>
      <c r="L4096" s="117">
        <f>IF(O4096="","",N4096*O4096*M4096)</f>
        <v>0</v>
      </c>
      <c r="M4096" s="108">
        <v>1</v>
      </c>
      <c r="N4096" s="95">
        <v>1</v>
      </c>
      <c r="O4096" s="109">
        <f>IF(Key!D$1="ON",P4096,IF(SUM(Q4096:DL4096)&lt;1,"",SUM(Q4096:DL4096)/COUNTIF(Q4096:DL4096,"&gt;0")))</f>
        <v>0</v>
      </c>
      <c r="P4096" s="109">
        <f>SUMIFS(Q4096:DK4096,Q$1:DK$1,Dashboard!$K$31)</f>
        <v>0</v>
      </c>
      <c r="U4096" s="95">
        <v>33</v>
      </c>
      <c r="AA4096" s="95">
        <v>25</v>
      </c>
      <c r="AH4096" s="95">
        <v>75</v>
      </c>
    </row>
    <row r="4097" spans="1:34" x14ac:dyDescent="0.3">
      <c r="A4097" s="89" t="str">
        <f>CONCATENATE(D4097,".",F4097,"-",G4097,".",H4097,"")</f>
        <v>4.2-1.1</v>
      </c>
      <c r="B4097" s="89" t="str">
        <f>IF(CONCATENATE(I4097,Key!F$2)=CONCATENATE(INDEX(Dashboard!J:J,MATCH(I4097,Dashboard!J:J,0),1),INDEX(Dashboard!J:K,MATCH(I4097,Dashboard!J:J,0),2)),"ON",IF(Dashboard!K$32="ALL","ON","-"))</f>
        <v>-</v>
      </c>
      <c r="C4097" s="88" t="s">
        <v>329</v>
      </c>
      <c r="D4097" s="89">
        <f>IF(C4097="ID",1,(IF(C4097="PR",2,(IF(C4097="DE",3,(IF(C4097="RS",4,(IF(C4097="RC",5,0)))))))))</f>
        <v>4</v>
      </c>
      <c r="E4097" s="89" t="s">
        <v>341</v>
      </c>
      <c r="F4097" s="89">
        <f>IF(E4097="AM",1,(IF(E4097="BE",2,(IF(E4097="GV",3,(IF(E4097="RA",4,(IF(E4097="RM",5,(IF(E4097="AC",1,(IF(E4097="AT",2,(IF(E4097="DS",3,(IF(E4097="IP",4,(IF(E4097="MA",5,(IF(E4097="PT",6,(IF(E4097="AE",1,(IF(E4097="CM",2,(IF(E4097="DP",3,(IF(E4097="AN",1,(IF(E4097="CO",2,(IF(E4097="IM",3,(IF(E4097="MI",4,(IF(E4097="RP",5,(IF(E4097="SC",6,0)))))))))))))))))))))))))))))))))))))))</f>
        <v>2</v>
      </c>
      <c r="G4097" s="52">
        <v>1</v>
      </c>
      <c r="H4097" s="90" t="s">
        <v>115</v>
      </c>
      <c r="I4097" s="94" t="s">
        <v>60</v>
      </c>
      <c r="J4097" s="87" t="s">
        <v>3273</v>
      </c>
      <c r="K4097" s="51" t="s">
        <v>5386</v>
      </c>
      <c r="L4097" s="117">
        <f>IF(O4097="","",N4097*O4097*M4097)</f>
        <v>0</v>
      </c>
      <c r="M4097" s="108">
        <v>1</v>
      </c>
      <c r="N4097" s="95">
        <v>1</v>
      </c>
      <c r="O4097" s="109">
        <f>IF(Key!D$1="ON",P4097,IF(SUM(Q4097:DL4097)&lt;1,"",SUM(Q4097:DL4097)/COUNTIF(Q4097:DL4097,"&gt;0")))</f>
        <v>0</v>
      </c>
      <c r="P4097" s="109">
        <f>SUMIFS(Q4097:DK4097,Q$1:DK$1,Dashboard!$K$31)</f>
        <v>0</v>
      </c>
      <c r="U4097" s="95">
        <v>33</v>
      </c>
      <c r="AA4097" s="95">
        <v>25</v>
      </c>
      <c r="AH4097" s="95">
        <v>75</v>
      </c>
    </row>
    <row r="4098" spans="1:34" x14ac:dyDescent="0.3">
      <c r="A4098" s="89" t="str">
        <f>CONCATENATE(D4098,".",F4098,"-",G4098,".",H4098,"")</f>
        <v>4.2-1.1</v>
      </c>
      <c r="B4098" s="89" t="str">
        <f>IF(CONCATENATE(I4098,Key!F$2)=CONCATENATE(INDEX(Dashboard!J:J,MATCH(I4098,Dashboard!J:J,0),1),INDEX(Dashboard!J:K,MATCH(I4098,Dashboard!J:J,0),2)),"ON",IF(Dashboard!K$32="ALL","ON","-"))</f>
        <v>-</v>
      </c>
      <c r="C4098" s="88" t="s">
        <v>329</v>
      </c>
      <c r="D4098" s="89">
        <f>IF(C4098="ID",1,(IF(C4098="PR",2,(IF(C4098="DE",3,(IF(C4098="RS",4,(IF(C4098="RC",5,0)))))))))</f>
        <v>4</v>
      </c>
      <c r="E4098" s="89" t="s">
        <v>341</v>
      </c>
      <c r="F4098" s="89">
        <f>IF(E4098="AM",1,(IF(E4098="BE",2,(IF(E4098="GV",3,(IF(E4098="RA",4,(IF(E4098="RM",5,(IF(E4098="AC",1,(IF(E4098="AT",2,(IF(E4098="DS",3,(IF(E4098="IP",4,(IF(E4098="MA",5,(IF(E4098="PT",6,(IF(E4098="AE",1,(IF(E4098="CM",2,(IF(E4098="DP",3,(IF(E4098="AN",1,(IF(E4098="CO",2,(IF(E4098="IM",3,(IF(E4098="MI",4,(IF(E4098="RP",5,(IF(E4098="SC",6,0)))))))))))))))))))))))))))))))))))))))</f>
        <v>2</v>
      </c>
      <c r="G4098" s="52">
        <v>1</v>
      </c>
      <c r="H4098" s="90" t="s">
        <v>115</v>
      </c>
      <c r="I4098" s="94" t="s">
        <v>60</v>
      </c>
      <c r="J4098" s="87" t="s">
        <v>3128</v>
      </c>
      <c r="K4098" s="51" t="s">
        <v>5241</v>
      </c>
      <c r="L4098" s="117">
        <f>IF(O4098="","",N4098*O4098*M4098)</f>
        <v>0</v>
      </c>
      <c r="M4098" s="108">
        <v>1</v>
      </c>
      <c r="N4098" s="95">
        <v>1</v>
      </c>
      <c r="O4098" s="109">
        <f>IF(Key!D$1="ON",P4098,IF(SUM(Q4098:DL4098)&lt;1,"",SUM(Q4098:DL4098)/COUNTIF(Q4098:DL4098,"&gt;0")))</f>
        <v>0</v>
      </c>
      <c r="P4098" s="109">
        <f>SUMIFS(Q4098:DK4098,Q$1:DK$1,Dashboard!$K$31)</f>
        <v>0</v>
      </c>
      <c r="U4098" s="95">
        <v>33</v>
      </c>
      <c r="AA4098" s="95">
        <v>25</v>
      </c>
      <c r="AH4098" s="95">
        <v>75</v>
      </c>
    </row>
    <row r="4099" spans="1:34" x14ac:dyDescent="0.3">
      <c r="A4099" s="89" t="str">
        <f>CONCATENATE(D4099,".",F4099,"-",G4099,".",H4099,"")</f>
        <v>4.2-1.1</v>
      </c>
      <c r="B4099" s="89" t="str">
        <f>IF(CONCATENATE(I4099,Key!F$2)=CONCATENATE(INDEX(Dashboard!J:J,MATCH(I4099,Dashboard!J:J,0),1),INDEX(Dashboard!J:K,MATCH(I4099,Dashboard!J:J,0),2)),"ON",IF(Dashboard!K$32="ALL","ON","-"))</f>
        <v>-</v>
      </c>
      <c r="C4099" s="88" t="s">
        <v>329</v>
      </c>
      <c r="D4099" s="89">
        <f>IF(C4099="ID",1,(IF(C4099="PR",2,(IF(C4099="DE",3,(IF(C4099="RS",4,(IF(C4099="RC",5,0)))))))))</f>
        <v>4</v>
      </c>
      <c r="E4099" s="89" t="s">
        <v>341</v>
      </c>
      <c r="F4099" s="89">
        <f>IF(E4099="AM",1,(IF(E4099="BE",2,(IF(E4099="GV",3,(IF(E4099="RA",4,(IF(E4099="RM",5,(IF(E4099="AC",1,(IF(E4099="AT",2,(IF(E4099="DS",3,(IF(E4099="IP",4,(IF(E4099="MA",5,(IF(E4099="PT",6,(IF(E4099="AE",1,(IF(E4099="CM",2,(IF(E4099="DP",3,(IF(E4099="AN",1,(IF(E4099="CO",2,(IF(E4099="IM",3,(IF(E4099="MI",4,(IF(E4099="RP",5,(IF(E4099="SC",6,0)))))))))))))))))))))))))))))))))))))))</f>
        <v>2</v>
      </c>
      <c r="G4099" s="52">
        <v>1</v>
      </c>
      <c r="H4099" s="90" t="s">
        <v>115</v>
      </c>
      <c r="I4099" s="94" t="s">
        <v>60</v>
      </c>
      <c r="J4099" s="87" t="s">
        <v>3278</v>
      </c>
      <c r="K4099" s="51" t="s">
        <v>5391</v>
      </c>
      <c r="L4099" s="117">
        <f>IF(O4099="","",N4099*O4099*M4099)</f>
        <v>0</v>
      </c>
      <c r="M4099" s="108">
        <v>1</v>
      </c>
      <c r="N4099" s="95">
        <v>1</v>
      </c>
      <c r="O4099" s="109">
        <f>IF(Key!D$1="ON",P4099,IF(SUM(Q4099:DL4099)&lt;1,"",SUM(Q4099:DL4099)/COUNTIF(Q4099:DL4099,"&gt;0")))</f>
        <v>0</v>
      </c>
      <c r="P4099" s="109">
        <f>SUMIFS(Q4099:DK4099,Q$1:DK$1,Dashboard!$K$31)</f>
        <v>0</v>
      </c>
      <c r="U4099" s="95">
        <v>33</v>
      </c>
      <c r="AA4099" s="95">
        <v>25</v>
      </c>
      <c r="AH4099" s="95">
        <v>75</v>
      </c>
    </row>
    <row r="4100" spans="1:34" x14ac:dyDescent="0.3">
      <c r="A4100" s="89" t="str">
        <f>CONCATENATE(D4100,".",F4100,"-",G4100,".",H4100,"")</f>
        <v>4.2-1.1</v>
      </c>
      <c r="B4100" s="89" t="str">
        <f>IF(CONCATENATE(I4100,Key!F$2)=CONCATENATE(INDEX(Dashboard!J:J,MATCH(I4100,Dashboard!J:J,0),1),INDEX(Dashboard!J:K,MATCH(I4100,Dashboard!J:J,0),2)),"ON",IF(Dashboard!K$32="ALL","ON","-"))</f>
        <v>-</v>
      </c>
      <c r="C4100" s="88" t="s">
        <v>329</v>
      </c>
      <c r="D4100" s="89">
        <f>IF(C4100="ID",1,(IF(C4100="PR",2,(IF(C4100="DE",3,(IF(C4100="RS",4,(IF(C4100="RC",5,0)))))))))</f>
        <v>4</v>
      </c>
      <c r="E4100" s="89" t="s">
        <v>341</v>
      </c>
      <c r="F4100" s="89">
        <f>IF(E4100="AM",1,(IF(E4100="BE",2,(IF(E4100="GV",3,(IF(E4100="RA",4,(IF(E4100="RM",5,(IF(E4100="AC",1,(IF(E4100="AT",2,(IF(E4100="DS",3,(IF(E4100="IP",4,(IF(E4100="MA",5,(IF(E4100="PT",6,(IF(E4100="AE",1,(IF(E4100="CM",2,(IF(E4100="DP",3,(IF(E4100="AN",1,(IF(E4100="CO",2,(IF(E4100="IM",3,(IF(E4100="MI",4,(IF(E4100="RP",5,(IF(E4100="SC",6,0)))))))))))))))))))))))))))))))))))))))</f>
        <v>2</v>
      </c>
      <c r="G4100" s="52">
        <v>1</v>
      </c>
      <c r="H4100" s="90" t="s">
        <v>115</v>
      </c>
      <c r="I4100" s="94" t="s">
        <v>73</v>
      </c>
      <c r="J4100" s="86" t="s">
        <v>297</v>
      </c>
      <c r="K4100" s="101" t="s">
        <v>4177</v>
      </c>
      <c r="L4100" s="117">
        <f>IF(O4100="","",N4100*O4100*M4100)</f>
        <v>0</v>
      </c>
      <c r="M4100" s="108">
        <v>1</v>
      </c>
      <c r="N4100" s="95">
        <v>1</v>
      </c>
      <c r="O4100" s="109">
        <f>IF(Key!D$1="ON",P4100,IF(SUM(Q4100:DL4100)&lt;1,"",SUM(Q4100:DL4100)/COUNTIF(Q4100:DL4100,"&gt;0")))</f>
        <v>0</v>
      </c>
      <c r="P4100" s="109">
        <f>SUMIFS(Q4100:DK4100,Q$1:DK$1,Dashboard!$K$31)</f>
        <v>0</v>
      </c>
      <c r="U4100" s="95">
        <v>33</v>
      </c>
      <c r="AA4100" s="95">
        <v>25</v>
      </c>
      <c r="AH4100" s="95">
        <v>75</v>
      </c>
    </row>
    <row r="4101" spans="1:34" x14ac:dyDescent="0.3">
      <c r="A4101" s="89" t="str">
        <f>CONCATENATE(D4101,".",F4101,"-",G4101,".",H4101,"")</f>
        <v>4.2-1.1</v>
      </c>
      <c r="B4101" s="89" t="str">
        <f>IF(CONCATENATE(I4101,Key!F$2)=CONCATENATE(INDEX(Dashboard!J:J,MATCH(I4101,Dashboard!J:J,0),1),INDEX(Dashboard!J:K,MATCH(I4101,Dashboard!J:J,0),2)),"ON",IF(Dashboard!K$32="ALL","ON","-"))</f>
        <v>-</v>
      </c>
      <c r="C4101" s="96" t="s">
        <v>329</v>
      </c>
      <c r="D4101" s="89">
        <f>IF(C4101="ID",1,(IF(C4101="PR",2,(IF(C4101="DE",3,(IF(C4101="RS",4,(IF(C4101="RC",5,0)))))))))</f>
        <v>4</v>
      </c>
      <c r="E4101" s="89" t="s">
        <v>341</v>
      </c>
      <c r="F4101" s="89">
        <f>IF(E4101="AM",1,(IF(E4101="BE",2,(IF(E4101="GV",3,(IF(E4101="RA",4,(IF(E4101="RM",5,(IF(E4101="AC",1,(IF(E4101="AT",2,(IF(E4101="DS",3,(IF(E4101="IP",4,(IF(E4101="MA",5,(IF(E4101="PT",6,(IF(E4101="AE",1,(IF(E4101="CM",2,(IF(E4101="DP",3,(IF(E4101="AN",1,(IF(E4101="CO",2,(IF(E4101="IM",3,(IF(E4101="MI",4,(IF(E4101="RP",5,(IF(E4101="SC",6,0)))))))))))))))))))))))))))))))))))))))</f>
        <v>2</v>
      </c>
      <c r="G4101" s="98">
        <v>1</v>
      </c>
      <c r="H4101" s="90" t="s">
        <v>115</v>
      </c>
      <c r="I4101" s="94" t="s">
        <v>77</v>
      </c>
      <c r="J4101" s="87" t="s">
        <v>1893</v>
      </c>
      <c r="K4101" s="102" t="s">
        <v>2793</v>
      </c>
      <c r="L4101" s="117">
        <f>IF(O4101="","",N4101*O4101*M4101)</f>
        <v>0</v>
      </c>
      <c r="M4101" s="108">
        <v>0.9</v>
      </c>
      <c r="N4101" s="95">
        <v>1</v>
      </c>
      <c r="O4101" s="109">
        <f>IF(Key!D$1="ON",P4101,IF(SUM(Q4101:DL4101)&lt;1,"",SUM(Q4101:DL4101)/COUNTIF(Q4101:DL4101,"&gt;0")))</f>
        <v>0</v>
      </c>
      <c r="P4101" s="109">
        <f>SUMIFS(Q4101:DK4101,Q$1:DK$1,Dashboard!$K$31)</f>
        <v>0</v>
      </c>
      <c r="S4101" s="95">
        <v>25</v>
      </c>
      <c r="T4101" s="95">
        <v>80</v>
      </c>
      <c r="U4101" s="95">
        <v>33</v>
      </c>
      <c r="AA4101" s="95">
        <v>25</v>
      </c>
      <c r="AH4101" s="95">
        <v>75</v>
      </c>
    </row>
    <row r="4102" spans="1:34" x14ac:dyDescent="0.3">
      <c r="A4102" s="89" t="str">
        <f>CONCATENATE(D4102,".",F4102,"-",G4102,".",H4102,"")</f>
        <v>4.2-1.1</v>
      </c>
      <c r="B4102" s="89" t="str">
        <f>IF(CONCATENATE(I4102,Key!F$2)=CONCATENATE(INDEX(Dashboard!J:J,MATCH(I4102,Dashboard!J:J,0),1),INDEX(Dashboard!J:K,MATCH(I4102,Dashboard!J:J,0),2)),"ON",IF(Dashboard!K$32="ALL","ON","-"))</f>
        <v>-</v>
      </c>
      <c r="C4102" s="88" t="s">
        <v>329</v>
      </c>
      <c r="D4102" s="89">
        <f>IF(C4102="ID",1,(IF(C4102="PR",2,(IF(C4102="DE",3,(IF(C4102="RS",4,(IF(C4102="RC",5,0)))))))))</f>
        <v>4</v>
      </c>
      <c r="E4102" s="89" t="s">
        <v>341</v>
      </c>
      <c r="F4102" s="89">
        <f>IF(E4102="AM",1,(IF(E4102="BE",2,(IF(E4102="GV",3,(IF(E4102="RA",4,(IF(E4102="RM",5,(IF(E4102="AC",1,(IF(E4102="AT",2,(IF(E4102="DS",3,(IF(E4102="IP",4,(IF(E4102="MA",5,(IF(E4102="PT",6,(IF(E4102="AE",1,(IF(E4102="CM",2,(IF(E4102="DP",3,(IF(E4102="AN",1,(IF(E4102="CO",2,(IF(E4102="IM",3,(IF(E4102="MI",4,(IF(E4102="RP",5,(IF(E4102="SC",6,0)))))))))))))))))))))))))))))))))))))))</f>
        <v>2</v>
      </c>
      <c r="G4102" s="52">
        <v>1</v>
      </c>
      <c r="H4102" s="90" t="s">
        <v>115</v>
      </c>
      <c r="I4102" s="94" t="s">
        <v>77</v>
      </c>
      <c r="J4102" s="87" t="s">
        <v>1895</v>
      </c>
      <c r="K4102" s="102" t="s">
        <v>2794</v>
      </c>
      <c r="L4102" s="117">
        <f>IF(O4102="","",N4102*O4102*M4102)</f>
        <v>0</v>
      </c>
      <c r="M4102" s="108">
        <v>0.9</v>
      </c>
      <c r="N4102" s="95">
        <v>1</v>
      </c>
      <c r="O4102" s="109">
        <f>IF(Key!D$1="ON",P4102,IF(SUM(Q4102:DL4102)&lt;1,"",SUM(Q4102:DL4102)/COUNTIF(Q4102:DL4102,"&gt;0")))</f>
        <v>0</v>
      </c>
      <c r="P4102" s="109">
        <f>SUMIFS(Q4102:DK4102,Q$1:DK$1,Dashboard!$K$31)</f>
        <v>0</v>
      </c>
      <c r="S4102" s="95">
        <v>25</v>
      </c>
      <c r="T4102" s="95">
        <v>80</v>
      </c>
      <c r="U4102" s="95">
        <v>33</v>
      </c>
      <c r="AA4102" s="95">
        <v>25</v>
      </c>
      <c r="AH4102" s="95">
        <v>75</v>
      </c>
    </row>
    <row r="4103" spans="1:34" x14ac:dyDescent="0.3">
      <c r="A4103" s="89" t="str">
        <f>CONCATENATE(D4103,".",F4103,"-",G4103,".",H4103,"")</f>
        <v>4.2-1.1</v>
      </c>
      <c r="B4103" s="89" t="str">
        <f>IF(CONCATENATE(I4103,Key!F$2)=CONCATENATE(INDEX(Dashboard!J:J,MATCH(I4103,Dashboard!J:J,0),1),INDEX(Dashboard!J:K,MATCH(I4103,Dashboard!J:J,0),2)),"ON",IF(Dashboard!K$32="ALL","ON","-"))</f>
        <v>-</v>
      </c>
      <c r="C4103" s="88" t="s">
        <v>329</v>
      </c>
      <c r="D4103" s="89">
        <f>IF(C4103="ID",1,(IF(C4103="PR",2,(IF(C4103="DE",3,(IF(C4103="RS",4,(IF(C4103="RC",5,0)))))))))</f>
        <v>4</v>
      </c>
      <c r="E4103" s="89" t="s">
        <v>341</v>
      </c>
      <c r="F4103" s="89">
        <f>IF(E4103="AM",1,(IF(E4103="BE",2,(IF(E4103="GV",3,(IF(E4103="RA",4,(IF(E4103="RM",5,(IF(E4103="AC",1,(IF(E4103="AT",2,(IF(E4103="DS",3,(IF(E4103="IP",4,(IF(E4103="MA",5,(IF(E4103="PT",6,(IF(E4103="AE",1,(IF(E4103="CM",2,(IF(E4103="DP",3,(IF(E4103="AN",1,(IF(E4103="CO",2,(IF(E4103="IM",3,(IF(E4103="MI",4,(IF(E4103="RP",5,(IF(E4103="SC",6,0)))))))))))))))))))))))))))))))))))))))</f>
        <v>2</v>
      </c>
      <c r="G4103" s="52">
        <v>1</v>
      </c>
      <c r="H4103" s="90" t="s">
        <v>115</v>
      </c>
      <c r="I4103" s="94" t="s">
        <v>77</v>
      </c>
      <c r="J4103" s="87" t="s">
        <v>1896</v>
      </c>
      <c r="K4103" s="102" t="s">
        <v>2795</v>
      </c>
      <c r="L4103" s="117">
        <f>IF(O4103="","",N4103*O4103*M4103)</f>
        <v>0</v>
      </c>
      <c r="M4103" s="108">
        <v>0.9</v>
      </c>
      <c r="N4103" s="95">
        <v>1</v>
      </c>
      <c r="O4103" s="109">
        <f>IF(Key!D$1="ON",P4103,IF(SUM(Q4103:DL4103)&lt;1,"",SUM(Q4103:DL4103)/COUNTIF(Q4103:DL4103,"&gt;0")))</f>
        <v>0</v>
      </c>
      <c r="P4103" s="109">
        <f>SUMIFS(Q4103:DK4103,Q$1:DK$1,Dashboard!$K$31)</f>
        <v>0</v>
      </c>
      <c r="S4103" s="95">
        <v>25</v>
      </c>
      <c r="T4103" s="95">
        <v>80</v>
      </c>
      <c r="U4103" s="95">
        <v>33</v>
      </c>
      <c r="AA4103" s="95">
        <v>25</v>
      </c>
      <c r="AH4103" s="95">
        <v>75</v>
      </c>
    </row>
    <row r="4104" spans="1:34" x14ac:dyDescent="0.3">
      <c r="A4104" s="89" t="str">
        <f>CONCATENATE(D4104,".",F4104,"-",G4104,".",H4104,"")</f>
        <v>4.2-1.1</v>
      </c>
      <c r="B4104" s="89" t="str">
        <f>IF(CONCATENATE(I4104,Key!F$2)=CONCATENATE(INDEX(Dashboard!J:J,MATCH(I4104,Dashboard!J:J,0),1),INDEX(Dashboard!J:K,MATCH(I4104,Dashboard!J:J,0),2)),"ON",IF(Dashboard!K$32="ALL","ON","-"))</f>
        <v>-</v>
      </c>
      <c r="C4104" s="88" t="s">
        <v>329</v>
      </c>
      <c r="D4104" s="89">
        <f>IF(C4104="ID",1,(IF(C4104="PR",2,(IF(C4104="DE",3,(IF(C4104="RS",4,(IF(C4104="RC",5,0)))))))))</f>
        <v>4</v>
      </c>
      <c r="E4104" s="89" t="s">
        <v>341</v>
      </c>
      <c r="F4104" s="89">
        <f>IF(E4104="AM",1,(IF(E4104="BE",2,(IF(E4104="GV",3,(IF(E4104="RA",4,(IF(E4104="RM",5,(IF(E4104="AC",1,(IF(E4104="AT",2,(IF(E4104="DS",3,(IF(E4104="IP",4,(IF(E4104="MA",5,(IF(E4104="PT",6,(IF(E4104="AE",1,(IF(E4104="CM",2,(IF(E4104="DP",3,(IF(E4104="AN",1,(IF(E4104="CO",2,(IF(E4104="IM",3,(IF(E4104="MI",4,(IF(E4104="RP",5,(IF(E4104="SC",6,0)))))))))))))))))))))))))))))))))))))))</f>
        <v>2</v>
      </c>
      <c r="G4104" s="98">
        <v>1</v>
      </c>
      <c r="H4104" s="90" t="s">
        <v>115</v>
      </c>
      <c r="I4104" s="94" t="s">
        <v>81</v>
      </c>
      <c r="J4104" s="129" t="s">
        <v>1986</v>
      </c>
      <c r="K4104" s="103" t="s">
        <v>1987</v>
      </c>
      <c r="L4104" s="117">
        <f>IF(O4104="","",N4104*O4104*M4104)</f>
        <v>0</v>
      </c>
      <c r="M4104" s="108">
        <v>1</v>
      </c>
      <c r="N4104" s="95">
        <v>1</v>
      </c>
      <c r="O4104" s="109">
        <f>IF(Key!D$1="ON",P4104,IF(SUM(Q4104:DL4104)&lt;1,"",SUM(Q4104:DL4104)/COUNTIF(Q4104:DL4104,"&gt;0")))</f>
        <v>0</v>
      </c>
      <c r="P4104" s="109">
        <f>SUMIFS(Q4104:DK4104,Q$1:DK$1,Dashboard!$K$31)</f>
        <v>0</v>
      </c>
      <c r="U4104" s="95">
        <v>33</v>
      </c>
      <c r="AA4104" s="95">
        <v>25</v>
      </c>
      <c r="AH4104" s="95">
        <v>75</v>
      </c>
    </row>
    <row r="4105" spans="1:34" x14ac:dyDescent="0.3">
      <c r="A4105" s="89" t="str">
        <f>CONCATENATE(D4105,".",F4105,"-",G4105,".",H4105,"")</f>
        <v>4.2-1.1</v>
      </c>
      <c r="B4105" s="89" t="str">
        <f>IF(CONCATENATE(I4105,Key!F$2)=CONCATENATE(INDEX(Dashboard!J:J,MATCH(I4105,Dashboard!J:J,0),1),INDEX(Dashboard!J:K,MATCH(I4105,Dashboard!J:J,0),2)),"ON",IF(Dashboard!K$32="ALL","ON","-"))</f>
        <v>-</v>
      </c>
      <c r="C4105" s="88" t="s">
        <v>329</v>
      </c>
      <c r="D4105" s="89">
        <f>IF(C4105="ID",1,(IF(C4105="PR",2,(IF(C4105="DE",3,(IF(C4105="RS",4,(IF(C4105="RC",5,0)))))))))</f>
        <v>4</v>
      </c>
      <c r="E4105" s="89" t="s">
        <v>341</v>
      </c>
      <c r="F4105" s="89">
        <f>IF(E4105="AM",1,(IF(E4105="BE",2,(IF(E4105="GV",3,(IF(E4105="RA",4,(IF(E4105="RM",5,(IF(E4105="AC",1,(IF(E4105="AT",2,(IF(E4105="DS",3,(IF(E4105="IP",4,(IF(E4105="MA",5,(IF(E4105="PT",6,(IF(E4105="AE",1,(IF(E4105="CM",2,(IF(E4105="DP",3,(IF(E4105="AN",1,(IF(E4105="CO",2,(IF(E4105="IM",3,(IF(E4105="MI",4,(IF(E4105="RP",5,(IF(E4105="SC",6,0)))))))))))))))))))))))))))))))))))))))</f>
        <v>2</v>
      </c>
      <c r="G4105" s="98">
        <v>1</v>
      </c>
      <c r="H4105" s="90" t="s">
        <v>115</v>
      </c>
      <c r="I4105" s="94" t="s">
        <v>85</v>
      </c>
      <c r="J4105" s="86" t="s">
        <v>1006</v>
      </c>
      <c r="K4105" s="119" t="s">
        <v>1007</v>
      </c>
      <c r="L4105" s="117">
        <f>IF(O4105="","",N4105*O4105*M4105)</f>
        <v>0</v>
      </c>
      <c r="M4105" s="108">
        <v>1</v>
      </c>
      <c r="N4105" s="95">
        <v>1</v>
      </c>
      <c r="O4105" s="109">
        <f>IF(Key!D$1="ON",P4105,IF(SUM(Q4105:DL4105)&lt;1,"",SUM(Q4105:DL4105)/COUNTIF(Q4105:DL4105,"&gt;0")))</f>
        <v>0</v>
      </c>
      <c r="P4105" s="109">
        <f>SUMIFS(Q4105:DK4105,Q$1:DK$1,Dashboard!$K$31)</f>
        <v>0</v>
      </c>
      <c r="U4105" s="95">
        <v>33</v>
      </c>
      <c r="AA4105" s="95">
        <v>25</v>
      </c>
      <c r="AH4105" s="95">
        <v>75</v>
      </c>
    </row>
    <row r="4106" spans="1:34" x14ac:dyDescent="0.3">
      <c r="A4106" s="89" t="str">
        <f>CONCATENATE(D4106,".",F4106,"-",G4106,".",H4106,"")</f>
        <v>4.2-1.1</v>
      </c>
      <c r="B4106" s="89" t="str">
        <f>IF(CONCATENATE(I4106,Key!F$2)=CONCATENATE(INDEX(Dashboard!J:J,MATCH(I4106,Dashboard!J:J,0),1),INDEX(Dashboard!J:K,MATCH(I4106,Dashboard!J:J,0),2)),"ON",IF(Dashboard!K$32="ALL","ON","-"))</f>
        <v>-</v>
      </c>
      <c r="C4106" s="96" t="s">
        <v>329</v>
      </c>
      <c r="D4106" s="89">
        <f>IF(C4106="ID",1,(IF(C4106="PR",2,(IF(C4106="DE",3,(IF(C4106="RS",4,(IF(C4106="RC",5,0)))))))))</f>
        <v>4</v>
      </c>
      <c r="E4106" s="89" t="s">
        <v>341</v>
      </c>
      <c r="F4106" s="89">
        <f>IF(E4106="AM",1,(IF(E4106="BE",2,(IF(E4106="GV",3,(IF(E4106="RA",4,(IF(E4106="RM",5,(IF(E4106="AC",1,(IF(E4106="AT",2,(IF(E4106="DS",3,(IF(E4106="IP",4,(IF(E4106="MA",5,(IF(E4106="PT",6,(IF(E4106="AE",1,(IF(E4106="CM",2,(IF(E4106="DP",3,(IF(E4106="AN",1,(IF(E4106="CO",2,(IF(E4106="IM",3,(IF(E4106="MI",4,(IF(E4106="RP",5,(IF(E4106="SC",6,0)))))))))))))))))))))))))))))))))))))))</f>
        <v>2</v>
      </c>
      <c r="G4106" s="98">
        <v>1</v>
      </c>
      <c r="H4106" s="90" t="s">
        <v>115</v>
      </c>
      <c r="I4106" s="94" t="s">
        <v>85</v>
      </c>
      <c r="J4106" s="87" t="s">
        <v>1893</v>
      </c>
      <c r="K4106" s="119" t="s">
        <v>1894</v>
      </c>
      <c r="L4106" s="117">
        <f>IF(O4106="","",N4106*O4106*M4106)</f>
        <v>0</v>
      </c>
      <c r="M4106" s="108">
        <v>0.9</v>
      </c>
      <c r="N4106" s="95">
        <v>1</v>
      </c>
      <c r="O4106" s="109">
        <f>IF(Key!D$1="ON",P4106,IF(SUM(Q4106:DL4106)&lt;1,"",SUM(Q4106:DL4106)/COUNTIF(Q4106:DL4106,"&gt;0")))</f>
        <v>0</v>
      </c>
      <c r="P4106" s="109">
        <f>SUMIFS(Q4106:DK4106,Q$1:DK$1,Dashboard!$K$31)</f>
        <v>0</v>
      </c>
      <c r="S4106" s="95">
        <v>25</v>
      </c>
      <c r="T4106" s="95">
        <v>80</v>
      </c>
      <c r="U4106" s="95">
        <v>33</v>
      </c>
      <c r="AA4106" s="95">
        <v>25</v>
      </c>
      <c r="AH4106" s="95">
        <v>75</v>
      </c>
    </row>
    <row r="4107" spans="1:34" x14ac:dyDescent="0.3">
      <c r="A4107" s="89" t="str">
        <f>CONCATENATE(D4107,".",F4107,"-",G4107,".",H4107,"")</f>
        <v>4.2-1.1</v>
      </c>
      <c r="B4107" s="89" t="str">
        <f>IF(CONCATENATE(I4107,Key!F$2)=CONCATENATE(INDEX(Dashboard!J:J,MATCH(I4107,Dashboard!J:J,0),1),INDEX(Dashboard!J:K,MATCH(I4107,Dashboard!J:J,0),2)),"ON",IF(Dashboard!K$32="ALL","ON","-"))</f>
        <v>-</v>
      </c>
      <c r="C4107" s="88" t="s">
        <v>329</v>
      </c>
      <c r="D4107" s="89">
        <f>IF(C4107="ID",1,(IF(C4107="PR",2,(IF(C4107="DE",3,(IF(C4107="RS",4,(IF(C4107="RC",5,0)))))))))</f>
        <v>4</v>
      </c>
      <c r="E4107" s="89" t="s">
        <v>341</v>
      </c>
      <c r="F4107" s="89">
        <f>IF(E4107="AM",1,(IF(E4107="BE",2,(IF(E4107="GV",3,(IF(E4107="RA",4,(IF(E4107="RM",5,(IF(E4107="AC",1,(IF(E4107="AT",2,(IF(E4107="DS",3,(IF(E4107="IP",4,(IF(E4107="MA",5,(IF(E4107="PT",6,(IF(E4107="AE",1,(IF(E4107="CM",2,(IF(E4107="DP",3,(IF(E4107="AN",1,(IF(E4107="CO",2,(IF(E4107="IM",3,(IF(E4107="MI",4,(IF(E4107="RP",5,(IF(E4107="SC",6,0)))))))))))))))))))))))))))))))))))))))</f>
        <v>2</v>
      </c>
      <c r="G4107" s="52">
        <v>1</v>
      </c>
      <c r="H4107" s="90" t="s">
        <v>115</v>
      </c>
      <c r="I4107" s="94" t="s">
        <v>85</v>
      </c>
      <c r="J4107" s="86" t="s">
        <v>699</v>
      </c>
      <c r="K4107" s="119" t="s">
        <v>4800</v>
      </c>
      <c r="L4107" s="117">
        <f>IF(O4107="","",N4107*O4107*M4107)</f>
        <v>0</v>
      </c>
      <c r="M4107" s="108">
        <v>1</v>
      </c>
      <c r="N4107" s="95">
        <v>1</v>
      </c>
      <c r="O4107" s="109">
        <f>IF(Key!D$1="ON",P4107,IF(SUM(Q4107:DL4107)&lt;1,"",SUM(Q4107:DL4107)/COUNTIF(Q4107:DL4107,"&gt;0")))</f>
        <v>0</v>
      </c>
      <c r="P4107" s="109">
        <f>SUMIFS(Q4107:DK4107,Q$1:DK$1,Dashboard!$K$31)</f>
        <v>0</v>
      </c>
      <c r="U4107" s="95">
        <v>33</v>
      </c>
      <c r="AA4107" s="95">
        <v>25</v>
      </c>
      <c r="AH4107" s="95">
        <v>75</v>
      </c>
    </row>
    <row r="4108" spans="1:34" x14ac:dyDescent="0.3">
      <c r="A4108" s="89" t="str">
        <f>CONCATENATE(D4108,".",F4108,"-",G4108,".",H4108,"")</f>
        <v>4.2-1.1</v>
      </c>
      <c r="B4108" s="89" t="str">
        <f>IF(CONCATENATE(I4108,Key!F$2)=CONCATENATE(INDEX(Dashboard!J:J,MATCH(I4108,Dashboard!J:J,0),1),INDEX(Dashboard!J:K,MATCH(I4108,Dashboard!J:J,0),2)),"ON",IF(Dashboard!K$32="ALL","ON","-"))</f>
        <v>-</v>
      </c>
      <c r="C4108" s="88" t="s">
        <v>329</v>
      </c>
      <c r="D4108" s="89">
        <f>IF(C4108="ID",1,(IF(C4108="PR",2,(IF(C4108="DE",3,(IF(C4108="RS",4,(IF(C4108="RC",5,0)))))))))</f>
        <v>4</v>
      </c>
      <c r="E4108" s="89" t="s">
        <v>341</v>
      </c>
      <c r="F4108" s="89">
        <f>IF(E4108="AM",1,(IF(E4108="BE",2,(IF(E4108="GV",3,(IF(E4108="RA",4,(IF(E4108="RM",5,(IF(E4108="AC",1,(IF(E4108="AT",2,(IF(E4108="DS",3,(IF(E4108="IP",4,(IF(E4108="MA",5,(IF(E4108="PT",6,(IF(E4108="AE",1,(IF(E4108="CM",2,(IF(E4108="DP",3,(IF(E4108="AN",1,(IF(E4108="CO",2,(IF(E4108="IM",3,(IF(E4108="MI",4,(IF(E4108="RP",5,(IF(E4108="SC",6,0)))))))))))))))))))))))))))))))))))))))</f>
        <v>2</v>
      </c>
      <c r="G4108" s="52">
        <v>1</v>
      </c>
      <c r="H4108" s="90" t="s">
        <v>115</v>
      </c>
      <c r="I4108" s="94" t="s">
        <v>85</v>
      </c>
      <c r="J4108" s="87" t="s">
        <v>1896</v>
      </c>
      <c r="K4108" s="119" t="s">
        <v>4717</v>
      </c>
      <c r="L4108" s="117">
        <f>IF(O4108="","",N4108*O4108*M4108)</f>
        <v>0</v>
      </c>
      <c r="M4108" s="108">
        <v>0.9</v>
      </c>
      <c r="N4108" s="95">
        <v>1</v>
      </c>
      <c r="O4108" s="109">
        <f>IF(Key!D$1="ON",P4108,IF(SUM(Q4108:DL4108)&lt;1,"",SUM(Q4108:DL4108)/COUNTIF(Q4108:DL4108,"&gt;0")))</f>
        <v>0</v>
      </c>
      <c r="P4108" s="109">
        <f>SUMIFS(Q4108:DK4108,Q$1:DK$1,Dashboard!$K$31)</f>
        <v>0</v>
      </c>
      <c r="S4108" s="95">
        <v>25</v>
      </c>
      <c r="T4108" s="95">
        <v>80</v>
      </c>
      <c r="U4108" s="95">
        <v>33</v>
      </c>
      <c r="AA4108" s="95">
        <v>25</v>
      </c>
      <c r="AH4108" s="95">
        <v>75</v>
      </c>
    </row>
    <row r="4109" spans="1:34" x14ac:dyDescent="0.3">
      <c r="A4109" s="89" t="str">
        <f>CONCATENATE(D4109,".",F4109,"-",G4109,".",H4109,"")</f>
        <v>4.2-1.1</v>
      </c>
      <c r="B4109" s="89" t="str">
        <f>IF(CONCATENATE(I4109,Key!F$2)=CONCATENATE(INDEX(Dashboard!J:J,MATCH(I4109,Dashboard!J:J,0),1),INDEX(Dashboard!J:K,MATCH(I4109,Dashboard!J:J,0),2)),"ON",IF(Dashboard!K$32="ALL","ON","-"))</f>
        <v>-</v>
      </c>
      <c r="C4109" s="88" t="s">
        <v>329</v>
      </c>
      <c r="D4109" s="89">
        <f>IF(C4109="ID",1,(IF(C4109="PR",2,(IF(C4109="DE",3,(IF(C4109="RS",4,(IF(C4109="RC",5,0)))))))))</f>
        <v>4</v>
      </c>
      <c r="E4109" s="89" t="s">
        <v>341</v>
      </c>
      <c r="F4109" s="89">
        <f>IF(E4109="AM",1,(IF(E4109="BE",2,(IF(E4109="GV",3,(IF(E4109="RA",4,(IF(E4109="RM",5,(IF(E4109="AC",1,(IF(E4109="AT",2,(IF(E4109="DS",3,(IF(E4109="IP",4,(IF(E4109="MA",5,(IF(E4109="PT",6,(IF(E4109="AE",1,(IF(E4109="CM",2,(IF(E4109="DP",3,(IF(E4109="AN",1,(IF(E4109="CO",2,(IF(E4109="IM",3,(IF(E4109="MI",4,(IF(E4109="RP",5,(IF(E4109="SC",6,0)))))))))))))))))))))))))))))))))))))))</f>
        <v>2</v>
      </c>
      <c r="G4109" s="52">
        <v>1</v>
      </c>
      <c r="H4109" s="90" t="s">
        <v>115</v>
      </c>
      <c r="I4109" s="94" t="s">
        <v>85</v>
      </c>
      <c r="J4109" s="87" t="s">
        <v>1895</v>
      </c>
      <c r="K4109" s="119" t="s">
        <v>4716</v>
      </c>
      <c r="L4109" s="117">
        <f>IF(O4109="","",N4109*O4109*M4109)</f>
        <v>0</v>
      </c>
      <c r="M4109" s="108">
        <v>0.9</v>
      </c>
      <c r="N4109" s="95">
        <v>1</v>
      </c>
      <c r="O4109" s="109">
        <f>IF(Key!D$1="ON",P4109,IF(SUM(Q4109:DL4109)&lt;1,"",SUM(Q4109:DL4109)/COUNTIF(Q4109:DL4109,"&gt;0")))</f>
        <v>0</v>
      </c>
      <c r="P4109" s="109">
        <f>SUMIFS(Q4109:DK4109,Q$1:DK$1,Dashboard!$K$31)</f>
        <v>0</v>
      </c>
      <c r="S4109" s="95">
        <v>25</v>
      </c>
      <c r="T4109" s="95">
        <v>80</v>
      </c>
      <c r="U4109" s="95">
        <v>33</v>
      </c>
      <c r="AA4109" s="95">
        <v>25</v>
      </c>
      <c r="AH4109" s="95">
        <v>75</v>
      </c>
    </row>
    <row r="4110" spans="1:34" x14ac:dyDescent="0.3">
      <c r="A4110" s="89" t="str">
        <f>CONCATENATE(D4110,".",F4110,"-",G4110,".",H4110,"")</f>
        <v>4.2-1.1</v>
      </c>
      <c r="B4110" s="89" t="str">
        <f>IF(CONCATENATE(I4110,Key!F$2)=CONCATENATE(INDEX(Dashboard!J:J,MATCH(I4110,Dashboard!J:J,0),1),INDEX(Dashboard!J:K,MATCH(I4110,Dashboard!J:J,0),2)),"ON",IF(Dashboard!K$32="ALL","ON","-"))</f>
        <v>-</v>
      </c>
      <c r="C4110" s="96" t="s">
        <v>329</v>
      </c>
      <c r="D4110" s="89">
        <f>IF(C4110="ID",1,(IF(C4110="PR",2,(IF(C4110="DE",3,(IF(C4110="RS",4,(IF(C4110="RC",5,0)))))))))</f>
        <v>4</v>
      </c>
      <c r="E4110" s="89" t="s">
        <v>341</v>
      </c>
      <c r="F4110" s="89">
        <f>IF(E4110="AM",1,(IF(E4110="BE",2,(IF(E4110="GV",3,(IF(E4110="RA",4,(IF(E4110="RM",5,(IF(E4110="AC",1,(IF(E4110="AT",2,(IF(E4110="DS",3,(IF(E4110="IP",4,(IF(E4110="MA",5,(IF(E4110="PT",6,(IF(E4110="AE",1,(IF(E4110="CM",2,(IF(E4110="DP",3,(IF(E4110="AN",1,(IF(E4110="CO",2,(IF(E4110="IM",3,(IF(E4110="MI",4,(IF(E4110="RP",5,(IF(E4110="SC",6,0)))))))))))))))))))))))))))))))))))))))</f>
        <v>2</v>
      </c>
      <c r="G4110" s="98">
        <v>1</v>
      </c>
      <c r="H4110" s="90" t="s">
        <v>115</v>
      </c>
      <c r="I4110" s="94" t="s">
        <v>92</v>
      </c>
      <c r="J4110" s="87" t="s">
        <v>267</v>
      </c>
      <c r="K4110" s="102" t="s">
        <v>5226</v>
      </c>
      <c r="L4110" s="117">
        <f>IF(O4110="","",N4110*O4110*M4110)</f>
        <v>0</v>
      </c>
      <c r="M4110" s="108">
        <v>1</v>
      </c>
      <c r="N4110" s="95">
        <v>1</v>
      </c>
      <c r="O4110" s="109">
        <f>IF(Key!D$1="ON",P4110,IF(SUM(Q4110:DL4110)&lt;1,"",SUM(Q4110:DL4110)/COUNTIF(Q4110:DL4110,"&gt;0")))</f>
        <v>0</v>
      </c>
      <c r="P4110" s="109">
        <f>SUMIFS(Q4110:DK4110,Q$1:DK$1,Dashboard!$K$31)</f>
        <v>0</v>
      </c>
      <c r="U4110" s="95">
        <v>33</v>
      </c>
      <c r="AA4110" s="95">
        <v>25</v>
      </c>
      <c r="AH4110" s="95">
        <v>75</v>
      </c>
    </row>
    <row r="4111" spans="1:34" x14ac:dyDescent="0.3">
      <c r="A4111" s="89" t="str">
        <f>CONCATENATE(D4111,".",F4111,"-",G4111,".",H4111,"")</f>
        <v>4.2-1.1</v>
      </c>
      <c r="B4111" s="89" t="str">
        <f>IF(CONCATENATE(I4111,Key!F$2)=CONCATENATE(INDEX(Dashboard!J:J,MATCH(I4111,Dashboard!J:J,0),1),INDEX(Dashboard!J:K,MATCH(I4111,Dashboard!J:J,0),2)),"ON",IF(Dashboard!K$32="ALL","ON","-"))</f>
        <v>-</v>
      </c>
      <c r="C4111" s="96" t="s">
        <v>329</v>
      </c>
      <c r="D4111" s="89">
        <f>IF(C4111="ID",1,(IF(C4111="PR",2,(IF(C4111="DE",3,(IF(C4111="RS",4,(IF(C4111="RC",5,0)))))))))</f>
        <v>4</v>
      </c>
      <c r="E4111" s="89" t="s">
        <v>341</v>
      </c>
      <c r="F4111" s="89">
        <f>IF(E4111="AM",1,(IF(E4111="BE",2,(IF(E4111="GV",3,(IF(E4111="RA",4,(IF(E4111="RM",5,(IF(E4111="AC",1,(IF(E4111="AT",2,(IF(E4111="DS",3,(IF(E4111="IP",4,(IF(E4111="MA",5,(IF(E4111="PT",6,(IF(E4111="AE",1,(IF(E4111="CM",2,(IF(E4111="DP",3,(IF(E4111="AN",1,(IF(E4111="CO",2,(IF(E4111="IM",3,(IF(E4111="MI",4,(IF(E4111="RP",5,(IF(E4111="SC",6,0)))))))))))))))))))))))))))))))))))))))</f>
        <v>2</v>
      </c>
      <c r="G4111" s="98">
        <v>1</v>
      </c>
      <c r="H4111" s="90" t="s">
        <v>115</v>
      </c>
      <c r="I4111" s="94" t="s">
        <v>92</v>
      </c>
      <c r="J4111" s="88" t="s">
        <v>342</v>
      </c>
      <c r="K4111" s="102" t="s">
        <v>5226</v>
      </c>
      <c r="L4111" s="117">
        <f>IF(O4111="","",N4111*O4111*M4111)</f>
        <v>0</v>
      </c>
      <c r="M4111" s="108">
        <v>0.9</v>
      </c>
      <c r="N4111" s="95">
        <v>1</v>
      </c>
      <c r="O4111" s="109">
        <f>IF(Key!D$1="ON",P4111,IF(SUM(Q4111:DL4111)&lt;1,"",SUM(Q4111:DL4111)/COUNTIF(Q4111:DL4111,"&gt;0")))</f>
        <v>0</v>
      </c>
      <c r="P4111" s="109">
        <f>SUMIFS(Q4111:DK4111,Q$1:DK$1,Dashboard!$K$31)</f>
        <v>0</v>
      </c>
      <c r="S4111" s="95">
        <v>25</v>
      </c>
      <c r="T4111" s="95">
        <v>80</v>
      </c>
      <c r="U4111" s="95">
        <v>33</v>
      </c>
      <c r="AA4111" s="95">
        <v>25</v>
      </c>
      <c r="AH4111" s="95">
        <v>75</v>
      </c>
    </row>
    <row r="4112" spans="1:34" x14ac:dyDescent="0.3">
      <c r="A4112" s="89" t="str">
        <f>CONCATENATE(D4112,".",F4112,"-",G4112,".",H4112,"")</f>
        <v>4.2-2.0</v>
      </c>
      <c r="B4112" s="89" t="str">
        <f>IF(CONCATENATE(I4112,Key!F$2)=CONCATENATE(INDEX(Dashboard!J:J,MATCH(I4112,Dashboard!J:J,0),1),INDEX(Dashboard!J:K,MATCH(I4112,Dashboard!J:J,0),2)),"ON",IF(Dashboard!K$32="ALL","ON","-"))</f>
        <v>-</v>
      </c>
      <c r="C4112" s="96" t="s">
        <v>329</v>
      </c>
      <c r="D4112" s="89">
        <f>IF(C4112="ID",1,(IF(C4112="PR",2,(IF(C4112="DE",3,(IF(C4112="RS",4,(IF(C4112="RC",5,0)))))))))</f>
        <v>4</v>
      </c>
      <c r="E4112" s="89" t="s">
        <v>341</v>
      </c>
      <c r="F4112" s="89">
        <f>IF(E4112="AM",1,(IF(E4112="BE",2,(IF(E4112="GV",3,(IF(E4112="RA",4,(IF(E4112="RM",5,(IF(E4112="AC",1,(IF(E4112="AT",2,(IF(E4112="DS",3,(IF(E4112="IP",4,(IF(E4112="MA",5,(IF(E4112="PT",6,(IF(E4112="AE",1,(IF(E4112="CM",2,(IF(E4112="DP",3,(IF(E4112="AN",1,(IF(E4112="CO",2,(IF(E4112="IM",3,(IF(E4112="MI",4,(IF(E4112="RP",5,(IF(E4112="SC",6,0)))))))))))))))))))))))))))))))))))))))</f>
        <v>2</v>
      </c>
      <c r="G4112" s="52">
        <v>2</v>
      </c>
      <c r="H4112" s="90" t="s">
        <v>347</v>
      </c>
      <c r="I4112" s="94" t="s">
        <v>2835</v>
      </c>
      <c r="J4112" s="53" t="s">
        <v>3067</v>
      </c>
      <c r="K4112" s="105" t="s">
        <v>3068</v>
      </c>
      <c r="L4112" s="117">
        <f>IF(O4112="","",N4112*O4112*M4112)</f>
        <v>0</v>
      </c>
      <c r="M4112" s="108">
        <v>1</v>
      </c>
      <c r="N4112" s="95">
        <v>1</v>
      </c>
      <c r="O4112" s="109">
        <f>IF(Key!D$1="ON",P4112,IF(SUM(Q4112:DL4112)&lt;1,"",SUM(Q4112:DL4112)/COUNTIF(Q4112:DL4112,"&gt;0")))</f>
        <v>0</v>
      </c>
      <c r="P4112" s="109">
        <f>SUMIFS(Q4112:DK4112,Q$1:DK$1,Dashboard!$K$31)</f>
        <v>0</v>
      </c>
      <c r="U4112" s="95">
        <v>33</v>
      </c>
    </row>
    <row r="4113" spans="1:34" x14ac:dyDescent="0.3">
      <c r="A4113" s="89" t="str">
        <f>CONCATENATE(D4113,".",F4113,"-",G4113,".",H4113,"")</f>
        <v>4.2-2.1</v>
      </c>
      <c r="B4113" s="89" t="str">
        <f>IF(CONCATENATE(I4113,Key!F$2)=CONCATENATE(INDEX(Dashboard!J:J,MATCH(I4113,Dashboard!J:J,0),1),INDEX(Dashboard!J:K,MATCH(I4113,Dashboard!J:J,0),2)),"ON",IF(Dashboard!K$32="ALL","ON","-"))</f>
        <v>ON</v>
      </c>
      <c r="C4113" s="130" t="s">
        <v>329</v>
      </c>
      <c r="D4113" s="89">
        <f>IF(C4113="ID",1,(IF(C4113="PR",2,(IF(C4113="DE",3,(IF(C4113="RS",4,(IF(C4113="RC",5,0)))))))))</f>
        <v>4</v>
      </c>
      <c r="E4113" s="95" t="s">
        <v>341</v>
      </c>
      <c r="F4113" s="89">
        <f>IF(E4113="AM",1,(IF(E4113="BE",2,(IF(E4113="GV",3,(IF(E4113="RA",4,(IF(E4113="RM",5,(IF(E4113="AC",1,(IF(E4113="AT",2,(IF(E4113="DS",3,(IF(E4113="IP",4,(IF(E4113="MA",5,(IF(E4113="PT",6,(IF(E4113="AE",1,(IF(E4113="CM",2,(IF(E4113="DP",3,(IF(E4113="AN",1,(IF(E4113="CO",2,(IF(E4113="IM",3,(IF(E4113="MI",4,(IF(E4113="RP",5,(IF(E4113="SC",6,0)))))))))))))))))))))))))))))))))))))))</f>
        <v>2</v>
      </c>
      <c r="G4113" s="52">
        <v>2</v>
      </c>
      <c r="H4113" s="90" t="s">
        <v>115</v>
      </c>
      <c r="I4113" s="94" t="s">
        <v>4107</v>
      </c>
      <c r="J4113" s="86" t="s">
        <v>4006</v>
      </c>
      <c r="K4113" s="101" t="s">
        <v>4378</v>
      </c>
      <c r="L4113" s="117">
        <f>IF(O4113="","",N4113*O4113*M4113)</f>
        <v>0</v>
      </c>
      <c r="M4113" s="108">
        <v>1</v>
      </c>
      <c r="N4113" s="95">
        <v>1</v>
      </c>
      <c r="O4113" s="109">
        <f>IF(Key!D$1="ON",P4113,IF(SUM(Q4113:DL4113)&lt;1,"",SUM(Q4113:DL4113)/COUNTIF(Q4113:DL4113,"&gt;0")))</f>
        <v>0</v>
      </c>
      <c r="P4113" s="109">
        <f>SUMIFS(Q4113:DK4113,Q$1:DK$1,Dashboard!$K$31)</f>
        <v>0</v>
      </c>
      <c r="U4113" s="95">
        <v>33</v>
      </c>
      <c r="AA4113" s="95">
        <v>25</v>
      </c>
      <c r="AH4113" s="95">
        <v>75</v>
      </c>
    </row>
    <row r="4114" spans="1:34" x14ac:dyDescent="0.3">
      <c r="A4114" s="89" t="str">
        <f>CONCATENATE(D4114,".",F4114,"-",G4114,".",H4114,"")</f>
        <v>4.2-2.1</v>
      </c>
      <c r="B4114" s="89" t="str">
        <f>IF(CONCATENATE(I4114,Key!F$2)=CONCATENATE(INDEX(Dashboard!J:J,MATCH(I4114,Dashboard!J:J,0),1),INDEX(Dashboard!J:K,MATCH(I4114,Dashboard!J:J,0),2)),"ON",IF(Dashboard!K$32="ALL","ON","-"))</f>
        <v>ON</v>
      </c>
      <c r="C4114" s="130" t="s">
        <v>329</v>
      </c>
      <c r="D4114" s="89">
        <f>IF(C4114="ID",1,(IF(C4114="PR",2,(IF(C4114="DE",3,(IF(C4114="RS",4,(IF(C4114="RC",5,0)))))))))</f>
        <v>4</v>
      </c>
      <c r="E4114" s="95" t="s">
        <v>341</v>
      </c>
      <c r="F4114" s="89">
        <f>IF(E4114="AM",1,(IF(E4114="BE",2,(IF(E4114="GV",3,(IF(E4114="RA",4,(IF(E4114="RM",5,(IF(E4114="AC",1,(IF(E4114="AT",2,(IF(E4114="DS",3,(IF(E4114="IP",4,(IF(E4114="MA",5,(IF(E4114="PT",6,(IF(E4114="AE",1,(IF(E4114="CM",2,(IF(E4114="DP",3,(IF(E4114="AN",1,(IF(E4114="CO",2,(IF(E4114="IM",3,(IF(E4114="MI",4,(IF(E4114="RP",5,(IF(E4114="SC",6,0)))))))))))))))))))))))))))))))))))))))</f>
        <v>2</v>
      </c>
      <c r="G4114" s="52">
        <v>2</v>
      </c>
      <c r="H4114" s="90" t="s">
        <v>115</v>
      </c>
      <c r="I4114" s="94" t="s">
        <v>4107</v>
      </c>
      <c r="J4114" s="86" t="s">
        <v>4010</v>
      </c>
      <c r="K4114" s="101" t="s">
        <v>4449</v>
      </c>
      <c r="L4114" s="117">
        <f>IF(O4114="","",N4114*O4114*M4114)</f>
        <v>0</v>
      </c>
      <c r="M4114" s="108">
        <v>1</v>
      </c>
      <c r="N4114" s="95">
        <v>1</v>
      </c>
      <c r="O4114" s="109">
        <f>IF(Key!D$1="ON",P4114,IF(SUM(Q4114:DL4114)&lt;1,"",SUM(Q4114:DL4114)/COUNTIF(Q4114:DL4114,"&gt;0")))</f>
        <v>0</v>
      </c>
      <c r="P4114" s="109">
        <f>SUMIFS(Q4114:DK4114,Q$1:DK$1,Dashboard!$K$31)</f>
        <v>0</v>
      </c>
      <c r="U4114" s="95">
        <v>33</v>
      </c>
      <c r="AA4114" s="95">
        <v>25</v>
      </c>
      <c r="AH4114" s="95">
        <v>75</v>
      </c>
    </row>
    <row r="4115" spans="1:34" x14ac:dyDescent="0.3">
      <c r="A4115" s="89" t="str">
        <f>CONCATENATE(D4115,".",F4115,"-",G4115,".",H4115,"")</f>
        <v>4.2-2.1</v>
      </c>
      <c r="B4115" s="89" t="str">
        <f>IF(CONCATENATE(I4115,Key!F$2)=CONCATENATE(INDEX(Dashboard!J:J,MATCH(I4115,Dashboard!J:J,0),1),INDEX(Dashboard!J:K,MATCH(I4115,Dashboard!J:J,0),2)),"ON",IF(Dashboard!K$32="ALL","ON","-"))</f>
        <v>ON</v>
      </c>
      <c r="C4115" s="130" t="s">
        <v>329</v>
      </c>
      <c r="D4115" s="89">
        <f>IF(C4115="ID",1,(IF(C4115="PR",2,(IF(C4115="DE",3,(IF(C4115="RS",4,(IF(C4115="RC",5,0)))))))))</f>
        <v>4</v>
      </c>
      <c r="E4115" s="95" t="s">
        <v>341</v>
      </c>
      <c r="F4115" s="89">
        <f>IF(E4115="AM",1,(IF(E4115="BE",2,(IF(E4115="GV",3,(IF(E4115="RA",4,(IF(E4115="RM",5,(IF(E4115="AC",1,(IF(E4115="AT",2,(IF(E4115="DS",3,(IF(E4115="IP",4,(IF(E4115="MA",5,(IF(E4115="PT",6,(IF(E4115="AE",1,(IF(E4115="CM",2,(IF(E4115="DP",3,(IF(E4115="AN",1,(IF(E4115="CO",2,(IF(E4115="IM",3,(IF(E4115="MI",4,(IF(E4115="RP",5,(IF(E4115="SC",6,0)))))))))))))))))))))))))))))))))))))))</f>
        <v>2</v>
      </c>
      <c r="G4115" s="52">
        <v>2</v>
      </c>
      <c r="H4115" s="90" t="s">
        <v>115</v>
      </c>
      <c r="I4115" s="94" t="s">
        <v>4107</v>
      </c>
      <c r="J4115" s="86" t="s">
        <v>4094</v>
      </c>
      <c r="K4115" s="101" t="s">
        <v>4479</v>
      </c>
      <c r="L4115" s="117">
        <f>IF(O4115="","",N4115*O4115*M4115)</f>
        <v>0</v>
      </c>
      <c r="M4115" s="108">
        <v>1</v>
      </c>
      <c r="N4115" s="95">
        <v>1</v>
      </c>
      <c r="O4115" s="109">
        <f>IF(Key!D$1="ON",P4115,IF(SUM(Q4115:DL4115)&lt;1,"",SUM(Q4115:DL4115)/COUNTIF(Q4115:DL4115,"&gt;0")))</f>
        <v>0</v>
      </c>
      <c r="P4115" s="109">
        <f>SUMIFS(Q4115:DK4115,Q$1:DK$1,Dashboard!$K$31)</f>
        <v>0</v>
      </c>
      <c r="U4115" s="95">
        <v>33</v>
      </c>
      <c r="AA4115" s="95">
        <v>25</v>
      </c>
      <c r="AH4115" s="95">
        <v>75</v>
      </c>
    </row>
    <row r="4116" spans="1:34" x14ac:dyDescent="0.3">
      <c r="A4116" s="89" t="str">
        <f>CONCATENATE(D4116,".",F4116,"-",G4116,".",H4116,"")</f>
        <v>4.2-2.1</v>
      </c>
      <c r="B4116" s="89" t="str">
        <f>IF(CONCATENATE(I4116,Key!F$2)=CONCATENATE(INDEX(Dashboard!J:J,MATCH(I4116,Dashboard!J:J,0),1),INDEX(Dashboard!J:K,MATCH(I4116,Dashboard!J:J,0),2)),"ON",IF(Dashboard!K$32="ALL","ON","-"))</f>
        <v>-</v>
      </c>
      <c r="C4116" s="96" t="s">
        <v>329</v>
      </c>
      <c r="D4116" s="89">
        <f>IF(C4116="ID",1,(IF(C4116="PR",2,(IF(C4116="DE",3,(IF(C4116="RS",4,(IF(C4116="RC",5,0)))))))))</f>
        <v>4</v>
      </c>
      <c r="E4116" s="89" t="s">
        <v>341</v>
      </c>
      <c r="F4116" s="89">
        <f>IF(E4116="AM",1,(IF(E4116="BE",2,(IF(E4116="GV",3,(IF(E4116="RA",4,(IF(E4116="RM",5,(IF(E4116="AC",1,(IF(E4116="AT",2,(IF(E4116="DS",3,(IF(E4116="IP",4,(IF(E4116="MA",5,(IF(E4116="PT",6,(IF(E4116="AE",1,(IF(E4116="CM",2,(IF(E4116="DP",3,(IF(E4116="AN",1,(IF(E4116="CO",2,(IF(E4116="IM",3,(IF(E4116="MI",4,(IF(E4116="RP",5,(IF(E4116="SC",6,0)))))))))))))))))))))))))))))))))))))))</f>
        <v>2</v>
      </c>
      <c r="G4116" s="98">
        <v>2</v>
      </c>
      <c r="H4116" s="90" t="s">
        <v>115</v>
      </c>
      <c r="I4116" s="94" t="s">
        <v>52</v>
      </c>
      <c r="J4116" s="88" t="s">
        <v>3406</v>
      </c>
      <c r="K4116" s="103" t="s">
        <v>3407</v>
      </c>
      <c r="L4116" s="117">
        <f>IF(O4116="","",N4116*O4116*M4116)</f>
        <v>0</v>
      </c>
      <c r="M4116" s="108">
        <v>1</v>
      </c>
      <c r="N4116" s="95">
        <v>1</v>
      </c>
      <c r="O4116" s="109">
        <f>IF(Key!D$1="ON",P4116,IF(SUM(Q4116:DL4116)&lt;1,"",SUM(Q4116:DL4116)/COUNTIF(Q4116:DL4116,"&gt;0")))</f>
        <v>0</v>
      </c>
      <c r="P4116" s="109">
        <f>SUMIFS(Q4116:DK4116,Q$1:DK$1,Dashboard!$K$31)</f>
        <v>0</v>
      </c>
      <c r="U4116" s="95">
        <v>33</v>
      </c>
      <c r="AA4116" s="95">
        <v>25</v>
      </c>
      <c r="AH4116" s="95">
        <v>75</v>
      </c>
    </row>
    <row r="4117" spans="1:34" x14ac:dyDescent="0.3">
      <c r="A4117" s="89" t="str">
        <f>CONCATENATE(D4117,".",F4117,"-",G4117,".",H4117,"")</f>
        <v>4.2-2.1</v>
      </c>
      <c r="B4117" s="89" t="str">
        <f>IF(CONCATENATE(I4117,Key!F$2)=CONCATENATE(INDEX(Dashboard!J:J,MATCH(I4117,Dashboard!J:J,0),1),INDEX(Dashboard!J:K,MATCH(I4117,Dashboard!J:J,0),2)),"ON",IF(Dashboard!K$32="ALL","ON","-"))</f>
        <v>-</v>
      </c>
      <c r="C4117" s="96" t="s">
        <v>329</v>
      </c>
      <c r="D4117" s="89">
        <f>IF(C4117="ID",1,(IF(C4117="PR",2,(IF(C4117="DE",3,(IF(C4117="RS",4,(IF(C4117="RC",5,0)))))))))</f>
        <v>4</v>
      </c>
      <c r="E4117" s="89" t="s">
        <v>341</v>
      </c>
      <c r="F4117" s="89">
        <f>IF(E4117="AM",1,(IF(E4117="BE",2,(IF(E4117="GV",3,(IF(E4117="RA",4,(IF(E4117="RM",5,(IF(E4117="AC",1,(IF(E4117="AT",2,(IF(E4117="DS",3,(IF(E4117="IP",4,(IF(E4117="MA",5,(IF(E4117="PT",6,(IF(E4117="AE",1,(IF(E4117="CM",2,(IF(E4117="DP",3,(IF(E4117="AN",1,(IF(E4117="CO",2,(IF(E4117="IM",3,(IF(E4117="MI",4,(IF(E4117="RP",5,(IF(E4117="SC",6,0)))))))))))))))))))))))))))))))))))))))</f>
        <v>2</v>
      </c>
      <c r="G4117" s="98">
        <v>2</v>
      </c>
      <c r="H4117" s="90" t="s">
        <v>115</v>
      </c>
      <c r="I4117" s="94" t="s">
        <v>52</v>
      </c>
      <c r="J4117" s="88" t="s">
        <v>3443</v>
      </c>
      <c r="K4117" s="103" t="s">
        <v>3444</v>
      </c>
      <c r="L4117" s="117">
        <f>IF(O4117="","",N4117*O4117*M4117)</f>
        <v>0</v>
      </c>
      <c r="M4117" s="108">
        <v>1</v>
      </c>
      <c r="N4117" s="95">
        <v>1</v>
      </c>
      <c r="O4117" s="109">
        <f>IF(Key!D$1="ON",P4117,IF(SUM(Q4117:DL4117)&lt;1,"",SUM(Q4117:DL4117)/COUNTIF(Q4117:DL4117,"&gt;0")))</f>
        <v>0</v>
      </c>
      <c r="P4117" s="109">
        <f>SUMIFS(Q4117:DK4117,Q$1:DK$1,Dashboard!$K$31)</f>
        <v>0</v>
      </c>
      <c r="U4117" s="95">
        <v>33</v>
      </c>
      <c r="AA4117" s="95">
        <v>25</v>
      </c>
      <c r="AH4117" s="95">
        <v>75</v>
      </c>
    </row>
    <row r="4118" spans="1:34" x14ac:dyDescent="0.3">
      <c r="A4118" s="89" t="str">
        <f>CONCATENATE(D4118,".",F4118,"-",G4118,".",H4118,"")</f>
        <v>4.2-2.1</v>
      </c>
      <c r="B4118" s="89" t="str">
        <f>IF(CONCATENATE(I4118,Key!F$2)=CONCATENATE(INDEX(Dashboard!J:J,MATCH(I4118,Dashboard!J:J,0),1),INDEX(Dashboard!J:K,MATCH(I4118,Dashboard!J:J,0),2)),"ON",IF(Dashboard!K$32="ALL","ON","-"))</f>
        <v>-</v>
      </c>
      <c r="C4118" s="96" t="s">
        <v>329</v>
      </c>
      <c r="D4118" s="89">
        <f>IF(C4118="ID",1,(IF(C4118="PR",2,(IF(C4118="DE",3,(IF(C4118="RS",4,(IF(C4118="RC",5,0)))))))))</f>
        <v>4</v>
      </c>
      <c r="E4118" s="89" t="s">
        <v>341</v>
      </c>
      <c r="F4118" s="89">
        <f>IF(E4118="AM",1,(IF(E4118="BE",2,(IF(E4118="GV",3,(IF(E4118="RA",4,(IF(E4118="RM",5,(IF(E4118="AC",1,(IF(E4118="AT",2,(IF(E4118="DS",3,(IF(E4118="IP",4,(IF(E4118="MA",5,(IF(E4118="PT",6,(IF(E4118="AE",1,(IF(E4118="CM",2,(IF(E4118="DP",3,(IF(E4118="AN",1,(IF(E4118="CO",2,(IF(E4118="IM",3,(IF(E4118="MI",4,(IF(E4118="RP",5,(IF(E4118="SC",6,0)))))))))))))))))))))))))))))))))))))))</f>
        <v>2</v>
      </c>
      <c r="G4118" s="98">
        <v>2</v>
      </c>
      <c r="H4118" s="90" t="s">
        <v>115</v>
      </c>
      <c r="I4118" s="94" t="s">
        <v>52</v>
      </c>
      <c r="J4118" s="88" t="s">
        <v>3305</v>
      </c>
      <c r="K4118" s="103" t="s">
        <v>3306</v>
      </c>
      <c r="L4118" s="117">
        <f>IF(O4118="","",N4118*O4118*M4118)</f>
        <v>0</v>
      </c>
      <c r="M4118" s="108">
        <v>1</v>
      </c>
      <c r="N4118" s="95">
        <v>1</v>
      </c>
      <c r="O4118" s="109">
        <f>IF(Key!D$1="ON",P4118,IF(SUM(Q4118:DL4118)&lt;1,"",SUM(Q4118:DL4118)/COUNTIF(Q4118:DL4118,"&gt;0")))</f>
        <v>0</v>
      </c>
      <c r="P4118" s="109">
        <f>SUMIFS(Q4118:DK4118,Q$1:DK$1,Dashboard!$K$31)</f>
        <v>0</v>
      </c>
      <c r="U4118" s="95">
        <v>33</v>
      </c>
      <c r="AA4118" s="95">
        <v>25</v>
      </c>
      <c r="AH4118" s="95">
        <v>75</v>
      </c>
    </row>
    <row r="4119" spans="1:34" ht="15.6" x14ac:dyDescent="0.3">
      <c r="A4119" s="89" t="str">
        <f>CONCATENATE(D4119,".",F4119,"-",G4119,".",H4119,"")</f>
        <v>4.2-2.1</v>
      </c>
      <c r="B4119" s="89" t="str">
        <f>IF(CONCATENATE(I4119,Key!F$2)=CONCATENATE(INDEX(Dashboard!J:J,MATCH(I4119,Dashboard!J:J,0),1),INDEX(Dashboard!J:K,MATCH(I4119,Dashboard!J:J,0),2)),"ON",IF(Dashboard!K$32="ALL","ON","-"))</f>
        <v>-</v>
      </c>
      <c r="C4119" s="96" t="s">
        <v>329</v>
      </c>
      <c r="D4119" s="89">
        <f>IF(C4119="ID",1,(IF(C4119="PR",2,(IF(C4119="DE",3,(IF(C4119="RS",4,(IF(C4119="RC",5,0)))))))))</f>
        <v>4</v>
      </c>
      <c r="E4119" s="89" t="s">
        <v>341</v>
      </c>
      <c r="F4119" s="89">
        <f>IF(E4119="AM",1,(IF(E4119="BE",2,(IF(E4119="GV",3,(IF(E4119="RA",4,(IF(E4119="RM",5,(IF(E4119="AC",1,(IF(E4119="AT",2,(IF(E4119="DS",3,(IF(E4119="IP",4,(IF(E4119="MA",5,(IF(E4119="PT",6,(IF(E4119="AE",1,(IF(E4119="CM",2,(IF(E4119="DP",3,(IF(E4119="AN",1,(IF(E4119="CO",2,(IF(E4119="IM",3,(IF(E4119="MI",4,(IF(E4119="RP",5,(IF(E4119="SC",6,0)))))))))))))))))))))))))))))))))))))))</f>
        <v>2</v>
      </c>
      <c r="G4119" s="98">
        <v>2</v>
      </c>
      <c r="H4119" s="90" t="s">
        <v>115</v>
      </c>
      <c r="I4119" s="94" t="s">
        <v>52</v>
      </c>
      <c r="J4119" s="88" t="s">
        <v>3331</v>
      </c>
      <c r="K4119" s="103" t="s">
        <v>3332</v>
      </c>
      <c r="L4119" s="117">
        <f>IF(O4119="","",N4119*O4119*M4119)</f>
        <v>0</v>
      </c>
      <c r="M4119" s="108">
        <v>1</v>
      </c>
      <c r="N4119" s="95">
        <v>1</v>
      </c>
      <c r="O4119" s="109">
        <f>IF(Key!D$1="ON",P4119,IF(SUM(Q4119:DL4119)&lt;1,"",SUM(Q4119:DL4119)/COUNTIF(Q4119:DL4119,"&gt;0")))</f>
        <v>0</v>
      </c>
      <c r="P4119" s="109">
        <f>SUMIFS(Q4119:DK4119,Q$1:DK$1,Dashboard!$K$31)</f>
        <v>0</v>
      </c>
      <c r="U4119" s="95">
        <v>33</v>
      </c>
      <c r="AA4119" s="95">
        <v>25</v>
      </c>
      <c r="AH4119" s="95">
        <v>75</v>
      </c>
    </row>
    <row r="4120" spans="1:34" x14ac:dyDescent="0.3">
      <c r="A4120" s="89" t="str">
        <f>CONCATENATE(D4120,".",F4120,"-",G4120,".",H4120,"")</f>
        <v>4.2-2.1</v>
      </c>
      <c r="B4120" s="89" t="str">
        <f>IF(CONCATENATE(I4120,Key!F$2)=CONCATENATE(INDEX(Dashboard!J:J,MATCH(I4120,Dashboard!J:J,0),1),INDEX(Dashboard!J:K,MATCH(I4120,Dashboard!J:J,0),2)),"ON",IF(Dashboard!K$32="ALL","ON","-"))</f>
        <v>-</v>
      </c>
      <c r="C4120" s="88" t="s">
        <v>329</v>
      </c>
      <c r="D4120" s="89">
        <f>IF(C4120="ID",1,(IF(C4120="PR",2,(IF(C4120="DE",3,(IF(C4120="RS",4,(IF(C4120="RC",5,0)))))))))</f>
        <v>4</v>
      </c>
      <c r="E4120" s="89" t="s">
        <v>341</v>
      </c>
      <c r="F4120" s="89">
        <f>IF(E4120="AM",1,(IF(E4120="BE",2,(IF(E4120="GV",3,(IF(E4120="RA",4,(IF(E4120="RM",5,(IF(E4120="AC",1,(IF(E4120="AT",2,(IF(E4120="DS",3,(IF(E4120="IP",4,(IF(E4120="MA",5,(IF(E4120="PT",6,(IF(E4120="AE",1,(IF(E4120="CM",2,(IF(E4120="DP",3,(IF(E4120="AN",1,(IF(E4120="CO",2,(IF(E4120="IM",3,(IF(E4120="MI",4,(IF(E4120="RP",5,(IF(E4120="SC",6,0)))))))))))))))))))))))))))))))))))))))</f>
        <v>2</v>
      </c>
      <c r="G4120" s="52">
        <v>2</v>
      </c>
      <c r="H4120" s="90" t="s">
        <v>115</v>
      </c>
      <c r="I4120" s="94" t="s">
        <v>73</v>
      </c>
      <c r="J4120" s="86" t="s">
        <v>296</v>
      </c>
      <c r="K4120" s="101" t="s">
        <v>5201</v>
      </c>
      <c r="L4120" s="117">
        <f>IF(O4120="","",N4120*O4120*M4120)</f>
        <v>0</v>
      </c>
      <c r="M4120" s="108">
        <v>1</v>
      </c>
      <c r="N4120" s="95">
        <v>1</v>
      </c>
      <c r="O4120" s="109">
        <f>IF(Key!D$1="ON",P4120,IF(SUM(Q4120:DL4120)&lt;1,"",SUM(Q4120:DL4120)/COUNTIF(Q4120:DL4120,"&gt;0")))</f>
        <v>0</v>
      </c>
      <c r="P4120" s="109">
        <f>SUMIFS(Q4120:DK4120,Q$1:DK$1,Dashboard!$K$31)</f>
        <v>0</v>
      </c>
      <c r="U4120" s="95">
        <v>33</v>
      </c>
      <c r="AA4120" s="95">
        <v>25</v>
      </c>
      <c r="AH4120" s="95">
        <v>75</v>
      </c>
    </row>
    <row r="4121" spans="1:34" x14ac:dyDescent="0.3">
      <c r="A4121" s="89" t="str">
        <f>CONCATENATE(D4121,".",F4121,"-",G4121,".",H4121,"")</f>
        <v>4.2-2.1</v>
      </c>
      <c r="B4121" s="89" t="str">
        <f>IF(CONCATENATE(I4121,Key!F$2)=CONCATENATE(INDEX(Dashboard!J:J,MATCH(I4121,Dashboard!J:J,0),1),INDEX(Dashboard!J:K,MATCH(I4121,Dashboard!J:J,0),2)),"ON",IF(Dashboard!K$32="ALL","ON","-"))</f>
        <v>-</v>
      </c>
      <c r="C4121" s="88" t="s">
        <v>329</v>
      </c>
      <c r="D4121" s="89">
        <f>IF(C4121="ID",1,(IF(C4121="PR",2,(IF(C4121="DE",3,(IF(C4121="RS",4,(IF(C4121="RC",5,0)))))))))</f>
        <v>4</v>
      </c>
      <c r="E4121" s="89" t="s">
        <v>341</v>
      </c>
      <c r="F4121" s="89">
        <f>IF(E4121="AM",1,(IF(E4121="BE",2,(IF(E4121="GV",3,(IF(E4121="RA",4,(IF(E4121="RM",5,(IF(E4121="AC",1,(IF(E4121="AT",2,(IF(E4121="DS",3,(IF(E4121="IP",4,(IF(E4121="MA",5,(IF(E4121="PT",6,(IF(E4121="AE",1,(IF(E4121="CM",2,(IF(E4121="DP",3,(IF(E4121="AN",1,(IF(E4121="CO",2,(IF(E4121="IM",3,(IF(E4121="MI",4,(IF(E4121="RP",5,(IF(E4121="SC",6,0)))))))))))))))))))))))))))))))))))))))</f>
        <v>2</v>
      </c>
      <c r="G4121" s="52">
        <v>2</v>
      </c>
      <c r="H4121" s="90" t="s">
        <v>115</v>
      </c>
      <c r="I4121" s="94" t="s">
        <v>77</v>
      </c>
      <c r="J4121" s="87" t="s">
        <v>1897</v>
      </c>
      <c r="K4121" s="102" t="s">
        <v>2796</v>
      </c>
      <c r="L4121" s="117">
        <f>IF(O4121="","",N4121*O4121*M4121)</f>
        <v>0</v>
      </c>
      <c r="M4121" s="108">
        <v>1</v>
      </c>
      <c r="N4121" s="95">
        <v>1</v>
      </c>
      <c r="O4121" s="109">
        <f>IF(Key!D$1="ON",P4121,IF(SUM(Q4121:DL4121)&lt;1,"",SUM(Q4121:DL4121)/COUNTIF(Q4121:DL4121,"&gt;0")))</f>
        <v>0</v>
      </c>
      <c r="P4121" s="109">
        <f>SUMIFS(Q4121:DK4121,Q$1:DK$1,Dashboard!$K$31)</f>
        <v>0</v>
      </c>
      <c r="U4121" s="95">
        <v>33</v>
      </c>
      <c r="AA4121" s="95">
        <v>25</v>
      </c>
      <c r="AH4121" s="95">
        <v>75</v>
      </c>
    </row>
    <row r="4122" spans="1:34" x14ac:dyDescent="0.3">
      <c r="A4122" s="89" t="str">
        <f>CONCATENATE(D4122,".",F4122,"-",G4122,".",H4122,"")</f>
        <v>4.2-2.1</v>
      </c>
      <c r="B4122" s="89" t="str">
        <f>IF(CONCATENATE(I4122,Key!F$2)=CONCATENATE(INDEX(Dashboard!J:J,MATCH(I4122,Dashboard!J:J,0),1),INDEX(Dashboard!J:K,MATCH(I4122,Dashboard!J:J,0),2)),"ON",IF(Dashboard!K$32="ALL","ON","-"))</f>
        <v>-</v>
      </c>
      <c r="C4122" s="96" t="s">
        <v>329</v>
      </c>
      <c r="D4122" s="89">
        <f>IF(C4122="ID",1,(IF(C4122="PR",2,(IF(C4122="DE",3,(IF(C4122="RS",4,(IF(C4122="RC",5,0)))))))))</f>
        <v>4</v>
      </c>
      <c r="E4122" s="89" t="s">
        <v>341</v>
      </c>
      <c r="F4122" s="89">
        <f>IF(E4122="AM",1,(IF(E4122="BE",2,(IF(E4122="GV",3,(IF(E4122="RA",4,(IF(E4122="RM",5,(IF(E4122="AC",1,(IF(E4122="AT",2,(IF(E4122="DS",3,(IF(E4122="IP",4,(IF(E4122="MA",5,(IF(E4122="PT",6,(IF(E4122="AE",1,(IF(E4122="CM",2,(IF(E4122="DP",3,(IF(E4122="AN",1,(IF(E4122="CO",2,(IF(E4122="IM",3,(IF(E4122="MI",4,(IF(E4122="RP",5,(IF(E4122="SC",6,0)))))))))))))))))))))))))))))))))))))))</f>
        <v>2</v>
      </c>
      <c r="G4122" s="98">
        <v>2</v>
      </c>
      <c r="H4122" s="90" t="s">
        <v>115</v>
      </c>
      <c r="I4122" s="94" t="s">
        <v>77</v>
      </c>
      <c r="J4122" s="87" t="s">
        <v>1898</v>
      </c>
      <c r="K4122" s="102" t="s">
        <v>2797</v>
      </c>
      <c r="L4122" s="117">
        <f>IF(O4122="","",N4122*O4122*M4122)</f>
        <v>0</v>
      </c>
      <c r="M4122" s="108">
        <v>1</v>
      </c>
      <c r="N4122" s="95">
        <v>1</v>
      </c>
      <c r="O4122" s="109">
        <f>IF(Key!D$1="ON",P4122,IF(SUM(Q4122:DL4122)&lt;1,"",SUM(Q4122:DL4122)/COUNTIF(Q4122:DL4122,"&gt;0")))</f>
        <v>0</v>
      </c>
      <c r="P4122" s="109">
        <f>SUMIFS(Q4122:DK4122,Q$1:DK$1,Dashboard!$K$31)</f>
        <v>0</v>
      </c>
      <c r="U4122" s="95">
        <v>33</v>
      </c>
      <c r="AA4122" s="95">
        <v>25</v>
      </c>
      <c r="AH4122" s="95">
        <v>75</v>
      </c>
    </row>
    <row r="4123" spans="1:34" x14ac:dyDescent="0.3">
      <c r="A4123" s="89" t="str">
        <f>CONCATENATE(D4123,".",F4123,"-",G4123,".",H4123,"")</f>
        <v>4.2-2.1</v>
      </c>
      <c r="B4123" s="89" t="str">
        <f>IF(CONCATENATE(I4123,Key!F$2)=CONCATENATE(INDEX(Dashboard!J:J,MATCH(I4123,Dashboard!J:J,0),1),INDEX(Dashboard!J:K,MATCH(I4123,Dashboard!J:J,0),2)),"ON",IF(Dashboard!K$32="ALL","ON","-"))</f>
        <v>-</v>
      </c>
      <c r="C4123" s="88" t="s">
        <v>329</v>
      </c>
      <c r="D4123" s="89">
        <f>IF(C4123="ID",1,(IF(C4123="PR",2,(IF(C4123="DE",3,(IF(C4123="RS",4,(IF(C4123="RC",5,0)))))))))</f>
        <v>4</v>
      </c>
      <c r="E4123" s="89" t="s">
        <v>341</v>
      </c>
      <c r="F4123" s="89">
        <f>IF(E4123="AM",1,(IF(E4123="BE",2,(IF(E4123="GV",3,(IF(E4123="RA",4,(IF(E4123="RM",5,(IF(E4123="AC",1,(IF(E4123="AT",2,(IF(E4123="DS",3,(IF(E4123="IP",4,(IF(E4123="MA",5,(IF(E4123="PT",6,(IF(E4123="AE",1,(IF(E4123="CM",2,(IF(E4123="DP",3,(IF(E4123="AN",1,(IF(E4123="CO",2,(IF(E4123="IM",3,(IF(E4123="MI",4,(IF(E4123="RP",5,(IF(E4123="SC",6,0)))))))))))))))))))))))))))))))))))))))</f>
        <v>2</v>
      </c>
      <c r="G4123" s="52">
        <v>2</v>
      </c>
      <c r="H4123" s="90" t="s">
        <v>115</v>
      </c>
      <c r="I4123" s="94" t="s">
        <v>77</v>
      </c>
      <c r="J4123" s="87" t="s">
        <v>1900</v>
      </c>
      <c r="K4123" s="102" t="s">
        <v>2798</v>
      </c>
      <c r="L4123" s="117">
        <f>IF(O4123="","",N4123*O4123*M4123)</f>
        <v>0</v>
      </c>
      <c r="M4123" s="108">
        <v>1</v>
      </c>
      <c r="N4123" s="95">
        <v>1</v>
      </c>
      <c r="O4123" s="109">
        <f>IF(Key!D$1="ON",P4123,IF(SUM(Q4123:DL4123)&lt;1,"",SUM(Q4123:DL4123)/COUNTIF(Q4123:DL4123,"&gt;0")))</f>
        <v>0</v>
      </c>
      <c r="P4123" s="109">
        <f>SUMIFS(Q4123:DK4123,Q$1:DK$1,Dashboard!$K$31)</f>
        <v>0</v>
      </c>
      <c r="U4123" s="95">
        <v>33</v>
      </c>
      <c r="AA4123" s="95">
        <v>25</v>
      </c>
      <c r="AH4123" s="95">
        <v>75</v>
      </c>
    </row>
    <row r="4124" spans="1:34" x14ac:dyDescent="0.3">
      <c r="A4124" s="89" t="str">
        <f>CONCATENATE(D4124,".",F4124,"-",G4124,".",H4124,"")</f>
        <v>4.2-2.1</v>
      </c>
      <c r="B4124" s="89" t="str">
        <f>IF(CONCATENATE(I4124,Key!F$2)=CONCATENATE(INDEX(Dashboard!J:J,MATCH(I4124,Dashboard!J:J,0),1),INDEX(Dashboard!J:K,MATCH(I4124,Dashboard!J:J,0),2)),"ON",IF(Dashboard!K$32="ALL","ON","-"))</f>
        <v>-</v>
      </c>
      <c r="C4124" s="88" t="s">
        <v>329</v>
      </c>
      <c r="D4124" s="89">
        <f>IF(C4124="ID",1,(IF(C4124="PR",2,(IF(C4124="DE",3,(IF(C4124="RS",4,(IF(C4124="RC",5,0)))))))))</f>
        <v>4</v>
      </c>
      <c r="E4124" s="89" t="s">
        <v>341</v>
      </c>
      <c r="F4124" s="89">
        <f>IF(E4124="AM",1,(IF(E4124="BE",2,(IF(E4124="GV",3,(IF(E4124="RA",4,(IF(E4124="RM",5,(IF(E4124="AC",1,(IF(E4124="AT",2,(IF(E4124="DS",3,(IF(E4124="IP",4,(IF(E4124="MA",5,(IF(E4124="PT",6,(IF(E4124="AE",1,(IF(E4124="CM",2,(IF(E4124="DP",3,(IF(E4124="AN",1,(IF(E4124="CO",2,(IF(E4124="IM",3,(IF(E4124="MI",4,(IF(E4124="RP",5,(IF(E4124="SC",6,0)))))))))))))))))))))))))))))))))))))))</f>
        <v>2</v>
      </c>
      <c r="G4124" s="52">
        <v>2</v>
      </c>
      <c r="H4124" s="90" t="s">
        <v>115</v>
      </c>
      <c r="I4124" s="94" t="s">
        <v>77</v>
      </c>
      <c r="J4124" s="87" t="s">
        <v>1901</v>
      </c>
      <c r="K4124" s="102" t="s">
        <v>2799</v>
      </c>
      <c r="L4124" s="117">
        <f>IF(O4124="","",N4124*O4124*M4124)</f>
        <v>0</v>
      </c>
      <c r="M4124" s="108">
        <v>1</v>
      </c>
      <c r="N4124" s="95">
        <v>1</v>
      </c>
      <c r="O4124" s="109">
        <f>IF(Key!D$1="ON",P4124,IF(SUM(Q4124:DL4124)&lt;1,"",SUM(Q4124:DL4124)/COUNTIF(Q4124:DL4124,"&gt;0")))</f>
        <v>0</v>
      </c>
      <c r="P4124" s="109">
        <f>SUMIFS(Q4124:DK4124,Q$1:DK$1,Dashboard!$K$31)</f>
        <v>0</v>
      </c>
      <c r="U4124" s="95">
        <v>33</v>
      </c>
      <c r="AA4124" s="95">
        <v>25</v>
      </c>
      <c r="AH4124" s="95">
        <v>75</v>
      </c>
    </row>
    <row r="4125" spans="1:34" x14ac:dyDescent="0.3">
      <c r="A4125" s="89" t="str">
        <f>CONCATENATE(D4125,".",F4125,"-",G4125,".",H4125,"")</f>
        <v>4.2-2.1</v>
      </c>
      <c r="B4125" s="89" t="str">
        <f>IF(CONCATENATE(I4125,Key!F$2)=CONCATENATE(INDEX(Dashboard!J:J,MATCH(I4125,Dashboard!J:J,0),1),INDEX(Dashboard!J:K,MATCH(I4125,Dashboard!J:J,0),2)),"ON",IF(Dashboard!K$32="ALL","ON","-"))</f>
        <v>-</v>
      </c>
      <c r="C4125" s="88" t="s">
        <v>329</v>
      </c>
      <c r="D4125" s="89">
        <f>IF(C4125="ID",1,(IF(C4125="PR",2,(IF(C4125="DE",3,(IF(C4125="RS",4,(IF(C4125="RC",5,0)))))))))</f>
        <v>4</v>
      </c>
      <c r="E4125" s="89" t="s">
        <v>341</v>
      </c>
      <c r="F4125" s="89">
        <f>IF(E4125="AM",1,(IF(E4125="BE",2,(IF(E4125="GV",3,(IF(E4125="RA",4,(IF(E4125="RM",5,(IF(E4125="AC",1,(IF(E4125="AT",2,(IF(E4125="DS",3,(IF(E4125="IP",4,(IF(E4125="MA",5,(IF(E4125="PT",6,(IF(E4125="AE",1,(IF(E4125="CM",2,(IF(E4125="DP",3,(IF(E4125="AN",1,(IF(E4125="CO",2,(IF(E4125="IM",3,(IF(E4125="MI",4,(IF(E4125="RP",5,(IF(E4125="SC",6,0)))))))))))))))))))))))))))))))))))))))</f>
        <v>2</v>
      </c>
      <c r="G4125" s="52">
        <v>2</v>
      </c>
      <c r="H4125" s="90" t="s">
        <v>115</v>
      </c>
      <c r="I4125" s="94" t="s">
        <v>77</v>
      </c>
      <c r="J4125" s="87" t="s">
        <v>1902</v>
      </c>
      <c r="K4125" s="102" t="s">
        <v>2800</v>
      </c>
      <c r="L4125" s="117">
        <f>IF(O4125="","",N4125*O4125*M4125)</f>
        <v>0</v>
      </c>
      <c r="M4125" s="108">
        <v>1</v>
      </c>
      <c r="N4125" s="95">
        <v>1</v>
      </c>
      <c r="O4125" s="109">
        <f>IF(Key!D$1="ON",P4125,IF(SUM(Q4125:DL4125)&lt;1,"",SUM(Q4125:DL4125)/COUNTIF(Q4125:DL4125,"&gt;0")))</f>
        <v>0</v>
      </c>
      <c r="P4125" s="109">
        <f>SUMIFS(Q4125:DK4125,Q$1:DK$1,Dashboard!$K$31)</f>
        <v>0</v>
      </c>
      <c r="U4125" s="95">
        <v>33</v>
      </c>
      <c r="AA4125" s="95">
        <v>25</v>
      </c>
      <c r="AH4125" s="95">
        <v>75</v>
      </c>
    </row>
    <row r="4126" spans="1:34" x14ac:dyDescent="0.3">
      <c r="A4126" s="89" t="str">
        <f>CONCATENATE(D4126,".",F4126,"-",G4126,".",H4126,"")</f>
        <v>4.2-2.1</v>
      </c>
      <c r="B4126" s="89" t="str">
        <f>IF(CONCATENATE(I4126,Key!F$2)=CONCATENATE(INDEX(Dashboard!J:J,MATCH(I4126,Dashboard!J:J,0),1),INDEX(Dashboard!J:K,MATCH(I4126,Dashboard!J:J,0),2)),"ON",IF(Dashboard!K$32="ALL","ON","-"))</f>
        <v>-</v>
      </c>
      <c r="C4126" s="88" t="s">
        <v>329</v>
      </c>
      <c r="D4126" s="89">
        <f>IF(C4126="ID",1,(IF(C4126="PR",2,(IF(C4126="DE",3,(IF(C4126="RS",4,(IF(C4126="RC",5,0)))))))))</f>
        <v>4</v>
      </c>
      <c r="E4126" s="89" t="s">
        <v>341</v>
      </c>
      <c r="F4126" s="89">
        <f>IF(E4126="AM",1,(IF(E4126="BE",2,(IF(E4126="GV",3,(IF(E4126="RA",4,(IF(E4126="RM",5,(IF(E4126="AC",1,(IF(E4126="AT",2,(IF(E4126="DS",3,(IF(E4126="IP",4,(IF(E4126="MA",5,(IF(E4126="PT",6,(IF(E4126="AE",1,(IF(E4126="CM",2,(IF(E4126="DP",3,(IF(E4126="AN",1,(IF(E4126="CO",2,(IF(E4126="IM",3,(IF(E4126="MI",4,(IF(E4126="RP",5,(IF(E4126="SC",6,0)))))))))))))))))))))))))))))))))))))))</f>
        <v>2</v>
      </c>
      <c r="G4126" s="52">
        <v>2</v>
      </c>
      <c r="H4126" s="90" t="s">
        <v>115</v>
      </c>
      <c r="I4126" s="94" t="s">
        <v>85</v>
      </c>
      <c r="J4126" s="87" t="s">
        <v>1900</v>
      </c>
      <c r="K4126" s="119" t="s">
        <v>4806</v>
      </c>
      <c r="L4126" s="117">
        <f>IF(O4126="","",N4126*O4126*M4126)</f>
        <v>0</v>
      </c>
      <c r="M4126" s="108">
        <v>1</v>
      </c>
      <c r="N4126" s="95">
        <v>1</v>
      </c>
      <c r="O4126" s="109">
        <f>IF(Key!D$1="ON",P4126,IF(SUM(Q4126:DL4126)&lt;1,"",SUM(Q4126:DL4126)/COUNTIF(Q4126:DL4126,"&gt;0")))</f>
        <v>0</v>
      </c>
      <c r="P4126" s="109">
        <f>SUMIFS(Q4126:DK4126,Q$1:DK$1,Dashboard!$K$31)</f>
        <v>0</v>
      </c>
      <c r="U4126" s="95">
        <v>33</v>
      </c>
      <c r="AA4126" s="95">
        <v>25</v>
      </c>
      <c r="AH4126" s="95">
        <v>75</v>
      </c>
    </row>
    <row r="4127" spans="1:34" x14ac:dyDescent="0.3">
      <c r="A4127" s="89" t="str">
        <f>CONCATENATE(D4127,".",F4127,"-",G4127,".",H4127,"")</f>
        <v>4.2-2.1</v>
      </c>
      <c r="B4127" s="89" t="str">
        <f>IF(CONCATENATE(I4127,Key!F$2)=CONCATENATE(INDEX(Dashboard!J:J,MATCH(I4127,Dashboard!J:J,0),1),INDEX(Dashboard!J:K,MATCH(I4127,Dashboard!J:J,0),2)),"ON",IF(Dashboard!K$32="ALL","ON","-"))</f>
        <v>-</v>
      </c>
      <c r="C4127" s="96" t="s">
        <v>329</v>
      </c>
      <c r="D4127" s="89">
        <f>IF(C4127="ID",1,(IF(C4127="PR",2,(IF(C4127="DE",3,(IF(C4127="RS",4,(IF(C4127="RC",5,0)))))))))</f>
        <v>4</v>
      </c>
      <c r="E4127" s="89" t="s">
        <v>341</v>
      </c>
      <c r="F4127" s="89">
        <f>IF(E4127="AM",1,(IF(E4127="BE",2,(IF(E4127="GV",3,(IF(E4127="RA",4,(IF(E4127="RM",5,(IF(E4127="AC",1,(IF(E4127="AT",2,(IF(E4127="DS",3,(IF(E4127="IP",4,(IF(E4127="MA",5,(IF(E4127="PT",6,(IF(E4127="AE",1,(IF(E4127="CM",2,(IF(E4127="DP",3,(IF(E4127="AN",1,(IF(E4127="CO",2,(IF(E4127="IM",3,(IF(E4127="MI",4,(IF(E4127="RP",5,(IF(E4127="SC",6,0)))))))))))))))))))))))))))))))))))))))</f>
        <v>2</v>
      </c>
      <c r="G4127" s="98">
        <v>2</v>
      </c>
      <c r="H4127" s="90" t="s">
        <v>115</v>
      </c>
      <c r="I4127" s="94" t="s">
        <v>85</v>
      </c>
      <c r="J4127" s="87" t="s">
        <v>1898</v>
      </c>
      <c r="K4127" s="119" t="s">
        <v>1899</v>
      </c>
      <c r="L4127" s="117">
        <f>IF(O4127="","",N4127*O4127*M4127)</f>
        <v>0</v>
      </c>
      <c r="M4127" s="108">
        <v>1</v>
      </c>
      <c r="N4127" s="95">
        <v>1</v>
      </c>
      <c r="O4127" s="109">
        <f>IF(Key!D$1="ON",P4127,IF(SUM(Q4127:DL4127)&lt;1,"",SUM(Q4127:DL4127)/COUNTIF(Q4127:DL4127,"&gt;0")))</f>
        <v>0</v>
      </c>
      <c r="P4127" s="109">
        <f>SUMIFS(Q4127:DK4127,Q$1:DK$1,Dashboard!$K$31)</f>
        <v>0</v>
      </c>
      <c r="U4127" s="95">
        <v>33</v>
      </c>
      <c r="AA4127" s="95">
        <v>25</v>
      </c>
      <c r="AH4127" s="95">
        <v>75</v>
      </c>
    </row>
    <row r="4128" spans="1:34" x14ac:dyDescent="0.3">
      <c r="A4128" s="89" t="str">
        <f>CONCATENATE(D4128,".",F4128,"-",G4128,".",H4128,"")</f>
        <v>4.2-2.1</v>
      </c>
      <c r="B4128" s="89" t="str">
        <f>IF(CONCATENATE(I4128,Key!F$2)=CONCATENATE(INDEX(Dashboard!J:J,MATCH(I4128,Dashboard!J:J,0),1),INDEX(Dashboard!J:K,MATCH(I4128,Dashboard!J:J,0),2)),"ON",IF(Dashboard!K$32="ALL","ON","-"))</f>
        <v>-</v>
      </c>
      <c r="C4128" s="88" t="s">
        <v>329</v>
      </c>
      <c r="D4128" s="89">
        <f>IF(C4128="ID",1,(IF(C4128="PR",2,(IF(C4128="DE",3,(IF(C4128="RS",4,(IF(C4128="RC",5,0)))))))))</f>
        <v>4</v>
      </c>
      <c r="E4128" s="89" t="s">
        <v>341</v>
      </c>
      <c r="F4128" s="89">
        <f>IF(E4128="AM",1,(IF(E4128="BE",2,(IF(E4128="GV",3,(IF(E4128="RA",4,(IF(E4128="RM",5,(IF(E4128="AC",1,(IF(E4128="AT",2,(IF(E4128="DS",3,(IF(E4128="IP",4,(IF(E4128="MA",5,(IF(E4128="PT",6,(IF(E4128="AE",1,(IF(E4128="CM",2,(IF(E4128="DP",3,(IF(E4128="AN",1,(IF(E4128="CO",2,(IF(E4128="IM",3,(IF(E4128="MI",4,(IF(E4128="RP",5,(IF(E4128="SC",6,0)))))))))))))))))))))))))))))))))))))))</f>
        <v>2</v>
      </c>
      <c r="G4128" s="52">
        <v>2</v>
      </c>
      <c r="H4128" s="90" t="s">
        <v>115</v>
      </c>
      <c r="I4128" s="94" t="s">
        <v>85</v>
      </c>
      <c r="J4128" s="87" t="s">
        <v>1836</v>
      </c>
      <c r="K4128" s="119" t="s">
        <v>5124</v>
      </c>
      <c r="L4128" s="117">
        <f>IF(O4128="","",N4128*O4128*M4128)</f>
        <v>0</v>
      </c>
      <c r="M4128" s="108">
        <v>1</v>
      </c>
      <c r="N4128" s="95">
        <v>1</v>
      </c>
      <c r="O4128" s="109">
        <f>IF(Key!D$1="ON",P4128,IF(SUM(Q4128:DL4128)&lt;1,"",SUM(Q4128:DL4128)/COUNTIF(Q4128:DL4128,"&gt;0")))</f>
        <v>0</v>
      </c>
      <c r="P4128" s="109">
        <f>SUMIFS(Q4128:DK4128,Q$1:DK$1,Dashboard!$K$31)</f>
        <v>0</v>
      </c>
      <c r="U4128" s="95">
        <v>33</v>
      </c>
      <c r="AA4128" s="95">
        <v>25</v>
      </c>
      <c r="AH4128" s="95">
        <v>75</v>
      </c>
    </row>
    <row r="4129" spans="1:34" x14ac:dyDescent="0.3">
      <c r="A4129" s="89" t="str">
        <f>CONCATENATE(D4129,".",F4129,"-",G4129,".",H4129,"")</f>
        <v>4.2-2.1</v>
      </c>
      <c r="B4129" s="89" t="str">
        <f>IF(CONCATENATE(I4129,Key!F$2)=CONCATENATE(INDEX(Dashboard!J:J,MATCH(I4129,Dashboard!J:J,0),1),INDEX(Dashboard!J:K,MATCH(I4129,Dashboard!J:J,0),2)),"ON",IF(Dashboard!K$32="ALL","ON","-"))</f>
        <v>-</v>
      </c>
      <c r="C4129" s="88" t="s">
        <v>329</v>
      </c>
      <c r="D4129" s="89">
        <f>IF(C4129="ID",1,(IF(C4129="PR",2,(IF(C4129="DE",3,(IF(C4129="RS",4,(IF(C4129="RC",5,0)))))))))</f>
        <v>4</v>
      </c>
      <c r="E4129" s="89" t="s">
        <v>341</v>
      </c>
      <c r="F4129" s="89">
        <f>IF(E4129="AM",1,(IF(E4129="BE",2,(IF(E4129="GV",3,(IF(E4129="RA",4,(IF(E4129="RM",5,(IF(E4129="AC",1,(IF(E4129="AT",2,(IF(E4129="DS",3,(IF(E4129="IP",4,(IF(E4129="MA",5,(IF(E4129="PT",6,(IF(E4129="AE",1,(IF(E4129="CM",2,(IF(E4129="DP",3,(IF(E4129="AN",1,(IF(E4129="CO",2,(IF(E4129="IM",3,(IF(E4129="MI",4,(IF(E4129="RP",5,(IF(E4129="SC",6,0)))))))))))))))))))))))))))))))))))))))</f>
        <v>2</v>
      </c>
      <c r="G4129" s="52">
        <v>2</v>
      </c>
      <c r="H4129" s="90" t="s">
        <v>115</v>
      </c>
      <c r="I4129" s="94" t="s">
        <v>85</v>
      </c>
      <c r="J4129" s="87" t="s">
        <v>1902</v>
      </c>
      <c r="K4129" s="119" t="s">
        <v>4799</v>
      </c>
      <c r="L4129" s="117">
        <f>IF(O4129="","",N4129*O4129*M4129)</f>
        <v>0</v>
      </c>
      <c r="M4129" s="108">
        <v>1</v>
      </c>
      <c r="N4129" s="95">
        <v>1</v>
      </c>
      <c r="O4129" s="109">
        <f>IF(Key!D$1="ON",P4129,IF(SUM(Q4129:DL4129)&lt;1,"",SUM(Q4129:DL4129)/COUNTIF(Q4129:DL4129,"&gt;0")))</f>
        <v>0</v>
      </c>
      <c r="P4129" s="109">
        <f>SUMIFS(Q4129:DK4129,Q$1:DK$1,Dashboard!$K$31)</f>
        <v>0</v>
      </c>
      <c r="U4129" s="95">
        <v>33</v>
      </c>
      <c r="AA4129" s="95">
        <v>25</v>
      </c>
      <c r="AH4129" s="95">
        <v>75</v>
      </c>
    </row>
    <row r="4130" spans="1:34" x14ac:dyDescent="0.3">
      <c r="A4130" s="89" t="str">
        <f>CONCATENATE(D4130,".",F4130,"-",G4130,".",H4130,"")</f>
        <v>4.2-2.1</v>
      </c>
      <c r="B4130" s="89" t="str">
        <f>IF(CONCATENATE(I4130,Key!F$2)=CONCATENATE(INDEX(Dashboard!J:J,MATCH(I4130,Dashboard!J:J,0),1),INDEX(Dashboard!J:K,MATCH(I4130,Dashboard!J:J,0),2)),"ON",IF(Dashboard!K$32="ALL","ON","-"))</f>
        <v>-</v>
      </c>
      <c r="C4130" s="88" t="s">
        <v>329</v>
      </c>
      <c r="D4130" s="89">
        <f>IF(C4130="ID",1,(IF(C4130="PR",2,(IF(C4130="DE",3,(IF(C4130="RS",4,(IF(C4130="RC",5,0)))))))))</f>
        <v>4</v>
      </c>
      <c r="E4130" s="89" t="s">
        <v>341</v>
      </c>
      <c r="F4130" s="89">
        <f>IF(E4130="AM",1,(IF(E4130="BE",2,(IF(E4130="GV",3,(IF(E4130="RA",4,(IF(E4130="RM",5,(IF(E4130="AC",1,(IF(E4130="AT",2,(IF(E4130="DS",3,(IF(E4130="IP",4,(IF(E4130="MA",5,(IF(E4130="PT",6,(IF(E4130="AE",1,(IF(E4130="CM",2,(IF(E4130="DP",3,(IF(E4130="AN",1,(IF(E4130="CO",2,(IF(E4130="IM",3,(IF(E4130="MI",4,(IF(E4130="RP",5,(IF(E4130="SC",6,0)))))))))))))))))))))))))))))))))))))))</f>
        <v>2</v>
      </c>
      <c r="G4130" s="52">
        <v>2</v>
      </c>
      <c r="H4130" s="90" t="s">
        <v>115</v>
      </c>
      <c r="I4130" s="94" t="s">
        <v>85</v>
      </c>
      <c r="J4130" s="87" t="s">
        <v>1901</v>
      </c>
      <c r="K4130" s="119" t="s">
        <v>4807</v>
      </c>
      <c r="L4130" s="117">
        <f>IF(O4130="","",N4130*O4130*M4130)</f>
        <v>0</v>
      </c>
      <c r="M4130" s="108">
        <v>1</v>
      </c>
      <c r="N4130" s="95">
        <v>1</v>
      </c>
      <c r="O4130" s="109">
        <f>IF(Key!D$1="ON",P4130,IF(SUM(Q4130:DL4130)&lt;1,"",SUM(Q4130:DL4130)/COUNTIF(Q4130:DL4130,"&gt;0")))</f>
        <v>0</v>
      </c>
      <c r="P4130" s="109">
        <f>SUMIFS(Q4130:DK4130,Q$1:DK$1,Dashboard!$K$31)</f>
        <v>0</v>
      </c>
      <c r="U4130" s="95">
        <v>33</v>
      </c>
      <c r="AA4130" s="95">
        <v>25</v>
      </c>
      <c r="AH4130" s="95">
        <v>75</v>
      </c>
    </row>
    <row r="4131" spans="1:34" x14ac:dyDescent="0.3">
      <c r="A4131" s="89" t="str">
        <f>CONCATENATE(D4131,".",F4131,"-",G4131,".",H4131,"")</f>
        <v>4.2-2.1</v>
      </c>
      <c r="B4131" s="89" t="str">
        <f>IF(CONCATENATE(I4131,Key!F$2)=CONCATENATE(INDEX(Dashboard!J:J,MATCH(I4131,Dashboard!J:J,0),1),INDEX(Dashboard!J:K,MATCH(I4131,Dashboard!J:J,0),2)),"ON",IF(Dashboard!K$32="ALL","ON","-"))</f>
        <v>-</v>
      </c>
      <c r="C4131" s="96" t="s">
        <v>329</v>
      </c>
      <c r="D4131" s="89">
        <f>IF(C4131="ID",1,(IF(C4131="PR",2,(IF(C4131="DE",3,(IF(C4131="RS",4,(IF(C4131="RC",5,0)))))))))</f>
        <v>4</v>
      </c>
      <c r="E4131" s="89" t="s">
        <v>341</v>
      </c>
      <c r="F4131" s="89">
        <f>IF(E4131="AM",1,(IF(E4131="BE",2,(IF(E4131="GV",3,(IF(E4131="RA",4,(IF(E4131="RM",5,(IF(E4131="AC",1,(IF(E4131="AT",2,(IF(E4131="DS",3,(IF(E4131="IP",4,(IF(E4131="MA",5,(IF(E4131="PT",6,(IF(E4131="AE",1,(IF(E4131="CM",2,(IF(E4131="DP",3,(IF(E4131="AN",1,(IF(E4131="CO",2,(IF(E4131="IM",3,(IF(E4131="MI",4,(IF(E4131="RP",5,(IF(E4131="SC",6,0)))))))))))))))))))))))))))))))))))))))</f>
        <v>2</v>
      </c>
      <c r="G4131" s="98">
        <v>2</v>
      </c>
      <c r="H4131" s="90" t="s">
        <v>115</v>
      </c>
      <c r="I4131" s="94" t="s">
        <v>92</v>
      </c>
      <c r="J4131" s="87">
        <v>10.6</v>
      </c>
      <c r="K4131" s="102" t="s">
        <v>5226</v>
      </c>
      <c r="L4131" s="117">
        <f>IF(O4131="","",N4131*O4131*M4131)</f>
        <v>0</v>
      </c>
      <c r="M4131" s="108">
        <v>1</v>
      </c>
      <c r="N4131" s="95">
        <v>1</v>
      </c>
      <c r="O4131" s="109">
        <f>IF(Key!D$1="ON",P4131,IF(SUM(Q4131:DL4131)&lt;1,"",SUM(Q4131:DL4131)/COUNTIF(Q4131:DL4131,"&gt;0")))</f>
        <v>0</v>
      </c>
      <c r="P4131" s="109">
        <f>SUMIFS(Q4131:DK4131,Q$1:DK$1,Dashboard!$K$31)</f>
        <v>0</v>
      </c>
      <c r="U4131" s="95">
        <v>33</v>
      </c>
      <c r="AA4131" s="95">
        <v>25</v>
      </c>
      <c r="AH4131" s="95">
        <v>75</v>
      </c>
    </row>
    <row r="4132" spans="1:34" x14ac:dyDescent="0.3">
      <c r="A4132" s="89" t="str">
        <f>CONCATENATE(D4132,".",F4132,"-",G4132,".",H4132,"")</f>
        <v>4.2-2.1</v>
      </c>
      <c r="B4132" s="89" t="str">
        <f>IF(CONCATENATE(I4132,Key!F$2)=CONCATENATE(INDEX(Dashboard!J:J,MATCH(I4132,Dashboard!J:J,0),1),INDEX(Dashboard!J:K,MATCH(I4132,Dashboard!J:J,0),2)),"ON",IF(Dashboard!K$32="ALL","ON","-"))</f>
        <v>-</v>
      </c>
      <c r="C4132" s="96" t="s">
        <v>329</v>
      </c>
      <c r="D4132" s="89">
        <f>IF(C4132="ID",1,(IF(C4132="PR",2,(IF(C4132="DE",3,(IF(C4132="RS",4,(IF(C4132="RC",5,0)))))))))</f>
        <v>4</v>
      </c>
      <c r="E4132" s="89" t="s">
        <v>341</v>
      </c>
      <c r="F4132" s="89">
        <f>IF(E4132="AM",1,(IF(E4132="BE",2,(IF(E4132="GV",3,(IF(E4132="RA",4,(IF(E4132="RM",5,(IF(E4132="AC",1,(IF(E4132="AT",2,(IF(E4132="DS",3,(IF(E4132="IP",4,(IF(E4132="MA",5,(IF(E4132="PT",6,(IF(E4132="AE",1,(IF(E4132="CM",2,(IF(E4132="DP",3,(IF(E4132="AN",1,(IF(E4132="CO",2,(IF(E4132="IM",3,(IF(E4132="MI",4,(IF(E4132="RP",5,(IF(E4132="SC",6,0)))))))))))))))))))))))))))))))))))))))</f>
        <v>2</v>
      </c>
      <c r="G4132" s="98">
        <v>2</v>
      </c>
      <c r="H4132" s="90" t="s">
        <v>115</v>
      </c>
      <c r="I4132" s="94" t="s">
        <v>92</v>
      </c>
      <c r="J4132" s="88" t="s">
        <v>314</v>
      </c>
      <c r="K4132" s="102" t="s">
        <v>5226</v>
      </c>
      <c r="L4132" s="117">
        <f>IF(O4132="","",N4132*O4132*M4132)</f>
        <v>0</v>
      </c>
      <c r="M4132" s="108">
        <v>1</v>
      </c>
      <c r="N4132" s="95">
        <v>1</v>
      </c>
      <c r="O4132" s="109">
        <f>IF(Key!D$1="ON",P4132,IF(SUM(Q4132:DL4132)&lt;1,"",SUM(Q4132:DL4132)/COUNTIF(Q4132:DL4132,"&gt;0")))</f>
        <v>0</v>
      </c>
      <c r="P4132" s="109">
        <f>SUMIFS(Q4132:DK4132,Q$1:DK$1,Dashboard!$K$31)</f>
        <v>0</v>
      </c>
      <c r="U4132" s="95">
        <v>33</v>
      </c>
      <c r="AA4132" s="95">
        <v>25</v>
      </c>
      <c r="AH4132" s="95">
        <v>75</v>
      </c>
    </row>
    <row r="4133" spans="1:34" x14ac:dyDescent="0.3">
      <c r="A4133" s="89" t="str">
        <f>CONCATENATE(D4133,".",F4133,"-",G4133,".",H4133,"")</f>
        <v>4.2-2.1</v>
      </c>
      <c r="B4133" s="89" t="str">
        <f>IF(CONCATENATE(I4133,Key!F$2)=CONCATENATE(INDEX(Dashboard!J:J,MATCH(I4133,Dashboard!J:J,0),1),INDEX(Dashboard!J:K,MATCH(I4133,Dashboard!J:J,0),2)),"ON",IF(Dashboard!K$32="ALL","ON","-"))</f>
        <v>-</v>
      </c>
      <c r="C4133" s="96" t="s">
        <v>329</v>
      </c>
      <c r="D4133" s="89">
        <f>IF(C4133="ID",1,(IF(C4133="PR",2,(IF(C4133="DE",3,(IF(C4133="RS",4,(IF(C4133="RC",5,0)))))))))</f>
        <v>4</v>
      </c>
      <c r="E4133" s="89" t="s">
        <v>341</v>
      </c>
      <c r="F4133" s="89">
        <f>IF(E4133="AM",1,(IF(E4133="BE",2,(IF(E4133="GV",3,(IF(E4133="RA",4,(IF(E4133="RM",5,(IF(E4133="AC",1,(IF(E4133="AT",2,(IF(E4133="DS",3,(IF(E4133="IP",4,(IF(E4133="MA",5,(IF(E4133="PT",6,(IF(E4133="AE",1,(IF(E4133="CM",2,(IF(E4133="DP",3,(IF(E4133="AN",1,(IF(E4133="CO",2,(IF(E4133="IM",3,(IF(E4133="MI",4,(IF(E4133="RP",5,(IF(E4133="SC",6,0)))))))))))))))))))))))))))))))))))))))</f>
        <v>2</v>
      </c>
      <c r="G4133" s="98">
        <v>2</v>
      </c>
      <c r="H4133" s="90" t="s">
        <v>115</v>
      </c>
      <c r="I4133" s="94" t="s">
        <v>92</v>
      </c>
      <c r="J4133" s="87" t="s">
        <v>317</v>
      </c>
      <c r="K4133" s="102" t="s">
        <v>5226</v>
      </c>
      <c r="L4133" s="117">
        <f>IF(O4133="","",N4133*O4133*M4133)</f>
        <v>0</v>
      </c>
      <c r="M4133" s="108">
        <v>1</v>
      </c>
      <c r="N4133" s="95">
        <v>1</v>
      </c>
      <c r="O4133" s="109">
        <f>IF(Key!D$1="ON",P4133,IF(SUM(Q4133:DL4133)&lt;1,"",SUM(Q4133:DL4133)/COUNTIF(Q4133:DL4133,"&gt;0")))</f>
        <v>0</v>
      </c>
      <c r="P4133" s="109">
        <f>SUMIFS(Q4133:DK4133,Q$1:DK$1,Dashboard!$K$31)</f>
        <v>0</v>
      </c>
      <c r="U4133" s="95">
        <v>33</v>
      </c>
      <c r="AA4133" s="95">
        <v>25</v>
      </c>
      <c r="AH4133" s="95">
        <v>75</v>
      </c>
    </row>
    <row r="4134" spans="1:34" x14ac:dyDescent="0.3">
      <c r="A4134" s="89" t="str">
        <f>CONCATENATE(D4134,".",F4134,"-",G4134,".",H4134,"")</f>
        <v>4.2-3.0</v>
      </c>
      <c r="B4134" s="89" t="str">
        <f>IF(CONCATENATE(I4134,Key!F$2)=CONCATENATE(INDEX(Dashboard!J:J,MATCH(I4134,Dashboard!J:J,0),1),INDEX(Dashboard!J:K,MATCH(I4134,Dashboard!J:J,0),2)),"ON",IF(Dashboard!K$32="ALL","ON","-"))</f>
        <v>-</v>
      </c>
      <c r="C4134" s="96" t="s">
        <v>329</v>
      </c>
      <c r="D4134" s="89">
        <f>IF(C4134="ID",1,(IF(C4134="PR",2,(IF(C4134="DE",3,(IF(C4134="RS",4,(IF(C4134="RC",5,0)))))))))</f>
        <v>4</v>
      </c>
      <c r="E4134" s="89" t="s">
        <v>341</v>
      </c>
      <c r="F4134" s="89">
        <f>IF(E4134="AM",1,(IF(E4134="BE",2,(IF(E4134="GV",3,(IF(E4134="RA",4,(IF(E4134="RM",5,(IF(E4134="AC",1,(IF(E4134="AT",2,(IF(E4134="DS",3,(IF(E4134="IP",4,(IF(E4134="MA",5,(IF(E4134="PT",6,(IF(E4134="AE",1,(IF(E4134="CM",2,(IF(E4134="DP",3,(IF(E4134="AN",1,(IF(E4134="CO",2,(IF(E4134="IM",3,(IF(E4134="MI",4,(IF(E4134="RP",5,(IF(E4134="SC",6,0)))))))))))))))))))))))))))))))))))))))</f>
        <v>2</v>
      </c>
      <c r="G4134" s="52">
        <v>3</v>
      </c>
      <c r="H4134" s="90" t="s">
        <v>347</v>
      </c>
      <c r="I4134" s="94" t="s">
        <v>2835</v>
      </c>
      <c r="J4134" s="53" t="s">
        <v>3069</v>
      </c>
      <c r="K4134" s="105" t="s">
        <v>3070</v>
      </c>
      <c r="L4134" s="117">
        <f>IF(O4134="","",N4134*O4134*M4134)</f>
        <v>0</v>
      </c>
      <c r="M4134" s="108">
        <v>1</v>
      </c>
      <c r="N4134" s="95">
        <v>1</v>
      </c>
      <c r="O4134" s="109">
        <f>IF(Key!D$1="ON",P4134,IF(SUM(Q4134:DL4134)&lt;1,"",SUM(Q4134:DL4134)/COUNTIF(Q4134:DL4134,"&gt;0")))</f>
        <v>0</v>
      </c>
      <c r="P4134" s="109">
        <f>SUMIFS(Q4134:DK4134,Q$1:DK$1,Dashboard!$K$31)</f>
        <v>0</v>
      </c>
      <c r="U4134" s="95">
        <v>33</v>
      </c>
    </row>
    <row r="4135" spans="1:34" x14ac:dyDescent="0.3">
      <c r="A4135" s="89" t="str">
        <f>CONCATENATE(D4135,".",F4135,"-",G4135,".",H4135,"")</f>
        <v>4.2-3.1</v>
      </c>
      <c r="B4135" s="89" t="str">
        <f>IF(CONCATENATE(I4135,Key!F$2)=CONCATENATE(INDEX(Dashboard!J:J,MATCH(I4135,Dashboard!J:J,0),1),INDEX(Dashboard!J:K,MATCH(I4135,Dashboard!J:J,0),2)),"ON",IF(Dashboard!K$32="ALL","ON","-"))</f>
        <v>ON</v>
      </c>
      <c r="C4135" s="130" t="s">
        <v>329</v>
      </c>
      <c r="D4135" s="89">
        <f>IF(C4135="ID",1,(IF(C4135="PR",2,(IF(C4135="DE",3,(IF(C4135="RS",4,(IF(C4135="RC",5,0)))))))))</f>
        <v>4</v>
      </c>
      <c r="E4135" s="95" t="s">
        <v>341</v>
      </c>
      <c r="F4135" s="89">
        <f>IF(E4135="AM",1,(IF(E4135="BE",2,(IF(E4135="GV",3,(IF(E4135="RA",4,(IF(E4135="RM",5,(IF(E4135="AC",1,(IF(E4135="AT",2,(IF(E4135="DS",3,(IF(E4135="IP",4,(IF(E4135="MA",5,(IF(E4135="PT",6,(IF(E4135="AE",1,(IF(E4135="CM",2,(IF(E4135="DP",3,(IF(E4135="AN",1,(IF(E4135="CO",2,(IF(E4135="IM",3,(IF(E4135="MI",4,(IF(E4135="RP",5,(IF(E4135="SC",6,0)))))))))))))))))))))))))))))))))))))))</f>
        <v>2</v>
      </c>
      <c r="G4135" s="52">
        <v>3</v>
      </c>
      <c r="H4135" s="90" t="s">
        <v>115</v>
      </c>
      <c r="I4135" s="94" t="s">
        <v>4107</v>
      </c>
      <c r="J4135" s="86" t="s">
        <v>4010</v>
      </c>
      <c r="K4135" s="101" t="s">
        <v>4449</v>
      </c>
      <c r="L4135" s="117">
        <f>IF(O4135="","",N4135*O4135*M4135)</f>
        <v>0</v>
      </c>
      <c r="M4135" s="108">
        <v>1</v>
      </c>
      <c r="N4135" s="95">
        <v>1</v>
      </c>
      <c r="O4135" s="109">
        <f>IF(Key!D$1="ON",P4135,IF(SUM(Q4135:DL4135)&lt;1,"",SUM(Q4135:DL4135)/COUNTIF(Q4135:DL4135,"&gt;0")))</f>
        <v>0</v>
      </c>
      <c r="P4135" s="109">
        <f>SUMIFS(Q4135:DK4135,Q$1:DK$1,Dashboard!$K$31)</f>
        <v>0</v>
      </c>
      <c r="U4135" s="95">
        <v>33</v>
      </c>
      <c r="AA4135" s="95">
        <v>25</v>
      </c>
      <c r="AH4135" s="95">
        <v>75</v>
      </c>
    </row>
    <row r="4136" spans="1:34" x14ac:dyDescent="0.3">
      <c r="A4136" s="89" t="str">
        <f>CONCATENATE(D4136,".",F4136,"-",G4136,".",H4136,"")</f>
        <v>4.2-3.1</v>
      </c>
      <c r="B4136" s="89" t="str">
        <f>IF(CONCATENATE(I4136,Key!F$2)=CONCATENATE(INDEX(Dashboard!J:J,MATCH(I4136,Dashboard!J:J,0),1),INDEX(Dashboard!J:K,MATCH(I4136,Dashboard!J:J,0),2)),"ON",IF(Dashboard!K$32="ALL","ON","-"))</f>
        <v>-</v>
      </c>
      <c r="C4136" s="96" t="s">
        <v>329</v>
      </c>
      <c r="D4136" s="89">
        <f>IF(C4136="ID",1,(IF(C4136="PR",2,(IF(C4136="DE",3,(IF(C4136="RS",4,(IF(C4136="RC",5,0)))))))))</f>
        <v>4</v>
      </c>
      <c r="E4136" s="89" t="s">
        <v>341</v>
      </c>
      <c r="F4136" s="89">
        <f>IF(E4136="AM",1,(IF(E4136="BE",2,(IF(E4136="GV",3,(IF(E4136="RA",4,(IF(E4136="RM",5,(IF(E4136="AC",1,(IF(E4136="AT",2,(IF(E4136="DS",3,(IF(E4136="IP",4,(IF(E4136="MA",5,(IF(E4136="PT",6,(IF(E4136="AE",1,(IF(E4136="CM",2,(IF(E4136="DP",3,(IF(E4136="AN",1,(IF(E4136="CO",2,(IF(E4136="IM",3,(IF(E4136="MI",4,(IF(E4136="RP",5,(IF(E4136="SC",6,0)))))))))))))))))))))))))))))))))))))))</f>
        <v>2</v>
      </c>
      <c r="G4136" s="98">
        <v>3</v>
      </c>
      <c r="H4136" s="90" t="s">
        <v>115</v>
      </c>
      <c r="I4136" s="94" t="s">
        <v>52</v>
      </c>
      <c r="J4136" s="88" t="s">
        <v>3443</v>
      </c>
      <c r="K4136" s="103" t="s">
        <v>3444</v>
      </c>
      <c r="L4136" s="117">
        <f>IF(O4136="","",N4136*O4136*M4136)</f>
        <v>0</v>
      </c>
      <c r="M4136" s="108">
        <v>1</v>
      </c>
      <c r="N4136" s="95">
        <v>1</v>
      </c>
      <c r="O4136" s="109">
        <f>IF(Key!D$1="ON",P4136,IF(SUM(Q4136:DL4136)&lt;1,"",SUM(Q4136:DL4136)/COUNTIF(Q4136:DL4136,"&gt;0")))</f>
        <v>0</v>
      </c>
      <c r="P4136" s="109">
        <f>SUMIFS(Q4136:DK4136,Q$1:DK$1,Dashboard!$K$31)</f>
        <v>0</v>
      </c>
      <c r="U4136" s="95">
        <v>33</v>
      </c>
      <c r="AA4136" s="95">
        <v>25</v>
      </c>
      <c r="AH4136" s="95">
        <v>75</v>
      </c>
    </row>
    <row r="4137" spans="1:34" x14ac:dyDescent="0.3">
      <c r="A4137" s="89" t="str">
        <f>CONCATENATE(D4137,".",F4137,"-",G4137,".",H4137,"")</f>
        <v>4.2-3.1</v>
      </c>
      <c r="B4137" s="89" t="str">
        <f>IF(CONCATENATE(I4137,Key!F$2)=CONCATENATE(INDEX(Dashboard!J:J,MATCH(I4137,Dashboard!J:J,0),1),INDEX(Dashboard!J:K,MATCH(I4137,Dashboard!J:J,0),2)),"ON",IF(Dashboard!K$32="ALL","ON","-"))</f>
        <v>-</v>
      </c>
      <c r="C4137" s="96" t="s">
        <v>329</v>
      </c>
      <c r="D4137" s="89">
        <f>IF(C4137="ID",1,(IF(C4137="PR",2,(IF(C4137="DE",3,(IF(C4137="RS",4,(IF(C4137="RC",5,0)))))))))</f>
        <v>4</v>
      </c>
      <c r="E4137" s="89" t="s">
        <v>341</v>
      </c>
      <c r="F4137" s="89">
        <f>IF(E4137="AM",1,(IF(E4137="BE",2,(IF(E4137="GV",3,(IF(E4137="RA",4,(IF(E4137="RM",5,(IF(E4137="AC",1,(IF(E4137="AT",2,(IF(E4137="DS",3,(IF(E4137="IP",4,(IF(E4137="MA",5,(IF(E4137="PT",6,(IF(E4137="AE",1,(IF(E4137="CM",2,(IF(E4137="DP",3,(IF(E4137="AN",1,(IF(E4137="CO",2,(IF(E4137="IM",3,(IF(E4137="MI",4,(IF(E4137="RP",5,(IF(E4137="SC",6,0)))))))))))))))))))))))))))))))))))))))</f>
        <v>2</v>
      </c>
      <c r="G4137" s="98">
        <v>3</v>
      </c>
      <c r="H4137" s="90" t="s">
        <v>115</v>
      </c>
      <c r="I4137" s="94" t="s">
        <v>52</v>
      </c>
      <c r="J4137" s="88" t="s">
        <v>3299</v>
      </c>
      <c r="K4137" s="103" t="s">
        <v>3300</v>
      </c>
      <c r="L4137" s="117">
        <f>IF(O4137="","",N4137*O4137*M4137)</f>
        <v>0</v>
      </c>
      <c r="M4137" s="108">
        <v>1</v>
      </c>
      <c r="N4137" s="95">
        <v>1</v>
      </c>
      <c r="O4137" s="109">
        <f>IF(Key!D$1="ON",P4137,IF(SUM(Q4137:DL4137)&lt;1,"",SUM(Q4137:DL4137)/COUNTIF(Q4137:DL4137,"&gt;0")))</f>
        <v>0</v>
      </c>
      <c r="P4137" s="109">
        <f>SUMIFS(Q4137:DK4137,Q$1:DK$1,Dashboard!$K$31)</f>
        <v>0</v>
      </c>
      <c r="U4137" s="95">
        <v>33</v>
      </c>
      <c r="AA4137" s="95">
        <v>25</v>
      </c>
      <c r="AH4137" s="95">
        <v>75</v>
      </c>
    </row>
    <row r="4138" spans="1:34" ht="15.6" x14ac:dyDescent="0.3">
      <c r="A4138" s="89" t="str">
        <f>CONCATENATE(D4138,".",F4138,"-",G4138,".",H4138,"")</f>
        <v>4.2-3.1</v>
      </c>
      <c r="B4138" s="89" t="str">
        <f>IF(CONCATENATE(I4138,Key!F$2)=CONCATENATE(INDEX(Dashboard!J:J,MATCH(I4138,Dashboard!J:J,0),1),INDEX(Dashboard!J:K,MATCH(I4138,Dashboard!J:J,0),2)),"ON",IF(Dashboard!K$32="ALL","ON","-"))</f>
        <v>-</v>
      </c>
      <c r="C4138" s="96" t="s">
        <v>329</v>
      </c>
      <c r="D4138" s="89">
        <f>IF(C4138="ID",1,(IF(C4138="PR",2,(IF(C4138="DE",3,(IF(C4138="RS",4,(IF(C4138="RC",5,0)))))))))</f>
        <v>4</v>
      </c>
      <c r="E4138" s="89" t="s">
        <v>341</v>
      </c>
      <c r="F4138" s="89">
        <f>IF(E4138="AM",1,(IF(E4138="BE",2,(IF(E4138="GV",3,(IF(E4138="RA",4,(IF(E4138="RM",5,(IF(E4138="AC",1,(IF(E4138="AT",2,(IF(E4138="DS",3,(IF(E4138="IP",4,(IF(E4138="MA",5,(IF(E4138="PT",6,(IF(E4138="AE",1,(IF(E4138="CM",2,(IF(E4138="DP",3,(IF(E4138="AN",1,(IF(E4138="CO",2,(IF(E4138="IM",3,(IF(E4138="MI",4,(IF(E4138="RP",5,(IF(E4138="SC",6,0)))))))))))))))))))))))))))))))))))))))</f>
        <v>2</v>
      </c>
      <c r="G4138" s="98">
        <v>3</v>
      </c>
      <c r="H4138" s="90" t="s">
        <v>115</v>
      </c>
      <c r="I4138" s="94" t="s">
        <v>52</v>
      </c>
      <c r="J4138" s="88" t="s">
        <v>3331</v>
      </c>
      <c r="K4138" s="103" t="s">
        <v>3332</v>
      </c>
      <c r="L4138" s="117">
        <f>IF(O4138="","",N4138*O4138*M4138)</f>
        <v>0</v>
      </c>
      <c r="M4138" s="108">
        <v>1</v>
      </c>
      <c r="N4138" s="95">
        <v>1</v>
      </c>
      <c r="O4138" s="109">
        <f>IF(Key!D$1="ON",P4138,IF(SUM(Q4138:DL4138)&lt;1,"",SUM(Q4138:DL4138)/COUNTIF(Q4138:DL4138,"&gt;0")))</f>
        <v>0</v>
      </c>
      <c r="P4138" s="109">
        <f>SUMIFS(Q4138:DK4138,Q$1:DK$1,Dashboard!$K$31)</f>
        <v>0</v>
      </c>
      <c r="U4138" s="95">
        <v>33</v>
      </c>
      <c r="AA4138" s="95">
        <v>25</v>
      </c>
      <c r="AH4138" s="95">
        <v>75</v>
      </c>
    </row>
    <row r="4139" spans="1:34" x14ac:dyDescent="0.3">
      <c r="A4139" s="89" t="str">
        <f>CONCATENATE(D4139,".",F4139,"-",G4139,".",H4139,"")</f>
        <v>4.2-3.1</v>
      </c>
      <c r="B4139" s="89" t="str">
        <f>IF(CONCATENATE(I4139,Key!F$2)=CONCATENATE(INDEX(Dashboard!J:J,MATCH(I4139,Dashboard!J:J,0),1),INDEX(Dashboard!J:K,MATCH(I4139,Dashboard!J:J,0),2)),"ON",IF(Dashboard!K$32="ALL","ON","-"))</f>
        <v>-</v>
      </c>
      <c r="C4139" s="88" t="s">
        <v>329</v>
      </c>
      <c r="D4139" s="89">
        <f>IF(C4139="ID",1,(IF(C4139="PR",2,(IF(C4139="DE",3,(IF(C4139="RS",4,(IF(C4139="RC",5,0)))))))))</f>
        <v>4</v>
      </c>
      <c r="E4139" s="89" t="s">
        <v>341</v>
      </c>
      <c r="F4139" s="89">
        <f>IF(E4139="AM",1,(IF(E4139="BE",2,(IF(E4139="GV",3,(IF(E4139="RA",4,(IF(E4139="RM",5,(IF(E4139="AC",1,(IF(E4139="AT",2,(IF(E4139="DS",3,(IF(E4139="IP",4,(IF(E4139="MA",5,(IF(E4139="PT",6,(IF(E4139="AE",1,(IF(E4139="CM",2,(IF(E4139="DP",3,(IF(E4139="AN",1,(IF(E4139="CO",2,(IF(E4139="IM",3,(IF(E4139="MI",4,(IF(E4139="RP",5,(IF(E4139="SC",6,0)))))))))))))))))))))))))))))))))))))))</f>
        <v>2</v>
      </c>
      <c r="G4139" s="52">
        <v>3</v>
      </c>
      <c r="H4139" s="90" t="s">
        <v>115</v>
      </c>
      <c r="I4139" s="94" t="s">
        <v>60</v>
      </c>
      <c r="J4139" s="87" t="s">
        <v>3252</v>
      </c>
      <c r="K4139" s="51" t="s">
        <v>5364</v>
      </c>
      <c r="L4139" s="117">
        <f>IF(O4139="","",N4139*O4139*M4139)</f>
        <v>0</v>
      </c>
      <c r="M4139" s="108">
        <v>1</v>
      </c>
      <c r="N4139" s="95">
        <v>1</v>
      </c>
      <c r="O4139" s="109">
        <f>IF(Key!D$1="ON",P4139,IF(SUM(Q4139:DL4139)&lt;1,"",SUM(Q4139:DL4139)/COUNTIF(Q4139:DL4139,"&gt;0")))</f>
        <v>0</v>
      </c>
      <c r="P4139" s="109">
        <f>SUMIFS(Q4139:DK4139,Q$1:DK$1,Dashboard!$K$31)</f>
        <v>0</v>
      </c>
      <c r="U4139" s="95">
        <v>33</v>
      </c>
      <c r="AA4139" s="95">
        <v>25</v>
      </c>
      <c r="AH4139" s="95">
        <v>75</v>
      </c>
    </row>
    <row r="4140" spans="1:34" x14ac:dyDescent="0.3">
      <c r="A4140" s="89" t="str">
        <f>CONCATENATE(D4140,".",F4140,"-",G4140,".",H4140,"")</f>
        <v>4.2-3.1</v>
      </c>
      <c r="B4140" s="89" t="str">
        <f>IF(CONCATENATE(I4140,Key!F$2)=CONCATENATE(INDEX(Dashboard!J:J,MATCH(I4140,Dashboard!J:J,0),1),INDEX(Dashboard!J:K,MATCH(I4140,Dashboard!J:J,0),2)),"ON",IF(Dashboard!K$32="ALL","ON","-"))</f>
        <v>-</v>
      </c>
      <c r="C4140" s="88" t="s">
        <v>329</v>
      </c>
      <c r="D4140" s="89">
        <f>IF(C4140="ID",1,(IF(C4140="PR",2,(IF(C4140="DE",3,(IF(C4140="RS",4,(IF(C4140="RC",5,0)))))))))</f>
        <v>4</v>
      </c>
      <c r="E4140" s="89" t="s">
        <v>341</v>
      </c>
      <c r="F4140" s="89">
        <f>IF(E4140="AM",1,(IF(E4140="BE",2,(IF(E4140="GV",3,(IF(E4140="RA",4,(IF(E4140="RM",5,(IF(E4140="AC",1,(IF(E4140="AT",2,(IF(E4140="DS",3,(IF(E4140="IP",4,(IF(E4140="MA",5,(IF(E4140="PT",6,(IF(E4140="AE",1,(IF(E4140="CM",2,(IF(E4140="DP",3,(IF(E4140="AN",1,(IF(E4140="CO",2,(IF(E4140="IM",3,(IF(E4140="MI",4,(IF(E4140="RP",5,(IF(E4140="SC",6,0)))))))))))))))))))))))))))))))))))))))</f>
        <v>2</v>
      </c>
      <c r="G4140" s="52">
        <v>3</v>
      </c>
      <c r="H4140" s="90" t="s">
        <v>115</v>
      </c>
      <c r="I4140" s="94" t="s">
        <v>60</v>
      </c>
      <c r="J4140" s="87" t="s">
        <v>3269</v>
      </c>
      <c r="K4140" s="51" t="s">
        <v>5382</v>
      </c>
      <c r="L4140" s="117">
        <f>IF(O4140="","",N4140*O4140*M4140)</f>
        <v>0</v>
      </c>
      <c r="M4140" s="108">
        <v>1</v>
      </c>
      <c r="N4140" s="95">
        <v>1</v>
      </c>
      <c r="O4140" s="109">
        <f>IF(Key!D$1="ON",P4140,IF(SUM(Q4140:DL4140)&lt;1,"",SUM(Q4140:DL4140)/COUNTIF(Q4140:DL4140,"&gt;0")))</f>
        <v>0</v>
      </c>
      <c r="P4140" s="109">
        <f>SUMIFS(Q4140:DK4140,Q$1:DK$1,Dashboard!$K$31)</f>
        <v>0</v>
      </c>
      <c r="U4140" s="95">
        <v>33</v>
      </c>
      <c r="AA4140" s="95">
        <v>25</v>
      </c>
      <c r="AH4140" s="95">
        <v>75</v>
      </c>
    </row>
    <row r="4141" spans="1:34" x14ac:dyDescent="0.3">
      <c r="A4141" s="89" t="str">
        <f>CONCATENATE(D4141,".",F4141,"-",G4141,".",H4141,"")</f>
        <v>4.2-3.1</v>
      </c>
      <c r="B4141" s="89" t="str">
        <f>IF(CONCATENATE(I4141,Key!F$2)=CONCATENATE(INDEX(Dashboard!J:J,MATCH(I4141,Dashboard!J:J,0),1),INDEX(Dashboard!J:K,MATCH(I4141,Dashboard!J:J,0),2)),"ON",IF(Dashboard!K$32="ALL","ON","-"))</f>
        <v>-</v>
      </c>
      <c r="C4141" s="88" t="s">
        <v>329</v>
      </c>
      <c r="D4141" s="89">
        <f>IF(C4141="ID",1,(IF(C4141="PR",2,(IF(C4141="DE",3,(IF(C4141="RS",4,(IF(C4141="RC",5,0)))))))))</f>
        <v>4</v>
      </c>
      <c r="E4141" s="89" t="s">
        <v>341</v>
      </c>
      <c r="F4141" s="89">
        <f>IF(E4141="AM",1,(IF(E4141="BE",2,(IF(E4141="GV",3,(IF(E4141="RA",4,(IF(E4141="RM",5,(IF(E4141="AC",1,(IF(E4141="AT",2,(IF(E4141="DS",3,(IF(E4141="IP",4,(IF(E4141="MA",5,(IF(E4141="PT",6,(IF(E4141="AE",1,(IF(E4141="CM",2,(IF(E4141="DP",3,(IF(E4141="AN",1,(IF(E4141="CO",2,(IF(E4141="IM",3,(IF(E4141="MI",4,(IF(E4141="RP",5,(IF(E4141="SC",6,0)))))))))))))))))))))))))))))))))))))))</f>
        <v>2</v>
      </c>
      <c r="G4141" s="52">
        <v>3</v>
      </c>
      <c r="H4141" s="90" t="s">
        <v>115</v>
      </c>
      <c r="I4141" s="94" t="s">
        <v>60</v>
      </c>
      <c r="J4141" s="87" t="s">
        <v>3279</v>
      </c>
      <c r="K4141" s="51" t="s">
        <v>5392</v>
      </c>
      <c r="L4141" s="117">
        <f>IF(O4141="","",N4141*O4141*M4141)</f>
        <v>0</v>
      </c>
      <c r="M4141" s="108">
        <v>1</v>
      </c>
      <c r="N4141" s="95">
        <v>1</v>
      </c>
      <c r="O4141" s="109">
        <f>IF(Key!D$1="ON",P4141,IF(SUM(Q4141:DL4141)&lt;1,"",SUM(Q4141:DL4141)/COUNTIF(Q4141:DL4141,"&gt;0")))</f>
        <v>0</v>
      </c>
      <c r="P4141" s="109">
        <f>SUMIFS(Q4141:DK4141,Q$1:DK$1,Dashboard!$K$31)</f>
        <v>0</v>
      </c>
      <c r="U4141" s="95">
        <v>33</v>
      </c>
      <c r="AA4141" s="95">
        <v>25</v>
      </c>
      <c r="AH4141" s="95">
        <v>75</v>
      </c>
    </row>
    <row r="4142" spans="1:34" x14ac:dyDescent="0.3">
      <c r="A4142" s="89" t="str">
        <f>CONCATENATE(D4142,".",F4142,"-",G4142,".",H4142,"")</f>
        <v>4.2-3.1</v>
      </c>
      <c r="B4142" s="89" t="str">
        <f>IF(CONCATENATE(I4142,Key!F$2)=CONCATENATE(INDEX(Dashboard!J:J,MATCH(I4142,Dashboard!J:J,0),1),INDEX(Dashboard!J:K,MATCH(I4142,Dashboard!J:J,0),2)),"ON",IF(Dashboard!K$32="ALL","ON","-"))</f>
        <v>-</v>
      </c>
      <c r="C4142" s="88" t="s">
        <v>329</v>
      </c>
      <c r="D4142" s="89">
        <f>IF(C4142="ID",1,(IF(C4142="PR",2,(IF(C4142="DE",3,(IF(C4142="RS",4,(IF(C4142="RC",5,0)))))))))</f>
        <v>4</v>
      </c>
      <c r="E4142" s="89" t="s">
        <v>341</v>
      </c>
      <c r="F4142" s="89">
        <f>IF(E4142="AM",1,(IF(E4142="BE",2,(IF(E4142="GV",3,(IF(E4142="RA",4,(IF(E4142="RM",5,(IF(E4142="AC",1,(IF(E4142="AT",2,(IF(E4142="DS",3,(IF(E4142="IP",4,(IF(E4142="MA",5,(IF(E4142="PT",6,(IF(E4142="AE",1,(IF(E4142="CM",2,(IF(E4142="DP",3,(IF(E4142="AN",1,(IF(E4142="CO",2,(IF(E4142="IM",3,(IF(E4142="MI",4,(IF(E4142="RP",5,(IF(E4142="SC",6,0)))))))))))))))))))))))))))))))))))))))</f>
        <v>2</v>
      </c>
      <c r="G4142" s="98">
        <v>3</v>
      </c>
      <c r="H4142" s="90" t="s">
        <v>115</v>
      </c>
      <c r="I4142" s="94" t="s">
        <v>81</v>
      </c>
      <c r="J4142" s="129" t="s">
        <v>1988</v>
      </c>
      <c r="K4142" s="103" t="s">
        <v>1989</v>
      </c>
      <c r="L4142" s="117">
        <f>IF(O4142="","",N4142*O4142*M4142)</f>
        <v>0</v>
      </c>
      <c r="M4142" s="108">
        <v>1</v>
      </c>
      <c r="N4142" s="95">
        <v>1</v>
      </c>
      <c r="O4142" s="109">
        <f>IF(Key!D$1="ON",P4142,IF(SUM(Q4142:DL4142)&lt;1,"",SUM(Q4142:DL4142)/COUNTIF(Q4142:DL4142,"&gt;0")))</f>
        <v>0</v>
      </c>
      <c r="P4142" s="109">
        <f>SUMIFS(Q4142:DK4142,Q$1:DK$1,Dashboard!$K$31)</f>
        <v>0</v>
      </c>
      <c r="U4142" s="95">
        <v>33</v>
      </c>
      <c r="AA4142" s="95">
        <v>25</v>
      </c>
      <c r="AH4142" s="95">
        <v>75</v>
      </c>
    </row>
    <row r="4143" spans="1:34" x14ac:dyDescent="0.3">
      <c r="A4143" s="89" t="str">
        <f>CONCATENATE(D4143,".",F4143,"-",G4143,".",H4143,"")</f>
        <v>4.2-3.1</v>
      </c>
      <c r="B4143" s="89" t="str">
        <f>IF(CONCATENATE(I4143,Key!F$2)=CONCATENATE(INDEX(Dashboard!J:J,MATCH(I4143,Dashboard!J:J,0),1),INDEX(Dashboard!J:K,MATCH(I4143,Dashboard!J:J,0),2)),"ON",IF(Dashboard!K$32="ALL","ON","-"))</f>
        <v>-</v>
      </c>
      <c r="C4143" s="96" t="s">
        <v>329</v>
      </c>
      <c r="D4143" s="89">
        <f>IF(C4143="ID",1,(IF(C4143="PR",2,(IF(C4143="DE",3,(IF(C4143="RS",4,(IF(C4143="RC",5,0)))))))))</f>
        <v>4</v>
      </c>
      <c r="E4143" s="89" t="s">
        <v>341</v>
      </c>
      <c r="F4143" s="89">
        <f>IF(E4143="AM",1,(IF(E4143="BE",2,(IF(E4143="GV",3,(IF(E4143="RA",4,(IF(E4143="RM",5,(IF(E4143="AC",1,(IF(E4143="AT",2,(IF(E4143="DS",3,(IF(E4143="IP",4,(IF(E4143="MA",5,(IF(E4143="PT",6,(IF(E4143="AE",1,(IF(E4143="CM",2,(IF(E4143="DP",3,(IF(E4143="AN",1,(IF(E4143="CO",2,(IF(E4143="IM",3,(IF(E4143="MI",4,(IF(E4143="RP",5,(IF(E4143="SC",6,0)))))))))))))))))))))))))))))))))))))))</f>
        <v>2</v>
      </c>
      <c r="G4143" s="52">
        <v>3</v>
      </c>
      <c r="H4143" s="90" t="s">
        <v>115</v>
      </c>
      <c r="I4143" s="94" t="s">
        <v>89</v>
      </c>
      <c r="J4143" s="88" t="s">
        <v>618</v>
      </c>
      <c r="K4143" s="102" t="s">
        <v>619</v>
      </c>
      <c r="L4143" s="117">
        <f>IF(O4143="","",N4143*O4143*M4143)</f>
        <v>0</v>
      </c>
      <c r="M4143" s="108">
        <v>1</v>
      </c>
      <c r="N4143" s="95">
        <v>1</v>
      </c>
      <c r="O4143" s="109">
        <f>IF(Key!D$1="ON",P4143,IF(SUM(Q4143:DL4143)&lt;1,"",SUM(Q4143:DL4143)/COUNTIF(Q4143:DL4143,"&gt;0")))</f>
        <v>0</v>
      </c>
      <c r="P4143" s="109">
        <f>SUMIFS(Q4143:DK4143,Q$1:DK$1,Dashboard!$K$31)</f>
        <v>0</v>
      </c>
      <c r="U4143" s="95">
        <v>33</v>
      </c>
      <c r="AA4143" s="95">
        <v>25</v>
      </c>
      <c r="AH4143" s="95">
        <v>75</v>
      </c>
    </row>
    <row r="4144" spans="1:34" x14ac:dyDescent="0.3">
      <c r="A4144" s="89" t="str">
        <f>CONCATENATE(D4144,".",F4144,"-",G4144,".",H4144,"")</f>
        <v>4.2-3.1</v>
      </c>
      <c r="B4144" s="89" t="str">
        <f>IF(CONCATENATE(I4144,Key!F$2)=CONCATENATE(INDEX(Dashboard!J:J,MATCH(I4144,Dashboard!J:J,0),1),INDEX(Dashboard!J:K,MATCH(I4144,Dashboard!J:J,0),2)),"ON",IF(Dashboard!K$32="ALL","ON","-"))</f>
        <v>-</v>
      </c>
      <c r="C4144" s="96" t="s">
        <v>329</v>
      </c>
      <c r="D4144" s="89">
        <f>IF(C4144="ID",1,(IF(C4144="PR",2,(IF(C4144="DE",3,(IF(C4144="RS",4,(IF(C4144="RC",5,0)))))))))</f>
        <v>4</v>
      </c>
      <c r="E4144" s="89" t="s">
        <v>341</v>
      </c>
      <c r="F4144" s="89">
        <f>IF(E4144="AM",1,(IF(E4144="BE",2,(IF(E4144="GV",3,(IF(E4144="RA",4,(IF(E4144="RM",5,(IF(E4144="AC",1,(IF(E4144="AT",2,(IF(E4144="DS",3,(IF(E4144="IP",4,(IF(E4144="MA",5,(IF(E4144="PT",6,(IF(E4144="AE",1,(IF(E4144="CM",2,(IF(E4144="DP",3,(IF(E4144="AN",1,(IF(E4144="CO",2,(IF(E4144="IM",3,(IF(E4144="MI",4,(IF(E4144="RP",5,(IF(E4144="SC",6,0)))))))))))))))))))))))))))))))))))))))</f>
        <v>2</v>
      </c>
      <c r="G4144" s="98">
        <v>3</v>
      </c>
      <c r="H4144" s="90" t="s">
        <v>115</v>
      </c>
      <c r="I4144" s="94" t="s">
        <v>92</v>
      </c>
      <c r="J4144" s="87" t="s">
        <v>317</v>
      </c>
      <c r="K4144" s="102" t="s">
        <v>5226</v>
      </c>
      <c r="L4144" s="117">
        <f>IF(O4144="","",N4144*O4144*M4144)</f>
        <v>0</v>
      </c>
      <c r="M4144" s="108">
        <v>1</v>
      </c>
      <c r="N4144" s="95">
        <v>1</v>
      </c>
      <c r="O4144" s="109">
        <f>IF(Key!D$1="ON",P4144,IF(SUM(Q4144:DL4144)&lt;1,"",SUM(Q4144:DL4144)/COUNTIF(Q4144:DL4144,"&gt;0")))</f>
        <v>0</v>
      </c>
      <c r="P4144" s="109">
        <f>SUMIFS(Q4144:DK4144,Q$1:DK$1,Dashboard!$K$31)</f>
        <v>0</v>
      </c>
      <c r="U4144" s="95">
        <v>33</v>
      </c>
      <c r="AA4144" s="95">
        <v>25</v>
      </c>
      <c r="AH4144" s="95">
        <v>75</v>
      </c>
    </row>
    <row r="4145" spans="1:34" x14ac:dyDescent="0.3">
      <c r="A4145" s="89" t="str">
        <f>CONCATENATE(D4145,".",F4145,"-",G4145,".",H4145,"")</f>
        <v>4.2-4.0</v>
      </c>
      <c r="B4145" s="89" t="str">
        <f>IF(CONCATENATE(I4145,Key!F$2)=CONCATENATE(INDEX(Dashboard!J:J,MATCH(I4145,Dashboard!J:J,0),1),INDEX(Dashboard!J:K,MATCH(I4145,Dashboard!J:J,0),2)),"ON",IF(Dashboard!K$32="ALL","ON","-"))</f>
        <v>-</v>
      </c>
      <c r="C4145" s="96" t="s">
        <v>329</v>
      </c>
      <c r="D4145" s="89">
        <f>IF(C4145="ID",1,(IF(C4145="PR",2,(IF(C4145="DE",3,(IF(C4145="RS",4,(IF(C4145="RC",5,0)))))))))</f>
        <v>4</v>
      </c>
      <c r="E4145" s="89" t="s">
        <v>341</v>
      </c>
      <c r="F4145" s="89">
        <f>IF(E4145="AM",1,(IF(E4145="BE",2,(IF(E4145="GV",3,(IF(E4145="RA",4,(IF(E4145="RM",5,(IF(E4145="AC",1,(IF(E4145="AT",2,(IF(E4145="DS",3,(IF(E4145="IP",4,(IF(E4145="MA",5,(IF(E4145="PT",6,(IF(E4145="AE",1,(IF(E4145="CM",2,(IF(E4145="DP",3,(IF(E4145="AN",1,(IF(E4145="CO",2,(IF(E4145="IM",3,(IF(E4145="MI",4,(IF(E4145="RP",5,(IF(E4145="SC",6,0)))))))))))))))))))))))))))))))))))))))</f>
        <v>2</v>
      </c>
      <c r="G4145" s="52">
        <v>4</v>
      </c>
      <c r="H4145" s="90" t="s">
        <v>347</v>
      </c>
      <c r="I4145" s="94" t="s">
        <v>2835</v>
      </c>
      <c r="J4145" s="53" t="s">
        <v>3071</v>
      </c>
      <c r="K4145" s="105" t="s">
        <v>3072</v>
      </c>
      <c r="L4145" s="117">
        <f>IF(O4145="","",N4145*O4145*M4145)</f>
        <v>0</v>
      </c>
      <c r="M4145" s="108">
        <v>1</v>
      </c>
      <c r="N4145" s="95">
        <v>1</v>
      </c>
      <c r="O4145" s="109">
        <f>IF(Key!D$1="ON",P4145,IF(SUM(Q4145:DL4145)&lt;1,"",SUM(Q4145:DL4145)/COUNTIF(Q4145:DL4145,"&gt;0")))</f>
        <v>0</v>
      </c>
      <c r="P4145" s="109">
        <f>SUMIFS(Q4145:DK4145,Q$1:DK$1,Dashboard!$K$31)</f>
        <v>0</v>
      </c>
      <c r="U4145" s="95">
        <v>33</v>
      </c>
    </row>
    <row r="4146" spans="1:34" x14ac:dyDescent="0.3">
      <c r="A4146" s="89" t="str">
        <f>CONCATENATE(D4146,".",F4146,"-",G4146,".",H4146,"")</f>
        <v>4.2-4.1</v>
      </c>
      <c r="B4146" s="89" t="str">
        <f>IF(CONCATENATE(I4146,Key!F$2)=CONCATENATE(INDEX(Dashboard!J:J,MATCH(I4146,Dashboard!J:J,0),1),INDEX(Dashboard!J:K,MATCH(I4146,Dashboard!J:J,0),2)),"ON",IF(Dashboard!K$32="ALL","ON","-"))</f>
        <v>-</v>
      </c>
      <c r="C4146" s="96" t="s">
        <v>329</v>
      </c>
      <c r="D4146" s="89">
        <f>IF(C4146="ID",1,(IF(C4146="PR",2,(IF(C4146="DE",3,(IF(C4146="RS",4,(IF(C4146="RC",5,0)))))))))</f>
        <v>4</v>
      </c>
      <c r="E4146" s="89" t="s">
        <v>341</v>
      </c>
      <c r="F4146" s="89">
        <f>IF(E4146="AM",1,(IF(E4146="BE",2,(IF(E4146="GV",3,(IF(E4146="RA",4,(IF(E4146="RM",5,(IF(E4146="AC",1,(IF(E4146="AT",2,(IF(E4146="DS",3,(IF(E4146="IP",4,(IF(E4146="MA",5,(IF(E4146="PT",6,(IF(E4146="AE",1,(IF(E4146="CM",2,(IF(E4146="DP",3,(IF(E4146="AN",1,(IF(E4146="CO",2,(IF(E4146="IM",3,(IF(E4146="MI",4,(IF(E4146="RP",5,(IF(E4146="SC",6,0)))))))))))))))))))))))))))))))))))))))</f>
        <v>2</v>
      </c>
      <c r="G4146" s="98">
        <v>4</v>
      </c>
      <c r="H4146" s="90" t="s">
        <v>115</v>
      </c>
      <c r="I4146" s="94" t="s">
        <v>52</v>
      </c>
      <c r="J4146" s="88" t="s">
        <v>3307</v>
      </c>
      <c r="K4146" s="103" t="s">
        <v>3308</v>
      </c>
      <c r="L4146" s="117">
        <f>IF(O4146="","",N4146*O4146*M4146)</f>
        <v>0</v>
      </c>
      <c r="M4146" s="108">
        <v>1</v>
      </c>
      <c r="N4146" s="95">
        <v>1</v>
      </c>
      <c r="O4146" s="109">
        <f>IF(Key!D$1="ON",P4146,IF(SUM(Q4146:DL4146)&lt;1,"",SUM(Q4146:DL4146)/COUNTIF(Q4146:DL4146,"&gt;0")))</f>
        <v>0</v>
      </c>
      <c r="P4146" s="109">
        <f>SUMIFS(Q4146:DK4146,Q$1:DK$1,Dashboard!$K$31)</f>
        <v>0</v>
      </c>
      <c r="U4146" s="95">
        <v>33</v>
      </c>
      <c r="AA4146" s="95">
        <v>25</v>
      </c>
      <c r="AH4146" s="95">
        <v>75</v>
      </c>
    </row>
    <row r="4147" spans="1:34" x14ac:dyDescent="0.3">
      <c r="A4147" s="89" t="str">
        <f>CONCATENATE(D4147,".",F4147,"-",G4147,".",H4147,"")</f>
        <v>4.2-4.1</v>
      </c>
      <c r="B4147" s="89" t="str">
        <f>IF(CONCATENATE(I4147,Key!F$2)=CONCATENATE(INDEX(Dashboard!J:J,MATCH(I4147,Dashboard!J:J,0),1),INDEX(Dashboard!J:K,MATCH(I4147,Dashboard!J:J,0),2)),"ON",IF(Dashboard!K$32="ALL","ON","-"))</f>
        <v>-</v>
      </c>
      <c r="C4147" s="96" t="s">
        <v>329</v>
      </c>
      <c r="D4147" s="89">
        <f>IF(C4147="ID",1,(IF(C4147="PR",2,(IF(C4147="DE",3,(IF(C4147="RS",4,(IF(C4147="RC",5,0)))))))))</f>
        <v>4</v>
      </c>
      <c r="E4147" s="89" t="s">
        <v>341</v>
      </c>
      <c r="F4147" s="89">
        <f>IF(E4147="AM",1,(IF(E4147="BE",2,(IF(E4147="GV",3,(IF(E4147="RA",4,(IF(E4147="RM",5,(IF(E4147="AC",1,(IF(E4147="AT",2,(IF(E4147="DS",3,(IF(E4147="IP",4,(IF(E4147="MA",5,(IF(E4147="PT",6,(IF(E4147="AE",1,(IF(E4147="CM",2,(IF(E4147="DP",3,(IF(E4147="AN",1,(IF(E4147="CO",2,(IF(E4147="IM",3,(IF(E4147="MI",4,(IF(E4147="RP",5,(IF(E4147="SC",6,0)))))))))))))))))))))))))))))))))))))))</f>
        <v>2</v>
      </c>
      <c r="G4147" s="98">
        <v>4</v>
      </c>
      <c r="H4147" s="90" t="s">
        <v>115</v>
      </c>
      <c r="I4147" s="94" t="s">
        <v>52</v>
      </c>
      <c r="J4147" s="88" t="s">
        <v>3303</v>
      </c>
      <c r="K4147" s="103" t="s">
        <v>3304</v>
      </c>
      <c r="L4147" s="117">
        <f>IF(O4147="","",N4147*O4147*M4147)</f>
        <v>0</v>
      </c>
      <c r="M4147" s="108">
        <v>1</v>
      </c>
      <c r="N4147" s="95">
        <v>1</v>
      </c>
      <c r="O4147" s="109">
        <f>IF(Key!D$1="ON",P4147,IF(SUM(Q4147:DL4147)&lt;1,"",SUM(Q4147:DL4147)/COUNTIF(Q4147:DL4147,"&gt;0")))</f>
        <v>0</v>
      </c>
      <c r="P4147" s="109">
        <f>SUMIFS(Q4147:DK4147,Q$1:DK$1,Dashboard!$K$31)</f>
        <v>0</v>
      </c>
      <c r="U4147" s="95">
        <v>33</v>
      </c>
      <c r="AA4147" s="95">
        <v>25</v>
      </c>
      <c r="AH4147" s="95">
        <v>75</v>
      </c>
    </row>
    <row r="4148" spans="1:34" x14ac:dyDescent="0.3">
      <c r="A4148" s="89" t="str">
        <f>CONCATENATE(D4148,".",F4148,"-",G4148,".",H4148,"")</f>
        <v>4.2-4.1</v>
      </c>
      <c r="B4148" s="89" t="str">
        <f>IF(CONCATENATE(I4148,Key!F$2)=CONCATENATE(INDEX(Dashboard!J:J,MATCH(I4148,Dashboard!J:J,0),1),INDEX(Dashboard!J:K,MATCH(I4148,Dashboard!J:J,0),2)),"ON",IF(Dashboard!K$32="ALL","ON","-"))</f>
        <v>-</v>
      </c>
      <c r="C4148" s="88" t="s">
        <v>329</v>
      </c>
      <c r="D4148" s="89">
        <f>IF(C4148="ID",1,(IF(C4148="PR",2,(IF(C4148="DE",3,(IF(C4148="RS",4,(IF(C4148="RC",5,0)))))))))</f>
        <v>4</v>
      </c>
      <c r="E4148" s="89" t="s">
        <v>341</v>
      </c>
      <c r="F4148" s="89">
        <f>IF(E4148="AM",1,(IF(E4148="BE",2,(IF(E4148="GV",3,(IF(E4148="RA",4,(IF(E4148="RM",5,(IF(E4148="AC",1,(IF(E4148="AT",2,(IF(E4148="DS",3,(IF(E4148="IP",4,(IF(E4148="MA",5,(IF(E4148="PT",6,(IF(E4148="AE",1,(IF(E4148="CM",2,(IF(E4148="DP",3,(IF(E4148="AN",1,(IF(E4148="CO",2,(IF(E4148="IM",3,(IF(E4148="MI",4,(IF(E4148="RP",5,(IF(E4148="SC",6,0)))))))))))))))))))))))))))))))))))))))</f>
        <v>2</v>
      </c>
      <c r="G4148" s="52">
        <v>4</v>
      </c>
      <c r="H4148" s="90" t="s">
        <v>115</v>
      </c>
      <c r="I4148" s="94" t="s">
        <v>60</v>
      </c>
      <c r="J4148" s="87" t="s">
        <v>3252</v>
      </c>
      <c r="K4148" s="51" t="s">
        <v>5364</v>
      </c>
      <c r="L4148" s="117">
        <f>IF(O4148="","",N4148*O4148*M4148)</f>
        <v>0</v>
      </c>
      <c r="M4148" s="108">
        <v>1</v>
      </c>
      <c r="N4148" s="95">
        <v>1</v>
      </c>
      <c r="O4148" s="109">
        <f>IF(Key!D$1="ON",P4148,IF(SUM(Q4148:DL4148)&lt;1,"",SUM(Q4148:DL4148)/COUNTIF(Q4148:DL4148,"&gt;0")))</f>
        <v>0</v>
      </c>
      <c r="P4148" s="109">
        <f>SUMIFS(Q4148:DK4148,Q$1:DK$1,Dashboard!$K$31)</f>
        <v>0</v>
      </c>
      <c r="U4148" s="95">
        <v>33</v>
      </c>
      <c r="AA4148" s="95">
        <v>25</v>
      </c>
      <c r="AH4148" s="95">
        <v>75</v>
      </c>
    </row>
    <row r="4149" spans="1:34" x14ac:dyDescent="0.3">
      <c r="A4149" s="89" t="str">
        <f>CONCATENATE(D4149,".",F4149,"-",G4149,".",H4149,"")</f>
        <v>4.2-4.1</v>
      </c>
      <c r="B4149" s="89" t="str">
        <f>IF(CONCATENATE(I4149,Key!F$2)=CONCATENATE(INDEX(Dashboard!J:J,MATCH(I4149,Dashboard!J:J,0),1),INDEX(Dashboard!J:K,MATCH(I4149,Dashboard!J:J,0),2)),"ON",IF(Dashboard!K$32="ALL","ON","-"))</f>
        <v>-</v>
      </c>
      <c r="C4149" s="88" t="s">
        <v>329</v>
      </c>
      <c r="D4149" s="89">
        <f>IF(C4149="ID",1,(IF(C4149="PR",2,(IF(C4149="DE",3,(IF(C4149="RS",4,(IF(C4149="RC",5,0)))))))))</f>
        <v>4</v>
      </c>
      <c r="E4149" s="89" t="s">
        <v>341</v>
      </c>
      <c r="F4149" s="89">
        <f>IF(E4149="AM",1,(IF(E4149="BE",2,(IF(E4149="GV",3,(IF(E4149="RA",4,(IF(E4149="RM",5,(IF(E4149="AC",1,(IF(E4149="AT",2,(IF(E4149="DS",3,(IF(E4149="IP",4,(IF(E4149="MA",5,(IF(E4149="PT",6,(IF(E4149="AE",1,(IF(E4149="CM",2,(IF(E4149="DP",3,(IF(E4149="AN",1,(IF(E4149="CO",2,(IF(E4149="IM",3,(IF(E4149="MI",4,(IF(E4149="RP",5,(IF(E4149="SC",6,0)))))))))))))))))))))))))))))))))))))))</f>
        <v>2</v>
      </c>
      <c r="G4149" s="52">
        <v>4</v>
      </c>
      <c r="H4149" s="90" t="s">
        <v>115</v>
      </c>
      <c r="I4149" s="94" t="s">
        <v>73</v>
      </c>
      <c r="J4149" s="86" t="s">
        <v>295</v>
      </c>
      <c r="K4149" s="101" t="s">
        <v>5207</v>
      </c>
      <c r="L4149" s="117">
        <f>IF(O4149="","",N4149*O4149*M4149)</f>
        <v>0</v>
      </c>
      <c r="M4149" s="108">
        <v>1</v>
      </c>
      <c r="N4149" s="95">
        <v>1</v>
      </c>
      <c r="O4149" s="109">
        <f>IF(Key!D$1="ON",P4149,IF(SUM(Q4149:DL4149)&lt;1,"",SUM(Q4149:DL4149)/COUNTIF(Q4149:DL4149,"&gt;0")))</f>
        <v>0</v>
      </c>
      <c r="P4149" s="109">
        <f>SUMIFS(Q4149:DK4149,Q$1:DK$1,Dashboard!$K$31)</f>
        <v>0</v>
      </c>
      <c r="U4149" s="95">
        <v>33</v>
      </c>
      <c r="AA4149" s="95">
        <v>25</v>
      </c>
      <c r="AH4149" s="95">
        <v>75</v>
      </c>
    </row>
    <row r="4150" spans="1:34" x14ac:dyDescent="0.3">
      <c r="A4150" s="89" t="str">
        <f>CONCATENATE(D4150,".",F4150,"-",G4150,".",H4150,"")</f>
        <v>4.2-5.0</v>
      </c>
      <c r="B4150" s="89" t="str">
        <f>IF(CONCATENATE(I4150,Key!F$2)=CONCATENATE(INDEX(Dashboard!J:J,MATCH(I4150,Dashboard!J:J,0),1),INDEX(Dashboard!J:K,MATCH(I4150,Dashboard!J:J,0),2)),"ON",IF(Dashboard!K$32="ALL","ON","-"))</f>
        <v>-</v>
      </c>
      <c r="C4150" s="96" t="s">
        <v>329</v>
      </c>
      <c r="D4150" s="89">
        <f>IF(C4150="ID",1,(IF(C4150="PR",2,(IF(C4150="DE",3,(IF(C4150="RS",4,(IF(C4150="RC",5,0)))))))))</f>
        <v>4</v>
      </c>
      <c r="E4150" s="89" t="s">
        <v>341</v>
      </c>
      <c r="F4150" s="89">
        <f>IF(E4150="AM",1,(IF(E4150="BE",2,(IF(E4150="GV",3,(IF(E4150="RA",4,(IF(E4150="RM",5,(IF(E4150="AC",1,(IF(E4150="AT",2,(IF(E4150="DS",3,(IF(E4150="IP",4,(IF(E4150="MA",5,(IF(E4150="PT",6,(IF(E4150="AE",1,(IF(E4150="CM",2,(IF(E4150="DP",3,(IF(E4150="AN",1,(IF(E4150="CO",2,(IF(E4150="IM",3,(IF(E4150="MI",4,(IF(E4150="RP",5,(IF(E4150="SC",6,0)))))))))))))))))))))))))))))))))))))))</f>
        <v>2</v>
      </c>
      <c r="G4150" s="52">
        <v>5</v>
      </c>
      <c r="H4150" s="90" t="s">
        <v>347</v>
      </c>
      <c r="I4150" s="94" t="s">
        <v>2835</v>
      </c>
      <c r="J4150" s="53" t="s">
        <v>3073</v>
      </c>
      <c r="K4150" s="105" t="s">
        <v>3074</v>
      </c>
      <c r="L4150" s="117">
        <f>IF(O4150="","",N4150*O4150*M4150)</f>
        <v>0</v>
      </c>
      <c r="M4150" s="108">
        <v>1</v>
      </c>
      <c r="N4150" s="95">
        <v>1</v>
      </c>
      <c r="O4150" s="109">
        <f>IF(Key!D$1="ON",P4150,IF(SUM(Q4150:DL4150)&lt;1,"",SUM(Q4150:DL4150)/COUNTIF(Q4150:DL4150,"&gt;0")))</f>
        <v>0</v>
      </c>
      <c r="P4150" s="109">
        <f>SUMIFS(Q4150:DK4150,Q$1:DK$1,Dashboard!$K$31)</f>
        <v>0</v>
      </c>
      <c r="U4150" s="95">
        <v>33</v>
      </c>
    </row>
    <row r="4151" spans="1:34" x14ac:dyDescent="0.3">
      <c r="A4151" s="89" t="str">
        <f>CONCATENATE(D4151,".",F4151,"-",G4151,".",H4151,"")</f>
        <v>4.2-5.1</v>
      </c>
      <c r="B4151" s="89" t="str">
        <f>IF(CONCATENATE(I4151,Key!F$2)=CONCATENATE(INDEX(Dashboard!J:J,MATCH(I4151,Dashboard!J:J,0),1),INDEX(Dashboard!J:K,MATCH(I4151,Dashboard!J:J,0),2)),"ON",IF(Dashboard!K$32="ALL","ON","-"))</f>
        <v>-</v>
      </c>
      <c r="C4151" s="88" t="s">
        <v>329</v>
      </c>
      <c r="D4151" s="89">
        <f>IF(C4151="ID",1,(IF(C4151="PR",2,(IF(C4151="DE",3,(IF(C4151="RS",4,(IF(C4151="RC",5,0)))))))))</f>
        <v>4</v>
      </c>
      <c r="E4151" s="89" t="s">
        <v>341</v>
      </c>
      <c r="F4151" s="89">
        <f>IF(E4151="AM",1,(IF(E4151="BE",2,(IF(E4151="GV",3,(IF(E4151="RA",4,(IF(E4151="RM",5,(IF(E4151="AC",1,(IF(E4151="AT",2,(IF(E4151="DS",3,(IF(E4151="IP",4,(IF(E4151="MA",5,(IF(E4151="PT",6,(IF(E4151="AE",1,(IF(E4151="CM",2,(IF(E4151="DP",3,(IF(E4151="AN",1,(IF(E4151="CO",2,(IF(E4151="IM",3,(IF(E4151="MI",4,(IF(E4151="RP",5,(IF(E4151="SC",6,0)))))))))))))))))))))))))))))))))))))))</f>
        <v>2</v>
      </c>
      <c r="G4151" s="52">
        <v>5</v>
      </c>
      <c r="H4151" s="89">
        <v>1</v>
      </c>
      <c r="I4151" s="94" t="s">
        <v>60</v>
      </c>
      <c r="J4151" s="88" t="s">
        <v>3156</v>
      </c>
      <c r="K4151" s="51" t="s">
        <v>5269</v>
      </c>
      <c r="L4151" s="117">
        <f>IF(O4151="","",N4151*O4151*M4151)</f>
        <v>0</v>
      </c>
      <c r="M4151" s="108">
        <v>1</v>
      </c>
      <c r="N4151" s="95">
        <v>1</v>
      </c>
      <c r="O4151" s="109">
        <f>IF(Key!D$1="ON",P4151,IF(SUM(Q4151:DL4151)&lt;1,"",SUM(Q4151:DL4151)/COUNTIF(Q4151:DL4151,"&gt;0")))</f>
        <v>0</v>
      </c>
      <c r="P4151" s="109">
        <f>SUMIFS(Q4151:DK4151,Q$1:DK$1,Dashboard!$K$31)</f>
        <v>0</v>
      </c>
      <c r="U4151" s="95">
        <v>33</v>
      </c>
      <c r="AA4151" s="95">
        <v>25</v>
      </c>
      <c r="AH4151" s="95">
        <v>75</v>
      </c>
    </row>
    <row r="4152" spans="1:34" x14ac:dyDescent="0.3">
      <c r="A4152" s="89" t="str">
        <f>CONCATENATE(D4152,".",F4152,"-",G4152,".",H4152,"")</f>
        <v>4.2-5.1</v>
      </c>
      <c r="B4152" s="89" t="str">
        <f>IF(CONCATENATE(I4152,Key!F$2)=CONCATENATE(INDEX(Dashboard!J:J,MATCH(I4152,Dashboard!J:J,0),1),INDEX(Dashboard!J:K,MATCH(I4152,Dashboard!J:J,0),2)),"ON",IF(Dashboard!K$32="ALL","ON","-"))</f>
        <v>-</v>
      </c>
      <c r="C4152" s="96" t="s">
        <v>329</v>
      </c>
      <c r="D4152" s="89">
        <f>IF(C4152="ID",1,(IF(C4152="PR",2,(IF(C4152="DE",3,(IF(C4152="RS",4,(IF(C4152="RC",5,0)))))))))</f>
        <v>4</v>
      </c>
      <c r="E4152" s="89" t="s">
        <v>341</v>
      </c>
      <c r="F4152" s="89">
        <f>IF(E4152="AM",1,(IF(E4152="BE",2,(IF(E4152="GV",3,(IF(E4152="RA",4,(IF(E4152="RM",5,(IF(E4152="AC",1,(IF(E4152="AT",2,(IF(E4152="DS",3,(IF(E4152="IP",4,(IF(E4152="MA",5,(IF(E4152="PT",6,(IF(E4152="AE",1,(IF(E4152="CM",2,(IF(E4152="DP",3,(IF(E4152="AN",1,(IF(E4152="CO",2,(IF(E4152="IM",3,(IF(E4152="MI",4,(IF(E4152="RP",5,(IF(E4152="SC",6,0)))))))))))))))))))))))))))))))))))))))</f>
        <v>2</v>
      </c>
      <c r="G4152" s="98">
        <v>5</v>
      </c>
      <c r="H4152" s="90" t="s">
        <v>115</v>
      </c>
      <c r="I4152" s="94" t="s">
        <v>77</v>
      </c>
      <c r="J4152" s="87" t="s">
        <v>1903</v>
      </c>
      <c r="K4152" s="102" t="s">
        <v>2801</v>
      </c>
      <c r="L4152" s="117">
        <f>IF(O4152="","",N4152*O4152*M4152)</f>
        <v>0</v>
      </c>
      <c r="M4152" s="108">
        <v>0.9</v>
      </c>
      <c r="N4152" s="95">
        <v>1</v>
      </c>
      <c r="O4152" s="109">
        <f>IF(Key!D$1="ON",P4152,IF(SUM(Q4152:DL4152)&lt;1,"",SUM(Q4152:DL4152)/COUNTIF(Q4152:DL4152,"&gt;0")))</f>
        <v>0</v>
      </c>
      <c r="P4152" s="109">
        <f>SUMIFS(Q4152:DK4152,Q$1:DK$1,Dashboard!$K$31)</f>
        <v>0</v>
      </c>
      <c r="S4152" s="95">
        <v>25</v>
      </c>
      <c r="T4152" s="95">
        <v>80</v>
      </c>
      <c r="U4152" s="95">
        <v>33</v>
      </c>
      <c r="AA4152" s="95">
        <v>25</v>
      </c>
      <c r="AH4152" s="95">
        <v>75</v>
      </c>
    </row>
    <row r="4153" spans="1:34" x14ac:dyDescent="0.3">
      <c r="A4153" s="89" t="str">
        <f>CONCATENATE(D4153,".",F4153,"-",G4153,".",H4153,"")</f>
        <v>4.2-5.1</v>
      </c>
      <c r="B4153" s="89" t="str">
        <f>IF(CONCATENATE(I4153,Key!F$2)=CONCATENATE(INDEX(Dashboard!J:J,MATCH(I4153,Dashboard!J:J,0),1),INDEX(Dashboard!J:K,MATCH(I4153,Dashboard!J:J,0),2)),"ON",IF(Dashboard!K$32="ALL","ON","-"))</f>
        <v>-</v>
      </c>
      <c r="C4153" s="88" t="s">
        <v>329</v>
      </c>
      <c r="D4153" s="89">
        <f>IF(C4153="ID",1,(IF(C4153="PR",2,(IF(C4153="DE",3,(IF(C4153="RS",4,(IF(C4153="RC",5,0)))))))))</f>
        <v>4</v>
      </c>
      <c r="E4153" s="89" t="s">
        <v>341</v>
      </c>
      <c r="F4153" s="89">
        <f>IF(E4153="AM",1,(IF(E4153="BE",2,(IF(E4153="GV",3,(IF(E4153="RA",4,(IF(E4153="RM",5,(IF(E4153="AC",1,(IF(E4153="AT",2,(IF(E4153="DS",3,(IF(E4153="IP",4,(IF(E4153="MA",5,(IF(E4153="PT",6,(IF(E4153="AE",1,(IF(E4153="CM",2,(IF(E4153="DP",3,(IF(E4153="AN",1,(IF(E4153="CO",2,(IF(E4153="IM",3,(IF(E4153="MI",4,(IF(E4153="RP",5,(IF(E4153="SC",6,0)))))))))))))))))))))))))))))))))))))))</f>
        <v>2</v>
      </c>
      <c r="G4153" s="52">
        <v>5</v>
      </c>
      <c r="H4153" s="90" t="s">
        <v>115</v>
      </c>
      <c r="I4153" s="94" t="s">
        <v>85</v>
      </c>
      <c r="J4153" s="86" t="s">
        <v>766</v>
      </c>
      <c r="K4153" s="119" t="s">
        <v>4909</v>
      </c>
      <c r="L4153" s="117">
        <f>IF(O4153="","",N4153*O4153*M4153)</f>
        <v>0</v>
      </c>
      <c r="M4153" s="108">
        <v>1</v>
      </c>
      <c r="N4153" s="95">
        <v>1</v>
      </c>
      <c r="O4153" s="109">
        <f>IF(Key!D$1="ON",P4153,IF(SUM(Q4153:DL4153)&lt;1,"",SUM(Q4153:DL4153)/COUNTIF(Q4153:DL4153,"&gt;0")))</f>
        <v>0</v>
      </c>
      <c r="P4153" s="109">
        <f>SUMIFS(Q4153:DK4153,Q$1:DK$1,Dashboard!$K$31)</f>
        <v>0</v>
      </c>
      <c r="U4153" s="95">
        <v>33</v>
      </c>
      <c r="AA4153" s="95">
        <v>25</v>
      </c>
      <c r="AH4153" s="95">
        <v>75</v>
      </c>
    </row>
    <row r="4154" spans="1:34" x14ac:dyDescent="0.3">
      <c r="A4154" s="89" t="str">
        <f>CONCATENATE(D4154,".",F4154,"-",G4154,".",H4154,"")</f>
        <v>4.2-5.1</v>
      </c>
      <c r="B4154" s="89" t="str">
        <f>IF(CONCATENATE(I4154,Key!F$2)=CONCATENATE(INDEX(Dashboard!J:J,MATCH(I4154,Dashboard!J:J,0),1),INDEX(Dashboard!J:K,MATCH(I4154,Dashboard!J:J,0),2)),"ON",IF(Dashboard!K$32="ALL","ON","-"))</f>
        <v>-</v>
      </c>
      <c r="C4154" s="96" t="s">
        <v>329</v>
      </c>
      <c r="D4154" s="89">
        <f>IF(C4154="ID",1,(IF(C4154="PR",2,(IF(C4154="DE",3,(IF(C4154="RS",4,(IF(C4154="RC",5,0)))))))))</f>
        <v>4</v>
      </c>
      <c r="E4154" s="89" t="s">
        <v>341</v>
      </c>
      <c r="F4154" s="89">
        <f>IF(E4154="AM",1,(IF(E4154="BE",2,(IF(E4154="GV",3,(IF(E4154="RA",4,(IF(E4154="RM",5,(IF(E4154="AC",1,(IF(E4154="AT",2,(IF(E4154="DS",3,(IF(E4154="IP",4,(IF(E4154="MA",5,(IF(E4154="PT",6,(IF(E4154="AE",1,(IF(E4154="CM",2,(IF(E4154="DP",3,(IF(E4154="AN",1,(IF(E4154="CO",2,(IF(E4154="IM",3,(IF(E4154="MI",4,(IF(E4154="RP",5,(IF(E4154="SC",6,0)))))))))))))))))))))))))))))))))))))))</f>
        <v>2</v>
      </c>
      <c r="G4154" s="98">
        <v>5</v>
      </c>
      <c r="H4154" s="90" t="s">
        <v>115</v>
      </c>
      <c r="I4154" s="94" t="s">
        <v>85</v>
      </c>
      <c r="J4154" s="87" t="s">
        <v>1903</v>
      </c>
      <c r="K4154" s="119" t="s">
        <v>1904</v>
      </c>
      <c r="L4154" s="117">
        <f>IF(O4154="","",N4154*O4154*M4154)</f>
        <v>0</v>
      </c>
      <c r="M4154" s="108">
        <v>0.9</v>
      </c>
      <c r="N4154" s="95">
        <v>1</v>
      </c>
      <c r="O4154" s="109">
        <f>IF(Key!D$1="ON",P4154,IF(SUM(Q4154:DL4154)&lt;1,"",SUM(Q4154:DL4154)/COUNTIF(Q4154:DL4154,"&gt;0")))</f>
        <v>0</v>
      </c>
      <c r="P4154" s="109">
        <f>SUMIFS(Q4154:DK4154,Q$1:DK$1,Dashboard!$K$31)</f>
        <v>0</v>
      </c>
      <c r="S4154" s="95">
        <v>33</v>
      </c>
      <c r="T4154" s="95">
        <v>80</v>
      </c>
      <c r="U4154" s="95">
        <v>33</v>
      </c>
      <c r="AA4154" s="95">
        <v>25</v>
      </c>
      <c r="AH4154" s="95">
        <v>75</v>
      </c>
    </row>
    <row r="4155" spans="1:34" x14ac:dyDescent="0.3">
      <c r="A4155" s="89" t="str">
        <f>CONCATENATE(D4155,".",F4155,"-",G4155,".",H4155,"")</f>
        <v>4.3-0.0</v>
      </c>
      <c r="B4155" s="89" t="str">
        <f>IF(CONCATENATE(I4155,Key!F$2)=CONCATENATE(INDEX(Dashboard!J:J,MATCH(I4155,Dashboard!J:J,0),1),INDEX(Dashboard!J:K,MATCH(I4155,Dashboard!J:J,0),2)),"ON",IF(Dashboard!K$32="ALL","ON","-"))</f>
        <v>-</v>
      </c>
      <c r="C4155" s="96" t="s">
        <v>329</v>
      </c>
      <c r="D4155" s="89">
        <f>IF(C4155="ID",1,(IF(C4155="PR",2,(IF(C4155="DE",3,(IF(C4155="RS",4,(IF(C4155="RC",5,0)))))))))</f>
        <v>4</v>
      </c>
      <c r="E4155" s="89" t="s">
        <v>343</v>
      </c>
      <c r="F4155" s="89">
        <f>IF(E4155="AM",1,(IF(E4155="BE",2,(IF(E4155="GV",3,(IF(E4155="RA",4,(IF(E4155="RM",5,(IF(E4155="AC",1,(IF(E4155="AT",2,(IF(E4155="DS",3,(IF(E4155="IP",4,(IF(E4155="MA",5,(IF(E4155="PT",6,(IF(E4155="AE",1,(IF(E4155="CM",2,(IF(E4155="DP",3,(IF(E4155="AN",1,(IF(E4155="CO",2,(IF(E4155="IM",3,(IF(E4155="MI",4,(IF(E4155="RP",5,(IF(E4155="SC",6,0)))))))))))))))))))))))))))))))))))))))</f>
        <v>3</v>
      </c>
      <c r="G4155" s="52">
        <v>0</v>
      </c>
      <c r="H4155" s="90" t="s">
        <v>347</v>
      </c>
      <c r="I4155" s="94" t="s">
        <v>2835</v>
      </c>
      <c r="J4155" s="140" t="s">
        <v>3075</v>
      </c>
      <c r="K4155" s="145" t="s">
        <v>3076</v>
      </c>
      <c r="L4155" s="117">
        <f>IF(O4155="","",N4155*O4155*M4155)</f>
        <v>0</v>
      </c>
      <c r="M4155" s="108">
        <v>1</v>
      </c>
      <c r="N4155" s="95">
        <v>1</v>
      </c>
      <c r="O4155" s="109">
        <f>IF(Key!D$1="ON",P4155,IF(SUM(Q4155:DL4155)&lt;1,"",SUM(Q4155:DL4155)/COUNTIF(Q4155:DL4155,"&gt;0")))</f>
        <v>0</v>
      </c>
      <c r="P4155" s="109">
        <f>SUMIFS(Q4155:DK4155,Q$1:DK$1,Dashboard!$K$31)</f>
        <v>0</v>
      </c>
      <c r="Q4155" s="110">
        <v>83</v>
      </c>
      <c r="U4155" s="95">
        <v>33</v>
      </c>
    </row>
    <row r="4156" spans="1:34" x14ac:dyDescent="0.3">
      <c r="A4156" s="89" t="str">
        <f>CONCATENATE(D4156,".",F4156,"-",G4156,".",H4156,"")</f>
        <v>4.3-0.1</v>
      </c>
      <c r="B4156" s="89" t="str">
        <f>IF(CONCATENATE(I4156,Key!F$2)=CONCATENATE(INDEX(Dashboard!J:J,MATCH(I4156,Dashboard!J:J,0),1),INDEX(Dashboard!J:K,MATCH(I4156,Dashboard!J:J,0),2)),"ON",IF(Dashboard!K$32="ALL","ON","-"))</f>
        <v>-</v>
      </c>
      <c r="C4156" s="96" t="s">
        <v>329</v>
      </c>
      <c r="D4156" s="89">
        <f>IF(C4156="ID",1,(IF(C4156="PR",2,(IF(C4156="DE",3,(IF(C4156="RS",4,(IF(C4156="RC",5,0)))))))))</f>
        <v>4</v>
      </c>
      <c r="E4156" s="89" t="s">
        <v>343</v>
      </c>
      <c r="F4156" s="89">
        <f>IF(E4156="AM",1,(IF(E4156="BE",2,(IF(E4156="GV",3,(IF(E4156="RA",4,(IF(E4156="RM",5,(IF(E4156="AC",1,(IF(E4156="AT",2,(IF(E4156="DS",3,(IF(E4156="IP",4,(IF(E4156="MA",5,(IF(E4156="PT",6,(IF(E4156="AE",1,(IF(E4156="CM",2,(IF(E4156="DP",3,(IF(E4156="AN",1,(IF(E4156="CO",2,(IF(E4156="IM",3,(IF(E4156="MI",4,(IF(E4156="RP",5,(IF(E4156="SC",6,0)))))))))))))))))))))))))))))))))))))))</f>
        <v>3</v>
      </c>
      <c r="G4156" s="52">
        <v>0</v>
      </c>
      <c r="H4156" s="90" t="s">
        <v>115</v>
      </c>
      <c r="I4156" s="94" t="s">
        <v>2835</v>
      </c>
      <c r="J4156" s="59" t="s">
        <v>3075</v>
      </c>
      <c r="K4156" s="105" t="s">
        <v>3077</v>
      </c>
      <c r="L4156" s="117">
        <f>IF(O4156="","",N4156*O4156*M4156)</f>
        <v>0</v>
      </c>
      <c r="M4156" s="108">
        <v>1</v>
      </c>
      <c r="N4156" s="95">
        <v>1</v>
      </c>
      <c r="O4156" s="109">
        <f>IF(Key!D$1="ON",P4156,IF(SUM(Q4156:DL4156)&lt;1,"",SUM(Q4156:DL4156)/COUNTIF(Q4156:DL4156,"&gt;0")))</f>
        <v>0</v>
      </c>
      <c r="P4156" s="109">
        <f>SUMIFS(Q4156:DK4156,Q$1:DK$1,Dashboard!$K$31)</f>
        <v>0</v>
      </c>
      <c r="Q4156" s="110">
        <v>83</v>
      </c>
      <c r="U4156" s="95">
        <v>33</v>
      </c>
      <c r="AA4156" s="95">
        <v>50</v>
      </c>
    </row>
    <row r="4157" spans="1:34" x14ac:dyDescent="0.3">
      <c r="A4157" s="89" t="str">
        <f>CONCATENATE(D4157,".",F4157,"-",G4157,".",H4157,"")</f>
        <v>4.3-1.0</v>
      </c>
      <c r="B4157" s="89" t="str">
        <f>IF(CONCATENATE(I4157,Key!F$2)=CONCATENATE(INDEX(Dashboard!J:J,MATCH(I4157,Dashboard!J:J,0),1),INDEX(Dashboard!J:K,MATCH(I4157,Dashboard!J:J,0),2)),"ON",IF(Dashboard!K$32="ALL","ON","-"))</f>
        <v>-</v>
      </c>
      <c r="C4157" s="96" t="s">
        <v>329</v>
      </c>
      <c r="D4157" s="89">
        <f>IF(C4157="ID",1,(IF(C4157="PR",2,(IF(C4157="DE",3,(IF(C4157="RS",4,(IF(C4157="RC",5,0)))))))))</f>
        <v>4</v>
      </c>
      <c r="E4157" s="89" t="s">
        <v>343</v>
      </c>
      <c r="F4157" s="89">
        <f>IF(E4157="AM",1,(IF(E4157="BE",2,(IF(E4157="GV",3,(IF(E4157="RA",4,(IF(E4157="RM",5,(IF(E4157="AC",1,(IF(E4157="AT",2,(IF(E4157="DS",3,(IF(E4157="IP",4,(IF(E4157="MA",5,(IF(E4157="PT",6,(IF(E4157="AE",1,(IF(E4157="CM",2,(IF(E4157="DP",3,(IF(E4157="AN",1,(IF(E4157="CO",2,(IF(E4157="IM",3,(IF(E4157="MI",4,(IF(E4157="RP",5,(IF(E4157="SC",6,0)))))))))))))))))))))))))))))))))))))))</f>
        <v>3</v>
      </c>
      <c r="G4157" s="52">
        <v>1</v>
      </c>
      <c r="H4157" s="90" t="s">
        <v>347</v>
      </c>
      <c r="I4157" s="94" t="s">
        <v>2835</v>
      </c>
      <c r="J4157" s="53" t="s">
        <v>3078</v>
      </c>
      <c r="K4157" s="105" t="s">
        <v>3079</v>
      </c>
      <c r="L4157" s="117">
        <f>IF(O4157="","",N4157*O4157*M4157)</f>
        <v>0</v>
      </c>
      <c r="M4157" s="108">
        <v>1</v>
      </c>
      <c r="N4157" s="95">
        <v>1</v>
      </c>
      <c r="O4157" s="109">
        <f>IF(Key!D$1="ON",P4157,IF(SUM(Q4157:DL4157)&lt;1,"",SUM(Q4157:DL4157)/COUNTIF(Q4157:DL4157,"&gt;0")))</f>
        <v>0</v>
      </c>
      <c r="P4157" s="109">
        <f>SUMIFS(Q4157:DK4157,Q$1:DK$1,Dashboard!$K$31)</f>
        <v>0</v>
      </c>
      <c r="U4157" s="95">
        <v>33</v>
      </c>
    </row>
    <row r="4158" spans="1:34" x14ac:dyDescent="0.3">
      <c r="A4158" s="89" t="str">
        <f>CONCATENATE(D4158,".",F4158,"-",G4158,".",H4158,"")</f>
        <v>4.3-1.1</v>
      </c>
      <c r="B4158" s="89" t="str">
        <f>IF(CONCATENATE(I4158,Key!F$2)=CONCATENATE(INDEX(Dashboard!J:J,MATCH(I4158,Dashboard!J:J,0),1),INDEX(Dashboard!J:K,MATCH(I4158,Dashboard!J:J,0),2)),"ON",IF(Dashboard!K$32="ALL","ON","-"))</f>
        <v>ON</v>
      </c>
      <c r="C4158" s="130" t="s">
        <v>329</v>
      </c>
      <c r="D4158" s="89">
        <f>IF(C4158="ID",1,(IF(C4158="PR",2,(IF(C4158="DE",3,(IF(C4158="RS",4,(IF(C4158="RC",5,0)))))))))</f>
        <v>4</v>
      </c>
      <c r="E4158" s="95" t="s">
        <v>343</v>
      </c>
      <c r="F4158" s="89">
        <f>IF(E4158="AM",1,(IF(E4158="BE",2,(IF(E4158="GV",3,(IF(E4158="RA",4,(IF(E4158="RM",5,(IF(E4158="AC",1,(IF(E4158="AT",2,(IF(E4158="DS",3,(IF(E4158="IP",4,(IF(E4158="MA",5,(IF(E4158="PT",6,(IF(E4158="AE",1,(IF(E4158="CM",2,(IF(E4158="DP",3,(IF(E4158="AN",1,(IF(E4158="CO",2,(IF(E4158="IM",3,(IF(E4158="MI",4,(IF(E4158="RP",5,(IF(E4158="SC",6,0)))))))))))))))))))))))))))))))))))))))</f>
        <v>3</v>
      </c>
      <c r="G4158" s="52">
        <v>1</v>
      </c>
      <c r="H4158" s="90" t="s">
        <v>115</v>
      </c>
      <c r="I4158" s="94" t="s">
        <v>4107</v>
      </c>
      <c r="J4158" s="86" t="s">
        <v>4061</v>
      </c>
      <c r="K4158" s="101" t="s">
        <v>4467</v>
      </c>
      <c r="L4158" s="117">
        <f>IF(O4158="","",N4158*O4158*M4158)</f>
        <v>0</v>
      </c>
      <c r="M4158" s="108">
        <v>1</v>
      </c>
      <c r="N4158" s="95">
        <v>1</v>
      </c>
      <c r="O4158" s="109">
        <f>IF(Key!D$1="ON",P4158,IF(SUM(Q4158:DL4158)&lt;1,"",SUM(Q4158:DL4158)/COUNTIF(Q4158:DL4158,"&gt;0")))</f>
        <v>0</v>
      </c>
      <c r="P4158" s="109">
        <f>SUMIFS(Q4158:DK4158,Q$1:DK$1,Dashboard!$K$31)</f>
        <v>0</v>
      </c>
      <c r="U4158" s="95">
        <v>33</v>
      </c>
      <c r="AA4158" s="95">
        <v>25</v>
      </c>
      <c r="AH4158" s="95">
        <v>75</v>
      </c>
    </row>
    <row r="4159" spans="1:34" x14ac:dyDescent="0.3">
      <c r="A4159" s="89" t="str">
        <f>CONCATENATE(D4159,".",F4159,"-",G4159,".",H4159,"")</f>
        <v>4.3-1.1</v>
      </c>
      <c r="B4159" s="89" t="str">
        <f>IF(CONCATENATE(I4159,Key!F$2)=CONCATENATE(INDEX(Dashboard!J:J,MATCH(I4159,Dashboard!J:J,0),1),INDEX(Dashboard!J:K,MATCH(I4159,Dashboard!J:J,0),2)),"ON",IF(Dashboard!K$32="ALL","ON","-"))</f>
        <v>-</v>
      </c>
      <c r="C4159" s="96" t="s">
        <v>329</v>
      </c>
      <c r="D4159" s="89">
        <f>IF(C4159="ID",1,(IF(C4159="PR",2,(IF(C4159="DE",3,(IF(C4159="RS",4,(IF(C4159="RC",5,0)))))))))</f>
        <v>4</v>
      </c>
      <c r="E4159" s="89" t="s">
        <v>343</v>
      </c>
      <c r="F4159" s="89">
        <f>IF(E4159="AM",1,(IF(E4159="BE",2,(IF(E4159="GV",3,(IF(E4159="RA",4,(IF(E4159="RM",5,(IF(E4159="AC",1,(IF(E4159="AT",2,(IF(E4159="DS",3,(IF(E4159="IP",4,(IF(E4159="MA",5,(IF(E4159="PT",6,(IF(E4159="AE",1,(IF(E4159="CM",2,(IF(E4159="DP",3,(IF(E4159="AN",1,(IF(E4159="CO",2,(IF(E4159="IM",3,(IF(E4159="MI",4,(IF(E4159="RP",5,(IF(E4159="SC",6,0)))))))))))))))))))))))))))))))))))))))</f>
        <v>3</v>
      </c>
      <c r="G4159" s="98">
        <v>1</v>
      </c>
      <c r="H4159" s="90" t="s">
        <v>115</v>
      </c>
      <c r="I4159" s="94" t="s">
        <v>52</v>
      </c>
      <c r="J4159" s="88" t="s">
        <v>3329</v>
      </c>
      <c r="K4159" s="103" t="s">
        <v>3330</v>
      </c>
      <c r="L4159" s="117">
        <f>IF(O4159="","",N4159*O4159*M4159)</f>
        <v>0</v>
      </c>
      <c r="M4159" s="108">
        <v>1</v>
      </c>
      <c r="N4159" s="95">
        <v>1</v>
      </c>
      <c r="O4159" s="109">
        <f>IF(Key!D$1="ON",P4159,IF(SUM(Q4159:DL4159)&lt;1,"",SUM(Q4159:DL4159)/COUNTIF(Q4159:DL4159,"&gt;0")))</f>
        <v>0</v>
      </c>
      <c r="P4159" s="109">
        <f>SUMIFS(Q4159:DK4159,Q$1:DK$1,Dashboard!$K$31)</f>
        <v>0</v>
      </c>
      <c r="U4159" s="95">
        <v>33</v>
      </c>
      <c r="AA4159" s="95">
        <v>25</v>
      </c>
      <c r="AH4159" s="95">
        <v>75</v>
      </c>
    </row>
    <row r="4160" spans="1:34" x14ac:dyDescent="0.3">
      <c r="A4160" s="89" t="str">
        <f>CONCATENATE(D4160,".",F4160,"-",G4160,".",H4160,"")</f>
        <v>4.3-1.1</v>
      </c>
      <c r="B4160" s="89" t="str">
        <f>IF(CONCATENATE(I4160,Key!F$2)=CONCATENATE(INDEX(Dashboard!J:J,MATCH(I4160,Dashboard!J:J,0),1),INDEX(Dashboard!J:K,MATCH(I4160,Dashboard!J:J,0),2)),"ON",IF(Dashboard!K$32="ALL","ON","-"))</f>
        <v>-</v>
      </c>
      <c r="C4160" s="88" t="s">
        <v>329</v>
      </c>
      <c r="D4160" s="89">
        <f>IF(C4160="ID",1,(IF(C4160="PR",2,(IF(C4160="DE",3,(IF(C4160="RS",4,(IF(C4160="RC",5,0)))))))))</f>
        <v>4</v>
      </c>
      <c r="E4160" s="89" t="s">
        <v>343</v>
      </c>
      <c r="F4160" s="89">
        <f>IF(E4160="AM",1,(IF(E4160="BE",2,(IF(E4160="GV",3,(IF(E4160="RA",4,(IF(E4160="RM",5,(IF(E4160="AC",1,(IF(E4160="AT",2,(IF(E4160="DS",3,(IF(E4160="IP",4,(IF(E4160="MA",5,(IF(E4160="PT",6,(IF(E4160="AE",1,(IF(E4160="CM",2,(IF(E4160="DP",3,(IF(E4160="AN",1,(IF(E4160="CO",2,(IF(E4160="IM",3,(IF(E4160="MI",4,(IF(E4160="RP",5,(IF(E4160="SC",6,0)))))))))))))))))))))))))))))))))))))))</f>
        <v>3</v>
      </c>
      <c r="G4160" s="52">
        <v>1</v>
      </c>
      <c r="H4160" s="90" t="s">
        <v>115</v>
      </c>
      <c r="I4160" s="94" t="s">
        <v>60</v>
      </c>
      <c r="J4160" s="87" t="s">
        <v>3251</v>
      </c>
      <c r="K4160" s="51" t="s">
        <v>5365</v>
      </c>
      <c r="L4160" s="117">
        <f>IF(O4160="","",N4160*O4160*M4160)</f>
        <v>0</v>
      </c>
      <c r="M4160" s="108">
        <v>1</v>
      </c>
      <c r="N4160" s="95">
        <v>1</v>
      </c>
      <c r="O4160" s="109">
        <f>IF(Key!D$1="ON",P4160,IF(SUM(Q4160:DL4160)&lt;1,"",SUM(Q4160:DL4160)/COUNTIF(Q4160:DL4160,"&gt;0")))</f>
        <v>0</v>
      </c>
      <c r="P4160" s="109">
        <f>SUMIFS(Q4160:DK4160,Q$1:DK$1,Dashboard!$K$31)</f>
        <v>0</v>
      </c>
      <c r="U4160" s="95">
        <v>33</v>
      </c>
      <c r="AA4160" s="95">
        <v>25</v>
      </c>
      <c r="AH4160" s="95">
        <v>75</v>
      </c>
    </row>
    <row r="4161" spans="1:34" x14ac:dyDescent="0.3">
      <c r="A4161" s="89" t="str">
        <f>CONCATENATE(D4161,".",F4161,"-",G4161,".",H4161,"")</f>
        <v>4.3-1.1</v>
      </c>
      <c r="B4161" s="89" t="str">
        <f>IF(CONCATENATE(I4161,Key!F$2)=CONCATENATE(INDEX(Dashboard!J:J,MATCH(I4161,Dashboard!J:J,0),1),INDEX(Dashboard!J:K,MATCH(I4161,Dashboard!J:J,0),2)),"ON",IF(Dashboard!K$32="ALL","ON","-"))</f>
        <v>-</v>
      </c>
      <c r="C4161" s="88" t="s">
        <v>329</v>
      </c>
      <c r="D4161" s="89">
        <f>IF(C4161="ID",1,(IF(C4161="PR",2,(IF(C4161="DE",3,(IF(C4161="RS",4,(IF(C4161="RC",5,0)))))))))</f>
        <v>4</v>
      </c>
      <c r="E4161" s="89" t="s">
        <v>343</v>
      </c>
      <c r="F4161" s="89">
        <f>IF(E4161="AM",1,(IF(E4161="BE",2,(IF(E4161="GV",3,(IF(E4161="RA",4,(IF(E4161="RM",5,(IF(E4161="AC",1,(IF(E4161="AT",2,(IF(E4161="DS",3,(IF(E4161="IP",4,(IF(E4161="MA",5,(IF(E4161="PT",6,(IF(E4161="AE",1,(IF(E4161="CM",2,(IF(E4161="DP",3,(IF(E4161="AN",1,(IF(E4161="CO",2,(IF(E4161="IM",3,(IF(E4161="MI",4,(IF(E4161="RP",5,(IF(E4161="SC",6,0)))))))))))))))))))))))))))))))))))))))</f>
        <v>3</v>
      </c>
      <c r="G4161" s="52">
        <v>1</v>
      </c>
      <c r="H4161" s="90" t="s">
        <v>115</v>
      </c>
      <c r="I4161" s="94" t="s">
        <v>73</v>
      </c>
      <c r="J4161" s="86" t="s">
        <v>295</v>
      </c>
      <c r="K4161" s="101" t="s">
        <v>5207</v>
      </c>
      <c r="L4161" s="117">
        <f>IF(O4161="","",N4161*O4161*M4161)</f>
        <v>0</v>
      </c>
      <c r="M4161" s="108">
        <v>1</v>
      </c>
      <c r="N4161" s="95">
        <v>1</v>
      </c>
      <c r="O4161" s="109">
        <f>IF(Key!D$1="ON",P4161,IF(SUM(Q4161:DL4161)&lt;1,"",SUM(Q4161:DL4161)/COUNTIF(Q4161:DL4161,"&gt;0")))</f>
        <v>0</v>
      </c>
      <c r="P4161" s="109">
        <f>SUMIFS(Q4161:DK4161,Q$1:DK$1,Dashboard!$K$31)</f>
        <v>0</v>
      </c>
      <c r="U4161" s="95">
        <v>33</v>
      </c>
      <c r="AA4161" s="95">
        <v>25</v>
      </c>
      <c r="AH4161" s="95">
        <v>75</v>
      </c>
    </row>
    <row r="4162" spans="1:34" x14ac:dyDescent="0.3">
      <c r="A4162" s="89" t="str">
        <f>CONCATENATE(D4162,".",F4162,"-",G4162,".",H4162,"")</f>
        <v>4.3-1.1</v>
      </c>
      <c r="B4162" s="89" t="str">
        <f>IF(CONCATENATE(I4162,Key!F$2)=CONCATENATE(INDEX(Dashboard!J:J,MATCH(I4162,Dashboard!J:J,0),1),INDEX(Dashboard!J:K,MATCH(I4162,Dashboard!J:J,0),2)),"ON",IF(Dashboard!K$32="ALL","ON","-"))</f>
        <v>-</v>
      </c>
      <c r="C4162" s="88" t="s">
        <v>329</v>
      </c>
      <c r="D4162" s="89">
        <f>IF(C4162="ID",1,(IF(C4162="PR",2,(IF(C4162="DE",3,(IF(C4162="RS",4,(IF(C4162="RC",5,0)))))))))</f>
        <v>4</v>
      </c>
      <c r="E4162" s="89" t="s">
        <v>343</v>
      </c>
      <c r="F4162" s="89">
        <f>IF(E4162="AM",1,(IF(E4162="BE",2,(IF(E4162="GV",3,(IF(E4162="RA",4,(IF(E4162="RM",5,(IF(E4162="AC",1,(IF(E4162="AT",2,(IF(E4162="DS",3,(IF(E4162="IP",4,(IF(E4162="MA",5,(IF(E4162="PT",6,(IF(E4162="AE",1,(IF(E4162="CM",2,(IF(E4162="DP",3,(IF(E4162="AN",1,(IF(E4162="CO",2,(IF(E4162="IM",3,(IF(E4162="MI",4,(IF(E4162="RP",5,(IF(E4162="SC",6,0)))))))))))))))))))))))))))))))))))))))</f>
        <v>3</v>
      </c>
      <c r="G4162" s="52">
        <v>1</v>
      </c>
      <c r="H4162" s="90" t="s">
        <v>115</v>
      </c>
      <c r="I4162" s="94" t="s">
        <v>73</v>
      </c>
      <c r="J4162" s="86" t="s">
        <v>296</v>
      </c>
      <c r="K4162" s="101" t="s">
        <v>5201</v>
      </c>
      <c r="L4162" s="117">
        <f>IF(O4162="","",N4162*O4162*M4162)</f>
        <v>0</v>
      </c>
      <c r="M4162" s="108">
        <v>1</v>
      </c>
      <c r="N4162" s="95">
        <v>1</v>
      </c>
      <c r="O4162" s="109">
        <f>IF(Key!D$1="ON",P4162,IF(SUM(Q4162:DL4162)&lt;1,"",SUM(Q4162:DL4162)/COUNTIF(Q4162:DL4162,"&gt;0")))</f>
        <v>0</v>
      </c>
      <c r="P4162" s="109">
        <f>SUMIFS(Q4162:DK4162,Q$1:DK$1,Dashboard!$K$31)</f>
        <v>0</v>
      </c>
      <c r="U4162" s="95">
        <v>33</v>
      </c>
      <c r="AA4162" s="95">
        <v>25</v>
      </c>
      <c r="AH4162" s="95">
        <v>75</v>
      </c>
    </row>
    <row r="4163" spans="1:34" x14ac:dyDescent="0.3">
      <c r="A4163" s="89" t="str">
        <f>CONCATENATE(D4163,".",F4163,"-",G4163,".",H4163,"")</f>
        <v>4.3-1.1</v>
      </c>
      <c r="B4163" s="89" t="str">
        <f>IF(CONCATENATE(I4163,Key!F$2)=CONCATENATE(INDEX(Dashboard!J:J,MATCH(I4163,Dashboard!J:J,0),1),INDEX(Dashboard!J:K,MATCH(I4163,Dashboard!J:J,0),2)),"ON",IF(Dashboard!K$32="ALL","ON","-"))</f>
        <v>-</v>
      </c>
      <c r="C4163" s="88" t="s">
        <v>329</v>
      </c>
      <c r="D4163" s="89">
        <f>IF(C4163="ID",1,(IF(C4163="PR",2,(IF(C4163="DE",3,(IF(C4163="RS",4,(IF(C4163="RC",5,0)))))))))</f>
        <v>4</v>
      </c>
      <c r="E4163" s="89" t="s">
        <v>343</v>
      </c>
      <c r="F4163" s="89">
        <f>IF(E4163="AM",1,(IF(E4163="BE",2,(IF(E4163="GV",3,(IF(E4163="RA",4,(IF(E4163="RM",5,(IF(E4163="AC",1,(IF(E4163="AT",2,(IF(E4163="DS",3,(IF(E4163="IP",4,(IF(E4163="MA",5,(IF(E4163="PT",6,(IF(E4163="AE",1,(IF(E4163="CM",2,(IF(E4163="DP",3,(IF(E4163="AN",1,(IF(E4163="CO",2,(IF(E4163="IM",3,(IF(E4163="MI",4,(IF(E4163="RP",5,(IF(E4163="SC",6,0)))))))))))))))))))))))))))))))))))))))</f>
        <v>3</v>
      </c>
      <c r="G4163" s="98">
        <v>1</v>
      </c>
      <c r="H4163" s="90" t="s">
        <v>115</v>
      </c>
      <c r="I4163" s="94" t="s">
        <v>81</v>
      </c>
      <c r="J4163" s="129" t="s">
        <v>1992</v>
      </c>
      <c r="K4163" s="103" t="s">
        <v>1993</v>
      </c>
      <c r="L4163" s="117">
        <f>IF(O4163="","",N4163*O4163*M4163)</f>
        <v>0</v>
      </c>
      <c r="M4163" s="108">
        <v>1</v>
      </c>
      <c r="N4163" s="95">
        <v>1</v>
      </c>
      <c r="O4163" s="109">
        <f>IF(Key!D$1="ON",P4163,IF(SUM(Q4163:DL4163)&lt;1,"",SUM(Q4163:DL4163)/COUNTIF(Q4163:DL4163,"&gt;0")))</f>
        <v>0</v>
      </c>
      <c r="P4163" s="109">
        <f>SUMIFS(Q4163:DK4163,Q$1:DK$1,Dashboard!$K$31)</f>
        <v>0</v>
      </c>
      <c r="U4163" s="95">
        <v>33</v>
      </c>
      <c r="AA4163" s="95">
        <v>25</v>
      </c>
      <c r="AH4163" s="95">
        <v>75</v>
      </c>
    </row>
    <row r="4164" spans="1:34" x14ac:dyDescent="0.3">
      <c r="A4164" s="89" t="str">
        <f>CONCATENATE(D4164,".",F4164,"-",G4164,".",H4164,"")</f>
        <v>4.3-1.1</v>
      </c>
      <c r="B4164" s="89" t="str">
        <f>IF(CONCATENATE(I4164,Key!F$2)=CONCATENATE(INDEX(Dashboard!J:J,MATCH(I4164,Dashboard!J:J,0),1),INDEX(Dashboard!J:K,MATCH(I4164,Dashboard!J:J,0),2)),"ON",IF(Dashboard!K$32="ALL","ON","-"))</f>
        <v>-</v>
      </c>
      <c r="C4164" s="96" t="s">
        <v>329</v>
      </c>
      <c r="D4164" s="89">
        <f>IF(C4164="ID",1,(IF(C4164="PR",2,(IF(C4164="DE",3,(IF(C4164="RS",4,(IF(C4164="RC",5,0)))))))))</f>
        <v>4</v>
      </c>
      <c r="E4164" s="89" t="s">
        <v>343</v>
      </c>
      <c r="F4164" s="89">
        <f>IF(E4164="AM",1,(IF(E4164="BE",2,(IF(E4164="GV",3,(IF(E4164="RA",4,(IF(E4164="RM",5,(IF(E4164="AC",1,(IF(E4164="AT",2,(IF(E4164="DS",3,(IF(E4164="IP",4,(IF(E4164="MA",5,(IF(E4164="PT",6,(IF(E4164="AE",1,(IF(E4164="CM",2,(IF(E4164="DP",3,(IF(E4164="AN",1,(IF(E4164="CO",2,(IF(E4164="IM",3,(IF(E4164="MI",4,(IF(E4164="RP",5,(IF(E4164="SC",6,0)))))))))))))))))))))))))))))))))))))))</f>
        <v>3</v>
      </c>
      <c r="G4164" s="98">
        <v>1</v>
      </c>
      <c r="H4164" s="90" t="s">
        <v>115</v>
      </c>
      <c r="I4164" s="94" t="s">
        <v>92</v>
      </c>
      <c r="J4164" s="87" t="s">
        <v>344</v>
      </c>
      <c r="K4164" s="102" t="s">
        <v>5226</v>
      </c>
      <c r="L4164" s="117">
        <f>IF(O4164="","",N4164*O4164*M4164)</f>
        <v>0</v>
      </c>
      <c r="M4164" s="108">
        <v>1</v>
      </c>
      <c r="N4164" s="95">
        <v>1</v>
      </c>
      <c r="O4164" s="109">
        <f>IF(Key!D$1="ON",P4164,IF(SUM(Q4164:DL4164)&lt;1,"",SUM(Q4164:DL4164)/COUNTIF(Q4164:DL4164,"&gt;0")))</f>
        <v>0</v>
      </c>
      <c r="P4164" s="109">
        <f>SUMIFS(Q4164:DK4164,Q$1:DK$1,Dashboard!$K$31)</f>
        <v>0</v>
      </c>
      <c r="U4164" s="95">
        <v>33</v>
      </c>
      <c r="AA4164" s="95">
        <v>25</v>
      </c>
      <c r="AH4164" s="95">
        <v>75</v>
      </c>
    </row>
    <row r="4165" spans="1:34" x14ac:dyDescent="0.3">
      <c r="A4165" s="89" t="str">
        <f>CONCATENATE(D4165,".",F4165,"-",G4165,".",H4165,"")</f>
        <v>4.3-2.0</v>
      </c>
      <c r="B4165" s="89" t="str">
        <f>IF(CONCATENATE(I4165,Key!F$2)=CONCATENATE(INDEX(Dashboard!J:J,MATCH(I4165,Dashboard!J:J,0),1),INDEX(Dashboard!J:K,MATCH(I4165,Dashboard!J:J,0),2)),"ON",IF(Dashboard!K$32="ALL","ON","-"))</f>
        <v>-</v>
      </c>
      <c r="C4165" s="96" t="s">
        <v>329</v>
      </c>
      <c r="D4165" s="89">
        <f>IF(C4165="ID",1,(IF(C4165="PR",2,(IF(C4165="DE",3,(IF(C4165="RS",4,(IF(C4165="RC",5,0)))))))))</f>
        <v>4</v>
      </c>
      <c r="E4165" s="89" t="s">
        <v>343</v>
      </c>
      <c r="F4165" s="89">
        <f>IF(E4165="AM",1,(IF(E4165="BE",2,(IF(E4165="GV",3,(IF(E4165="RA",4,(IF(E4165="RM",5,(IF(E4165="AC",1,(IF(E4165="AT",2,(IF(E4165="DS",3,(IF(E4165="IP",4,(IF(E4165="MA",5,(IF(E4165="PT",6,(IF(E4165="AE",1,(IF(E4165="CM",2,(IF(E4165="DP",3,(IF(E4165="AN",1,(IF(E4165="CO",2,(IF(E4165="IM",3,(IF(E4165="MI",4,(IF(E4165="RP",5,(IF(E4165="SC",6,0)))))))))))))))))))))))))))))))))))))))</f>
        <v>3</v>
      </c>
      <c r="G4165" s="52">
        <v>2</v>
      </c>
      <c r="H4165" s="90" t="s">
        <v>347</v>
      </c>
      <c r="I4165" s="94" t="s">
        <v>2835</v>
      </c>
      <c r="J4165" s="53" t="s">
        <v>3080</v>
      </c>
      <c r="K4165" s="105" t="s">
        <v>3081</v>
      </c>
      <c r="L4165" s="117">
        <f>IF(O4165="","",N4165*O4165*M4165)</f>
        <v>0</v>
      </c>
      <c r="M4165" s="108">
        <v>1</v>
      </c>
      <c r="N4165" s="95">
        <v>1</v>
      </c>
      <c r="O4165" s="109">
        <f>IF(Key!D$1="ON",P4165,IF(SUM(Q4165:DL4165)&lt;1,"",SUM(Q4165:DL4165)/COUNTIF(Q4165:DL4165,"&gt;0")))</f>
        <v>0</v>
      </c>
      <c r="P4165" s="109">
        <f>SUMIFS(Q4165:DK4165,Q$1:DK$1,Dashboard!$K$31)</f>
        <v>0</v>
      </c>
      <c r="U4165" s="95">
        <v>33</v>
      </c>
    </row>
    <row r="4166" spans="1:34" x14ac:dyDescent="0.3">
      <c r="A4166" s="89" t="str">
        <f>CONCATENATE(D4166,".",F4166,"-",G4166,".",H4166,"")</f>
        <v>4.3-2.1</v>
      </c>
      <c r="B4166" s="89" t="str">
        <f>IF(CONCATENATE(I4166,Key!F$2)=CONCATENATE(INDEX(Dashboard!J:J,MATCH(I4166,Dashboard!J:J,0),1),INDEX(Dashboard!J:K,MATCH(I4166,Dashboard!J:J,0),2)),"ON",IF(Dashboard!K$32="ALL","ON","-"))</f>
        <v>ON</v>
      </c>
      <c r="C4166" s="130" t="s">
        <v>329</v>
      </c>
      <c r="D4166" s="89">
        <f>IF(C4166="ID",1,(IF(C4166="PR",2,(IF(C4166="DE",3,(IF(C4166="RS",4,(IF(C4166="RC",5,0)))))))))</f>
        <v>4</v>
      </c>
      <c r="E4166" s="95" t="s">
        <v>343</v>
      </c>
      <c r="F4166" s="89">
        <f>IF(E4166="AM",1,(IF(E4166="BE",2,(IF(E4166="GV",3,(IF(E4166="RA",4,(IF(E4166="RM",5,(IF(E4166="AC",1,(IF(E4166="AT",2,(IF(E4166="DS",3,(IF(E4166="IP",4,(IF(E4166="MA",5,(IF(E4166="PT",6,(IF(E4166="AE",1,(IF(E4166="CM",2,(IF(E4166="DP",3,(IF(E4166="AN",1,(IF(E4166="CO",2,(IF(E4166="IM",3,(IF(E4166="MI",4,(IF(E4166="RP",5,(IF(E4166="SC",6,0)))))))))))))))))))))))))))))))))))))))</f>
        <v>3</v>
      </c>
      <c r="G4166" s="52">
        <v>2</v>
      </c>
      <c r="H4166" s="90" t="s">
        <v>115</v>
      </c>
      <c r="I4166" s="94" t="s">
        <v>4107</v>
      </c>
      <c r="J4166" s="86" t="s">
        <v>4061</v>
      </c>
      <c r="K4166" s="101" t="s">
        <v>4467</v>
      </c>
      <c r="L4166" s="117">
        <f>IF(O4166="","",N4166*O4166*M4166)</f>
        <v>0</v>
      </c>
      <c r="M4166" s="108">
        <v>1</v>
      </c>
      <c r="N4166" s="95">
        <v>1</v>
      </c>
      <c r="O4166" s="109">
        <f>IF(Key!D$1="ON",P4166,IF(SUM(Q4166:DL4166)&lt;1,"",SUM(Q4166:DL4166)/COUNTIF(Q4166:DL4166,"&gt;0")))</f>
        <v>0</v>
      </c>
      <c r="P4166" s="109">
        <f>SUMIFS(Q4166:DK4166,Q$1:DK$1,Dashboard!$K$31)</f>
        <v>0</v>
      </c>
      <c r="U4166" s="95">
        <v>33</v>
      </c>
      <c r="AA4166" s="95">
        <v>25</v>
      </c>
      <c r="AH4166" s="95">
        <v>75</v>
      </c>
    </row>
    <row r="4167" spans="1:34" x14ac:dyDescent="0.3">
      <c r="A4167" s="89" t="str">
        <f>CONCATENATE(D4167,".",F4167,"-",G4167,".",H4167,"")</f>
        <v>4.3-2.1</v>
      </c>
      <c r="B4167" s="89" t="str">
        <f>IF(CONCATENATE(I4167,Key!F$2)=CONCATENATE(INDEX(Dashboard!J:J,MATCH(I4167,Dashboard!J:J,0),1),INDEX(Dashboard!J:K,MATCH(I4167,Dashboard!J:J,0),2)),"ON",IF(Dashboard!K$32="ALL","ON","-"))</f>
        <v>-</v>
      </c>
      <c r="C4167" s="96" t="s">
        <v>329</v>
      </c>
      <c r="D4167" s="89">
        <f>IF(C4167="ID",1,(IF(C4167="PR",2,(IF(C4167="DE",3,(IF(C4167="RS",4,(IF(C4167="RC",5,0)))))))))</f>
        <v>4</v>
      </c>
      <c r="E4167" s="89" t="s">
        <v>343</v>
      </c>
      <c r="F4167" s="89">
        <f>IF(E4167="AM",1,(IF(E4167="BE",2,(IF(E4167="GV",3,(IF(E4167="RA",4,(IF(E4167="RM",5,(IF(E4167="AC",1,(IF(E4167="AT",2,(IF(E4167="DS",3,(IF(E4167="IP",4,(IF(E4167="MA",5,(IF(E4167="PT",6,(IF(E4167="AE",1,(IF(E4167="CM",2,(IF(E4167="DP",3,(IF(E4167="AN",1,(IF(E4167="CO",2,(IF(E4167="IM",3,(IF(E4167="MI",4,(IF(E4167="RP",5,(IF(E4167="SC",6,0)))))))))))))))))))))))))))))))))))))))</f>
        <v>3</v>
      </c>
      <c r="G4167" s="98">
        <v>2</v>
      </c>
      <c r="H4167" s="90" t="s">
        <v>115</v>
      </c>
      <c r="I4167" s="94" t="s">
        <v>52</v>
      </c>
      <c r="J4167" s="88" t="s">
        <v>3329</v>
      </c>
      <c r="K4167" s="103" t="s">
        <v>3330</v>
      </c>
      <c r="L4167" s="117">
        <f>IF(O4167="","",N4167*O4167*M4167)</f>
        <v>0</v>
      </c>
      <c r="M4167" s="108">
        <v>1</v>
      </c>
      <c r="N4167" s="95">
        <v>1</v>
      </c>
      <c r="O4167" s="109">
        <f>IF(Key!D$1="ON",P4167,IF(SUM(Q4167:DL4167)&lt;1,"",SUM(Q4167:DL4167)/COUNTIF(Q4167:DL4167,"&gt;0")))</f>
        <v>0</v>
      </c>
      <c r="P4167" s="109">
        <f>SUMIFS(Q4167:DK4167,Q$1:DK$1,Dashboard!$K$31)</f>
        <v>0</v>
      </c>
      <c r="U4167" s="95">
        <v>33</v>
      </c>
      <c r="AA4167" s="95">
        <v>25</v>
      </c>
      <c r="AH4167" s="95">
        <v>75</v>
      </c>
    </row>
    <row r="4168" spans="1:34" x14ac:dyDescent="0.3">
      <c r="A4168" s="89" t="str">
        <f>CONCATENATE(D4168,".",F4168,"-",G4168,".",H4168,"")</f>
        <v>4.3-2.1</v>
      </c>
      <c r="B4168" s="89" t="str">
        <f>IF(CONCATENATE(I4168,Key!F$2)=CONCATENATE(INDEX(Dashboard!J:J,MATCH(I4168,Dashboard!J:J,0),1),INDEX(Dashboard!J:K,MATCH(I4168,Dashboard!J:J,0),2)),"ON",IF(Dashboard!K$32="ALL","ON","-"))</f>
        <v>-</v>
      </c>
      <c r="C4168" s="88" t="s">
        <v>329</v>
      </c>
      <c r="D4168" s="89">
        <f>IF(C4168="ID",1,(IF(C4168="PR",2,(IF(C4168="DE",3,(IF(C4168="RS",4,(IF(C4168="RC",5,0)))))))))</f>
        <v>4</v>
      </c>
      <c r="E4168" s="89" t="s">
        <v>343</v>
      </c>
      <c r="F4168" s="89">
        <f>IF(E4168="AM",1,(IF(E4168="BE",2,(IF(E4168="GV",3,(IF(E4168="RA",4,(IF(E4168="RM",5,(IF(E4168="AC",1,(IF(E4168="AT",2,(IF(E4168="DS",3,(IF(E4168="IP",4,(IF(E4168="MA",5,(IF(E4168="PT",6,(IF(E4168="AE",1,(IF(E4168="CM",2,(IF(E4168="DP",3,(IF(E4168="AN",1,(IF(E4168="CO",2,(IF(E4168="IM",3,(IF(E4168="MI",4,(IF(E4168="RP",5,(IF(E4168="SC",6,0)))))))))))))))))))))))))))))))))))))))</f>
        <v>3</v>
      </c>
      <c r="G4168" s="52">
        <v>2</v>
      </c>
      <c r="H4168" s="89">
        <v>1</v>
      </c>
      <c r="I4168" s="94" t="s">
        <v>60</v>
      </c>
      <c r="J4168" s="88" t="s">
        <v>3132</v>
      </c>
      <c r="K4168" s="51" t="s">
        <v>5245</v>
      </c>
      <c r="L4168" s="117">
        <f>IF(O4168="","",N4168*O4168*M4168)</f>
        <v>0</v>
      </c>
      <c r="M4168" s="108">
        <v>1</v>
      </c>
      <c r="N4168" s="95">
        <v>1</v>
      </c>
      <c r="O4168" s="109">
        <f>IF(Key!D$1="ON",P4168,IF(SUM(Q4168:DL4168)&lt;1,"",SUM(Q4168:DL4168)/COUNTIF(Q4168:DL4168,"&gt;0")))</f>
        <v>0</v>
      </c>
      <c r="P4168" s="109">
        <f>SUMIFS(Q4168:DK4168,Q$1:DK$1,Dashboard!$K$31)</f>
        <v>0</v>
      </c>
      <c r="U4168" s="95">
        <v>33</v>
      </c>
      <c r="AA4168" s="95">
        <v>25</v>
      </c>
      <c r="AH4168" s="95">
        <v>75</v>
      </c>
    </row>
    <row r="4169" spans="1:34" x14ac:dyDescent="0.3">
      <c r="A4169" s="89" t="str">
        <f>CONCATENATE(D4169,".",F4169,"-",G4169,".",H4169,"")</f>
        <v>4.3-2.1</v>
      </c>
      <c r="B4169" s="89" t="str">
        <f>IF(CONCATENATE(I4169,Key!F$2)=CONCATENATE(INDEX(Dashboard!J:J,MATCH(I4169,Dashboard!J:J,0),1),INDEX(Dashboard!J:K,MATCH(I4169,Dashboard!J:J,0),2)),"ON",IF(Dashboard!K$32="ALL","ON","-"))</f>
        <v>-</v>
      </c>
      <c r="C4169" s="88" t="s">
        <v>329</v>
      </c>
      <c r="D4169" s="89">
        <f>IF(C4169="ID",1,(IF(C4169="PR",2,(IF(C4169="DE",3,(IF(C4169="RS",4,(IF(C4169="RC",5,0)))))))))</f>
        <v>4</v>
      </c>
      <c r="E4169" s="89" t="s">
        <v>343</v>
      </c>
      <c r="F4169" s="89">
        <f>IF(E4169="AM",1,(IF(E4169="BE",2,(IF(E4169="GV",3,(IF(E4169="RA",4,(IF(E4169="RM",5,(IF(E4169="AC",1,(IF(E4169="AT",2,(IF(E4169="DS",3,(IF(E4169="IP",4,(IF(E4169="MA",5,(IF(E4169="PT",6,(IF(E4169="AE",1,(IF(E4169="CM",2,(IF(E4169="DP",3,(IF(E4169="AN",1,(IF(E4169="CO",2,(IF(E4169="IM",3,(IF(E4169="MI",4,(IF(E4169="RP",5,(IF(E4169="SC",6,0)))))))))))))))))))))))))))))))))))))))</f>
        <v>3</v>
      </c>
      <c r="G4169" s="52">
        <v>2</v>
      </c>
      <c r="H4169" s="89">
        <v>1</v>
      </c>
      <c r="I4169" s="94" t="s">
        <v>60</v>
      </c>
      <c r="J4169" s="88" t="s">
        <v>3133</v>
      </c>
      <c r="K4169" s="51" t="s">
        <v>5246</v>
      </c>
      <c r="L4169" s="117">
        <f>IF(O4169="","",N4169*O4169*M4169)</f>
        <v>0</v>
      </c>
      <c r="M4169" s="108">
        <v>1</v>
      </c>
      <c r="N4169" s="95">
        <v>1</v>
      </c>
      <c r="O4169" s="109">
        <f>IF(Key!D$1="ON",P4169,IF(SUM(Q4169:DL4169)&lt;1,"",SUM(Q4169:DL4169)/COUNTIF(Q4169:DL4169,"&gt;0")))</f>
        <v>0</v>
      </c>
      <c r="P4169" s="109">
        <f>SUMIFS(Q4169:DK4169,Q$1:DK$1,Dashboard!$K$31)</f>
        <v>0</v>
      </c>
      <c r="U4169" s="95">
        <v>33</v>
      </c>
      <c r="AA4169" s="95">
        <v>25</v>
      </c>
      <c r="AH4169" s="95">
        <v>75</v>
      </c>
    </row>
    <row r="4170" spans="1:34" x14ac:dyDescent="0.3">
      <c r="A4170" s="89" t="str">
        <f>CONCATENATE(D4170,".",F4170,"-",G4170,".",H4170,"")</f>
        <v>4.3-2.1</v>
      </c>
      <c r="B4170" s="89" t="str">
        <f>IF(CONCATENATE(I4170,Key!F$2)=CONCATENATE(INDEX(Dashboard!J:J,MATCH(I4170,Dashboard!J:J,0),1),INDEX(Dashboard!J:K,MATCH(I4170,Dashboard!J:J,0),2)),"ON",IF(Dashboard!K$32="ALL","ON","-"))</f>
        <v>-</v>
      </c>
      <c r="C4170" s="88" t="s">
        <v>329</v>
      </c>
      <c r="D4170" s="89">
        <f>IF(C4170="ID",1,(IF(C4170="PR",2,(IF(C4170="DE",3,(IF(C4170="RS",4,(IF(C4170="RC",5,0)))))))))</f>
        <v>4</v>
      </c>
      <c r="E4170" s="89" t="s">
        <v>343</v>
      </c>
      <c r="F4170" s="89">
        <f>IF(E4170="AM",1,(IF(E4170="BE",2,(IF(E4170="GV",3,(IF(E4170="RA",4,(IF(E4170="RM",5,(IF(E4170="AC",1,(IF(E4170="AT",2,(IF(E4170="DS",3,(IF(E4170="IP",4,(IF(E4170="MA",5,(IF(E4170="PT",6,(IF(E4170="AE",1,(IF(E4170="CM",2,(IF(E4170="DP",3,(IF(E4170="AN",1,(IF(E4170="CO",2,(IF(E4170="IM",3,(IF(E4170="MI",4,(IF(E4170="RP",5,(IF(E4170="SC",6,0)))))))))))))))))))))))))))))))))))))))</f>
        <v>3</v>
      </c>
      <c r="G4170" s="52">
        <v>2</v>
      </c>
      <c r="H4170" s="90" t="s">
        <v>115</v>
      </c>
      <c r="I4170" s="94" t="s">
        <v>73</v>
      </c>
      <c r="J4170" s="86" t="s">
        <v>296</v>
      </c>
      <c r="K4170" s="101" t="s">
        <v>5201</v>
      </c>
      <c r="L4170" s="117">
        <f>IF(O4170="","",N4170*O4170*M4170)</f>
        <v>0</v>
      </c>
      <c r="M4170" s="108">
        <v>1</v>
      </c>
      <c r="N4170" s="95">
        <v>1</v>
      </c>
      <c r="O4170" s="109">
        <f>IF(Key!D$1="ON",P4170,IF(SUM(Q4170:DL4170)&lt;1,"",SUM(Q4170:DL4170)/COUNTIF(Q4170:DL4170,"&gt;0")))</f>
        <v>0</v>
      </c>
      <c r="P4170" s="109">
        <f>SUMIFS(Q4170:DK4170,Q$1:DK$1,Dashboard!$K$31)</f>
        <v>0</v>
      </c>
      <c r="U4170" s="95">
        <v>33</v>
      </c>
      <c r="AA4170" s="95">
        <v>25</v>
      </c>
      <c r="AH4170" s="95">
        <v>75</v>
      </c>
    </row>
    <row r="4171" spans="1:34" x14ac:dyDescent="0.3">
      <c r="A4171" s="89" t="str">
        <f>CONCATENATE(D4171,".",F4171,"-",G4171,".",H4171,"")</f>
        <v>4.3-2.1</v>
      </c>
      <c r="B4171" s="89" t="str">
        <f>IF(CONCATENATE(I4171,Key!F$2)=CONCATENATE(INDEX(Dashboard!J:J,MATCH(I4171,Dashboard!J:J,0),1),INDEX(Dashboard!J:K,MATCH(I4171,Dashboard!J:J,0),2)),"ON",IF(Dashboard!K$32="ALL","ON","-"))</f>
        <v>-</v>
      </c>
      <c r="C4171" s="96" t="s">
        <v>329</v>
      </c>
      <c r="D4171" s="89">
        <f>IF(C4171="ID",1,(IF(C4171="PR",2,(IF(C4171="DE",3,(IF(C4171="RS",4,(IF(C4171="RC",5,0)))))))))</f>
        <v>4</v>
      </c>
      <c r="E4171" s="89" t="s">
        <v>343</v>
      </c>
      <c r="F4171" s="89">
        <f>IF(E4171="AM",1,(IF(E4171="BE",2,(IF(E4171="GV",3,(IF(E4171="RA",4,(IF(E4171="RM",5,(IF(E4171="AC",1,(IF(E4171="AT",2,(IF(E4171="DS",3,(IF(E4171="IP",4,(IF(E4171="MA",5,(IF(E4171="PT",6,(IF(E4171="AE",1,(IF(E4171="CM",2,(IF(E4171="DP",3,(IF(E4171="AN",1,(IF(E4171="CO",2,(IF(E4171="IM",3,(IF(E4171="MI",4,(IF(E4171="RP",5,(IF(E4171="SC",6,0)))))))))))))))))))))))))))))))))))))))</f>
        <v>3</v>
      </c>
      <c r="G4171" s="98">
        <v>2</v>
      </c>
      <c r="H4171" s="90" t="s">
        <v>115</v>
      </c>
      <c r="I4171" s="94" t="s">
        <v>92</v>
      </c>
      <c r="J4171" s="88" t="s">
        <v>232</v>
      </c>
      <c r="K4171" s="102" t="s">
        <v>5226</v>
      </c>
      <c r="L4171" s="117">
        <f>IF(O4171="","",N4171*O4171*M4171)</f>
        <v>0</v>
      </c>
      <c r="M4171" s="108">
        <v>1</v>
      </c>
      <c r="N4171" s="95">
        <v>1</v>
      </c>
      <c r="O4171" s="109">
        <f>IF(Key!D$1="ON",P4171,IF(SUM(Q4171:DL4171)&lt;1,"",SUM(Q4171:DL4171)/COUNTIF(Q4171:DL4171,"&gt;0")))</f>
        <v>0</v>
      </c>
      <c r="P4171" s="109">
        <f>SUMIFS(Q4171:DK4171,Q$1:DK$1,Dashboard!$K$31)</f>
        <v>0</v>
      </c>
      <c r="U4171" s="95">
        <v>33</v>
      </c>
      <c r="AA4171" s="95">
        <v>25</v>
      </c>
      <c r="AH4171" s="95">
        <v>75</v>
      </c>
    </row>
    <row r="4172" spans="1:34" x14ac:dyDescent="0.3">
      <c r="A4172" s="89" t="str">
        <f>CONCATENATE(D4172,".",F4172,"-",G4172,".",H4172,"")</f>
        <v>4.3-2.1</v>
      </c>
      <c r="B4172" s="89" t="str">
        <f>IF(CONCATENATE(I4172,Key!F$2)=CONCATENATE(INDEX(Dashboard!J:J,MATCH(I4172,Dashboard!J:J,0),1),INDEX(Dashboard!J:K,MATCH(I4172,Dashboard!J:J,0),2)),"ON",IF(Dashboard!K$32="ALL","ON","-"))</f>
        <v>-</v>
      </c>
      <c r="C4172" s="96" t="s">
        <v>329</v>
      </c>
      <c r="D4172" s="89">
        <f>IF(C4172="ID",1,(IF(C4172="PR",2,(IF(C4172="DE",3,(IF(C4172="RS",4,(IF(C4172="RC",5,0)))))))))</f>
        <v>4</v>
      </c>
      <c r="E4172" s="89" t="s">
        <v>343</v>
      </c>
      <c r="F4172" s="89">
        <f>IF(E4172="AM",1,(IF(E4172="BE",2,(IF(E4172="GV",3,(IF(E4172="RA",4,(IF(E4172="RM",5,(IF(E4172="AC",1,(IF(E4172="AT",2,(IF(E4172="DS",3,(IF(E4172="IP",4,(IF(E4172="MA",5,(IF(E4172="PT",6,(IF(E4172="AE",1,(IF(E4172="CM",2,(IF(E4172="DP",3,(IF(E4172="AN",1,(IF(E4172="CO",2,(IF(E4172="IM",3,(IF(E4172="MI",4,(IF(E4172="RP",5,(IF(E4172="SC",6,0)))))))))))))))))))))))))))))))))))))))</f>
        <v>3</v>
      </c>
      <c r="G4172" s="98">
        <v>2</v>
      </c>
      <c r="H4172" s="90" t="s">
        <v>115</v>
      </c>
      <c r="I4172" s="94" t="s">
        <v>92</v>
      </c>
      <c r="J4172" s="87" t="s">
        <v>344</v>
      </c>
      <c r="K4172" s="102" t="s">
        <v>5226</v>
      </c>
      <c r="L4172" s="117">
        <f>IF(O4172="","",N4172*O4172*M4172)</f>
        <v>0</v>
      </c>
      <c r="M4172" s="108">
        <v>1</v>
      </c>
      <c r="N4172" s="95">
        <v>1</v>
      </c>
      <c r="O4172" s="109">
        <f>IF(Key!D$1="ON",P4172,IF(SUM(Q4172:DL4172)&lt;1,"",SUM(Q4172:DL4172)/COUNTIF(Q4172:DL4172,"&gt;0")))</f>
        <v>0</v>
      </c>
      <c r="P4172" s="109">
        <f>SUMIFS(Q4172:DK4172,Q$1:DK$1,Dashboard!$K$31)</f>
        <v>0</v>
      </c>
      <c r="U4172" s="95">
        <v>33</v>
      </c>
      <c r="AA4172" s="95">
        <v>25</v>
      </c>
      <c r="AH4172" s="95">
        <v>75</v>
      </c>
    </row>
    <row r="4173" spans="1:34" x14ac:dyDescent="0.3">
      <c r="A4173" s="89" t="str">
        <f>CONCATENATE(D4173,".",F4173,"-",G4173,".",H4173,"")</f>
        <v>4.4-0.0</v>
      </c>
      <c r="B4173" s="89" t="str">
        <f>IF(CONCATENATE(I4173,Key!F$2)=CONCATENATE(INDEX(Dashboard!J:J,MATCH(I4173,Dashboard!J:J,0),1),INDEX(Dashboard!J:K,MATCH(I4173,Dashboard!J:J,0),2)),"ON",IF(Dashboard!K$32="ALL","ON","-"))</f>
        <v>-</v>
      </c>
      <c r="C4173" s="96" t="s">
        <v>329</v>
      </c>
      <c r="D4173" s="89">
        <f>IF(C4173="ID",1,(IF(C4173="PR",2,(IF(C4173="DE",3,(IF(C4173="RS",4,(IF(C4173="RC",5,0)))))))))</f>
        <v>4</v>
      </c>
      <c r="E4173" s="89" t="s">
        <v>345</v>
      </c>
      <c r="F4173" s="89">
        <f>IF(E4173="AM",1,(IF(E4173="BE",2,(IF(E4173="GV",3,(IF(E4173="RA",4,(IF(E4173="RM",5,(IF(E4173="AC",1,(IF(E4173="AT",2,(IF(E4173="DS",3,(IF(E4173="IP",4,(IF(E4173="MA",5,(IF(E4173="PT",6,(IF(E4173="AE",1,(IF(E4173="CM",2,(IF(E4173="DP",3,(IF(E4173="AN",1,(IF(E4173="CO",2,(IF(E4173="IM",3,(IF(E4173="MI",4,(IF(E4173="RP",5,(IF(E4173="SC",6,0)))))))))))))))))))))))))))))))))))))))</f>
        <v>4</v>
      </c>
      <c r="G4173" s="52">
        <v>0</v>
      </c>
      <c r="H4173" s="90" t="s">
        <v>347</v>
      </c>
      <c r="I4173" s="94" t="s">
        <v>2835</v>
      </c>
      <c r="J4173" s="140" t="s">
        <v>3082</v>
      </c>
      <c r="K4173" s="145" t="s">
        <v>3083</v>
      </c>
      <c r="L4173" s="117">
        <f>IF(O4173="","",N4173*O4173*M4173)</f>
        <v>0</v>
      </c>
      <c r="M4173" s="108">
        <v>1</v>
      </c>
      <c r="N4173" s="95">
        <v>1</v>
      </c>
      <c r="O4173" s="109">
        <f>IF(Key!D$1="ON",P4173,IF(SUM(Q4173:DL4173)&lt;1,"",SUM(Q4173:DL4173)/COUNTIF(Q4173:DL4173,"&gt;0")))</f>
        <v>0</v>
      </c>
      <c r="P4173" s="109">
        <f>SUMIFS(Q4173:DK4173,Q$1:DK$1,Dashboard!$K$31)</f>
        <v>0</v>
      </c>
      <c r="Q4173" s="110">
        <v>83</v>
      </c>
      <c r="U4173" s="95">
        <v>33</v>
      </c>
    </row>
    <row r="4174" spans="1:34" x14ac:dyDescent="0.3">
      <c r="A4174" s="89" t="str">
        <f>CONCATENATE(D4174,".",F4174,"-",G4174,".",H4174,"")</f>
        <v>4.4-0.1</v>
      </c>
      <c r="B4174" s="89" t="str">
        <f>IF(CONCATENATE(I4174,Key!F$2)=CONCATENATE(INDEX(Dashboard!J:J,MATCH(I4174,Dashboard!J:J,0),1),INDEX(Dashboard!J:K,MATCH(I4174,Dashboard!J:J,0),2)),"ON",IF(Dashboard!K$32="ALL","ON","-"))</f>
        <v>-</v>
      </c>
      <c r="C4174" s="96" t="s">
        <v>329</v>
      </c>
      <c r="D4174" s="89">
        <f>IF(C4174="ID",1,(IF(C4174="PR",2,(IF(C4174="DE",3,(IF(C4174="RS",4,(IF(C4174="RC",5,0)))))))))</f>
        <v>4</v>
      </c>
      <c r="E4174" s="89" t="s">
        <v>345</v>
      </c>
      <c r="F4174" s="89">
        <f>IF(E4174="AM",1,(IF(E4174="BE",2,(IF(E4174="GV",3,(IF(E4174="RA",4,(IF(E4174="RM",5,(IF(E4174="AC",1,(IF(E4174="AT",2,(IF(E4174="DS",3,(IF(E4174="IP",4,(IF(E4174="MA",5,(IF(E4174="PT",6,(IF(E4174="AE",1,(IF(E4174="CM",2,(IF(E4174="DP",3,(IF(E4174="AN",1,(IF(E4174="CO",2,(IF(E4174="IM",3,(IF(E4174="MI",4,(IF(E4174="RP",5,(IF(E4174="SC",6,0)))))))))))))))))))))))))))))))))))))))</f>
        <v>4</v>
      </c>
      <c r="G4174" s="52">
        <v>0</v>
      </c>
      <c r="H4174" s="90" t="s">
        <v>115</v>
      </c>
      <c r="I4174" s="94" t="s">
        <v>2835</v>
      </c>
      <c r="J4174" s="59" t="s">
        <v>3082</v>
      </c>
      <c r="K4174" s="105" t="s">
        <v>3084</v>
      </c>
      <c r="L4174" s="117">
        <f>IF(O4174="","",N4174*O4174*M4174)</f>
        <v>0</v>
      </c>
      <c r="M4174" s="108">
        <v>1</v>
      </c>
      <c r="N4174" s="95">
        <v>1</v>
      </c>
      <c r="O4174" s="109">
        <f>IF(Key!D$1="ON",P4174,IF(SUM(Q4174:DL4174)&lt;1,"",SUM(Q4174:DL4174)/COUNTIF(Q4174:DL4174,"&gt;0")))</f>
        <v>0</v>
      </c>
      <c r="P4174" s="109">
        <f>SUMIFS(Q4174:DK4174,Q$1:DK$1,Dashboard!$K$31)</f>
        <v>0</v>
      </c>
      <c r="Q4174" s="110">
        <v>83</v>
      </c>
      <c r="U4174" s="95">
        <v>33</v>
      </c>
      <c r="AA4174" s="95">
        <v>50</v>
      </c>
    </row>
    <row r="4175" spans="1:34" x14ac:dyDescent="0.3">
      <c r="A4175" s="89" t="str">
        <f>CONCATENATE(D4175,".",F4175,"-",G4175,".",H4175,"")</f>
        <v>4.4-1.0</v>
      </c>
      <c r="B4175" s="89" t="str">
        <f>IF(CONCATENATE(I4175,Key!F$2)=CONCATENATE(INDEX(Dashboard!J:J,MATCH(I4175,Dashboard!J:J,0),1),INDEX(Dashboard!J:K,MATCH(I4175,Dashboard!J:J,0),2)),"ON",IF(Dashboard!K$32="ALL","ON","-"))</f>
        <v>-</v>
      </c>
      <c r="C4175" s="96" t="s">
        <v>329</v>
      </c>
      <c r="D4175" s="89">
        <f>IF(C4175="ID",1,(IF(C4175="PR",2,(IF(C4175="DE",3,(IF(C4175="RS",4,(IF(C4175="RC",5,0)))))))))</f>
        <v>4</v>
      </c>
      <c r="E4175" s="89" t="s">
        <v>345</v>
      </c>
      <c r="F4175" s="89">
        <f>IF(E4175="AM",1,(IF(E4175="BE",2,(IF(E4175="GV",3,(IF(E4175="RA",4,(IF(E4175="RM",5,(IF(E4175="AC",1,(IF(E4175="AT",2,(IF(E4175="DS",3,(IF(E4175="IP",4,(IF(E4175="MA",5,(IF(E4175="PT",6,(IF(E4175="AE",1,(IF(E4175="CM",2,(IF(E4175="DP",3,(IF(E4175="AN",1,(IF(E4175="CO",2,(IF(E4175="IM",3,(IF(E4175="MI",4,(IF(E4175="RP",5,(IF(E4175="SC",6,0)))))))))))))))))))))))))))))))))))))))</f>
        <v>4</v>
      </c>
      <c r="G4175" s="52">
        <v>1</v>
      </c>
      <c r="H4175" s="90" t="s">
        <v>347</v>
      </c>
      <c r="I4175" s="94" t="s">
        <v>2835</v>
      </c>
      <c r="J4175" s="53" t="s">
        <v>3085</v>
      </c>
      <c r="K4175" s="105" t="s">
        <v>3086</v>
      </c>
      <c r="L4175" s="117">
        <f>IF(O4175="","",N4175*O4175*M4175)</f>
        <v>0</v>
      </c>
      <c r="M4175" s="108">
        <v>1</v>
      </c>
      <c r="N4175" s="95">
        <v>1</v>
      </c>
      <c r="O4175" s="109">
        <f>IF(Key!D$1="ON",P4175,IF(SUM(Q4175:DL4175)&lt;1,"",SUM(Q4175:DL4175)/COUNTIF(Q4175:DL4175,"&gt;0")))</f>
        <v>0</v>
      </c>
      <c r="P4175" s="109">
        <f>SUMIFS(Q4175:DK4175,Q$1:DK$1,Dashboard!$K$31)</f>
        <v>0</v>
      </c>
      <c r="U4175" s="95">
        <v>33</v>
      </c>
    </row>
    <row r="4176" spans="1:34" x14ac:dyDescent="0.3">
      <c r="A4176" s="89" t="str">
        <f>CONCATENATE(D4176,".",F4176,"-",G4176,".",H4176,"")</f>
        <v>4.4-1.1</v>
      </c>
      <c r="B4176" s="89" t="str">
        <f>IF(CONCATENATE(I4176,Key!F$2)=CONCATENATE(INDEX(Dashboard!J:J,MATCH(I4176,Dashboard!J:J,0),1),INDEX(Dashboard!J:K,MATCH(I4176,Dashboard!J:J,0),2)),"ON",IF(Dashboard!K$32="ALL","ON","-"))</f>
        <v>-</v>
      </c>
      <c r="C4176" s="96" t="s">
        <v>329</v>
      </c>
      <c r="D4176" s="89">
        <f>IF(C4176="ID",1,(IF(C4176="PR",2,(IF(C4176="DE",3,(IF(C4176="RS",4,(IF(C4176="RC",5,0)))))))))</f>
        <v>4</v>
      </c>
      <c r="E4176" s="89" t="s">
        <v>345</v>
      </c>
      <c r="F4176" s="89">
        <f>IF(E4176="AM",1,(IF(E4176="BE",2,(IF(E4176="GV",3,(IF(E4176="RA",4,(IF(E4176="RM",5,(IF(E4176="AC",1,(IF(E4176="AT",2,(IF(E4176="DS",3,(IF(E4176="IP",4,(IF(E4176="MA",5,(IF(E4176="PT",6,(IF(E4176="AE",1,(IF(E4176="CM",2,(IF(E4176="DP",3,(IF(E4176="AN",1,(IF(E4176="CO",2,(IF(E4176="IM",3,(IF(E4176="MI",4,(IF(E4176="RP",5,(IF(E4176="SC",6,0)))))))))))))))))))))))))))))))))))))))</f>
        <v>4</v>
      </c>
      <c r="G4176" s="98">
        <v>1</v>
      </c>
      <c r="H4176" s="90" t="s">
        <v>115</v>
      </c>
      <c r="I4176" s="94" t="s">
        <v>52</v>
      </c>
      <c r="J4176" s="88" t="s">
        <v>3305</v>
      </c>
      <c r="K4176" s="103" t="s">
        <v>3306</v>
      </c>
      <c r="L4176" s="117">
        <f>IF(O4176="","",N4176*O4176*M4176)</f>
        <v>0</v>
      </c>
      <c r="M4176" s="108">
        <v>1</v>
      </c>
      <c r="N4176" s="95">
        <v>1</v>
      </c>
      <c r="O4176" s="109">
        <f>IF(Key!D$1="ON",P4176,IF(SUM(Q4176:DL4176)&lt;1,"",SUM(Q4176:DL4176)/COUNTIF(Q4176:DL4176,"&gt;0")))</f>
        <v>0</v>
      </c>
      <c r="P4176" s="109">
        <f>SUMIFS(Q4176:DK4176,Q$1:DK$1,Dashboard!$K$31)</f>
        <v>0</v>
      </c>
      <c r="U4176" s="95">
        <v>33</v>
      </c>
      <c r="AA4176" s="95">
        <v>25</v>
      </c>
      <c r="AH4176" s="95">
        <v>75</v>
      </c>
    </row>
    <row r="4177" spans="1:34" x14ac:dyDescent="0.3">
      <c r="A4177" s="89" t="str">
        <f>CONCATENATE(D4177,".",F4177,"-",G4177,".",H4177,"")</f>
        <v>4.4-1.1</v>
      </c>
      <c r="B4177" s="89" t="str">
        <f>IF(CONCATENATE(I4177,Key!F$2)=CONCATENATE(INDEX(Dashboard!J:J,MATCH(I4177,Dashboard!J:J,0),1),INDEX(Dashboard!J:K,MATCH(I4177,Dashboard!J:J,0),2)),"ON",IF(Dashboard!K$32="ALL","ON","-"))</f>
        <v>-</v>
      </c>
      <c r="C4177" s="96" t="s">
        <v>329</v>
      </c>
      <c r="D4177" s="89">
        <f>IF(C4177="ID",1,(IF(C4177="PR",2,(IF(C4177="DE",3,(IF(C4177="RS",4,(IF(C4177="RC",5,0)))))))))</f>
        <v>4</v>
      </c>
      <c r="E4177" s="89" t="s">
        <v>345</v>
      </c>
      <c r="F4177" s="89">
        <f>IF(E4177="AM",1,(IF(E4177="BE",2,(IF(E4177="GV",3,(IF(E4177="RA",4,(IF(E4177="RM",5,(IF(E4177="AC",1,(IF(E4177="AT",2,(IF(E4177="DS",3,(IF(E4177="IP",4,(IF(E4177="MA",5,(IF(E4177="PT",6,(IF(E4177="AE",1,(IF(E4177="CM",2,(IF(E4177="DP",3,(IF(E4177="AN",1,(IF(E4177="CO",2,(IF(E4177="IM",3,(IF(E4177="MI",4,(IF(E4177="RP",5,(IF(E4177="SC",6,0)))))))))))))))))))))))))))))))))))))))</f>
        <v>4</v>
      </c>
      <c r="G4177" s="98">
        <v>1</v>
      </c>
      <c r="H4177" s="90" t="s">
        <v>115</v>
      </c>
      <c r="I4177" s="94" t="s">
        <v>52</v>
      </c>
      <c r="J4177" s="88" t="s">
        <v>3292</v>
      </c>
      <c r="K4177" s="103" t="s">
        <v>3293</v>
      </c>
      <c r="L4177" s="117">
        <f>IF(O4177="","",N4177*O4177*M4177)</f>
        <v>0</v>
      </c>
      <c r="M4177" s="108">
        <v>1</v>
      </c>
      <c r="N4177" s="95">
        <v>1</v>
      </c>
      <c r="O4177" s="109">
        <f>IF(Key!D$1="ON",P4177,IF(SUM(Q4177:DL4177)&lt;1,"",SUM(Q4177:DL4177)/COUNTIF(Q4177:DL4177,"&gt;0")))</f>
        <v>0</v>
      </c>
      <c r="P4177" s="109">
        <f>SUMIFS(Q4177:DK4177,Q$1:DK$1,Dashboard!$K$31)</f>
        <v>0</v>
      </c>
      <c r="U4177" s="95">
        <v>33</v>
      </c>
      <c r="AA4177" s="95">
        <v>25</v>
      </c>
      <c r="AH4177" s="95">
        <v>75</v>
      </c>
    </row>
    <row r="4178" spans="1:34" x14ac:dyDescent="0.3">
      <c r="A4178" s="89" t="str">
        <f>CONCATENATE(D4178,".",F4178,"-",G4178,".",H4178,"")</f>
        <v>4.4-1.1</v>
      </c>
      <c r="B4178" s="89" t="str">
        <f>IF(CONCATENATE(I4178,Key!F$2)=CONCATENATE(INDEX(Dashboard!J:J,MATCH(I4178,Dashboard!J:J,0),1),INDEX(Dashboard!J:K,MATCH(I4178,Dashboard!J:J,0),2)),"ON",IF(Dashboard!K$32="ALL","ON","-"))</f>
        <v>-</v>
      </c>
      <c r="C4178" s="88" t="s">
        <v>329</v>
      </c>
      <c r="D4178" s="89">
        <f>IF(C4178="ID",1,(IF(C4178="PR",2,(IF(C4178="DE",3,(IF(C4178="RS",4,(IF(C4178="RC",5,0)))))))))</f>
        <v>4</v>
      </c>
      <c r="E4178" s="89" t="s">
        <v>345</v>
      </c>
      <c r="F4178" s="89">
        <f>IF(E4178="AM",1,(IF(E4178="BE",2,(IF(E4178="GV",3,(IF(E4178="RA",4,(IF(E4178="RM",5,(IF(E4178="AC",1,(IF(E4178="AT",2,(IF(E4178="DS",3,(IF(E4178="IP",4,(IF(E4178="MA",5,(IF(E4178="PT",6,(IF(E4178="AE",1,(IF(E4178="CM",2,(IF(E4178="DP",3,(IF(E4178="AN",1,(IF(E4178="CO",2,(IF(E4178="IM",3,(IF(E4178="MI",4,(IF(E4178="RP",5,(IF(E4178="SC",6,0)))))))))))))))))))))))))))))))))))))))</f>
        <v>4</v>
      </c>
      <c r="G4178" s="52">
        <v>1</v>
      </c>
      <c r="H4178" s="90" t="s">
        <v>115</v>
      </c>
      <c r="I4178" s="94" t="s">
        <v>60</v>
      </c>
      <c r="J4178" s="87" t="s">
        <v>3276</v>
      </c>
      <c r="K4178" s="51" t="s">
        <v>5389</v>
      </c>
      <c r="L4178" s="117">
        <f>IF(O4178="","",N4178*O4178*M4178)</f>
        <v>0</v>
      </c>
      <c r="M4178" s="108">
        <v>1</v>
      </c>
      <c r="N4178" s="95">
        <v>1</v>
      </c>
      <c r="O4178" s="109">
        <f>IF(Key!D$1="ON",P4178,IF(SUM(Q4178:DL4178)&lt;1,"",SUM(Q4178:DL4178)/COUNTIF(Q4178:DL4178,"&gt;0")))</f>
        <v>0</v>
      </c>
      <c r="P4178" s="109">
        <f>SUMIFS(Q4178:DK4178,Q$1:DK$1,Dashboard!$K$31)</f>
        <v>0</v>
      </c>
      <c r="U4178" s="95">
        <v>33</v>
      </c>
      <c r="AA4178" s="95">
        <v>25</v>
      </c>
      <c r="AH4178" s="95">
        <v>75</v>
      </c>
    </row>
    <row r="4179" spans="1:34" x14ac:dyDescent="0.3">
      <c r="A4179" s="89" t="str">
        <f>CONCATENATE(D4179,".",F4179,"-",G4179,".",H4179,"")</f>
        <v>4.4-1.1</v>
      </c>
      <c r="B4179" s="89" t="str">
        <f>IF(CONCATENATE(I4179,Key!F$2)=CONCATENATE(INDEX(Dashboard!J:J,MATCH(I4179,Dashboard!J:J,0),1),INDEX(Dashboard!J:K,MATCH(I4179,Dashboard!J:J,0),2)),"ON",IF(Dashboard!K$32="ALL","ON","-"))</f>
        <v>-</v>
      </c>
      <c r="C4179" s="88" t="s">
        <v>329</v>
      </c>
      <c r="D4179" s="89">
        <f>IF(C4179="ID",1,(IF(C4179="PR",2,(IF(C4179="DE",3,(IF(C4179="RS",4,(IF(C4179="RC",5,0)))))))))</f>
        <v>4</v>
      </c>
      <c r="E4179" s="89" t="s">
        <v>345</v>
      </c>
      <c r="F4179" s="89">
        <f>IF(E4179="AM",1,(IF(E4179="BE",2,(IF(E4179="GV",3,(IF(E4179="RA",4,(IF(E4179="RM",5,(IF(E4179="AC",1,(IF(E4179="AT",2,(IF(E4179="DS",3,(IF(E4179="IP",4,(IF(E4179="MA",5,(IF(E4179="PT",6,(IF(E4179="AE",1,(IF(E4179="CM",2,(IF(E4179="DP",3,(IF(E4179="AN",1,(IF(E4179="CO",2,(IF(E4179="IM",3,(IF(E4179="MI",4,(IF(E4179="RP",5,(IF(E4179="SC",6,0)))))))))))))))))))))))))))))))))))))))</f>
        <v>4</v>
      </c>
      <c r="G4179" s="52">
        <v>1</v>
      </c>
      <c r="H4179" s="90" t="s">
        <v>115</v>
      </c>
      <c r="I4179" s="94" t="s">
        <v>73</v>
      </c>
      <c r="J4179" s="86" t="s">
        <v>295</v>
      </c>
      <c r="K4179" s="101" t="s">
        <v>5207</v>
      </c>
      <c r="L4179" s="117">
        <f>IF(O4179="","",N4179*O4179*M4179)</f>
        <v>0</v>
      </c>
      <c r="M4179" s="108">
        <v>1</v>
      </c>
      <c r="N4179" s="95">
        <v>1</v>
      </c>
      <c r="O4179" s="109">
        <f>IF(Key!D$1="ON",P4179,IF(SUM(Q4179:DL4179)&lt;1,"",SUM(Q4179:DL4179)/COUNTIF(Q4179:DL4179,"&gt;0")))</f>
        <v>0</v>
      </c>
      <c r="P4179" s="109">
        <f>SUMIFS(Q4179:DK4179,Q$1:DK$1,Dashboard!$K$31)</f>
        <v>0</v>
      </c>
      <c r="U4179" s="95">
        <v>33</v>
      </c>
      <c r="AA4179" s="95">
        <v>25</v>
      </c>
      <c r="AH4179" s="95">
        <v>75</v>
      </c>
    </row>
    <row r="4180" spans="1:34" x14ac:dyDescent="0.3">
      <c r="A4180" s="89" t="str">
        <f>CONCATENATE(D4180,".",F4180,"-",G4180,".",H4180,"")</f>
        <v>4.4-1.1</v>
      </c>
      <c r="B4180" s="89" t="str">
        <f>IF(CONCATENATE(I4180,Key!F$2)=CONCATENATE(INDEX(Dashboard!J:J,MATCH(I4180,Dashboard!J:J,0),1),INDEX(Dashboard!J:K,MATCH(I4180,Dashboard!J:J,0),2)),"ON",IF(Dashboard!K$32="ALL","ON","-"))</f>
        <v>-</v>
      </c>
      <c r="C4180" s="88" t="s">
        <v>329</v>
      </c>
      <c r="D4180" s="89">
        <f>IF(C4180="ID",1,(IF(C4180="PR",2,(IF(C4180="DE",3,(IF(C4180="RS",4,(IF(C4180="RC",5,0)))))))))</f>
        <v>4</v>
      </c>
      <c r="E4180" s="89" t="s">
        <v>345</v>
      </c>
      <c r="F4180" s="89">
        <f>IF(E4180="AM",1,(IF(E4180="BE",2,(IF(E4180="GV",3,(IF(E4180="RA",4,(IF(E4180="RM",5,(IF(E4180="AC",1,(IF(E4180="AT",2,(IF(E4180="DS",3,(IF(E4180="IP",4,(IF(E4180="MA",5,(IF(E4180="PT",6,(IF(E4180="AE",1,(IF(E4180="CM",2,(IF(E4180="DP",3,(IF(E4180="AN",1,(IF(E4180="CO",2,(IF(E4180="IM",3,(IF(E4180="MI",4,(IF(E4180="RP",5,(IF(E4180="SC",6,0)))))))))))))))))))))))))))))))))))))))</f>
        <v>4</v>
      </c>
      <c r="G4180" s="52">
        <v>1</v>
      </c>
      <c r="H4180" s="90" t="s">
        <v>115</v>
      </c>
      <c r="I4180" s="94" t="s">
        <v>73</v>
      </c>
      <c r="J4180" s="86" t="s">
        <v>296</v>
      </c>
      <c r="K4180" s="101" t="s">
        <v>5201</v>
      </c>
      <c r="L4180" s="117">
        <f>IF(O4180="","",N4180*O4180*M4180)</f>
        <v>0</v>
      </c>
      <c r="M4180" s="108">
        <v>1</v>
      </c>
      <c r="N4180" s="95">
        <v>1</v>
      </c>
      <c r="O4180" s="109">
        <f>IF(Key!D$1="ON",P4180,IF(SUM(Q4180:DL4180)&lt;1,"",SUM(Q4180:DL4180)/COUNTIF(Q4180:DL4180,"&gt;0")))</f>
        <v>0</v>
      </c>
      <c r="P4180" s="109">
        <f>SUMIFS(Q4180:DK4180,Q$1:DK$1,Dashboard!$K$31)</f>
        <v>0</v>
      </c>
      <c r="U4180" s="95">
        <v>33</v>
      </c>
      <c r="AA4180" s="95">
        <v>25</v>
      </c>
      <c r="AH4180" s="95">
        <v>75</v>
      </c>
    </row>
    <row r="4181" spans="1:34" x14ac:dyDescent="0.3">
      <c r="A4181" s="89" t="str">
        <f>CONCATENATE(D4181,".",F4181,"-",G4181,".",H4181,"")</f>
        <v>4.4-1.1</v>
      </c>
      <c r="B4181" s="89" t="str">
        <f>IF(CONCATENATE(I4181,Key!F$2)=CONCATENATE(INDEX(Dashboard!J:J,MATCH(I4181,Dashboard!J:J,0),1),INDEX(Dashboard!J:K,MATCH(I4181,Dashboard!J:J,0),2)),"ON",IF(Dashboard!K$32="ALL","ON","-"))</f>
        <v>-</v>
      </c>
      <c r="C4181" s="88" t="s">
        <v>329</v>
      </c>
      <c r="D4181" s="89">
        <f>IF(C4181="ID",1,(IF(C4181="PR",2,(IF(C4181="DE",3,(IF(C4181="RS",4,(IF(C4181="RC",5,0)))))))))</f>
        <v>4</v>
      </c>
      <c r="E4181" s="89" t="s">
        <v>345</v>
      </c>
      <c r="F4181" s="89">
        <f>IF(E4181="AM",1,(IF(E4181="BE",2,(IF(E4181="GV",3,(IF(E4181="RA",4,(IF(E4181="RM",5,(IF(E4181="AC",1,(IF(E4181="AT",2,(IF(E4181="DS",3,(IF(E4181="IP",4,(IF(E4181="MA",5,(IF(E4181="PT",6,(IF(E4181="AE",1,(IF(E4181="CM",2,(IF(E4181="DP",3,(IF(E4181="AN",1,(IF(E4181="CO",2,(IF(E4181="IM",3,(IF(E4181="MI",4,(IF(E4181="RP",5,(IF(E4181="SC",6,0)))))))))))))))))))))))))))))))))))))))</f>
        <v>4</v>
      </c>
      <c r="G4181" s="52">
        <v>1</v>
      </c>
      <c r="H4181" s="90" t="s">
        <v>115</v>
      </c>
      <c r="I4181" s="94" t="s">
        <v>77</v>
      </c>
      <c r="J4181" s="87" t="s">
        <v>1905</v>
      </c>
      <c r="K4181" s="102" t="s">
        <v>2802</v>
      </c>
      <c r="L4181" s="117">
        <f>IF(O4181="","",N4181*O4181*M4181)</f>
        <v>0</v>
      </c>
      <c r="M4181" s="108">
        <v>0.9</v>
      </c>
      <c r="N4181" s="95">
        <v>1</v>
      </c>
      <c r="O4181" s="109">
        <f>IF(Key!D$1="ON",P4181,IF(SUM(Q4181:DL4181)&lt;1,"",SUM(Q4181:DL4181)/COUNTIF(Q4181:DL4181,"&gt;0")))</f>
        <v>0</v>
      </c>
      <c r="P4181" s="109">
        <f>SUMIFS(Q4181:DK4181,Q$1:DK$1,Dashboard!$K$31)</f>
        <v>0</v>
      </c>
      <c r="S4181" s="95">
        <v>99</v>
      </c>
      <c r="T4181" s="95">
        <v>80</v>
      </c>
      <c r="U4181" s="95">
        <v>33</v>
      </c>
      <c r="AA4181" s="95">
        <v>25</v>
      </c>
      <c r="AH4181" s="95">
        <v>75</v>
      </c>
    </row>
    <row r="4182" spans="1:34" x14ac:dyDescent="0.3">
      <c r="A4182" s="89" t="str">
        <f>CONCATENATE(D4182,".",F4182,"-",G4182,".",H4182,"")</f>
        <v>4.4-1.1</v>
      </c>
      <c r="B4182" s="89" t="str">
        <f>IF(CONCATENATE(I4182,Key!F$2)=CONCATENATE(INDEX(Dashboard!J:J,MATCH(I4182,Dashboard!J:J,0),1),INDEX(Dashboard!J:K,MATCH(I4182,Dashboard!J:J,0),2)),"ON",IF(Dashboard!K$32="ALL","ON","-"))</f>
        <v>-</v>
      </c>
      <c r="C4182" s="88" t="s">
        <v>329</v>
      </c>
      <c r="D4182" s="89">
        <f>IF(C4182="ID",1,(IF(C4182="PR",2,(IF(C4182="DE",3,(IF(C4182="RS",4,(IF(C4182="RC",5,0)))))))))</f>
        <v>4</v>
      </c>
      <c r="E4182" s="89" t="s">
        <v>345</v>
      </c>
      <c r="F4182" s="89">
        <f>IF(E4182="AM",1,(IF(E4182="BE",2,(IF(E4182="GV",3,(IF(E4182="RA",4,(IF(E4182="RM",5,(IF(E4182="AC",1,(IF(E4182="AT",2,(IF(E4182="DS",3,(IF(E4182="IP",4,(IF(E4182="MA",5,(IF(E4182="PT",6,(IF(E4182="AE",1,(IF(E4182="CM",2,(IF(E4182="DP",3,(IF(E4182="AN",1,(IF(E4182="CO",2,(IF(E4182="IM",3,(IF(E4182="MI",4,(IF(E4182="RP",5,(IF(E4182="SC",6,0)))))))))))))))))))))))))))))))))))))))</f>
        <v>4</v>
      </c>
      <c r="G4182" s="52">
        <v>1</v>
      </c>
      <c r="H4182" s="90" t="s">
        <v>115</v>
      </c>
      <c r="I4182" s="94" t="s">
        <v>85</v>
      </c>
      <c r="J4182" s="87" t="s">
        <v>1905</v>
      </c>
      <c r="K4182" s="119" t="s">
        <v>4793</v>
      </c>
      <c r="L4182" s="117">
        <f>IF(O4182="","",N4182*O4182*M4182)</f>
        <v>0</v>
      </c>
      <c r="M4182" s="108">
        <v>0.9</v>
      </c>
      <c r="N4182" s="95">
        <v>1</v>
      </c>
      <c r="O4182" s="109">
        <f>IF(Key!D$1="ON",P4182,IF(SUM(Q4182:DL4182)&lt;1,"",SUM(Q4182:DL4182)/COUNTIF(Q4182:DL4182,"&gt;0")))</f>
        <v>0</v>
      </c>
      <c r="P4182" s="109">
        <f>SUMIFS(Q4182:DK4182,Q$1:DK$1,Dashboard!$K$31)</f>
        <v>0</v>
      </c>
      <c r="S4182" s="95">
        <v>25</v>
      </c>
      <c r="T4182" s="95">
        <v>80</v>
      </c>
      <c r="U4182" s="95">
        <v>33</v>
      </c>
      <c r="AA4182" s="95">
        <v>25</v>
      </c>
      <c r="AH4182" s="95">
        <v>75</v>
      </c>
    </row>
    <row r="4183" spans="1:34" x14ac:dyDescent="0.3">
      <c r="A4183" s="89" t="str">
        <f>CONCATENATE(D4183,".",F4183,"-",G4183,".",H4183,"")</f>
        <v>4.4-2.0</v>
      </c>
      <c r="B4183" s="89" t="str">
        <f>IF(CONCATENATE(I4183,Key!F$2)=CONCATENATE(INDEX(Dashboard!J:J,MATCH(I4183,Dashboard!J:J,0),1),INDEX(Dashboard!J:K,MATCH(I4183,Dashboard!J:J,0),2)),"ON",IF(Dashboard!K$32="ALL","ON","-"))</f>
        <v>-</v>
      </c>
      <c r="C4183" s="96" t="s">
        <v>329</v>
      </c>
      <c r="D4183" s="89">
        <f>IF(C4183="ID",1,(IF(C4183="PR",2,(IF(C4183="DE",3,(IF(C4183="RS",4,(IF(C4183="RC",5,0)))))))))</f>
        <v>4</v>
      </c>
      <c r="E4183" s="89" t="s">
        <v>345</v>
      </c>
      <c r="F4183" s="89">
        <f>IF(E4183="AM",1,(IF(E4183="BE",2,(IF(E4183="GV",3,(IF(E4183="RA",4,(IF(E4183="RM",5,(IF(E4183="AC",1,(IF(E4183="AT",2,(IF(E4183="DS",3,(IF(E4183="IP",4,(IF(E4183="MA",5,(IF(E4183="PT",6,(IF(E4183="AE",1,(IF(E4183="CM",2,(IF(E4183="DP",3,(IF(E4183="AN",1,(IF(E4183="CO",2,(IF(E4183="IM",3,(IF(E4183="MI",4,(IF(E4183="RP",5,(IF(E4183="SC",6,0)))))))))))))))))))))))))))))))))))))))</f>
        <v>4</v>
      </c>
      <c r="G4183" s="52">
        <v>2</v>
      </c>
      <c r="H4183" s="90" t="s">
        <v>347</v>
      </c>
      <c r="I4183" s="94" t="s">
        <v>2835</v>
      </c>
      <c r="J4183" s="53" t="s">
        <v>3087</v>
      </c>
      <c r="K4183" s="105" t="s">
        <v>3088</v>
      </c>
      <c r="L4183" s="117">
        <f>IF(O4183="","",N4183*O4183*M4183)</f>
        <v>0</v>
      </c>
      <c r="M4183" s="108">
        <v>1</v>
      </c>
      <c r="N4183" s="95">
        <v>1</v>
      </c>
      <c r="O4183" s="109">
        <f>IF(Key!D$1="ON",P4183,IF(SUM(Q4183:DL4183)&lt;1,"",SUM(Q4183:DL4183)/COUNTIF(Q4183:DL4183,"&gt;0")))</f>
        <v>0</v>
      </c>
      <c r="P4183" s="109">
        <f>SUMIFS(Q4183:DK4183,Q$1:DK$1,Dashboard!$K$31)</f>
        <v>0</v>
      </c>
      <c r="U4183" s="95">
        <v>33</v>
      </c>
    </row>
    <row r="4184" spans="1:34" x14ac:dyDescent="0.3">
      <c r="A4184" s="89" t="str">
        <f>CONCATENATE(D4184,".",F4184,"-",G4184,".",H4184,"")</f>
        <v>4.4-2.1</v>
      </c>
      <c r="B4184" s="89" t="str">
        <f>IF(CONCATENATE(I4184,Key!F$2)=CONCATENATE(INDEX(Dashboard!J:J,MATCH(I4184,Dashboard!J:J,0),1),INDEX(Dashboard!J:K,MATCH(I4184,Dashboard!J:J,0),2)),"ON",IF(Dashboard!K$32="ALL","ON","-"))</f>
        <v>-</v>
      </c>
      <c r="C4184" s="96" t="s">
        <v>329</v>
      </c>
      <c r="D4184" s="89">
        <f>IF(C4184="ID",1,(IF(C4184="PR",2,(IF(C4184="DE",3,(IF(C4184="RS",4,(IF(C4184="RC",5,0)))))))))</f>
        <v>4</v>
      </c>
      <c r="E4184" s="89" t="s">
        <v>345</v>
      </c>
      <c r="F4184" s="89">
        <f>IF(E4184="AM",1,(IF(E4184="BE",2,(IF(E4184="GV",3,(IF(E4184="RA",4,(IF(E4184="RM",5,(IF(E4184="AC",1,(IF(E4184="AT",2,(IF(E4184="DS",3,(IF(E4184="IP",4,(IF(E4184="MA",5,(IF(E4184="PT",6,(IF(E4184="AE",1,(IF(E4184="CM",2,(IF(E4184="DP",3,(IF(E4184="AN",1,(IF(E4184="CO",2,(IF(E4184="IM",3,(IF(E4184="MI",4,(IF(E4184="RP",5,(IF(E4184="SC",6,0)))))))))))))))))))))))))))))))))))))))</f>
        <v>4</v>
      </c>
      <c r="G4184" s="98">
        <v>2</v>
      </c>
      <c r="H4184" s="90" t="s">
        <v>115</v>
      </c>
      <c r="I4184" s="94" t="s">
        <v>52</v>
      </c>
      <c r="J4184" s="88" t="s">
        <v>3305</v>
      </c>
      <c r="K4184" s="103" t="s">
        <v>3306</v>
      </c>
      <c r="L4184" s="117">
        <f>IF(O4184="","",N4184*O4184*M4184)</f>
        <v>0</v>
      </c>
      <c r="M4184" s="108">
        <v>1</v>
      </c>
      <c r="N4184" s="95">
        <v>1</v>
      </c>
      <c r="O4184" s="109">
        <f>IF(Key!D$1="ON",P4184,IF(SUM(Q4184:DL4184)&lt;1,"",SUM(Q4184:DL4184)/COUNTIF(Q4184:DL4184,"&gt;0")))</f>
        <v>0</v>
      </c>
      <c r="P4184" s="109">
        <f>SUMIFS(Q4184:DK4184,Q$1:DK$1,Dashboard!$K$31)</f>
        <v>0</v>
      </c>
      <c r="U4184" s="95">
        <v>33</v>
      </c>
      <c r="AA4184" s="95">
        <v>25</v>
      </c>
      <c r="AH4184" s="95">
        <v>75</v>
      </c>
    </row>
    <row r="4185" spans="1:34" x14ac:dyDescent="0.3">
      <c r="A4185" s="89" t="str">
        <f>CONCATENATE(D4185,".",F4185,"-",G4185,".",H4185,"")</f>
        <v>4.4-2.1</v>
      </c>
      <c r="B4185" s="89" t="str">
        <f>IF(CONCATENATE(I4185,Key!F$2)=CONCATENATE(INDEX(Dashboard!J:J,MATCH(I4185,Dashboard!J:J,0),1),INDEX(Dashboard!J:K,MATCH(I4185,Dashboard!J:J,0),2)),"ON",IF(Dashboard!K$32="ALL","ON","-"))</f>
        <v>-</v>
      </c>
      <c r="C4185" s="96" t="s">
        <v>329</v>
      </c>
      <c r="D4185" s="89">
        <f>IF(C4185="ID",1,(IF(C4185="PR",2,(IF(C4185="DE",3,(IF(C4185="RS",4,(IF(C4185="RC",5,0)))))))))</f>
        <v>4</v>
      </c>
      <c r="E4185" s="89" t="s">
        <v>345</v>
      </c>
      <c r="F4185" s="89">
        <f>IF(E4185="AM",1,(IF(E4185="BE",2,(IF(E4185="GV",3,(IF(E4185="RA",4,(IF(E4185="RM",5,(IF(E4185="AC",1,(IF(E4185="AT",2,(IF(E4185="DS",3,(IF(E4185="IP",4,(IF(E4185="MA",5,(IF(E4185="PT",6,(IF(E4185="AE",1,(IF(E4185="CM",2,(IF(E4185="DP",3,(IF(E4185="AN",1,(IF(E4185="CO",2,(IF(E4185="IM",3,(IF(E4185="MI",4,(IF(E4185="RP",5,(IF(E4185="SC",6,0)))))))))))))))))))))))))))))))))))))))</f>
        <v>4</v>
      </c>
      <c r="G4185" s="98">
        <v>2</v>
      </c>
      <c r="H4185" s="90" t="s">
        <v>115</v>
      </c>
      <c r="I4185" s="94" t="s">
        <v>52</v>
      </c>
      <c r="J4185" s="88" t="s">
        <v>3292</v>
      </c>
      <c r="K4185" s="103" t="s">
        <v>3293</v>
      </c>
      <c r="L4185" s="117">
        <f>IF(O4185="","",N4185*O4185*M4185)</f>
        <v>0</v>
      </c>
      <c r="M4185" s="108">
        <v>1</v>
      </c>
      <c r="N4185" s="95">
        <v>1</v>
      </c>
      <c r="O4185" s="109">
        <f>IF(Key!D$1="ON",P4185,IF(SUM(Q4185:DL4185)&lt;1,"",SUM(Q4185:DL4185)/COUNTIF(Q4185:DL4185,"&gt;0")))</f>
        <v>0</v>
      </c>
      <c r="P4185" s="109">
        <f>SUMIFS(Q4185:DK4185,Q$1:DK$1,Dashboard!$K$31)</f>
        <v>0</v>
      </c>
      <c r="U4185" s="95">
        <v>33</v>
      </c>
      <c r="AA4185" s="95">
        <v>25</v>
      </c>
      <c r="AH4185" s="95">
        <v>75</v>
      </c>
    </row>
    <row r="4186" spans="1:34" x14ac:dyDescent="0.3">
      <c r="A4186" s="89" t="str">
        <f>CONCATENATE(D4186,".",F4186,"-",G4186,".",H4186,"")</f>
        <v>4.4-2.1</v>
      </c>
      <c r="B4186" s="89" t="str">
        <f>IF(CONCATENATE(I4186,Key!F$2)=CONCATENATE(INDEX(Dashboard!J:J,MATCH(I4186,Dashboard!J:J,0),1),INDEX(Dashboard!J:K,MATCH(I4186,Dashboard!J:J,0),2)),"ON",IF(Dashboard!K$32="ALL","ON","-"))</f>
        <v>-</v>
      </c>
      <c r="C4186" s="88" t="s">
        <v>329</v>
      </c>
      <c r="D4186" s="89">
        <f>IF(C4186="ID",1,(IF(C4186="PR",2,(IF(C4186="DE",3,(IF(C4186="RS",4,(IF(C4186="RC",5,0)))))))))</f>
        <v>4</v>
      </c>
      <c r="E4186" s="89" t="s">
        <v>345</v>
      </c>
      <c r="F4186" s="89">
        <f>IF(E4186="AM",1,(IF(E4186="BE",2,(IF(E4186="GV",3,(IF(E4186="RA",4,(IF(E4186="RM",5,(IF(E4186="AC",1,(IF(E4186="AT",2,(IF(E4186="DS",3,(IF(E4186="IP",4,(IF(E4186="MA",5,(IF(E4186="PT",6,(IF(E4186="AE",1,(IF(E4186="CM",2,(IF(E4186="DP",3,(IF(E4186="AN",1,(IF(E4186="CO",2,(IF(E4186="IM",3,(IF(E4186="MI",4,(IF(E4186="RP",5,(IF(E4186="SC",6,0)))))))))))))))))))))))))))))))))))))))</f>
        <v>4</v>
      </c>
      <c r="G4186" s="52">
        <v>2</v>
      </c>
      <c r="H4186" s="90" t="s">
        <v>115</v>
      </c>
      <c r="I4186" s="94" t="s">
        <v>60</v>
      </c>
      <c r="J4186" s="87" t="s">
        <v>3276</v>
      </c>
      <c r="K4186" s="51" t="s">
        <v>5389</v>
      </c>
      <c r="L4186" s="117">
        <f>IF(O4186="","",N4186*O4186*M4186)</f>
        <v>0</v>
      </c>
      <c r="M4186" s="108">
        <v>1</v>
      </c>
      <c r="N4186" s="95">
        <v>1</v>
      </c>
      <c r="O4186" s="109">
        <f>IF(Key!D$1="ON",P4186,IF(SUM(Q4186:DL4186)&lt;1,"",SUM(Q4186:DL4186)/COUNTIF(Q4186:DL4186,"&gt;0")))</f>
        <v>0</v>
      </c>
      <c r="P4186" s="109">
        <f>SUMIFS(Q4186:DK4186,Q$1:DK$1,Dashboard!$K$31)</f>
        <v>0</v>
      </c>
      <c r="U4186" s="95">
        <v>33</v>
      </c>
      <c r="AA4186" s="95">
        <v>25</v>
      </c>
      <c r="AH4186" s="95">
        <v>75</v>
      </c>
    </row>
    <row r="4187" spans="1:34" x14ac:dyDescent="0.3">
      <c r="A4187" s="89" t="str">
        <f>CONCATENATE(D4187,".",F4187,"-",G4187,".",H4187,"")</f>
        <v>4.4-2.1</v>
      </c>
      <c r="B4187" s="89" t="str">
        <f>IF(CONCATENATE(I4187,Key!F$2)=CONCATENATE(INDEX(Dashboard!J:J,MATCH(I4187,Dashboard!J:J,0),1),INDEX(Dashboard!J:K,MATCH(I4187,Dashboard!J:J,0),2)),"ON",IF(Dashboard!K$32="ALL","ON","-"))</f>
        <v>-</v>
      </c>
      <c r="C4187" s="88" t="s">
        <v>329</v>
      </c>
      <c r="D4187" s="89">
        <f>IF(C4187="ID",1,(IF(C4187="PR",2,(IF(C4187="DE",3,(IF(C4187="RS",4,(IF(C4187="RC",5,0)))))))))</f>
        <v>4</v>
      </c>
      <c r="E4187" s="89" t="s">
        <v>345</v>
      </c>
      <c r="F4187" s="89">
        <f>IF(E4187="AM",1,(IF(E4187="BE",2,(IF(E4187="GV",3,(IF(E4187="RA",4,(IF(E4187="RM",5,(IF(E4187="AC",1,(IF(E4187="AT",2,(IF(E4187="DS",3,(IF(E4187="IP",4,(IF(E4187="MA",5,(IF(E4187="PT",6,(IF(E4187="AE",1,(IF(E4187="CM",2,(IF(E4187="DP",3,(IF(E4187="AN",1,(IF(E4187="CO",2,(IF(E4187="IM",3,(IF(E4187="MI",4,(IF(E4187="RP",5,(IF(E4187="SC",6,0)))))))))))))))))))))))))))))))))))))))</f>
        <v>4</v>
      </c>
      <c r="G4187" s="52">
        <v>2</v>
      </c>
      <c r="H4187" s="90" t="s">
        <v>115</v>
      </c>
      <c r="I4187" s="94" t="s">
        <v>64</v>
      </c>
      <c r="J4187" s="87" t="s">
        <v>1118</v>
      </c>
      <c r="K4187" s="102" t="s">
        <v>2154</v>
      </c>
      <c r="L4187" s="117">
        <f>IF(O4187="","",N4187*O4187*M4187)</f>
        <v>0</v>
      </c>
      <c r="M4187" s="108">
        <v>1</v>
      </c>
      <c r="N4187" s="95">
        <v>1</v>
      </c>
      <c r="O4187" s="109">
        <f>IF(Key!D$1="ON",P4187,IF(SUM(Q4187:DL4187)&lt;1,"",SUM(Q4187:DL4187)/COUNTIF(Q4187:DL4187,"&gt;0")))</f>
        <v>0</v>
      </c>
      <c r="P4187" s="109">
        <f>SUMIFS(Q4187:DK4187,Q$1:DK$1,Dashboard!$K$31)</f>
        <v>0</v>
      </c>
      <c r="U4187" s="95">
        <v>33</v>
      </c>
      <c r="AA4187" s="95">
        <v>25</v>
      </c>
      <c r="AH4187" s="95">
        <v>75</v>
      </c>
    </row>
    <row r="4188" spans="1:34" x14ac:dyDescent="0.3">
      <c r="A4188" s="89" t="str">
        <f>CONCATENATE(D4188,".",F4188,"-",G4188,".",H4188,"")</f>
        <v>4.4-2.1</v>
      </c>
      <c r="B4188" s="89" t="str">
        <f>IF(CONCATENATE(I4188,Key!F$2)=CONCATENATE(INDEX(Dashboard!J:J,MATCH(I4188,Dashboard!J:J,0),1),INDEX(Dashboard!J:K,MATCH(I4188,Dashboard!J:J,0),2)),"ON",IF(Dashboard!K$32="ALL","ON","-"))</f>
        <v>-</v>
      </c>
      <c r="C4188" s="88" t="s">
        <v>329</v>
      </c>
      <c r="D4188" s="89">
        <f>IF(C4188="ID",1,(IF(C4188="PR",2,(IF(C4188="DE",3,(IF(C4188="RS",4,(IF(C4188="RC",5,0)))))))))</f>
        <v>4</v>
      </c>
      <c r="E4188" s="89" t="s">
        <v>345</v>
      </c>
      <c r="F4188" s="89">
        <f>IF(E4188="AM",1,(IF(E4188="BE",2,(IF(E4188="GV",3,(IF(E4188="RA",4,(IF(E4188="RM",5,(IF(E4188="AC",1,(IF(E4188="AT",2,(IF(E4188="DS",3,(IF(E4188="IP",4,(IF(E4188="MA",5,(IF(E4188="PT",6,(IF(E4188="AE",1,(IF(E4188="CM",2,(IF(E4188="DP",3,(IF(E4188="AN",1,(IF(E4188="CO",2,(IF(E4188="IM",3,(IF(E4188="MI",4,(IF(E4188="RP",5,(IF(E4188="SC",6,0)))))))))))))))))))))))))))))))))))))))</f>
        <v>4</v>
      </c>
      <c r="G4188" s="52">
        <v>2</v>
      </c>
      <c r="H4188" s="90" t="s">
        <v>115</v>
      </c>
      <c r="I4188" s="94" t="s">
        <v>73</v>
      </c>
      <c r="J4188" s="86" t="s">
        <v>295</v>
      </c>
      <c r="K4188" s="101" t="s">
        <v>5207</v>
      </c>
      <c r="L4188" s="117">
        <f>IF(O4188="","",N4188*O4188*M4188)</f>
        <v>0</v>
      </c>
      <c r="M4188" s="108">
        <v>1</v>
      </c>
      <c r="N4188" s="95">
        <v>1</v>
      </c>
      <c r="O4188" s="109">
        <f>IF(Key!D$1="ON",P4188,IF(SUM(Q4188:DL4188)&lt;1,"",SUM(Q4188:DL4188)/COUNTIF(Q4188:DL4188,"&gt;0")))</f>
        <v>0</v>
      </c>
      <c r="P4188" s="109">
        <f>SUMIFS(Q4188:DK4188,Q$1:DK$1,Dashboard!$K$31)</f>
        <v>0</v>
      </c>
      <c r="U4188" s="95">
        <v>33</v>
      </c>
      <c r="AA4188" s="95">
        <v>25</v>
      </c>
      <c r="AH4188" s="95">
        <v>75</v>
      </c>
    </row>
    <row r="4189" spans="1:34" x14ac:dyDescent="0.3">
      <c r="A4189" s="89" t="str">
        <f>CONCATENATE(D4189,".",F4189,"-",G4189,".",H4189,"")</f>
        <v>4.4-2.1</v>
      </c>
      <c r="B4189" s="89" t="str">
        <f>IF(CONCATENATE(I4189,Key!F$2)=CONCATENATE(INDEX(Dashboard!J:J,MATCH(I4189,Dashboard!J:J,0),1),INDEX(Dashboard!J:K,MATCH(I4189,Dashboard!J:J,0),2)),"ON",IF(Dashboard!K$32="ALL","ON","-"))</f>
        <v>-</v>
      </c>
      <c r="C4189" s="88" t="s">
        <v>329</v>
      </c>
      <c r="D4189" s="89">
        <f>IF(C4189="ID",1,(IF(C4189="PR",2,(IF(C4189="DE",3,(IF(C4189="RS",4,(IF(C4189="RC",5,0)))))))))</f>
        <v>4</v>
      </c>
      <c r="E4189" s="89" t="s">
        <v>345</v>
      </c>
      <c r="F4189" s="89">
        <f>IF(E4189="AM",1,(IF(E4189="BE",2,(IF(E4189="GV",3,(IF(E4189="RA",4,(IF(E4189="RM",5,(IF(E4189="AC",1,(IF(E4189="AT",2,(IF(E4189="DS",3,(IF(E4189="IP",4,(IF(E4189="MA",5,(IF(E4189="PT",6,(IF(E4189="AE",1,(IF(E4189="CM",2,(IF(E4189="DP",3,(IF(E4189="AN",1,(IF(E4189="CO",2,(IF(E4189="IM",3,(IF(E4189="MI",4,(IF(E4189="RP",5,(IF(E4189="SC",6,0)))))))))))))))))))))))))))))))))))))))</f>
        <v>4</v>
      </c>
      <c r="G4189" s="52">
        <v>2</v>
      </c>
      <c r="H4189" s="90" t="s">
        <v>115</v>
      </c>
      <c r="I4189" s="94" t="s">
        <v>73</v>
      </c>
      <c r="J4189" s="86" t="s">
        <v>296</v>
      </c>
      <c r="K4189" s="101" t="s">
        <v>5201</v>
      </c>
      <c r="L4189" s="117">
        <f>IF(O4189="","",N4189*O4189*M4189)</f>
        <v>0</v>
      </c>
      <c r="M4189" s="108">
        <v>1</v>
      </c>
      <c r="N4189" s="95">
        <v>1</v>
      </c>
      <c r="O4189" s="109">
        <f>IF(Key!D$1="ON",P4189,IF(SUM(Q4189:DL4189)&lt;1,"",SUM(Q4189:DL4189)/COUNTIF(Q4189:DL4189,"&gt;0")))</f>
        <v>0</v>
      </c>
      <c r="P4189" s="109">
        <f>SUMIFS(Q4189:DK4189,Q$1:DK$1,Dashboard!$K$31)</f>
        <v>0</v>
      </c>
      <c r="U4189" s="95">
        <v>33</v>
      </c>
      <c r="AA4189" s="95">
        <v>25</v>
      </c>
      <c r="AH4189" s="95">
        <v>75</v>
      </c>
    </row>
    <row r="4190" spans="1:34" x14ac:dyDescent="0.3">
      <c r="A4190" s="89" t="str">
        <f>CONCATENATE(D4190,".",F4190,"-",G4190,".",H4190,"")</f>
        <v>4.4-2.1</v>
      </c>
      <c r="B4190" s="89" t="str">
        <f>IF(CONCATENATE(I4190,Key!F$2)=CONCATENATE(INDEX(Dashboard!J:J,MATCH(I4190,Dashboard!J:J,0),1),INDEX(Dashboard!J:K,MATCH(I4190,Dashboard!J:J,0),2)),"ON",IF(Dashboard!K$32="ALL","ON","-"))</f>
        <v>-</v>
      </c>
      <c r="C4190" s="88" t="s">
        <v>329</v>
      </c>
      <c r="D4190" s="89">
        <f>IF(C4190="ID",1,(IF(C4190="PR",2,(IF(C4190="DE",3,(IF(C4190="RS",4,(IF(C4190="RC",5,0)))))))))</f>
        <v>4</v>
      </c>
      <c r="E4190" s="89" t="s">
        <v>345</v>
      </c>
      <c r="F4190" s="89">
        <f>IF(E4190="AM",1,(IF(E4190="BE",2,(IF(E4190="GV",3,(IF(E4190="RA",4,(IF(E4190="RM",5,(IF(E4190="AC",1,(IF(E4190="AT",2,(IF(E4190="DS",3,(IF(E4190="IP",4,(IF(E4190="MA",5,(IF(E4190="PT",6,(IF(E4190="AE",1,(IF(E4190="CM",2,(IF(E4190="DP",3,(IF(E4190="AN",1,(IF(E4190="CO",2,(IF(E4190="IM",3,(IF(E4190="MI",4,(IF(E4190="RP",5,(IF(E4190="SC",6,0)))))))))))))))))))))))))))))))))))))))</f>
        <v>4</v>
      </c>
      <c r="G4190" s="52">
        <v>2</v>
      </c>
      <c r="H4190" s="90" t="s">
        <v>115</v>
      </c>
      <c r="I4190" s="94" t="s">
        <v>77</v>
      </c>
      <c r="J4190" s="87" t="s">
        <v>1118</v>
      </c>
      <c r="K4190" s="102" t="s">
        <v>2154</v>
      </c>
      <c r="L4190" s="117">
        <f>IF(O4190="","",N4190*O4190*M4190)</f>
        <v>0</v>
      </c>
      <c r="M4190" s="108">
        <v>1</v>
      </c>
      <c r="N4190" s="95">
        <v>1</v>
      </c>
      <c r="O4190" s="109">
        <f>IF(Key!D$1="ON",P4190,IF(SUM(Q4190:DL4190)&lt;1,"",SUM(Q4190:DL4190)/COUNTIF(Q4190:DL4190,"&gt;0")))</f>
        <v>0</v>
      </c>
      <c r="P4190" s="109">
        <f>SUMIFS(Q4190:DK4190,Q$1:DK$1,Dashboard!$K$31)</f>
        <v>0</v>
      </c>
      <c r="U4190" s="95">
        <v>33</v>
      </c>
      <c r="AA4190" s="95">
        <v>25</v>
      </c>
      <c r="AH4190" s="95">
        <v>75</v>
      </c>
    </row>
    <row r="4191" spans="1:34" x14ac:dyDescent="0.3">
      <c r="A4191" s="89" t="str">
        <f>CONCATENATE(D4191,".",F4191,"-",G4191,".",H4191,"")</f>
        <v>4.4-2.1</v>
      </c>
      <c r="B4191" s="89" t="str">
        <f>IF(CONCATENATE(I4191,Key!F$2)=CONCATENATE(INDEX(Dashboard!J:J,MATCH(I4191,Dashboard!J:J,0),1),INDEX(Dashboard!J:K,MATCH(I4191,Dashboard!J:J,0),2)),"ON",IF(Dashboard!K$32="ALL","ON","-"))</f>
        <v>-</v>
      </c>
      <c r="C4191" s="88" t="s">
        <v>329</v>
      </c>
      <c r="D4191" s="89">
        <f>IF(C4191="ID",1,(IF(C4191="PR",2,(IF(C4191="DE",3,(IF(C4191="RS",4,(IF(C4191="RC",5,0)))))))))</f>
        <v>4</v>
      </c>
      <c r="E4191" s="89" t="s">
        <v>345</v>
      </c>
      <c r="F4191" s="89">
        <f>IF(E4191="AM",1,(IF(E4191="BE",2,(IF(E4191="GV",3,(IF(E4191="RA",4,(IF(E4191="RM",5,(IF(E4191="AC",1,(IF(E4191="AT",2,(IF(E4191="DS",3,(IF(E4191="IP",4,(IF(E4191="MA",5,(IF(E4191="PT",6,(IF(E4191="AE",1,(IF(E4191="CM",2,(IF(E4191="DP",3,(IF(E4191="AN",1,(IF(E4191="CO",2,(IF(E4191="IM",3,(IF(E4191="MI",4,(IF(E4191="RP",5,(IF(E4191="SC",6,0)))))))))))))))))))))))))))))))))))))))</f>
        <v>4</v>
      </c>
      <c r="G4191" s="52">
        <v>2</v>
      </c>
      <c r="H4191" s="90" t="s">
        <v>115</v>
      </c>
      <c r="I4191" s="94" t="s">
        <v>85</v>
      </c>
      <c r="J4191" s="87" t="s">
        <v>1118</v>
      </c>
      <c r="K4191" s="119" t="s">
        <v>4579</v>
      </c>
      <c r="L4191" s="117">
        <f>IF(O4191="","",N4191*O4191*M4191)</f>
        <v>0</v>
      </c>
      <c r="M4191" s="108">
        <v>1</v>
      </c>
      <c r="N4191" s="95">
        <v>1</v>
      </c>
      <c r="O4191" s="109">
        <f>IF(Key!D$1="ON",P4191,IF(SUM(Q4191:DL4191)&lt;1,"",SUM(Q4191:DL4191)/COUNTIF(Q4191:DL4191,"&gt;0")))</f>
        <v>0</v>
      </c>
      <c r="P4191" s="109">
        <f>SUMIFS(Q4191:DK4191,Q$1:DK$1,Dashboard!$K$31)</f>
        <v>0</v>
      </c>
      <c r="U4191" s="95">
        <v>33</v>
      </c>
      <c r="AA4191" s="95">
        <v>25</v>
      </c>
      <c r="AH4191" s="95">
        <v>75</v>
      </c>
    </row>
    <row r="4192" spans="1:34" x14ac:dyDescent="0.3">
      <c r="A4192" s="89" t="str">
        <f>CONCATENATE(D4192,".",F4192,"-",G4192,".",H4192,"")</f>
        <v>4.4-2.1</v>
      </c>
      <c r="B4192" s="89" t="str">
        <f>IF(CONCATENATE(I4192,Key!F$2)=CONCATENATE(INDEX(Dashboard!J:J,MATCH(I4192,Dashboard!J:J,0),1),INDEX(Dashboard!J:K,MATCH(I4192,Dashboard!J:J,0),2)),"ON",IF(Dashboard!K$32="ALL","ON","-"))</f>
        <v>-</v>
      </c>
      <c r="C4192" s="96" t="s">
        <v>329</v>
      </c>
      <c r="D4192" s="89">
        <f>IF(C4192="ID",1,(IF(C4192="PR",2,(IF(C4192="DE",3,(IF(C4192="RS",4,(IF(C4192="RC",5,0)))))))))</f>
        <v>4</v>
      </c>
      <c r="E4192" s="89" t="s">
        <v>345</v>
      </c>
      <c r="F4192" s="89">
        <f>IF(E4192="AM",1,(IF(E4192="BE",2,(IF(E4192="GV",3,(IF(E4192="RA",4,(IF(E4192="RM",5,(IF(E4192="AC",1,(IF(E4192="AT",2,(IF(E4192="DS",3,(IF(E4192="IP",4,(IF(E4192="MA",5,(IF(E4192="PT",6,(IF(E4192="AE",1,(IF(E4192="CM",2,(IF(E4192="DP",3,(IF(E4192="AN",1,(IF(E4192="CO",2,(IF(E4192="IM",3,(IF(E4192="MI",4,(IF(E4192="RP",5,(IF(E4192="SC",6,0)))))))))))))))))))))))))))))))))))))))</f>
        <v>4</v>
      </c>
      <c r="G4192" s="52">
        <v>2</v>
      </c>
      <c r="H4192" s="90" t="s">
        <v>115</v>
      </c>
      <c r="I4192" s="94" t="s">
        <v>89</v>
      </c>
      <c r="J4192" s="88" t="s">
        <v>620</v>
      </c>
      <c r="K4192" s="102" t="s">
        <v>621</v>
      </c>
      <c r="L4192" s="117">
        <f>IF(O4192="","",N4192*O4192*M4192)</f>
        <v>0</v>
      </c>
      <c r="M4192" s="108">
        <v>1</v>
      </c>
      <c r="N4192" s="95">
        <v>1</v>
      </c>
      <c r="O4192" s="109">
        <f>IF(Key!D$1="ON",P4192,IF(SUM(Q4192:DL4192)&lt;1,"",SUM(Q4192:DL4192)/COUNTIF(Q4192:DL4192,"&gt;0")))</f>
        <v>0</v>
      </c>
      <c r="P4192" s="109">
        <f>SUMIFS(Q4192:DK4192,Q$1:DK$1,Dashboard!$K$31)</f>
        <v>0</v>
      </c>
      <c r="U4192" s="95">
        <v>33</v>
      </c>
      <c r="AA4192" s="95">
        <v>25</v>
      </c>
      <c r="AH4192" s="95">
        <v>75</v>
      </c>
    </row>
    <row r="4193" spans="1:34" x14ac:dyDescent="0.3">
      <c r="A4193" s="89" t="str">
        <f>CONCATENATE(D4193,".",F4193,"-",G4193,".",H4193,"")</f>
        <v>4.4-3.0</v>
      </c>
      <c r="B4193" s="89" t="str">
        <f>IF(CONCATENATE(I4193,Key!F$2)=CONCATENATE(INDEX(Dashboard!J:J,MATCH(I4193,Dashboard!J:J,0),1),INDEX(Dashboard!J:K,MATCH(I4193,Dashboard!J:J,0),2)),"ON",IF(Dashboard!K$32="ALL","ON","-"))</f>
        <v>-</v>
      </c>
      <c r="C4193" s="96" t="s">
        <v>329</v>
      </c>
      <c r="D4193" s="89">
        <f>IF(C4193="ID",1,(IF(C4193="PR",2,(IF(C4193="DE",3,(IF(C4193="RS",4,(IF(C4193="RC",5,0)))))))))</f>
        <v>4</v>
      </c>
      <c r="E4193" s="89" t="s">
        <v>345</v>
      </c>
      <c r="F4193" s="89">
        <f>IF(E4193="AM",1,(IF(E4193="BE",2,(IF(E4193="GV",3,(IF(E4193="RA",4,(IF(E4193="RM",5,(IF(E4193="AC",1,(IF(E4193="AT",2,(IF(E4193="DS",3,(IF(E4193="IP",4,(IF(E4193="MA",5,(IF(E4193="PT",6,(IF(E4193="AE",1,(IF(E4193="CM",2,(IF(E4193="DP",3,(IF(E4193="AN",1,(IF(E4193="CO",2,(IF(E4193="IM",3,(IF(E4193="MI",4,(IF(E4193="RP",5,(IF(E4193="SC",6,0)))))))))))))))))))))))))))))))))))))))</f>
        <v>4</v>
      </c>
      <c r="G4193" s="52">
        <v>3</v>
      </c>
      <c r="H4193" s="90" t="s">
        <v>347</v>
      </c>
      <c r="I4193" s="94" t="s">
        <v>2835</v>
      </c>
      <c r="J4193" s="53" t="s">
        <v>3089</v>
      </c>
      <c r="K4193" s="105" t="s">
        <v>3090</v>
      </c>
      <c r="L4193" s="117">
        <f>IF(O4193="","",N4193*O4193*M4193)</f>
        <v>0</v>
      </c>
      <c r="M4193" s="108">
        <v>1</v>
      </c>
      <c r="N4193" s="95">
        <v>1</v>
      </c>
      <c r="O4193" s="109">
        <f>IF(Key!D$1="ON",P4193,IF(SUM(Q4193:DL4193)&lt;1,"",SUM(Q4193:DL4193)/COUNTIF(Q4193:DL4193,"&gt;0")))</f>
        <v>0</v>
      </c>
      <c r="P4193" s="109">
        <f>SUMIFS(Q4193:DK4193,Q$1:DK$1,Dashboard!$K$31)</f>
        <v>0</v>
      </c>
      <c r="U4193" s="95">
        <v>33</v>
      </c>
    </row>
    <row r="4194" spans="1:34" x14ac:dyDescent="0.3">
      <c r="A4194" s="89" t="str">
        <f>CONCATENATE(D4194,".",F4194,"-",G4194,".",H4194,"")</f>
        <v>4.4-3.1</v>
      </c>
      <c r="B4194" s="89" t="str">
        <f>IF(CONCATENATE(I4194,Key!F$2)=CONCATENATE(INDEX(Dashboard!J:J,MATCH(I4194,Dashboard!J:J,0),1),INDEX(Dashboard!J:K,MATCH(I4194,Dashboard!J:J,0),2)),"ON",IF(Dashboard!K$32="ALL","ON","-"))</f>
        <v>ON</v>
      </c>
      <c r="C4194" s="130" t="s">
        <v>329</v>
      </c>
      <c r="D4194" s="89">
        <f>IF(C4194="ID",1,(IF(C4194="PR",2,(IF(C4194="DE",3,(IF(C4194="RS",4,(IF(C4194="RC",5,0)))))))))</f>
        <v>4</v>
      </c>
      <c r="E4194" s="95" t="s">
        <v>345</v>
      </c>
      <c r="F4194" s="89">
        <f>IF(E4194="AM",1,(IF(E4194="BE",2,(IF(E4194="GV",3,(IF(E4194="RA",4,(IF(E4194="RM",5,(IF(E4194="AC",1,(IF(E4194="AT",2,(IF(E4194="DS",3,(IF(E4194="IP",4,(IF(E4194="MA",5,(IF(E4194="PT",6,(IF(E4194="AE",1,(IF(E4194="CM",2,(IF(E4194="DP",3,(IF(E4194="AN",1,(IF(E4194="CO",2,(IF(E4194="IM",3,(IF(E4194="MI",4,(IF(E4194="RP",5,(IF(E4194="SC",6,0)))))))))))))))))))))))))))))))))))))))</f>
        <v>4</v>
      </c>
      <c r="G4194" s="52">
        <v>3</v>
      </c>
      <c r="H4194" s="90" t="s">
        <v>115</v>
      </c>
      <c r="I4194" s="94" t="s">
        <v>4107</v>
      </c>
      <c r="J4194" s="86" t="s">
        <v>4044</v>
      </c>
      <c r="K4194" s="101" t="s">
        <v>4460</v>
      </c>
      <c r="L4194" s="117">
        <f>IF(O4194="","",N4194*O4194*M4194)</f>
        <v>0</v>
      </c>
      <c r="M4194" s="108">
        <v>1</v>
      </c>
      <c r="N4194" s="95">
        <v>1</v>
      </c>
      <c r="O4194" s="109">
        <f>IF(Key!D$1="ON",P4194,IF(SUM(Q4194:DL4194)&lt;1,"",SUM(Q4194:DL4194)/COUNTIF(Q4194:DL4194,"&gt;0")))</f>
        <v>0</v>
      </c>
      <c r="P4194" s="109">
        <f>SUMIFS(Q4194:DK4194,Q$1:DK$1,Dashboard!$K$31)</f>
        <v>0</v>
      </c>
      <c r="U4194" s="95">
        <v>33</v>
      </c>
      <c r="AA4194" s="95">
        <v>25</v>
      </c>
      <c r="AH4194" s="95">
        <v>75</v>
      </c>
    </row>
    <row r="4195" spans="1:34" x14ac:dyDescent="0.3">
      <c r="A4195" s="89" t="str">
        <f>CONCATENATE(D4195,".",F4195,"-",G4195,".",H4195,"")</f>
        <v>4.4-3.1</v>
      </c>
      <c r="B4195" s="89" t="str">
        <f>IF(CONCATENATE(I4195,Key!F$2)=CONCATENATE(INDEX(Dashboard!J:J,MATCH(I4195,Dashboard!J:J,0),1),INDEX(Dashboard!J:K,MATCH(I4195,Dashboard!J:J,0),2)),"ON",IF(Dashboard!K$32="ALL","ON","-"))</f>
        <v>ON</v>
      </c>
      <c r="C4195" s="130" t="s">
        <v>329</v>
      </c>
      <c r="D4195" s="89">
        <f>IF(C4195="ID",1,(IF(C4195="PR",2,(IF(C4195="DE",3,(IF(C4195="RS",4,(IF(C4195="RC",5,0)))))))))</f>
        <v>4</v>
      </c>
      <c r="E4195" s="95" t="s">
        <v>345</v>
      </c>
      <c r="F4195" s="89">
        <f>IF(E4195="AM",1,(IF(E4195="BE",2,(IF(E4195="GV",3,(IF(E4195="RA",4,(IF(E4195="RM",5,(IF(E4195="AC",1,(IF(E4195="AT",2,(IF(E4195="DS",3,(IF(E4195="IP",4,(IF(E4195="MA",5,(IF(E4195="PT",6,(IF(E4195="AE",1,(IF(E4195="CM",2,(IF(E4195="DP",3,(IF(E4195="AN",1,(IF(E4195="CO",2,(IF(E4195="IM",3,(IF(E4195="MI",4,(IF(E4195="RP",5,(IF(E4195="SC",6,0)))))))))))))))))))))))))))))))))))))))</f>
        <v>4</v>
      </c>
      <c r="G4195" s="52">
        <v>3</v>
      </c>
      <c r="H4195" s="90" t="s">
        <v>115</v>
      </c>
      <c r="I4195" s="94" t="s">
        <v>4107</v>
      </c>
      <c r="J4195" s="86" t="s">
        <v>4046</v>
      </c>
      <c r="K4195" s="101" t="s">
        <v>4396</v>
      </c>
      <c r="L4195" s="117">
        <f>IF(O4195="","",N4195*O4195*M4195)</f>
        <v>0</v>
      </c>
      <c r="M4195" s="108">
        <v>1</v>
      </c>
      <c r="N4195" s="95">
        <v>1</v>
      </c>
      <c r="O4195" s="109">
        <f>IF(Key!D$1="ON",P4195,IF(SUM(Q4195:DL4195)&lt;1,"",SUM(Q4195:DL4195)/COUNTIF(Q4195:DL4195,"&gt;0")))</f>
        <v>0</v>
      </c>
      <c r="P4195" s="109">
        <f>SUMIFS(Q4195:DK4195,Q$1:DK$1,Dashboard!$K$31)</f>
        <v>0</v>
      </c>
      <c r="U4195" s="95">
        <v>33</v>
      </c>
      <c r="AA4195" s="95">
        <v>25</v>
      </c>
      <c r="AH4195" s="95">
        <v>75</v>
      </c>
    </row>
    <row r="4196" spans="1:34" x14ac:dyDescent="0.3">
      <c r="A4196" s="89" t="str">
        <f>CONCATENATE(D4196,".",F4196,"-",G4196,".",H4196,"")</f>
        <v>4.4-3.1</v>
      </c>
      <c r="B4196" s="89" t="str">
        <f>IF(CONCATENATE(I4196,Key!F$2)=CONCATENATE(INDEX(Dashboard!J:J,MATCH(I4196,Dashboard!J:J,0),1),INDEX(Dashboard!J:K,MATCH(I4196,Dashboard!J:J,0),2)),"ON",IF(Dashboard!K$32="ALL","ON","-"))</f>
        <v>ON</v>
      </c>
      <c r="C4196" s="130" t="s">
        <v>329</v>
      </c>
      <c r="D4196" s="89">
        <f>IF(C4196="ID",1,(IF(C4196="PR",2,(IF(C4196="DE",3,(IF(C4196="RS",4,(IF(C4196="RC",5,0)))))))))</f>
        <v>4</v>
      </c>
      <c r="E4196" s="95" t="s">
        <v>345</v>
      </c>
      <c r="F4196" s="89">
        <f>IF(E4196="AM",1,(IF(E4196="BE",2,(IF(E4196="GV",3,(IF(E4196="RA",4,(IF(E4196="RM",5,(IF(E4196="AC",1,(IF(E4196="AT",2,(IF(E4196="DS",3,(IF(E4196="IP",4,(IF(E4196="MA",5,(IF(E4196="PT",6,(IF(E4196="AE",1,(IF(E4196="CM",2,(IF(E4196="DP",3,(IF(E4196="AN",1,(IF(E4196="CO",2,(IF(E4196="IM",3,(IF(E4196="MI",4,(IF(E4196="RP",5,(IF(E4196="SC",6,0)))))))))))))))))))))))))))))))))))))))</f>
        <v>4</v>
      </c>
      <c r="G4196" s="52">
        <v>3</v>
      </c>
      <c r="H4196" s="90" t="s">
        <v>115</v>
      </c>
      <c r="I4196" s="94" t="s">
        <v>4107</v>
      </c>
      <c r="J4196" s="86" t="s">
        <v>4094</v>
      </c>
      <c r="K4196" s="101" t="s">
        <v>4479</v>
      </c>
      <c r="L4196" s="117">
        <f>IF(O4196="","",N4196*O4196*M4196)</f>
        <v>0</v>
      </c>
      <c r="M4196" s="108">
        <v>1</v>
      </c>
      <c r="N4196" s="95">
        <v>1</v>
      </c>
      <c r="O4196" s="109">
        <f>IF(Key!D$1="ON",P4196,IF(SUM(Q4196:DL4196)&lt;1,"",SUM(Q4196:DL4196)/COUNTIF(Q4196:DL4196,"&gt;0")))</f>
        <v>0</v>
      </c>
      <c r="P4196" s="109">
        <f>SUMIFS(Q4196:DK4196,Q$1:DK$1,Dashboard!$K$31)</f>
        <v>0</v>
      </c>
      <c r="U4196" s="95">
        <v>33</v>
      </c>
      <c r="AA4196" s="95">
        <v>25</v>
      </c>
      <c r="AH4196" s="95">
        <v>75</v>
      </c>
    </row>
    <row r="4197" spans="1:34" x14ac:dyDescent="0.3">
      <c r="A4197" s="89" t="str">
        <f>CONCATENATE(D4197,".",F4197,"-",G4197,".",H4197,"")</f>
        <v>4.4-3.1</v>
      </c>
      <c r="B4197" s="89" t="str">
        <f>IF(CONCATENATE(I4197,Key!F$2)=CONCATENATE(INDEX(Dashboard!J:J,MATCH(I4197,Dashboard!J:J,0),1),INDEX(Dashboard!J:K,MATCH(I4197,Dashboard!J:J,0),2)),"ON",IF(Dashboard!K$32="ALL","ON","-"))</f>
        <v>-</v>
      </c>
      <c r="C4197" s="96" t="s">
        <v>329</v>
      </c>
      <c r="D4197" s="89">
        <f>IF(C4197="ID",1,(IF(C4197="PR",2,(IF(C4197="DE",3,(IF(C4197="RS",4,(IF(C4197="RC",5,0)))))))))</f>
        <v>4</v>
      </c>
      <c r="E4197" s="89" t="s">
        <v>345</v>
      </c>
      <c r="F4197" s="89">
        <f>IF(E4197="AM",1,(IF(E4197="BE",2,(IF(E4197="GV",3,(IF(E4197="RA",4,(IF(E4197="RM",5,(IF(E4197="AC",1,(IF(E4197="AT",2,(IF(E4197="DS",3,(IF(E4197="IP",4,(IF(E4197="MA",5,(IF(E4197="PT",6,(IF(E4197="AE",1,(IF(E4197="CM",2,(IF(E4197="DP",3,(IF(E4197="AN",1,(IF(E4197="CO",2,(IF(E4197="IM",3,(IF(E4197="MI",4,(IF(E4197="RP",5,(IF(E4197="SC",6,0)))))))))))))))))))))))))))))))))))))))</f>
        <v>4</v>
      </c>
      <c r="G4197" s="98">
        <v>3</v>
      </c>
      <c r="H4197" s="90" t="s">
        <v>115</v>
      </c>
      <c r="I4197" s="94" t="s">
        <v>52</v>
      </c>
      <c r="J4197" s="88" t="s">
        <v>3305</v>
      </c>
      <c r="K4197" s="103" t="s">
        <v>3306</v>
      </c>
      <c r="L4197" s="117">
        <f>IF(O4197="","",N4197*O4197*M4197)</f>
        <v>0</v>
      </c>
      <c r="M4197" s="108">
        <v>1</v>
      </c>
      <c r="N4197" s="95">
        <v>1</v>
      </c>
      <c r="O4197" s="109">
        <f>IF(Key!D$1="ON",P4197,IF(SUM(Q4197:DL4197)&lt;1,"",SUM(Q4197:DL4197)/COUNTIF(Q4197:DL4197,"&gt;0")))</f>
        <v>0</v>
      </c>
      <c r="P4197" s="109">
        <f>SUMIFS(Q4197:DK4197,Q$1:DK$1,Dashboard!$K$31)</f>
        <v>0</v>
      </c>
      <c r="U4197" s="95">
        <v>33</v>
      </c>
      <c r="AA4197" s="95">
        <v>25</v>
      </c>
      <c r="AH4197" s="95">
        <v>75</v>
      </c>
    </row>
    <row r="4198" spans="1:34" x14ac:dyDescent="0.3">
      <c r="A4198" s="89" t="str">
        <f>CONCATENATE(D4198,".",F4198,"-",G4198,".",H4198,"")</f>
        <v>4.4-3.1</v>
      </c>
      <c r="B4198" s="89" t="str">
        <f>IF(CONCATENATE(I4198,Key!F$2)=CONCATENATE(INDEX(Dashboard!J:J,MATCH(I4198,Dashboard!J:J,0),1),INDEX(Dashboard!J:K,MATCH(I4198,Dashboard!J:J,0),2)),"ON",IF(Dashboard!K$32="ALL","ON","-"))</f>
        <v>-</v>
      </c>
      <c r="C4198" s="88" t="s">
        <v>329</v>
      </c>
      <c r="D4198" s="89">
        <f>IF(C4198="ID",1,(IF(C4198="PR",2,(IF(C4198="DE",3,(IF(C4198="RS",4,(IF(C4198="RC",5,0)))))))))</f>
        <v>4</v>
      </c>
      <c r="E4198" s="89" t="s">
        <v>345</v>
      </c>
      <c r="F4198" s="89">
        <f>IF(E4198="AM",1,(IF(E4198="BE",2,(IF(E4198="GV",3,(IF(E4198="RA",4,(IF(E4198="RM",5,(IF(E4198="AC",1,(IF(E4198="AT",2,(IF(E4198="DS",3,(IF(E4198="IP",4,(IF(E4198="MA",5,(IF(E4198="PT",6,(IF(E4198="AE",1,(IF(E4198="CM",2,(IF(E4198="DP",3,(IF(E4198="AN",1,(IF(E4198="CO",2,(IF(E4198="IM",3,(IF(E4198="MI",4,(IF(E4198="RP",5,(IF(E4198="SC",6,0)))))))))))))))))))))))))))))))))))))))</f>
        <v>4</v>
      </c>
      <c r="G4198" s="52">
        <v>3</v>
      </c>
      <c r="H4198" s="90" t="s">
        <v>115</v>
      </c>
      <c r="I4198" s="94" t="s">
        <v>60</v>
      </c>
      <c r="J4198" s="87" t="s">
        <v>3196</v>
      </c>
      <c r="K4198" s="51" t="s">
        <v>5309</v>
      </c>
      <c r="L4198" s="117">
        <f>IF(O4198="","",N4198*O4198*M4198)</f>
        <v>0</v>
      </c>
      <c r="M4198" s="108">
        <v>1</v>
      </c>
      <c r="N4198" s="95">
        <v>1</v>
      </c>
      <c r="O4198" s="109">
        <f>IF(Key!D$1="ON",P4198,IF(SUM(Q4198:DL4198)&lt;1,"",SUM(Q4198:DL4198)/COUNTIF(Q4198:DL4198,"&gt;0")))</f>
        <v>0</v>
      </c>
      <c r="P4198" s="109">
        <f>SUMIFS(Q4198:DK4198,Q$1:DK$1,Dashboard!$K$31)</f>
        <v>0</v>
      </c>
      <c r="U4198" s="95">
        <v>33</v>
      </c>
      <c r="AA4198" s="95">
        <v>25</v>
      </c>
      <c r="AH4198" s="95">
        <v>75</v>
      </c>
    </row>
    <row r="4199" spans="1:34" x14ac:dyDescent="0.3">
      <c r="A4199" s="89" t="str">
        <f>CONCATENATE(D4199,".",F4199,"-",G4199,".",H4199,"")</f>
        <v>4.4-3.1</v>
      </c>
      <c r="B4199" s="89" t="str">
        <f>IF(CONCATENATE(I4199,Key!F$2)=CONCATENATE(INDEX(Dashboard!J:J,MATCH(I4199,Dashboard!J:J,0),1),INDEX(Dashboard!J:K,MATCH(I4199,Dashboard!J:J,0),2)),"ON",IF(Dashboard!K$32="ALL","ON","-"))</f>
        <v>-</v>
      </c>
      <c r="C4199" s="88" t="s">
        <v>329</v>
      </c>
      <c r="D4199" s="89">
        <f>IF(C4199="ID",1,(IF(C4199="PR",2,(IF(C4199="DE",3,(IF(C4199="RS",4,(IF(C4199="RC",5,0)))))))))</f>
        <v>4</v>
      </c>
      <c r="E4199" s="89" t="s">
        <v>345</v>
      </c>
      <c r="F4199" s="89">
        <f>IF(E4199="AM",1,(IF(E4199="BE",2,(IF(E4199="GV",3,(IF(E4199="RA",4,(IF(E4199="RM",5,(IF(E4199="AC",1,(IF(E4199="AT",2,(IF(E4199="DS",3,(IF(E4199="IP",4,(IF(E4199="MA",5,(IF(E4199="PT",6,(IF(E4199="AE",1,(IF(E4199="CM",2,(IF(E4199="DP",3,(IF(E4199="AN",1,(IF(E4199="CO",2,(IF(E4199="IM",3,(IF(E4199="MI",4,(IF(E4199="RP",5,(IF(E4199="SC",6,0)))))))))))))))))))))))))))))))))))))))</f>
        <v>4</v>
      </c>
      <c r="G4199" s="52">
        <v>3</v>
      </c>
      <c r="H4199" s="90" t="s">
        <v>115</v>
      </c>
      <c r="I4199" s="94" t="s">
        <v>60</v>
      </c>
      <c r="J4199" s="87" t="s">
        <v>3155</v>
      </c>
      <c r="K4199" s="51" t="s">
        <v>5268</v>
      </c>
      <c r="L4199" s="117">
        <f>IF(O4199="","",N4199*O4199*M4199)</f>
        <v>0</v>
      </c>
      <c r="M4199" s="108">
        <v>1</v>
      </c>
      <c r="N4199" s="95">
        <v>1</v>
      </c>
      <c r="O4199" s="109">
        <f>IF(Key!D$1="ON",P4199,IF(SUM(Q4199:DL4199)&lt;1,"",SUM(Q4199:DL4199)/COUNTIF(Q4199:DL4199,"&gt;0")))</f>
        <v>0</v>
      </c>
      <c r="P4199" s="109">
        <f>SUMIFS(Q4199:DK4199,Q$1:DK$1,Dashboard!$K$31)</f>
        <v>0</v>
      </c>
      <c r="U4199" s="95">
        <v>33</v>
      </c>
      <c r="AA4199" s="95">
        <v>25</v>
      </c>
      <c r="AH4199" s="95">
        <v>75</v>
      </c>
    </row>
    <row r="4200" spans="1:34" x14ac:dyDescent="0.3">
      <c r="A4200" s="89" t="str">
        <f>CONCATENATE(D4200,".",F4200,"-",G4200,".",H4200,"")</f>
        <v>4.4-3.1</v>
      </c>
      <c r="B4200" s="89" t="str">
        <f>IF(CONCATENATE(I4200,Key!F$2)=CONCATENATE(INDEX(Dashboard!J:J,MATCH(I4200,Dashboard!J:J,0),1),INDEX(Dashboard!J:K,MATCH(I4200,Dashboard!J:J,0),2)),"ON",IF(Dashboard!K$32="ALL","ON","-"))</f>
        <v>-</v>
      </c>
      <c r="C4200" s="88" t="s">
        <v>329</v>
      </c>
      <c r="D4200" s="89">
        <f>IF(C4200="ID",1,(IF(C4200="PR",2,(IF(C4200="DE",3,(IF(C4200="RS",4,(IF(C4200="RC",5,0)))))))))</f>
        <v>4</v>
      </c>
      <c r="E4200" s="89" t="s">
        <v>345</v>
      </c>
      <c r="F4200" s="89">
        <f>IF(E4200="AM",1,(IF(E4200="BE",2,(IF(E4200="GV",3,(IF(E4200="RA",4,(IF(E4200="RM",5,(IF(E4200="AC",1,(IF(E4200="AT",2,(IF(E4200="DS",3,(IF(E4200="IP",4,(IF(E4200="MA",5,(IF(E4200="PT",6,(IF(E4200="AE",1,(IF(E4200="CM",2,(IF(E4200="DP",3,(IF(E4200="AN",1,(IF(E4200="CO",2,(IF(E4200="IM",3,(IF(E4200="MI",4,(IF(E4200="RP",5,(IF(E4200="SC",6,0)))))))))))))))))))))))))))))))))))))))</f>
        <v>4</v>
      </c>
      <c r="G4200" s="52">
        <v>3</v>
      </c>
      <c r="H4200" s="89">
        <v>1</v>
      </c>
      <c r="I4200" s="94" t="s">
        <v>60</v>
      </c>
      <c r="J4200" s="88" t="s">
        <v>3157</v>
      </c>
      <c r="K4200" s="51" t="s">
        <v>5270</v>
      </c>
      <c r="L4200" s="117">
        <f>IF(O4200="","",N4200*O4200*M4200)</f>
        <v>0</v>
      </c>
      <c r="M4200" s="108">
        <v>1</v>
      </c>
      <c r="N4200" s="95">
        <v>1</v>
      </c>
      <c r="O4200" s="109">
        <f>IF(Key!D$1="ON",P4200,IF(SUM(Q4200:DL4200)&lt;1,"",SUM(Q4200:DL4200)/COUNTIF(Q4200:DL4200,"&gt;0")))</f>
        <v>0</v>
      </c>
      <c r="P4200" s="109">
        <f>SUMIFS(Q4200:DK4200,Q$1:DK$1,Dashboard!$K$31)</f>
        <v>0</v>
      </c>
      <c r="U4200" s="95">
        <v>33</v>
      </c>
      <c r="AA4200" s="95">
        <v>25</v>
      </c>
      <c r="AH4200" s="95">
        <v>75</v>
      </c>
    </row>
    <row r="4201" spans="1:34" x14ac:dyDescent="0.3">
      <c r="A4201" s="89" t="str">
        <f>CONCATENATE(D4201,".",F4201,"-",G4201,".",H4201,"")</f>
        <v>4.4-3.1</v>
      </c>
      <c r="B4201" s="89" t="str">
        <f>IF(CONCATENATE(I4201,Key!F$2)=CONCATENATE(INDEX(Dashboard!J:J,MATCH(I4201,Dashboard!J:J,0),1),INDEX(Dashboard!J:K,MATCH(I4201,Dashboard!J:J,0),2)),"ON",IF(Dashboard!K$32="ALL","ON","-"))</f>
        <v>-</v>
      </c>
      <c r="C4201" s="88" t="s">
        <v>329</v>
      </c>
      <c r="D4201" s="89">
        <f>IF(C4201="ID",1,(IF(C4201="PR",2,(IF(C4201="DE",3,(IF(C4201="RS",4,(IF(C4201="RC",5,0)))))))))</f>
        <v>4</v>
      </c>
      <c r="E4201" s="89" t="s">
        <v>345</v>
      </c>
      <c r="F4201" s="89">
        <f>IF(E4201="AM",1,(IF(E4201="BE",2,(IF(E4201="GV",3,(IF(E4201="RA",4,(IF(E4201="RM",5,(IF(E4201="AC",1,(IF(E4201="AT",2,(IF(E4201="DS",3,(IF(E4201="IP",4,(IF(E4201="MA",5,(IF(E4201="PT",6,(IF(E4201="AE",1,(IF(E4201="CM",2,(IF(E4201="DP",3,(IF(E4201="AN",1,(IF(E4201="CO",2,(IF(E4201="IM",3,(IF(E4201="MI",4,(IF(E4201="RP",5,(IF(E4201="SC",6,0)))))))))))))))))))))))))))))))))))))))</f>
        <v>4</v>
      </c>
      <c r="G4201" s="52">
        <v>3</v>
      </c>
      <c r="H4201" s="90" t="s">
        <v>115</v>
      </c>
      <c r="I4201" s="94" t="s">
        <v>73</v>
      </c>
      <c r="J4201" s="86" t="s">
        <v>4210</v>
      </c>
      <c r="K4201" s="101" t="s">
        <v>5182</v>
      </c>
      <c r="L4201" s="117">
        <f>IF(O4201="","",N4201*O4201*M4201)</f>
        <v>0</v>
      </c>
      <c r="M4201" s="108">
        <v>1</v>
      </c>
      <c r="N4201" s="95">
        <v>1</v>
      </c>
      <c r="O4201" s="109">
        <f>IF(Key!D$1="ON",P4201,IF(SUM(Q4201:DL4201)&lt;1,"",SUM(Q4201:DL4201)/COUNTIF(Q4201:DL4201,"&gt;0")))</f>
        <v>0</v>
      </c>
      <c r="P4201" s="109">
        <f>SUMIFS(Q4201:DK4201,Q$1:DK$1,Dashboard!$K$31)</f>
        <v>0</v>
      </c>
      <c r="U4201" s="95">
        <v>33</v>
      </c>
      <c r="AA4201" s="95">
        <v>25</v>
      </c>
      <c r="AH4201" s="95">
        <v>75</v>
      </c>
    </row>
    <row r="4202" spans="1:34" x14ac:dyDescent="0.3">
      <c r="A4202" s="89" t="str">
        <f>CONCATENATE(D4202,".",F4202,"-",G4202,".",H4202,"")</f>
        <v>4.4-3.1</v>
      </c>
      <c r="B4202" s="89" t="str">
        <f>IF(CONCATENATE(I4202,Key!F$2)=CONCATENATE(INDEX(Dashboard!J:J,MATCH(I4202,Dashboard!J:J,0),1),INDEX(Dashboard!J:K,MATCH(I4202,Dashboard!J:J,0),2)),"ON",IF(Dashboard!K$32="ALL","ON","-"))</f>
        <v>-</v>
      </c>
      <c r="C4202" s="88" t="s">
        <v>329</v>
      </c>
      <c r="D4202" s="89">
        <f>IF(C4202="ID",1,(IF(C4202="PR",2,(IF(C4202="DE",3,(IF(C4202="RS",4,(IF(C4202="RC",5,0)))))))))</f>
        <v>4</v>
      </c>
      <c r="E4202" s="89" t="s">
        <v>345</v>
      </c>
      <c r="F4202" s="89">
        <f>IF(E4202="AM",1,(IF(E4202="BE",2,(IF(E4202="GV",3,(IF(E4202="RA",4,(IF(E4202="RM",5,(IF(E4202="AC",1,(IF(E4202="AT",2,(IF(E4202="DS",3,(IF(E4202="IP",4,(IF(E4202="MA",5,(IF(E4202="PT",6,(IF(E4202="AE",1,(IF(E4202="CM",2,(IF(E4202="DP",3,(IF(E4202="AN",1,(IF(E4202="CO",2,(IF(E4202="IM",3,(IF(E4202="MI",4,(IF(E4202="RP",5,(IF(E4202="SC",6,0)))))))))))))))))))))))))))))))))))))))</f>
        <v>4</v>
      </c>
      <c r="G4202" s="52">
        <v>3</v>
      </c>
      <c r="H4202" s="90" t="s">
        <v>115</v>
      </c>
      <c r="I4202" s="94" t="s">
        <v>73</v>
      </c>
      <c r="J4202" s="86" t="s">
        <v>4211</v>
      </c>
      <c r="K4202" s="101" t="s">
        <v>5183</v>
      </c>
      <c r="L4202" s="117">
        <f>IF(O4202="","",N4202*O4202*M4202)</f>
        <v>0</v>
      </c>
      <c r="M4202" s="108">
        <v>1</v>
      </c>
      <c r="N4202" s="95">
        <v>1</v>
      </c>
      <c r="O4202" s="109">
        <f>IF(Key!D$1="ON",P4202,IF(SUM(Q4202:DL4202)&lt;1,"",SUM(Q4202:DL4202)/COUNTIF(Q4202:DL4202,"&gt;0")))</f>
        <v>0</v>
      </c>
      <c r="P4202" s="109">
        <f>SUMIFS(Q4202:DK4202,Q$1:DK$1,Dashboard!$K$31)</f>
        <v>0</v>
      </c>
      <c r="U4202" s="95">
        <v>33</v>
      </c>
      <c r="AA4202" s="95">
        <v>25</v>
      </c>
      <c r="AH4202" s="95">
        <v>75</v>
      </c>
    </row>
    <row r="4203" spans="1:34" x14ac:dyDescent="0.3">
      <c r="A4203" s="89" t="str">
        <f>CONCATENATE(D4203,".",F4203,"-",G4203,".",H4203,"")</f>
        <v>4.4-3.1</v>
      </c>
      <c r="B4203" s="89" t="str">
        <f>IF(CONCATENATE(I4203,Key!F$2)=CONCATENATE(INDEX(Dashboard!J:J,MATCH(I4203,Dashboard!J:J,0),1),INDEX(Dashboard!J:K,MATCH(I4203,Dashboard!J:J,0),2)),"ON",IF(Dashboard!K$32="ALL","ON","-"))</f>
        <v>-</v>
      </c>
      <c r="C4203" s="88" t="s">
        <v>329</v>
      </c>
      <c r="D4203" s="89">
        <f>IF(C4203="ID",1,(IF(C4203="PR",2,(IF(C4203="DE",3,(IF(C4203="RS",4,(IF(C4203="RC",5,0)))))))))</f>
        <v>4</v>
      </c>
      <c r="E4203" s="89" t="s">
        <v>345</v>
      </c>
      <c r="F4203" s="89">
        <f>IF(E4203="AM",1,(IF(E4203="BE",2,(IF(E4203="GV",3,(IF(E4203="RA",4,(IF(E4203="RM",5,(IF(E4203="AC",1,(IF(E4203="AT",2,(IF(E4203="DS",3,(IF(E4203="IP",4,(IF(E4203="MA",5,(IF(E4203="PT",6,(IF(E4203="AE",1,(IF(E4203="CM",2,(IF(E4203="DP",3,(IF(E4203="AN",1,(IF(E4203="CO",2,(IF(E4203="IM",3,(IF(E4203="MI",4,(IF(E4203="RP",5,(IF(E4203="SC",6,0)))))))))))))))))))))))))))))))))))))))</f>
        <v>4</v>
      </c>
      <c r="G4203" s="52">
        <v>3</v>
      </c>
      <c r="H4203" s="90" t="s">
        <v>115</v>
      </c>
      <c r="I4203" s="94" t="s">
        <v>73</v>
      </c>
      <c r="J4203" s="86" t="s">
        <v>4212</v>
      </c>
      <c r="K4203" s="101" t="s">
        <v>5202</v>
      </c>
      <c r="L4203" s="117">
        <f>IF(O4203="","",N4203*O4203*M4203)</f>
        <v>0</v>
      </c>
      <c r="M4203" s="108">
        <v>1</v>
      </c>
      <c r="N4203" s="95">
        <v>1</v>
      </c>
      <c r="O4203" s="109">
        <f>IF(Key!D$1="ON",P4203,IF(SUM(Q4203:DL4203)&lt;1,"",SUM(Q4203:DL4203)/COUNTIF(Q4203:DL4203,"&gt;0")))</f>
        <v>0</v>
      </c>
      <c r="P4203" s="109">
        <f>SUMIFS(Q4203:DK4203,Q$1:DK$1,Dashboard!$K$31)</f>
        <v>0</v>
      </c>
      <c r="U4203" s="95">
        <v>33</v>
      </c>
      <c r="AA4203" s="95">
        <v>25</v>
      </c>
      <c r="AH4203" s="95">
        <v>75</v>
      </c>
    </row>
    <row r="4204" spans="1:34" x14ac:dyDescent="0.3">
      <c r="A4204" s="89" t="str">
        <f>CONCATENATE(D4204,".",F4204,"-",G4204,".",H4204,"")</f>
        <v>4.4-3.1</v>
      </c>
      <c r="B4204" s="89" t="str">
        <f>IF(CONCATENATE(I4204,Key!F$2)=CONCATENATE(INDEX(Dashboard!J:J,MATCH(I4204,Dashboard!J:J,0),1),INDEX(Dashboard!J:K,MATCH(I4204,Dashboard!J:J,0),2)),"ON",IF(Dashboard!K$32="ALL","ON","-"))</f>
        <v>-</v>
      </c>
      <c r="C4204" s="88" t="s">
        <v>329</v>
      </c>
      <c r="D4204" s="89">
        <f>IF(C4204="ID",1,(IF(C4204="PR",2,(IF(C4204="DE",3,(IF(C4204="RS",4,(IF(C4204="RC",5,0)))))))))</f>
        <v>4</v>
      </c>
      <c r="E4204" s="89" t="s">
        <v>345</v>
      </c>
      <c r="F4204" s="89">
        <f>IF(E4204="AM",1,(IF(E4204="BE",2,(IF(E4204="GV",3,(IF(E4204="RA",4,(IF(E4204="RM",5,(IF(E4204="AC",1,(IF(E4204="AT",2,(IF(E4204="DS",3,(IF(E4204="IP",4,(IF(E4204="MA",5,(IF(E4204="PT",6,(IF(E4204="AE",1,(IF(E4204="CM",2,(IF(E4204="DP",3,(IF(E4204="AN",1,(IF(E4204="CO",2,(IF(E4204="IM",3,(IF(E4204="MI",4,(IF(E4204="RP",5,(IF(E4204="SC",6,0)))))))))))))))))))))))))))))))))))))))</f>
        <v>4</v>
      </c>
      <c r="G4204" s="52">
        <v>3</v>
      </c>
      <c r="H4204" s="90" t="s">
        <v>115</v>
      </c>
      <c r="I4204" s="94" t="s">
        <v>73</v>
      </c>
      <c r="J4204" s="86" t="s">
        <v>4214</v>
      </c>
      <c r="K4204" s="101" t="s">
        <v>4401</v>
      </c>
      <c r="L4204" s="117">
        <f>IF(O4204="","",N4204*O4204*M4204)</f>
        <v>0</v>
      </c>
      <c r="M4204" s="108">
        <v>1</v>
      </c>
      <c r="N4204" s="95">
        <v>1</v>
      </c>
      <c r="O4204" s="109">
        <f>IF(Key!D$1="ON",P4204,IF(SUM(Q4204:DL4204)&lt;1,"",SUM(Q4204:DL4204)/COUNTIF(Q4204:DL4204,"&gt;0")))</f>
        <v>0</v>
      </c>
      <c r="P4204" s="109">
        <f>SUMIFS(Q4204:DK4204,Q$1:DK$1,Dashboard!$K$31)</f>
        <v>0</v>
      </c>
      <c r="U4204" s="95">
        <v>33</v>
      </c>
      <c r="AA4204" s="95">
        <v>25</v>
      </c>
      <c r="AH4204" s="95">
        <v>75</v>
      </c>
    </row>
    <row r="4205" spans="1:34" x14ac:dyDescent="0.3">
      <c r="A4205" s="89" t="str">
        <f>CONCATENATE(D4205,".",F4205,"-",G4205,".",H4205,"")</f>
        <v>4.4-3.1</v>
      </c>
      <c r="B4205" s="89" t="str">
        <f>IF(CONCATENATE(I4205,Key!F$2)=CONCATENATE(INDEX(Dashboard!J:J,MATCH(I4205,Dashboard!J:J,0),1),INDEX(Dashboard!J:K,MATCH(I4205,Dashboard!J:J,0),2)),"ON",IF(Dashboard!K$32="ALL","ON","-"))</f>
        <v>-</v>
      </c>
      <c r="C4205" s="88" t="s">
        <v>329</v>
      </c>
      <c r="D4205" s="89">
        <f>IF(C4205="ID",1,(IF(C4205="PR",2,(IF(C4205="DE",3,(IF(C4205="RS",4,(IF(C4205="RC",5,0)))))))))</f>
        <v>4</v>
      </c>
      <c r="E4205" s="89" t="s">
        <v>345</v>
      </c>
      <c r="F4205" s="89">
        <f>IF(E4205="AM",1,(IF(E4205="BE",2,(IF(E4205="GV",3,(IF(E4205="RA",4,(IF(E4205="RM",5,(IF(E4205="AC",1,(IF(E4205="AT",2,(IF(E4205="DS",3,(IF(E4205="IP",4,(IF(E4205="MA",5,(IF(E4205="PT",6,(IF(E4205="AE",1,(IF(E4205="CM",2,(IF(E4205="DP",3,(IF(E4205="AN",1,(IF(E4205="CO",2,(IF(E4205="IM",3,(IF(E4205="MI",4,(IF(E4205="RP",5,(IF(E4205="SC",6,0)))))))))))))))))))))))))))))))))))))))</f>
        <v>4</v>
      </c>
      <c r="G4205" s="52">
        <v>3</v>
      </c>
      <c r="H4205" s="90" t="s">
        <v>115</v>
      </c>
      <c r="I4205" s="94" t="s">
        <v>73</v>
      </c>
      <c r="J4205" s="86" t="s">
        <v>4353</v>
      </c>
      <c r="K4205" s="101" t="s">
        <v>5209</v>
      </c>
      <c r="L4205" s="117">
        <f>IF(O4205="","",N4205*O4205*M4205)</f>
        <v>0</v>
      </c>
      <c r="M4205" s="108">
        <v>1</v>
      </c>
      <c r="N4205" s="95">
        <v>1</v>
      </c>
      <c r="O4205" s="109">
        <f>IF(Key!D$1="ON",P4205,IF(SUM(Q4205:DL4205)&lt;1,"",SUM(Q4205:DL4205)/COUNTIF(Q4205:DL4205,"&gt;0")))</f>
        <v>0</v>
      </c>
      <c r="P4205" s="109">
        <f>SUMIFS(Q4205:DK4205,Q$1:DK$1,Dashboard!$K$31)</f>
        <v>0</v>
      </c>
      <c r="U4205" s="95">
        <v>33</v>
      </c>
      <c r="AA4205" s="95">
        <v>25</v>
      </c>
      <c r="AH4205" s="95">
        <v>75</v>
      </c>
    </row>
    <row r="4206" spans="1:34" x14ac:dyDescent="0.3">
      <c r="A4206" s="89" t="str">
        <f>CONCATENATE(D4206,".",F4206,"-",G4206,".",H4206,"")</f>
        <v>4.4-3.1</v>
      </c>
      <c r="B4206" s="89" t="str">
        <f>IF(CONCATENATE(I4206,Key!F$2)=CONCATENATE(INDEX(Dashboard!J:J,MATCH(I4206,Dashboard!J:J,0),1),INDEX(Dashboard!J:K,MATCH(I4206,Dashboard!J:J,0),2)),"ON",IF(Dashboard!K$32="ALL","ON","-"))</f>
        <v>-</v>
      </c>
      <c r="C4206" s="88" t="s">
        <v>329</v>
      </c>
      <c r="D4206" s="89">
        <f>IF(C4206="ID",1,(IF(C4206="PR",2,(IF(C4206="DE",3,(IF(C4206="RS",4,(IF(C4206="RC",5,0)))))))))</f>
        <v>4</v>
      </c>
      <c r="E4206" s="89" t="s">
        <v>345</v>
      </c>
      <c r="F4206" s="89">
        <f>IF(E4206="AM",1,(IF(E4206="BE",2,(IF(E4206="GV",3,(IF(E4206="RA",4,(IF(E4206="RM",5,(IF(E4206="AC",1,(IF(E4206="AT",2,(IF(E4206="DS",3,(IF(E4206="IP",4,(IF(E4206="MA",5,(IF(E4206="PT",6,(IF(E4206="AE",1,(IF(E4206="CM",2,(IF(E4206="DP",3,(IF(E4206="AN",1,(IF(E4206="CO",2,(IF(E4206="IM",3,(IF(E4206="MI",4,(IF(E4206="RP",5,(IF(E4206="SC",6,0)))))))))))))))))))))))))))))))))))))))</f>
        <v>4</v>
      </c>
      <c r="G4206" s="52">
        <v>3</v>
      </c>
      <c r="H4206" s="90" t="s">
        <v>115</v>
      </c>
      <c r="I4206" s="94" t="s">
        <v>73</v>
      </c>
      <c r="J4206" s="86" t="s">
        <v>4241</v>
      </c>
      <c r="K4206" s="101" t="s">
        <v>5184</v>
      </c>
      <c r="L4206" s="117">
        <f>IF(O4206="","",N4206*O4206*M4206)</f>
        <v>0</v>
      </c>
      <c r="M4206" s="108">
        <v>1</v>
      </c>
      <c r="N4206" s="95">
        <v>1</v>
      </c>
      <c r="O4206" s="109">
        <f>IF(Key!D$1="ON",P4206,IF(SUM(Q4206:DL4206)&lt;1,"",SUM(Q4206:DL4206)/COUNTIF(Q4206:DL4206,"&gt;0")))</f>
        <v>0</v>
      </c>
      <c r="P4206" s="109">
        <f>SUMIFS(Q4206:DK4206,Q$1:DK$1,Dashboard!$K$31)</f>
        <v>0</v>
      </c>
      <c r="U4206" s="95">
        <v>33</v>
      </c>
      <c r="AA4206" s="95">
        <v>25</v>
      </c>
      <c r="AH4206" s="95">
        <v>75</v>
      </c>
    </row>
    <row r="4207" spans="1:34" x14ac:dyDescent="0.3">
      <c r="A4207" s="89" t="str">
        <f>CONCATENATE(D4207,".",F4207,"-",G4207,".",H4207,"")</f>
        <v>4.4-3.1</v>
      </c>
      <c r="B4207" s="89" t="str">
        <f>IF(CONCATENATE(I4207,Key!F$2)=CONCATENATE(INDEX(Dashboard!J:J,MATCH(I4207,Dashboard!J:J,0),1),INDEX(Dashboard!J:K,MATCH(I4207,Dashboard!J:J,0),2)),"ON",IF(Dashboard!K$32="ALL","ON","-"))</f>
        <v>-</v>
      </c>
      <c r="C4207" s="96" t="s">
        <v>329</v>
      </c>
      <c r="D4207" s="89">
        <f>IF(C4207="ID",1,(IF(C4207="PR",2,(IF(C4207="DE",3,(IF(C4207="RS",4,(IF(C4207="RC",5,0)))))))))</f>
        <v>4</v>
      </c>
      <c r="E4207" s="89" t="s">
        <v>345</v>
      </c>
      <c r="F4207" s="89">
        <f>IF(E4207="AM",1,(IF(E4207="BE",2,(IF(E4207="GV",3,(IF(E4207="RA",4,(IF(E4207="RM",5,(IF(E4207="AC",1,(IF(E4207="AT",2,(IF(E4207="DS",3,(IF(E4207="IP",4,(IF(E4207="MA",5,(IF(E4207="PT",6,(IF(E4207="AE",1,(IF(E4207="CM",2,(IF(E4207="DP",3,(IF(E4207="AN",1,(IF(E4207="CO",2,(IF(E4207="IM",3,(IF(E4207="MI",4,(IF(E4207="RP",5,(IF(E4207="SC",6,0)))))))))))))))))))))))))))))))))))))))</f>
        <v>4</v>
      </c>
      <c r="G4207" s="98">
        <v>3</v>
      </c>
      <c r="H4207" s="90" t="s">
        <v>115</v>
      </c>
      <c r="I4207" s="94" t="s">
        <v>92</v>
      </c>
      <c r="J4207" s="87">
        <v>6.1</v>
      </c>
      <c r="K4207" s="102" t="s">
        <v>5226</v>
      </c>
      <c r="L4207" s="117">
        <f>IF(O4207="","",N4207*O4207*M4207)</f>
        <v>0</v>
      </c>
      <c r="M4207" s="108">
        <v>1</v>
      </c>
      <c r="N4207" s="95">
        <v>1</v>
      </c>
      <c r="O4207" s="109">
        <f>IF(Key!D$1="ON",P4207,IF(SUM(Q4207:DL4207)&lt;1,"",SUM(Q4207:DL4207)/COUNTIF(Q4207:DL4207,"&gt;0")))</f>
        <v>0</v>
      </c>
      <c r="P4207" s="109">
        <f>SUMIFS(Q4207:DK4207,Q$1:DK$1,Dashboard!$K$31)</f>
        <v>0</v>
      </c>
      <c r="U4207" s="95">
        <v>33</v>
      </c>
      <c r="AA4207" s="95">
        <v>25</v>
      </c>
      <c r="AH4207" s="95">
        <v>75</v>
      </c>
    </row>
    <row r="4208" spans="1:34" x14ac:dyDescent="0.3">
      <c r="A4208" s="89" t="str">
        <f>CONCATENATE(D4208,".",F4208,"-",G4208,".",H4208,"")</f>
        <v>4.4-3.1</v>
      </c>
      <c r="B4208" s="89" t="str">
        <f>IF(CONCATENATE(I4208,Key!F$2)=CONCATENATE(INDEX(Dashboard!J:J,MATCH(I4208,Dashboard!J:J,0),1),INDEX(Dashboard!J:K,MATCH(I4208,Dashboard!J:J,0),2)),"ON",IF(Dashboard!K$32="ALL","ON","-"))</f>
        <v>-</v>
      </c>
      <c r="C4208" s="96" t="s">
        <v>329</v>
      </c>
      <c r="D4208" s="89">
        <f>IF(C4208="ID",1,(IF(C4208="PR",2,(IF(C4208="DE",3,(IF(C4208="RS",4,(IF(C4208="RC",5,0)))))))))</f>
        <v>4</v>
      </c>
      <c r="E4208" s="89" t="s">
        <v>345</v>
      </c>
      <c r="F4208" s="89">
        <f>IF(E4208="AM",1,(IF(E4208="BE",2,(IF(E4208="GV",3,(IF(E4208="RA",4,(IF(E4208="RM",5,(IF(E4208="AC",1,(IF(E4208="AT",2,(IF(E4208="DS",3,(IF(E4208="IP",4,(IF(E4208="MA",5,(IF(E4208="PT",6,(IF(E4208="AE",1,(IF(E4208="CM",2,(IF(E4208="DP",3,(IF(E4208="AN",1,(IF(E4208="CO",2,(IF(E4208="IM",3,(IF(E4208="MI",4,(IF(E4208="RP",5,(IF(E4208="SC",6,0)))))))))))))))))))))))))))))))))))))))</f>
        <v>4</v>
      </c>
      <c r="G4208" s="98">
        <v>3</v>
      </c>
      <c r="H4208" s="90" t="s">
        <v>115</v>
      </c>
      <c r="I4208" s="94" t="s">
        <v>92</v>
      </c>
      <c r="J4208" s="88" t="s">
        <v>236</v>
      </c>
      <c r="K4208" s="102" t="s">
        <v>5226</v>
      </c>
      <c r="L4208" s="117">
        <f>IF(O4208="","",N4208*O4208*M4208)</f>
        <v>0</v>
      </c>
      <c r="M4208" s="108">
        <v>1</v>
      </c>
      <c r="N4208" s="95">
        <v>1</v>
      </c>
      <c r="O4208" s="109">
        <f>IF(Key!D$1="ON",P4208,IF(SUM(Q4208:DL4208)&lt;1,"",SUM(Q4208:DL4208)/COUNTIF(Q4208:DL4208,"&gt;0")))</f>
        <v>0</v>
      </c>
      <c r="P4208" s="109">
        <f>SUMIFS(Q4208:DK4208,Q$1:DK$1,Dashboard!$K$31)</f>
        <v>0</v>
      </c>
      <c r="U4208" s="95">
        <v>33</v>
      </c>
      <c r="AA4208" s="95">
        <v>25</v>
      </c>
      <c r="AH4208" s="95">
        <v>75</v>
      </c>
    </row>
    <row r="4209" spans="1:34" x14ac:dyDescent="0.3">
      <c r="A4209" s="89" t="str">
        <f>CONCATENATE(D4209,".",F4209,"-",G4209,".",H4209,"")</f>
        <v>4.4-3.1</v>
      </c>
      <c r="B4209" s="89" t="str">
        <f>IF(CONCATENATE(I4209,Key!F$2)=CONCATENATE(INDEX(Dashboard!J:J,MATCH(I4209,Dashboard!J:J,0),1),INDEX(Dashboard!J:K,MATCH(I4209,Dashboard!J:J,0),2)),"ON",IF(Dashboard!K$32="ALL","ON","-"))</f>
        <v>-</v>
      </c>
      <c r="C4209" s="96" t="s">
        <v>329</v>
      </c>
      <c r="D4209" s="89">
        <f>IF(C4209="ID",1,(IF(C4209="PR",2,(IF(C4209="DE",3,(IF(C4209="RS",4,(IF(C4209="RC",5,0)))))))))</f>
        <v>4</v>
      </c>
      <c r="E4209" s="89" t="s">
        <v>345</v>
      </c>
      <c r="F4209" s="89">
        <f>IF(E4209="AM",1,(IF(E4209="BE",2,(IF(E4209="GV",3,(IF(E4209="RA",4,(IF(E4209="RM",5,(IF(E4209="AC",1,(IF(E4209="AT",2,(IF(E4209="DS",3,(IF(E4209="IP",4,(IF(E4209="MA",5,(IF(E4209="PT",6,(IF(E4209="AE",1,(IF(E4209="CM",2,(IF(E4209="DP",3,(IF(E4209="AN",1,(IF(E4209="CO",2,(IF(E4209="IM",3,(IF(E4209="MI",4,(IF(E4209="RP",5,(IF(E4209="SC",6,0)))))))))))))))))))))))))))))))))))))))</f>
        <v>4</v>
      </c>
      <c r="G4209" s="98">
        <v>3</v>
      </c>
      <c r="H4209" s="90" t="s">
        <v>115</v>
      </c>
      <c r="I4209" s="94" t="s">
        <v>92</v>
      </c>
      <c r="J4209" s="88" t="s">
        <v>237</v>
      </c>
      <c r="K4209" s="102" t="s">
        <v>5226</v>
      </c>
      <c r="L4209" s="117">
        <f>IF(O4209="","",N4209*O4209*M4209)</f>
        <v>0</v>
      </c>
      <c r="M4209" s="108">
        <v>1</v>
      </c>
      <c r="N4209" s="95">
        <v>1</v>
      </c>
      <c r="O4209" s="109">
        <f>IF(Key!D$1="ON",P4209,IF(SUM(Q4209:DL4209)&lt;1,"",SUM(Q4209:DL4209)/COUNTIF(Q4209:DL4209,"&gt;0")))</f>
        <v>0</v>
      </c>
      <c r="P4209" s="109">
        <f>SUMIFS(Q4209:DK4209,Q$1:DK$1,Dashboard!$K$31)</f>
        <v>0</v>
      </c>
      <c r="U4209" s="95">
        <v>33</v>
      </c>
      <c r="AA4209" s="95">
        <v>25</v>
      </c>
      <c r="AH4209" s="95">
        <v>75</v>
      </c>
    </row>
    <row r="4210" spans="1:34" x14ac:dyDescent="0.3">
      <c r="A4210" s="89" t="str">
        <f>CONCATENATE(D4210,".",F4210,"-",G4210,".",H4210,"")</f>
        <v>4.4-3.1</v>
      </c>
      <c r="B4210" s="89" t="str">
        <f>IF(CONCATENATE(I4210,Key!F$2)=CONCATENATE(INDEX(Dashboard!J:J,MATCH(I4210,Dashboard!J:J,0),1),INDEX(Dashboard!J:K,MATCH(I4210,Dashboard!J:J,0),2)),"ON",IF(Dashboard!K$32="ALL","ON","-"))</f>
        <v>-</v>
      </c>
      <c r="C4210" s="96" t="s">
        <v>329</v>
      </c>
      <c r="D4210" s="89">
        <f>IF(C4210="ID",1,(IF(C4210="PR",2,(IF(C4210="DE",3,(IF(C4210="RS",4,(IF(C4210="RC",5,0)))))))))</f>
        <v>4</v>
      </c>
      <c r="E4210" s="89" t="s">
        <v>345</v>
      </c>
      <c r="F4210" s="89">
        <f>IF(E4210="AM",1,(IF(E4210="BE",2,(IF(E4210="GV",3,(IF(E4210="RA",4,(IF(E4210="RM",5,(IF(E4210="AC",1,(IF(E4210="AT",2,(IF(E4210="DS",3,(IF(E4210="IP",4,(IF(E4210="MA",5,(IF(E4210="PT",6,(IF(E4210="AE",1,(IF(E4210="CM",2,(IF(E4210="DP",3,(IF(E4210="AN",1,(IF(E4210="CO",2,(IF(E4210="IM",3,(IF(E4210="MI",4,(IF(E4210="RP",5,(IF(E4210="SC",6,0)))))))))))))))))))))))))))))))))))))))</f>
        <v>4</v>
      </c>
      <c r="G4210" s="98">
        <v>3</v>
      </c>
      <c r="H4210" s="90" t="s">
        <v>115</v>
      </c>
      <c r="I4210" s="94" t="s">
        <v>92</v>
      </c>
      <c r="J4210" s="88" t="s">
        <v>238</v>
      </c>
      <c r="K4210" s="102" t="s">
        <v>5226</v>
      </c>
      <c r="L4210" s="117">
        <f>IF(O4210="","",N4210*O4210*M4210)</f>
        <v>0</v>
      </c>
      <c r="M4210" s="108">
        <v>1</v>
      </c>
      <c r="N4210" s="95">
        <v>1</v>
      </c>
      <c r="O4210" s="109">
        <f>IF(Key!D$1="ON",P4210,IF(SUM(Q4210:DL4210)&lt;1,"",SUM(Q4210:DL4210)/COUNTIF(Q4210:DL4210,"&gt;0")))</f>
        <v>0</v>
      </c>
      <c r="P4210" s="109">
        <f>SUMIFS(Q4210:DK4210,Q$1:DK$1,Dashboard!$K$31)</f>
        <v>0</v>
      </c>
      <c r="U4210" s="95">
        <v>33</v>
      </c>
      <c r="AA4210" s="95">
        <v>25</v>
      </c>
      <c r="AH4210" s="95">
        <v>75</v>
      </c>
    </row>
    <row r="4211" spans="1:34" x14ac:dyDescent="0.3">
      <c r="A4211" s="89" t="str">
        <f>CONCATENATE(D4211,".",F4211,"-",G4211,".",H4211,"")</f>
        <v>4.4-3.1</v>
      </c>
      <c r="B4211" s="89" t="str">
        <f>IF(CONCATENATE(I4211,Key!F$2)=CONCATENATE(INDEX(Dashboard!J:J,MATCH(I4211,Dashboard!J:J,0),1),INDEX(Dashboard!J:K,MATCH(I4211,Dashboard!J:J,0),2)),"ON",IF(Dashboard!K$32="ALL","ON","-"))</f>
        <v>-</v>
      </c>
      <c r="C4211" s="88" t="s">
        <v>329</v>
      </c>
      <c r="D4211" s="89">
        <f>IF(C4211="ID",1,(IF(C4211="PR",2,(IF(C4211="DE",3,(IF(C4211="RS",4,(IF(C4211="RC",5,0)))))))))</f>
        <v>4</v>
      </c>
      <c r="E4211" s="89" t="s">
        <v>345</v>
      </c>
      <c r="F4211" s="89">
        <f>IF(E4211="AM",1,(IF(E4211="BE",2,(IF(E4211="GV",3,(IF(E4211="RA",4,(IF(E4211="RM",5,(IF(E4211="AC",1,(IF(E4211="AT",2,(IF(E4211="DS",3,(IF(E4211="IP",4,(IF(E4211="MA",5,(IF(E4211="PT",6,(IF(E4211="AE",1,(IF(E4211="CM",2,(IF(E4211="DP",3,(IF(E4211="AN",1,(IF(E4211="CO",2,(IF(E4211="IM",3,(IF(E4211="MI",4,(IF(E4211="RP",5,(IF(E4211="SC",6,0)))))))))))))))))))))))))))))))))))))))</f>
        <v>4</v>
      </c>
      <c r="G4211" s="52">
        <v>3</v>
      </c>
      <c r="H4211" s="90" t="s">
        <v>115</v>
      </c>
      <c r="I4211" s="94" t="s">
        <v>92</v>
      </c>
      <c r="J4211" s="88" t="s">
        <v>346</v>
      </c>
      <c r="K4211" s="102" t="s">
        <v>5226</v>
      </c>
      <c r="L4211" s="117">
        <f>IF(O4211="","",N4211*O4211*M4211)</f>
        <v>0</v>
      </c>
      <c r="M4211" s="108">
        <v>1</v>
      </c>
      <c r="N4211" s="95">
        <v>1</v>
      </c>
      <c r="O4211" s="109">
        <f>IF(Key!D$1="ON",P4211,IF(SUM(Q4211:DL4211)&lt;1,"",SUM(Q4211:DL4211)/COUNTIF(Q4211:DL4211,"&gt;0")))</f>
        <v>0</v>
      </c>
      <c r="P4211" s="109">
        <f>SUMIFS(Q4211:DK4211,Q$1:DK$1,Dashboard!$K$31)</f>
        <v>0</v>
      </c>
      <c r="U4211" s="95">
        <v>33</v>
      </c>
      <c r="AA4211" s="95">
        <v>25</v>
      </c>
      <c r="AH4211" s="95">
        <v>75</v>
      </c>
    </row>
    <row r="4212" spans="1:34" x14ac:dyDescent="0.3">
      <c r="A4212" s="89" t="str">
        <f>CONCATENATE(D4212,".",F4212,"-",G4212,".",H4212,"")</f>
        <v>4.5-0.0</v>
      </c>
      <c r="B4212" s="89" t="str">
        <f>IF(CONCATENATE(I4212,Key!F$2)=CONCATENATE(INDEX(Dashboard!J:J,MATCH(I4212,Dashboard!J:J,0),1),INDEX(Dashboard!J:K,MATCH(I4212,Dashboard!J:J,0),2)),"ON",IF(Dashboard!K$32="ALL","ON","-"))</f>
        <v>-</v>
      </c>
      <c r="C4212" s="96" t="s">
        <v>329</v>
      </c>
      <c r="D4212" s="89">
        <f>IF(C4212="ID",1,(IF(C4212="PR",2,(IF(C4212="DE",3,(IF(C4212="RS",4,(IF(C4212="RC",5,0)))))))))</f>
        <v>4</v>
      </c>
      <c r="E4212" s="89" t="s">
        <v>623</v>
      </c>
      <c r="F4212" s="89">
        <f>IF(E4212="AM",1,(IF(E4212="BE",2,(IF(E4212="GV",3,(IF(E4212="RA",4,(IF(E4212="RM",5,(IF(E4212="AC",1,(IF(E4212="AT",2,(IF(E4212="DS",3,(IF(E4212="IP",4,(IF(E4212="MA",5,(IF(E4212="PT",6,(IF(E4212="AE",1,(IF(E4212="CM",2,(IF(E4212="DP",3,(IF(E4212="AN",1,(IF(E4212="CO",2,(IF(E4212="IM",3,(IF(E4212="MI",4,(IF(E4212="RP",5,(IF(E4212="SC",6,0)))))))))))))))))))))))))))))))))))))))</f>
        <v>5</v>
      </c>
      <c r="G4212" s="52">
        <v>0</v>
      </c>
      <c r="H4212" s="90" t="s">
        <v>347</v>
      </c>
      <c r="I4212" s="94" t="s">
        <v>2835</v>
      </c>
      <c r="J4212" s="140" t="s">
        <v>3091</v>
      </c>
      <c r="K4212" s="145" t="s">
        <v>3092</v>
      </c>
      <c r="L4212" s="117">
        <f>IF(O4212="","",N4212*O4212*M4212)</f>
        <v>0</v>
      </c>
      <c r="M4212" s="108">
        <v>1</v>
      </c>
      <c r="N4212" s="95">
        <v>1</v>
      </c>
      <c r="O4212" s="109">
        <f>IF(Key!D$1="ON",P4212,IF(SUM(Q4212:DL4212)&lt;1,"",SUM(Q4212:DL4212)/COUNTIF(Q4212:DL4212,"&gt;0")))</f>
        <v>0</v>
      </c>
      <c r="P4212" s="109">
        <f>SUMIFS(Q4212:DK4212,Q$1:DK$1,Dashboard!$K$31)</f>
        <v>0</v>
      </c>
      <c r="Q4212" s="110">
        <v>83</v>
      </c>
      <c r="U4212" s="95">
        <v>33</v>
      </c>
    </row>
    <row r="4213" spans="1:34" x14ac:dyDescent="0.3">
      <c r="A4213" s="89" t="str">
        <f>CONCATENATE(D4213,".",F4213,"-",G4213,".",H4213,"")</f>
        <v>4.5-0.1</v>
      </c>
      <c r="B4213" s="89" t="str">
        <f>IF(CONCATENATE(I4213,Key!F$2)=CONCATENATE(INDEX(Dashboard!J:J,MATCH(I4213,Dashboard!J:J,0),1),INDEX(Dashboard!J:K,MATCH(I4213,Dashboard!J:J,0),2)),"ON",IF(Dashboard!K$32="ALL","ON","-"))</f>
        <v>-</v>
      </c>
      <c r="C4213" s="96" t="s">
        <v>329</v>
      </c>
      <c r="D4213" s="89">
        <f>IF(C4213="ID",1,(IF(C4213="PR",2,(IF(C4213="DE",3,(IF(C4213="RS",4,(IF(C4213="RC",5,0)))))))))</f>
        <v>4</v>
      </c>
      <c r="E4213" s="89" t="s">
        <v>623</v>
      </c>
      <c r="F4213" s="89">
        <f>IF(E4213="AM",1,(IF(E4213="BE",2,(IF(E4213="GV",3,(IF(E4213="RA",4,(IF(E4213="RM",5,(IF(E4213="AC",1,(IF(E4213="AT",2,(IF(E4213="DS",3,(IF(E4213="IP",4,(IF(E4213="MA",5,(IF(E4213="PT",6,(IF(E4213="AE",1,(IF(E4213="CM",2,(IF(E4213="DP",3,(IF(E4213="AN",1,(IF(E4213="CO",2,(IF(E4213="IM",3,(IF(E4213="MI",4,(IF(E4213="RP",5,(IF(E4213="SC",6,0)))))))))))))))))))))))))))))))))))))))</f>
        <v>5</v>
      </c>
      <c r="G4213" s="52">
        <v>0</v>
      </c>
      <c r="H4213" s="90" t="s">
        <v>115</v>
      </c>
      <c r="I4213" s="94" t="s">
        <v>2835</v>
      </c>
      <c r="J4213" s="59" t="s">
        <v>3091</v>
      </c>
      <c r="K4213" s="105" t="s">
        <v>3093</v>
      </c>
      <c r="L4213" s="117">
        <f>IF(O4213="","",N4213*O4213*M4213)</f>
        <v>0</v>
      </c>
      <c r="M4213" s="108">
        <v>1</v>
      </c>
      <c r="N4213" s="95">
        <v>1</v>
      </c>
      <c r="O4213" s="109">
        <f>IF(Key!D$1="ON",P4213,IF(SUM(Q4213:DL4213)&lt;1,"",SUM(Q4213:DL4213)/COUNTIF(Q4213:DL4213,"&gt;0")))</f>
        <v>0</v>
      </c>
      <c r="P4213" s="109">
        <f>SUMIFS(Q4213:DK4213,Q$1:DK$1,Dashboard!$K$31)</f>
        <v>0</v>
      </c>
      <c r="Q4213" s="110">
        <v>83</v>
      </c>
      <c r="U4213" s="95">
        <v>33</v>
      </c>
      <c r="AA4213" s="95">
        <v>50</v>
      </c>
    </row>
    <row r="4214" spans="1:34" x14ac:dyDescent="0.3">
      <c r="A4214" s="89" t="str">
        <f>CONCATENATE(D4214,".",F4214,"-",G4214,".",H4214,"")</f>
        <v>4.5-1.0</v>
      </c>
      <c r="B4214" s="89" t="str">
        <f>IF(CONCATENATE(I4214,Key!F$2)=CONCATENATE(INDEX(Dashboard!J:J,MATCH(I4214,Dashboard!J:J,0),1),INDEX(Dashboard!J:K,MATCH(I4214,Dashboard!J:J,0),2)),"ON",IF(Dashboard!K$32="ALL","ON","-"))</f>
        <v>-</v>
      </c>
      <c r="C4214" s="96" t="s">
        <v>329</v>
      </c>
      <c r="D4214" s="89">
        <f>IF(C4214="ID",1,(IF(C4214="PR",2,(IF(C4214="DE",3,(IF(C4214="RS",4,(IF(C4214="RC",5,0)))))))))</f>
        <v>4</v>
      </c>
      <c r="E4214" s="89" t="s">
        <v>623</v>
      </c>
      <c r="F4214" s="89">
        <f>IF(E4214="AM",1,(IF(E4214="BE",2,(IF(E4214="GV",3,(IF(E4214="RA",4,(IF(E4214="RM",5,(IF(E4214="AC",1,(IF(E4214="AT",2,(IF(E4214="DS",3,(IF(E4214="IP",4,(IF(E4214="MA",5,(IF(E4214="PT",6,(IF(E4214="AE",1,(IF(E4214="CM",2,(IF(E4214="DP",3,(IF(E4214="AN",1,(IF(E4214="CO",2,(IF(E4214="IM",3,(IF(E4214="MI",4,(IF(E4214="RP",5,(IF(E4214="SC",6,0)))))))))))))))))))))))))))))))))))))))</f>
        <v>5</v>
      </c>
      <c r="G4214" s="52">
        <v>1</v>
      </c>
      <c r="H4214" s="90" t="s">
        <v>347</v>
      </c>
      <c r="I4214" s="94" t="s">
        <v>2835</v>
      </c>
      <c r="J4214" s="53" t="s">
        <v>3094</v>
      </c>
      <c r="K4214" s="105" t="s">
        <v>3095</v>
      </c>
      <c r="L4214" s="117">
        <f>IF(O4214="","",N4214*O4214*M4214)</f>
        <v>0</v>
      </c>
      <c r="M4214" s="108">
        <v>1</v>
      </c>
      <c r="N4214" s="95">
        <v>1</v>
      </c>
      <c r="O4214" s="109">
        <f>IF(Key!D$1="ON",P4214,IF(SUM(Q4214:DL4214)&lt;1,"",SUM(Q4214:DL4214)/COUNTIF(Q4214:DL4214,"&gt;0")))</f>
        <v>0</v>
      </c>
      <c r="P4214" s="109">
        <f>SUMIFS(Q4214:DK4214,Q$1:DK$1,Dashboard!$K$31)</f>
        <v>0</v>
      </c>
      <c r="U4214" s="95">
        <v>33</v>
      </c>
    </row>
    <row r="4215" spans="1:34" x14ac:dyDescent="0.3">
      <c r="A4215" s="89" t="str">
        <f>CONCATENATE(D4215,".",F4215,"-",G4215,".",H4215,"")</f>
        <v>4.5-1.1</v>
      </c>
      <c r="B4215" s="89" t="str">
        <f>IF(CONCATENATE(I4215,Key!F$2)=CONCATENATE(INDEX(Dashboard!J:J,MATCH(I4215,Dashboard!J:J,0),1),INDEX(Dashboard!J:K,MATCH(I4215,Dashboard!J:J,0),2)),"ON",IF(Dashboard!K$32="ALL","ON","-"))</f>
        <v>ON</v>
      </c>
      <c r="C4215" s="130" t="s">
        <v>329</v>
      </c>
      <c r="D4215" s="89">
        <f>IF(C4215="ID",1,(IF(C4215="PR",2,(IF(C4215="DE",3,(IF(C4215="RS",4,(IF(C4215="RC",5,0)))))))))</f>
        <v>4</v>
      </c>
      <c r="E4215" s="95" t="s">
        <v>623</v>
      </c>
      <c r="F4215" s="89">
        <f>IF(E4215="AM",1,(IF(E4215="BE",2,(IF(E4215="GV",3,(IF(E4215="RA",4,(IF(E4215="RM",5,(IF(E4215="AC",1,(IF(E4215="AT",2,(IF(E4215="DS",3,(IF(E4215="IP",4,(IF(E4215="MA",5,(IF(E4215="PT",6,(IF(E4215="AE",1,(IF(E4215="CM",2,(IF(E4215="DP",3,(IF(E4215="AN",1,(IF(E4215="CO",2,(IF(E4215="IM",3,(IF(E4215="MI",4,(IF(E4215="RP",5,(IF(E4215="SC",6,0)))))))))))))))))))))))))))))))))))))))</f>
        <v>5</v>
      </c>
      <c r="G4215" s="52">
        <v>1</v>
      </c>
      <c r="H4215" s="90" t="s">
        <v>115</v>
      </c>
      <c r="I4215" s="94" t="s">
        <v>4107</v>
      </c>
      <c r="J4215" s="86" t="s">
        <v>4005</v>
      </c>
      <c r="K4215" s="101" t="s">
        <v>4448</v>
      </c>
      <c r="L4215" s="117">
        <f>IF(O4215="","",N4215*O4215*M4215)</f>
        <v>0</v>
      </c>
      <c r="M4215" s="108">
        <v>1</v>
      </c>
      <c r="N4215" s="95">
        <v>1</v>
      </c>
      <c r="O4215" s="109">
        <f>IF(Key!D$1="ON",P4215,IF(SUM(Q4215:DL4215)&lt;1,"",SUM(Q4215:DL4215)/COUNTIF(Q4215:DL4215,"&gt;0")))</f>
        <v>0</v>
      </c>
      <c r="P4215" s="109">
        <f>SUMIFS(Q4215:DK4215,Q$1:DK$1,Dashboard!$K$31)</f>
        <v>0</v>
      </c>
      <c r="U4215" s="95">
        <v>33</v>
      </c>
      <c r="AA4215" s="95">
        <v>25</v>
      </c>
      <c r="AH4215" s="95">
        <v>75</v>
      </c>
    </row>
    <row r="4216" spans="1:34" x14ac:dyDescent="0.3">
      <c r="A4216" s="89" t="str">
        <f>CONCATENATE(D4216,".",F4216,"-",G4216,".",H4216,"")</f>
        <v>4.5-1.1</v>
      </c>
      <c r="B4216" s="89" t="str">
        <f>IF(CONCATENATE(I4216,Key!F$2)=CONCATENATE(INDEX(Dashboard!J:J,MATCH(I4216,Dashboard!J:J,0),1),INDEX(Dashboard!J:K,MATCH(I4216,Dashboard!J:J,0),2)),"ON",IF(Dashboard!K$32="ALL","ON","-"))</f>
        <v>ON</v>
      </c>
      <c r="C4216" s="130" t="s">
        <v>329</v>
      </c>
      <c r="D4216" s="89">
        <f>IF(C4216="ID",1,(IF(C4216="PR",2,(IF(C4216="DE",3,(IF(C4216="RS",4,(IF(C4216="RC",5,0)))))))))</f>
        <v>4</v>
      </c>
      <c r="E4216" s="95" t="s">
        <v>623</v>
      </c>
      <c r="F4216" s="89">
        <f>IF(E4216="AM",1,(IF(E4216="BE",2,(IF(E4216="GV",3,(IF(E4216="RA",4,(IF(E4216="RM",5,(IF(E4216="AC",1,(IF(E4216="AT",2,(IF(E4216="DS",3,(IF(E4216="IP",4,(IF(E4216="MA",5,(IF(E4216="PT",6,(IF(E4216="AE",1,(IF(E4216="CM",2,(IF(E4216="DP",3,(IF(E4216="AN",1,(IF(E4216="CO",2,(IF(E4216="IM",3,(IF(E4216="MI",4,(IF(E4216="RP",5,(IF(E4216="SC",6,0)))))))))))))))))))))))))))))))))))))))</f>
        <v>5</v>
      </c>
      <c r="G4216" s="52">
        <v>1</v>
      </c>
      <c r="H4216" s="90" t="s">
        <v>115</v>
      </c>
      <c r="I4216" s="94" t="s">
        <v>4107</v>
      </c>
      <c r="J4216" s="86" t="s">
        <v>4008</v>
      </c>
      <c r="K4216" s="101" t="s">
        <v>4380</v>
      </c>
      <c r="L4216" s="117">
        <f>IF(O4216="","",N4216*O4216*M4216)</f>
        <v>0</v>
      </c>
      <c r="M4216" s="108">
        <v>1</v>
      </c>
      <c r="N4216" s="95">
        <v>1</v>
      </c>
      <c r="O4216" s="109">
        <f>IF(Key!D$1="ON",P4216,IF(SUM(Q4216:DL4216)&lt;1,"",SUM(Q4216:DL4216)/COUNTIF(Q4216:DL4216,"&gt;0")))</f>
        <v>0</v>
      </c>
      <c r="P4216" s="109">
        <f>SUMIFS(Q4216:DK4216,Q$1:DK$1,Dashboard!$K$31)</f>
        <v>0</v>
      </c>
      <c r="U4216" s="95">
        <v>33</v>
      </c>
      <c r="AA4216" s="95">
        <v>25</v>
      </c>
      <c r="AH4216" s="95">
        <v>75</v>
      </c>
    </row>
    <row r="4217" spans="1:34" x14ac:dyDescent="0.3">
      <c r="A4217" s="89" t="str">
        <f>CONCATENATE(D4217,".",F4217,"-",G4217,".",H4217,"")</f>
        <v>4.5-1.1</v>
      </c>
      <c r="B4217" s="89" t="str">
        <f>IF(CONCATENATE(I4217,Key!F$2)=CONCATENATE(INDEX(Dashboard!J:J,MATCH(I4217,Dashboard!J:J,0),1),INDEX(Dashboard!J:K,MATCH(I4217,Dashboard!J:J,0),2)),"ON",IF(Dashboard!K$32="ALL","ON","-"))</f>
        <v>-</v>
      </c>
      <c r="C4217" s="96" t="s">
        <v>329</v>
      </c>
      <c r="D4217" s="89">
        <f>IF(C4217="ID",1,(IF(C4217="PR",2,(IF(C4217="DE",3,(IF(C4217="RS",4,(IF(C4217="RC",5,0)))))))))</f>
        <v>4</v>
      </c>
      <c r="E4217" s="89" t="s">
        <v>623</v>
      </c>
      <c r="F4217" s="89">
        <f>IF(E4217="AM",1,(IF(E4217="BE",2,(IF(E4217="GV",3,(IF(E4217="RA",4,(IF(E4217="RM",5,(IF(E4217="AC",1,(IF(E4217="AT",2,(IF(E4217="DS",3,(IF(E4217="IP",4,(IF(E4217="MA",5,(IF(E4217="PT",6,(IF(E4217="AE",1,(IF(E4217="CM",2,(IF(E4217="DP",3,(IF(E4217="AN",1,(IF(E4217="CO",2,(IF(E4217="IM",3,(IF(E4217="MI",4,(IF(E4217="RP",5,(IF(E4217="SC",6,0)))))))))))))))))))))))))))))))))))))))</f>
        <v>5</v>
      </c>
      <c r="G4217" s="98">
        <v>1</v>
      </c>
      <c r="H4217" s="90" t="s">
        <v>115</v>
      </c>
      <c r="I4217" s="94" t="s">
        <v>52</v>
      </c>
      <c r="J4217" s="88" t="s">
        <v>3305</v>
      </c>
      <c r="K4217" s="103" t="s">
        <v>3306</v>
      </c>
      <c r="L4217" s="117">
        <f>IF(O4217="","",N4217*O4217*M4217)</f>
        <v>0</v>
      </c>
      <c r="M4217" s="108">
        <v>1</v>
      </c>
      <c r="N4217" s="95">
        <v>1</v>
      </c>
      <c r="O4217" s="109">
        <f>IF(Key!D$1="ON",P4217,IF(SUM(Q4217:DL4217)&lt;1,"",SUM(Q4217:DL4217)/COUNTIF(Q4217:DL4217,"&gt;0")))</f>
        <v>0</v>
      </c>
      <c r="P4217" s="109">
        <f>SUMIFS(Q4217:DK4217,Q$1:DK$1,Dashboard!$K$31)</f>
        <v>0</v>
      </c>
      <c r="U4217" s="95">
        <v>33</v>
      </c>
      <c r="AA4217" s="95">
        <v>25</v>
      </c>
      <c r="AH4217" s="95">
        <v>75</v>
      </c>
    </row>
    <row r="4218" spans="1:34" x14ac:dyDescent="0.3">
      <c r="A4218" s="89" t="str">
        <f>CONCATENATE(D4218,".",F4218,"-",G4218,".",H4218,"")</f>
        <v>4.5-1.1</v>
      </c>
      <c r="B4218" s="89" t="str">
        <f>IF(CONCATENATE(I4218,Key!F$2)=CONCATENATE(INDEX(Dashboard!J:J,MATCH(I4218,Dashboard!J:J,0),1),INDEX(Dashboard!J:K,MATCH(I4218,Dashboard!J:J,0),2)),"ON",IF(Dashboard!K$32="ALL","ON","-"))</f>
        <v>-</v>
      </c>
      <c r="C4218" s="96" t="s">
        <v>329</v>
      </c>
      <c r="D4218" s="89">
        <f>IF(C4218="ID",1,(IF(C4218="PR",2,(IF(C4218="DE",3,(IF(C4218="RS",4,(IF(C4218="RC",5,0)))))))))</f>
        <v>4</v>
      </c>
      <c r="E4218" s="89" t="s">
        <v>623</v>
      </c>
      <c r="F4218" s="89">
        <f>IF(E4218="AM",1,(IF(E4218="BE",2,(IF(E4218="GV",3,(IF(E4218="RA",4,(IF(E4218="RM",5,(IF(E4218="AC",1,(IF(E4218="AT",2,(IF(E4218="DS",3,(IF(E4218="IP",4,(IF(E4218="MA",5,(IF(E4218="PT",6,(IF(E4218="AE",1,(IF(E4218="CM",2,(IF(E4218="DP",3,(IF(E4218="AN",1,(IF(E4218="CO",2,(IF(E4218="IM",3,(IF(E4218="MI",4,(IF(E4218="RP",5,(IF(E4218="SC",6,0)))))))))))))))))))))))))))))))))))))))</f>
        <v>5</v>
      </c>
      <c r="G4218" s="98">
        <v>1</v>
      </c>
      <c r="H4218" s="90" t="s">
        <v>115</v>
      </c>
      <c r="I4218" s="94" t="s">
        <v>52</v>
      </c>
      <c r="J4218" s="88" t="s">
        <v>3301</v>
      </c>
      <c r="K4218" s="103" t="s">
        <v>3302</v>
      </c>
      <c r="L4218" s="117">
        <f>IF(O4218="","",N4218*O4218*M4218)</f>
        <v>0</v>
      </c>
      <c r="M4218" s="108">
        <v>1</v>
      </c>
      <c r="N4218" s="95">
        <v>1</v>
      </c>
      <c r="O4218" s="109">
        <f>IF(Key!D$1="ON",P4218,IF(SUM(Q4218:DL4218)&lt;1,"",SUM(Q4218:DL4218)/COUNTIF(Q4218:DL4218,"&gt;0")))</f>
        <v>0</v>
      </c>
      <c r="P4218" s="109">
        <f>SUMIFS(Q4218:DK4218,Q$1:DK$1,Dashboard!$K$31)</f>
        <v>0</v>
      </c>
      <c r="U4218" s="95">
        <v>33</v>
      </c>
      <c r="AA4218" s="95">
        <v>25</v>
      </c>
      <c r="AH4218" s="95">
        <v>75</v>
      </c>
    </row>
    <row r="4219" spans="1:34" x14ac:dyDescent="0.3">
      <c r="A4219" s="89" t="str">
        <f>CONCATENATE(D4219,".",F4219,"-",G4219,".",H4219,"")</f>
        <v>4.5-1.1</v>
      </c>
      <c r="B4219" s="89" t="str">
        <f>IF(CONCATENATE(I4219,Key!F$2)=CONCATENATE(INDEX(Dashboard!J:J,MATCH(I4219,Dashboard!J:J,0),1),INDEX(Dashboard!J:K,MATCH(I4219,Dashboard!J:J,0),2)),"ON",IF(Dashboard!K$32="ALL","ON","-"))</f>
        <v>-</v>
      </c>
      <c r="C4219" s="96" t="s">
        <v>329</v>
      </c>
      <c r="D4219" s="89">
        <f>IF(C4219="ID",1,(IF(C4219="PR",2,(IF(C4219="DE",3,(IF(C4219="RS",4,(IF(C4219="RC",5,0)))))))))</f>
        <v>4</v>
      </c>
      <c r="E4219" s="89" t="s">
        <v>623</v>
      </c>
      <c r="F4219" s="89">
        <f>IF(E4219="AM",1,(IF(E4219="BE",2,(IF(E4219="GV",3,(IF(E4219="RA",4,(IF(E4219="RM",5,(IF(E4219="AC",1,(IF(E4219="AT",2,(IF(E4219="DS",3,(IF(E4219="IP",4,(IF(E4219="MA",5,(IF(E4219="PT",6,(IF(E4219="AE",1,(IF(E4219="CM",2,(IF(E4219="DP",3,(IF(E4219="AN",1,(IF(E4219="CO",2,(IF(E4219="IM",3,(IF(E4219="MI",4,(IF(E4219="RP",5,(IF(E4219="SC",6,0)))))))))))))))))))))))))))))))))))))))</f>
        <v>5</v>
      </c>
      <c r="G4219" s="98">
        <v>1</v>
      </c>
      <c r="H4219" s="90" t="s">
        <v>115</v>
      </c>
      <c r="I4219" s="94" t="s">
        <v>52</v>
      </c>
      <c r="J4219" s="88" t="s">
        <v>3299</v>
      </c>
      <c r="K4219" s="103" t="s">
        <v>3300</v>
      </c>
      <c r="L4219" s="117">
        <f>IF(O4219="","",N4219*O4219*M4219)</f>
        <v>0</v>
      </c>
      <c r="M4219" s="108">
        <v>1</v>
      </c>
      <c r="N4219" s="95">
        <v>1</v>
      </c>
      <c r="O4219" s="109">
        <f>IF(Key!D$1="ON",P4219,IF(SUM(Q4219:DL4219)&lt;1,"",SUM(Q4219:DL4219)/COUNTIF(Q4219:DL4219,"&gt;0")))</f>
        <v>0</v>
      </c>
      <c r="P4219" s="109">
        <f>SUMIFS(Q4219:DK4219,Q$1:DK$1,Dashboard!$K$31)</f>
        <v>0</v>
      </c>
      <c r="U4219" s="95">
        <v>33</v>
      </c>
      <c r="AA4219" s="95">
        <v>25</v>
      </c>
      <c r="AH4219" s="95">
        <v>75</v>
      </c>
    </row>
    <row r="4220" spans="1:34" x14ac:dyDescent="0.3">
      <c r="A4220" s="89" t="str">
        <f>CONCATENATE(D4220,".",F4220,"-",G4220,".",H4220,"")</f>
        <v>4.5-1.1</v>
      </c>
      <c r="B4220" s="89" t="str">
        <f>IF(CONCATENATE(I4220,Key!F$2)=CONCATENATE(INDEX(Dashboard!J:J,MATCH(I4220,Dashboard!J:J,0),1),INDEX(Dashboard!J:K,MATCH(I4220,Dashboard!J:J,0),2)),"ON",IF(Dashboard!K$32="ALL","ON","-"))</f>
        <v>-</v>
      </c>
      <c r="C4220" s="96" t="s">
        <v>329</v>
      </c>
      <c r="D4220" s="89">
        <f>IF(C4220="ID",1,(IF(C4220="PR",2,(IF(C4220="DE",3,(IF(C4220="RS",4,(IF(C4220="RC",5,0)))))))))</f>
        <v>4</v>
      </c>
      <c r="E4220" s="89" t="s">
        <v>623</v>
      </c>
      <c r="F4220" s="89">
        <f>IF(E4220="AM",1,(IF(E4220="BE",2,(IF(E4220="GV",3,(IF(E4220="RA",4,(IF(E4220="RM",5,(IF(E4220="AC",1,(IF(E4220="AT",2,(IF(E4220="DS",3,(IF(E4220="IP",4,(IF(E4220="MA",5,(IF(E4220="PT",6,(IF(E4220="AE",1,(IF(E4220="CM",2,(IF(E4220="DP",3,(IF(E4220="AN",1,(IF(E4220="CO",2,(IF(E4220="IM",3,(IF(E4220="MI",4,(IF(E4220="RP",5,(IF(E4220="SC",6,0)))))))))))))))))))))))))))))))))))))))</f>
        <v>5</v>
      </c>
      <c r="G4220" s="98">
        <v>1</v>
      </c>
      <c r="H4220" s="90" t="s">
        <v>115</v>
      </c>
      <c r="I4220" s="94" t="s">
        <v>52</v>
      </c>
      <c r="J4220" s="88" t="s">
        <v>3290</v>
      </c>
      <c r="K4220" s="103" t="s">
        <v>3291</v>
      </c>
      <c r="L4220" s="117">
        <f>IF(O4220="","",N4220*O4220*M4220)</f>
        <v>0</v>
      </c>
      <c r="M4220" s="108">
        <v>1</v>
      </c>
      <c r="N4220" s="95">
        <v>1</v>
      </c>
      <c r="O4220" s="109">
        <f>IF(Key!D$1="ON",P4220,IF(SUM(Q4220:DL4220)&lt;1,"",SUM(Q4220:DL4220)/COUNTIF(Q4220:DL4220,"&gt;0")))</f>
        <v>0</v>
      </c>
      <c r="P4220" s="109">
        <f>SUMIFS(Q4220:DK4220,Q$1:DK$1,Dashboard!$K$31)</f>
        <v>0</v>
      </c>
      <c r="U4220" s="95">
        <v>33</v>
      </c>
      <c r="AA4220" s="95">
        <v>25</v>
      </c>
      <c r="AH4220" s="95">
        <v>75</v>
      </c>
    </row>
    <row r="4221" spans="1:34" x14ac:dyDescent="0.3">
      <c r="A4221" s="89" t="str">
        <f>CONCATENATE(D4221,".",F4221,"-",G4221,".",H4221,"")</f>
        <v>4.5-1.1</v>
      </c>
      <c r="B4221" s="89" t="str">
        <f>IF(CONCATENATE(I4221,Key!F$2)=CONCATENATE(INDEX(Dashboard!J:J,MATCH(I4221,Dashboard!J:J,0),1),INDEX(Dashboard!J:K,MATCH(I4221,Dashboard!J:J,0),2)),"ON",IF(Dashboard!K$32="ALL","ON","-"))</f>
        <v>-</v>
      </c>
      <c r="C4221" s="96" t="s">
        <v>329</v>
      </c>
      <c r="D4221" s="89">
        <f>IF(C4221="ID",1,(IF(C4221="PR",2,(IF(C4221="DE",3,(IF(C4221="RS",4,(IF(C4221="RC",5,0)))))))))</f>
        <v>4</v>
      </c>
      <c r="E4221" s="89" t="s">
        <v>623</v>
      </c>
      <c r="F4221" s="89">
        <f>IF(E4221="AM",1,(IF(E4221="BE",2,(IF(E4221="GV",3,(IF(E4221="RA",4,(IF(E4221="RM",5,(IF(E4221="AC",1,(IF(E4221="AT",2,(IF(E4221="DS",3,(IF(E4221="IP",4,(IF(E4221="MA",5,(IF(E4221="PT",6,(IF(E4221="AE",1,(IF(E4221="CM",2,(IF(E4221="DP",3,(IF(E4221="AN",1,(IF(E4221="CO",2,(IF(E4221="IM",3,(IF(E4221="MI",4,(IF(E4221="RP",5,(IF(E4221="SC",6,0)))))))))))))))))))))))))))))))))))))))</f>
        <v>5</v>
      </c>
      <c r="G4221" s="98">
        <v>1</v>
      </c>
      <c r="H4221" s="90" t="s">
        <v>115</v>
      </c>
      <c r="I4221" s="94" t="s">
        <v>52</v>
      </c>
      <c r="J4221" s="88" t="s">
        <v>3307</v>
      </c>
      <c r="K4221" s="103" t="s">
        <v>3308</v>
      </c>
      <c r="L4221" s="117">
        <f>IF(O4221="","",N4221*O4221*M4221)</f>
        <v>0</v>
      </c>
      <c r="M4221" s="108">
        <v>1</v>
      </c>
      <c r="N4221" s="95">
        <v>1</v>
      </c>
      <c r="O4221" s="109">
        <f>IF(Key!D$1="ON",P4221,IF(SUM(Q4221:DL4221)&lt;1,"",SUM(Q4221:DL4221)/COUNTIF(Q4221:DL4221,"&gt;0")))</f>
        <v>0</v>
      </c>
      <c r="P4221" s="109">
        <f>SUMIFS(Q4221:DK4221,Q$1:DK$1,Dashboard!$K$31)</f>
        <v>0</v>
      </c>
      <c r="U4221" s="95">
        <v>33</v>
      </c>
      <c r="AA4221" s="95">
        <v>25</v>
      </c>
      <c r="AH4221" s="95">
        <v>75</v>
      </c>
    </row>
    <row r="4222" spans="1:34" x14ac:dyDescent="0.3">
      <c r="A4222" s="89" t="str">
        <f>CONCATENATE(D4222,".",F4222,"-",G4222,".",H4222,"")</f>
        <v>4.5-1.1</v>
      </c>
      <c r="B4222" s="89" t="str">
        <f>IF(CONCATENATE(I4222,Key!F$2)=CONCATENATE(INDEX(Dashboard!J:J,MATCH(I4222,Dashboard!J:J,0),1),INDEX(Dashboard!J:K,MATCH(I4222,Dashboard!J:J,0),2)),"ON",IF(Dashboard!K$32="ALL","ON","-"))</f>
        <v>-</v>
      </c>
      <c r="C4222" s="96" t="s">
        <v>329</v>
      </c>
      <c r="D4222" s="89">
        <f>IF(C4222="ID",1,(IF(C4222="PR",2,(IF(C4222="DE",3,(IF(C4222="RS",4,(IF(C4222="RC",5,0)))))))))</f>
        <v>4</v>
      </c>
      <c r="E4222" s="89" t="s">
        <v>623</v>
      </c>
      <c r="F4222" s="89">
        <f>IF(E4222="AM",1,(IF(E4222="BE",2,(IF(E4222="GV",3,(IF(E4222="RA",4,(IF(E4222="RM",5,(IF(E4222="AC",1,(IF(E4222="AT",2,(IF(E4222="DS",3,(IF(E4222="IP",4,(IF(E4222="MA",5,(IF(E4222="PT",6,(IF(E4222="AE",1,(IF(E4222="CM",2,(IF(E4222="DP",3,(IF(E4222="AN",1,(IF(E4222="CO",2,(IF(E4222="IM",3,(IF(E4222="MI",4,(IF(E4222="RP",5,(IF(E4222="SC",6,0)))))))))))))))))))))))))))))))))))))))</f>
        <v>5</v>
      </c>
      <c r="G4222" s="98">
        <v>1</v>
      </c>
      <c r="H4222" s="90" t="s">
        <v>115</v>
      </c>
      <c r="I4222" s="94" t="s">
        <v>52</v>
      </c>
      <c r="J4222" s="88" t="s">
        <v>3303</v>
      </c>
      <c r="K4222" s="103" t="s">
        <v>3304</v>
      </c>
      <c r="L4222" s="117">
        <f>IF(O4222="","",N4222*O4222*M4222)</f>
        <v>0</v>
      </c>
      <c r="M4222" s="108">
        <v>1</v>
      </c>
      <c r="N4222" s="95">
        <v>1</v>
      </c>
      <c r="O4222" s="109">
        <f>IF(Key!D$1="ON",P4222,IF(SUM(Q4222:DL4222)&lt;1,"",SUM(Q4222:DL4222)/COUNTIF(Q4222:DL4222,"&gt;0")))</f>
        <v>0</v>
      </c>
      <c r="P4222" s="109">
        <f>SUMIFS(Q4222:DK4222,Q$1:DK$1,Dashboard!$K$31)</f>
        <v>0</v>
      </c>
      <c r="U4222" s="95">
        <v>33</v>
      </c>
      <c r="AA4222" s="95">
        <v>25</v>
      </c>
      <c r="AH4222" s="95">
        <v>75</v>
      </c>
    </row>
    <row r="4223" spans="1:34" x14ac:dyDescent="0.3">
      <c r="A4223" s="89" t="str">
        <f>CONCATENATE(D4223,".",F4223,"-",G4223,".",H4223,"")</f>
        <v>4.5-1.1</v>
      </c>
      <c r="B4223" s="89" t="str">
        <f>IF(CONCATENATE(I4223,Key!F$2)=CONCATENATE(INDEX(Dashboard!J:J,MATCH(I4223,Dashboard!J:J,0),1),INDEX(Dashboard!J:K,MATCH(I4223,Dashboard!J:J,0),2)),"ON",IF(Dashboard!K$32="ALL","ON","-"))</f>
        <v>-</v>
      </c>
      <c r="C4223" s="88" t="s">
        <v>329</v>
      </c>
      <c r="D4223" s="89">
        <f>IF(C4223="ID",1,(IF(C4223="PR",2,(IF(C4223="DE",3,(IF(C4223="RS",4,(IF(C4223="RC",5,0)))))))))</f>
        <v>4</v>
      </c>
      <c r="E4223" s="89" t="s">
        <v>623</v>
      </c>
      <c r="F4223" s="89">
        <f>IF(E4223="AM",1,(IF(E4223="BE",2,(IF(E4223="GV",3,(IF(E4223="RA",4,(IF(E4223="RM",5,(IF(E4223="AC",1,(IF(E4223="AT",2,(IF(E4223="DS",3,(IF(E4223="IP",4,(IF(E4223="MA",5,(IF(E4223="PT",6,(IF(E4223="AE",1,(IF(E4223="CM",2,(IF(E4223="DP",3,(IF(E4223="AN",1,(IF(E4223="CO",2,(IF(E4223="IM",3,(IF(E4223="MI",4,(IF(E4223="RP",5,(IF(E4223="SC",6,0)))))))))))))))))))))))))))))))))))))))</f>
        <v>5</v>
      </c>
      <c r="G4223" s="52">
        <v>1</v>
      </c>
      <c r="H4223" s="89">
        <v>1</v>
      </c>
      <c r="I4223" s="94" t="s">
        <v>60</v>
      </c>
      <c r="J4223" s="88" t="s">
        <v>3269</v>
      </c>
      <c r="K4223" s="51" t="s">
        <v>5382</v>
      </c>
      <c r="L4223" s="117">
        <f>IF(O4223="","",N4223*O4223*M4223)</f>
        <v>0</v>
      </c>
      <c r="M4223" s="108">
        <v>1</v>
      </c>
      <c r="N4223" s="95">
        <v>1</v>
      </c>
      <c r="O4223" s="109">
        <f>IF(Key!D$1="ON",P4223,IF(SUM(Q4223:DL4223)&lt;1,"",SUM(Q4223:DL4223)/COUNTIF(Q4223:DL4223,"&gt;0")))</f>
        <v>0</v>
      </c>
      <c r="P4223" s="109">
        <f>SUMIFS(Q4223:DK4223,Q$1:DK$1,Dashboard!$K$31)</f>
        <v>0</v>
      </c>
      <c r="U4223" s="95">
        <v>33</v>
      </c>
      <c r="AA4223" s="95">
        <v>25</v>
      </c>
      <c r="AH4223" s="95">
        <v>75</v>
      </c>
    </row>
    <row r="4224" spans="1:34" x14ac:dyDescent="0.3">
      <c r="A4224" s="89" t="str">
        <f>CONCATENATE(D4224,".",F4224,"-",G4224,".",H4224,"")</f>
        <v>4.5-1.1</v>
      </c>
      <c r="B4224" s="89" t="str">
        <f>IF(CONCATENATE(I4224,Key!F$2)=CONCATENATE(INDEX(Dashboard!J:J,MATCH(I4224,Dashboard!J:J,0),1),INDEX(Dashboard!J:K,MATCH(I4224,Dashboard!J:J,0),2)),"ON",IF(Dashboard!K$32="ALL","ON","-"))</f>
        <v>-</v>
      </c>
      <c r="C4224" s="88" t="s">
        <v>329</v>
      </c>
      <c r="D4224" s="89">
        <f>IF(C4224="ID",1,(IF(C4224="PR",2,(IF(C4224="DE",3,(IF(C4224="RS",4,(IF(C4224="RC",5,0)))))))))</f>
        <v>4</v>
      </c>
      <c r="E4224" s="89" t="s">
        <v>623</v>
      </c>
      <c r="F4224" s="89">
        <f>IF(E4224="AM",1,(IF(E4224="BE",2,(IF(E4224="GV",3,(IF(E4224="RA",4,(IF(E4224="RM",5,(IF(E4224="AC",1,(IF(E4224="AT",2,(IF(E4224="DS",3,(IF(E4224="IP",4,(IF(E4224="MA",5,(IF(E4224="PT",6,(IF(E4224="AE",1,(IF(E4224="CM",2,(IF(E4224="DP",3,(IF(E4224="AN",1,(IF(E4224="CO",2,(IF(E4224="IM",3,(IF(E4224="MI",4,(IF(E4224="RP",5,(IF(E4224="SC",6,0)))))))))))))))))))))))))))))))))))))))</f>
        <v>5</v>
      </c>
      <c r="G4224" s="52">
        <v>1</v>
      </c>
      <c r="H4224" s="90" t="s">
        <v>115</v>
      </c>
      <c r="I4224" s="94" t="s">
        <v>60</v>
      </c>
      <c r="J4224" s="87" t="s">
        <v>3276</v>
      </c>
      <c r="K4224" s="51" t="s">
        <v>5389</v>
      </c>
      <c r="L4224" s="117">
        <f>IF(O4224="","",N4224*O4224*M4224)</f>
        <v>0</v>
      </c>
      <c r="M4224" s="108">
        <v>1</v>
      </c>
      <c r="N4224" s="95">
        <v>1</v>
      </c>
      <c r="O4224" s="109">
        <f>IF(Key!D$1="ON",P4224,IF(SUM(Q4224:DL4224)&lt;1,"",SUM(Q4224:DL4224)/COUNTIF(Q4224:DL4224,"&gt;0")))</f>
        <v>0</v>
      </c>
      <c r="P4224" s="109">
        <f>SUMIFS(Q4224:DK4224,Q$1:DK$1,Dashboard!$K$31)</f>
        <v>0</v>
      </c>
      <c r="U4224" s="95">
        <v>33</v>
      </c>
      <c r="AA4224" s="95">
        <v>25</v>
      </c>
      <c r="AH4224" s="95">
        <v>75</v>
      </c>
    </row>
    <row r="4225" spans="1:34" x14ac:dyDescent="0.3">
      <c r="A4225" s="89" t="str">
        <f>CONCATENATE(D4225,".",F4225,"-",G4225,".",H4225,"")</f>
        <v>4.5-1.1</v>
      </c>
      <c r="B4225" s="89" t="str">
        <f>IF(CONCATENATE(I4225,Key!F$2)=CONCATENATE(INDEX(Dashboard!J:J,MATCH(I4225,Dashboard!J:J,0),1),INDEX(Dashboard!J:K,MATCH(I4225,Dashboard!J:J,0),2)),"ON",IF(Dashboard!K$32="ALL","ON","-"))</f>
        <v>-</v>
      </c>
      <c r="C4225" s="88" t="s">
        <v>329</v>
      </c>
      <c r="D4225" s="89">
        <f>IF(C4225="ID",1,(IF(C4225="PR",2,(IF(C4225="DE",3,(IF(C4225="RS",4,(IF(C4225="RC",5,0)))))))))</f>
        <v>4</v>
      </c>
      <c r="E4225" s="89" t="s">
        <v>623</v>
      </c>
      <c r="F4225" s="89">
        <f>IF(E4225="AM",1,(IF(E4225="BE",2,(IF(E4225="GV",3,(IF(E4225="RA",4,(IF(E4225="RM",5,(IF(E4225="AC",1,(IF(E4225="AT",2,(IF(E4225="DS",3,(IF(E4225="IP",4,(IF(E4225="MA",5,(IF(E4225="PT",6,(IF(E4225="AE",1,(IF(E4225="CM",2,(IF(E4225="DP",3,(IF(E4225="AN",1,(IF(E4225="CO",2,(IF(E4225="IM",3,(IF(E4225="MI",4,(IF(E4225="RP",5,(IF(E4225="SC",6,0)))))))))))))))))))))))))))))))))))))))</f>
        <v>5</v>
      </c>
      <c r="G4225" s="98">
        <v>1</v>
      </c>
      <c r="H4225" s="90" t="s">
        <v>115</v>
      </c>
      <c r="I4225" s="94" t="s">
        <v>60</v>
      </c>
      <c r="J4225" s="87" t="s">
        <v>3280</v>
      </c>
      <c r="K4225" s="51" t="s">
        <v>5393</v>
      </c>
      <c r="L4225" s="117">
        <f>IF(O4225="","",N4225*O4225*M4225)</f>
        <v>0</v>
      </c>
      <c r="M4225" s="108">
        <v>1</v>
      </c>
      <c r="N4225" s="95">
        <v>1</v>
      </c>
      <c r="O4225" s="109">
        <f>IF(Key!D$1="ON",P4225,IF(SUM(Q4225:DL4225)&lt;1,"",SUM(Q4225:DL4225)/COUNTIF(Q4225:DL4225,"&gt;0")))</f>
        <v>0</v>
      </c>
      <c r="P4225" s="109">
        <f>SUMIFS(Q4225:DK4225,Q$1:DK$1,Dashboard!$K$31)</f>
        <v>0</v>
      </c>
      <c r="U4225" s="95">
        <v>33</v>
      </c>
      <c r="AA4225" s="95">
        <v>25</v>
      </c>
      <c r="AH4225" s="95">
        <v>75</v>
      </c>
    </row>
    <row r="4226" spans="1:34" x14ac:dyDescent="0.3">
      <c r="A4226" s="89" t="str">
        <f>CONCATENATE(D4226,".",F4226,"-",G4226,".",H4226,"")</f>
        <v>4.5-1.1</v>
      </c>
      <c r="B4226" s="89" t="str">
        <f>IF(CONCATENATE(I4226,Key!F$2)=CONCATENATE(INDEX(Dashboard!J:J,MATCH(I4226,Dashboard!J:J,0),1),INDEX(Dashboard!J:K,MATCH(I4226,Dashboard!J:J,0),2)),"ON",IF(Dashboard!K$32="ALL","ON","-"))</f>
        <v>-</v>
      </c>
      <c r="C4226" s="88" t="s">
        <v>329</v>
      </c>
      <c r="D4226" s="89">
        <f>IF(C4226="ID",1,(IF(C4226="PR",2,(IF(C4226="DE",3,(IF(C4226="RS",4,(IF(C4226="RC",5,0)))))))))</f>
        <v>4</v>
      </c>
      <c r="E4226" s="89" t="s">
        <v>623</v>
      </c>
      <c r="F4226" s="89">
        <f>IF(E4226="AM",1,(IF(E4226="BE",2,(IF(E4226="GV",3,(IF(E4226="RA",4,(IF(E4226="RM",5,(IF(E4226="AC",1,(IF(E4226="AT",2,(IF(E4226="DS",3,(IF(E4226="IP",4,(IF(E4226="MA",5,(IF(E4226="PT",6,(IF(E4226="AE",1,(IF(E4226="CM",2,(IF(E4226="DP",3,(IF(E4226="AN",1,(IF(E4226="CO",2,(IF(E4226="IM",3,(IF(E4226="MI",4,(IF(E4226="RP",5,(IF(E4226="SC",6,0)))))))))))))))))))))))))))))))))))))))</f>
        <v>5</v>
      </c>
      <c r="G4226" s="98">
        <v>1</v>
      </c>
      <c r="H4226" s="90" t="s">
        <v>115</v>
      </c>
      <c r="I4226" s="94" t="s">
        <v>60</v>
      </c>
      <c r="J4226" s="87" t="s">
        <v>3253</v>
      </c>
      <c r="K4226" s="51" t="s">
        <v>5366</v>
      </c>
      <c r="L4226" s="117">
        <f>IF(O4226="","",N4226*O4226*M4226)</f>
        <v>0</v>
      </c>
      <c r="M4226" s="108">
        <v>1</v>
      </c>
      <c r="N4226" s="95">
        <v>1</v>
      </c>
      <c r="O4226" s="109">
        <f>IF(Key!D$1="ON",P4226,IF(SUM(Q4226:DL4226)&lt;1,"",SUM(Q4226:DL4226)/COUNTIF(Q4226:DL4226,"&gt;0")))</f>
        <v>0</v>
      </c>
      <c r="P4226" s="109">
        <f>SUMIFS(Q4226:DK4226,Q$1:DK$1,Dashboard!$K$31)</f>
        <v>0</v>
      </c>
      <c r="U4226" s="95">
        <v>33</v>
      </c>
      <c r="AA4226" s="95">
        <v>25</v>
      </c>
      <c r="AH4226" s="95">
        <v>75</v>
      </c>
    </row>
    <row r="4227" spans="1:34" x14ac:dyDescent="0.3">
      <c r="A4227" s="89" t="str">
        <f>CONCATENATE(D4227,".",F4227,"-",G4227,".",H4227,"")</f>
        <v>4.5-1.1</v>
      </c>
      <c r="B4227" s="89" t="str">
        <f>IF(CONCATENATE(I4227,Key!F$2)=CONCATENATE(INDEX(Dashboard!J:J,MATCH(I4227,Dashboard!J:J,0),1),INDEX(Dashboard!J:K,MATCH(I4227,Dashboard!J:J,0),2)),"ON",IF(Dashboard!K$32="ALL","ON","-"))</f>
        <v>-</v>
      </c>
      <c r="C4227" s="88" t="s">
        <v>329</v>
      </c>
      <c r="D4227" s="89">
        <f>IF(C4227="ID",1,(IF(C4227="PR",2,(IF(C4227="DE",3,(IF(C4227="RS",4,(IF(C4227="RC",5,0)))))))))</f>
        <v>4</v>
      </c>
      <c r="E4227" s="89" t="s">
        <v>623</v>
      </c>
      <c r="F4227" s="89">
        <f>IF(E4227="AM",1,(IF(E4227="BE",2,(IF(E4227="GV",3,(IF(E4227="RA",4,(IF(E4227="RM",5,(IF(E4227="AC",1,(IF(E4227="AT",2,(IF(E4227="DS",3,(IF(E4227="IP",4,(IF(E4227="MA",5,(IF(E4227="PT",6,(IF(E4227="AE",1,(IF(E4227="CM",2,(IF(E4227="DP",3,(IF(E4227="AN",1,(IF(E4227="CO",2,(IF(E4227="IM",3,(IF(E4227="MI",4,(IF(E4227="RP",5,(IF(E4227="SC",6,0)))))))))))))))))))))))))))))))))))))))</f>
        <v>5</v>
      </c>
      <c r="G4227" s="52">
        <v>1</v>
      </c>
      <c r="H4227" s="90" t="s">
        <v>115</v>
      </c>
      <c r="I4227" s="94" t="s">
        <v>73</v>
      </c>
      <c r="J4227" s="86" t="s">
        <v>296</v>
      </c>
      <c r="K4227" s="101" t="s">
        <v>5201</v>
      </c>
      <c r="L4227" s="117">
        <f>IF(O4227="","",N4227*O4227*M4227)</f>
        <v>0</v>
      </c>
      <c r="M4227" s="108">
        <v>1</v>
      </c>
      <c r="N4227" s="95">
        <v>1</v>
      </c>
      <c r="O4227" s="109">
        <f>IF(Key!D$1="ON",P4227,IF(SUM(Q4227:DL4227)&lt;1,"",SUM(Q4227:DL4227)/COUNTIF(Q4227:DL4227,"&gt;0")))</f>
        <v>0</v>
      </c>
      <c r="P4227" s="109">
        <f>SUMIFS(Q4227:DK4227,Q$1:DK$1,Dashboard!$K$31)</f>
        <v>0</v>
      </c>
      <c r="U4227" s="95">
        <v>33</v>
      </c>
      <c r="AA4227" s="95">
        <v>25</v>
      </c>
      <c r="AH4227" s="95">
        <v>75</v>
      </c>
    </row>
    <row r="4228" spans="1:34" x14ac:dyDescent="0.3">
      <c r="A4228" s="89" t="str">
        <f>CONCATENATE(D4228,".",F4228,"-",G4228,".",H4228,"")</f>
        <v>4.5-1.1</v>
      </c>
      <c r="B4228" s="89" t="str">
        <f>IF(CONCATENATE(I4228,Key!F$2)=CONCATENATE(INDEX(Dashboard!J:J,MATCH(I4228,Dashboard!J:J,0),1),INDEX(Dashboard!J:K,MATCH(I4228,Dashboard!J:J,0),2)),"ON",IF(Dashboard!K$32="ALL","ON","-"))</f>
        <v>-</v>
      </c>
      <c r="C4228" s="96" t="s">
        <v>329</v>
      </c>
      <c r="D4228" s="89">
        <f>IF(C4228="ID",1,(IF(C4228="PR",2,(IF(C4228="DE",3,(IF(C4228="RS",4,(IF(C4228="RC",5,0)))))))))</f>
        <v>4</v>
      </c>
      <c r="E4228" s="89" t="s">
        <v>623</v>
      </c>
      <c r="F4228" s="89">
        <f>IF(E4228="AM",1,(IF(E4228="BE",2,(IF(E4228="GV",3,(IF(E4228="RA",4,(IF(E4228="RM",5,(IF(E4228="AC",1,(IF(E4228="AT",2,(IF(E4228="DS",3,(IF(E4228="IP",4,(IF(E4228="MA",5,(IF(E4228="PT",6,(IF(E4228="AE",1,(IF(E4228="CM",2,(IF(E4228="DP",3,(IF(E4228="AN",1,(IF(E4228="CO",2,(IF(E4228="IM",3,(IF(E4228="MI",4,(IF(E4228="RP",5,(IF(E4228="SC",6,0)))))))))))))))))))))))))))))))))))))))</f>
        <v>5</v>
      </c>
      <c r="G4228" s="98">
        <v>1</v>
      </c>
      <c r="H4228" s="90" t="s">
        <v>115</v>
      </c>
      <c r="I4228" s="94" t="s">
        <v>77</v>
      </c>
      <c r="J4228" s="87" t="s">
        <v>1906</v>
      </c>
      <c r="K4228" s="102" t="s">
        <v>2803</v>
      </c>
      <c r="L4228" s="117">
        <f>IF(O4228="","",N4228*O4228*M4228)</f>
        <v>0</v>
      </c>
      <c r="M4228" s="108">
        <v>1</v>
      </c>
      <c r="N4228" s="95">
        <v>1</v>
      </c>
      <c r="O4228" s="109">
        <f>IF(Key!D$1="ON",P4228,IF(SUM(Q4228:DL4228)&lt;1,"",SUM(Q4228:DL4228)/COUNTIF(Q4228:DL4228,"&gt;0")))</f>
        <v>0</v>
      </c>
      <c r="P4228" s="109">
        <f>SUMIFS(Q4228:DK4228,Q$1:DK$1,Dashboard!$K$31)</f>
        <v>0</v>
      </c>
      <c r="U4228" s="95">
        <v>33</v>
      </c>
      <c r="AA4228" s="95">
        <v>25</v>
      </c>
      <c r="AH4228" s="95">
        <v>75</v>
      </c>
    </row>
    <row r="4229" spans="1:34" x14ac:dyDescent="0.3">
      <c r="A4229" s="89" t="str">
        <f>CONCATENATE(D4229,".",F4229,"-",G4229,".",H4229,"")</f>
        <v>4.5-1.1</v>
      </c>
      <c r="B4229" s="89" t="str">
        <f>IF(CONCATENATE(I4229,Key!F$2)=CONCATENATE(INDEX(Dashboard!J:J,MATCH(I4229,Dashboard!J:J,0),1),INDEX(Dashboard!J:K,MATCH(I4229,Dashboard!J:J,0),2)),"ON",IF(Dashboard!K$32="ALL","ON","-"))</f>
        <v>-</v>
      </c>
      <c r="C4229" s="88" t="s">
        <v>329</v>
      </c>
      <c r="D4229" s="89">
        <f>IF(C4229="ID",1,(IF(C4229="PR",2,(IF(C4229="DE",3,(IF(C4229="RS",4,(IF(C4229="RC",5,0)))))))))</f>
        <v>4</v>
      </c>
      <c r="E4229" s="89" t="s">
        <v>623</v>
      </c>
      <c r="F4229" s="89">
        <f>IF(E4229="AM",1,(IF(E4229="BE",2,(IF(E4229="GV",3,(IF(E4229="RA",4,(IF(E4229="RM",5,(IF(E4229="AC",1,(IF(E4229="AT",2,(IF(E4229="DS",3,(IF(E4229="IP",4,(IF(E4229="MA",5,(IF(E4229="PT",6,(IF(E4229="AE",1,(IF(E4229="CM",2,(IF(E4229="DP",3,(IF(E4229="AN",1,(IF(E4229="CO",2,(IF(E4229="IM",3,(IF(E4229="MI",4,(IF(E4229="RP",5,(IF(E4229="SC",6,0)))))))))))))))))))))))))))))))))))))))</f>
        <v>5</v>
      </c>
      <c r="G4229" s="52">
        <v>1</v>
      </c>
      <c r="H4229" s="90" t="s">
        <v>115</v>
      </c>
      <c r="I4229" s="94" t="s">
        <v>77</v>
      </c>
      <c r="J4229" s="87" t="s">
        <v>1908</v>
      </c>
      <c r="K4229" s="102" t="s">
        <v>2804</v>
      </c>
      <c r="L4229" s="117">
        <f>IF(O4229="","",N4229*O4229*M4229)</f>
        <v>0</v>
      </c>
      <c r="M4229" s="108">
        <v>1</v>
      </c>
      <c r="N4229" s="95">
        <v>1</v>
      </c>
      <c r="O4229" s="109">
        <f>IF(Key!D$1="ON",P4229,IF(SUM(Q4229:DL4229)&lt;1,"",SUM(Q4229:DL4229)/COUNTIF(Q4229:DL4229,"&gt;0")))</f>
        <v>0</v>
      </c>
      <c r="P4229" s="109">
        <f>SUMIFS(Q4229:DK4229,Q$1:DK$1,Dashboard!$K$31)</f>
        <v>0</v>
      </c>
      <c r="U4229" s="95">
        <v>33</v>
      </c>
      <c r="AA4229" s="95">
        <v>25</v>
      </c>
      <c r="AH4229" s="95">
        <v>75</v>
      </c>
    </row>
    <row r="4230" spans="1:34" x14ac:dyDescent="0.3">
      <c r="A4230" s="89" t="str">
        <f>CONCATENATE(D4230,".",F4230,"-",G4230,".",H4230,"")</f>
        <v>4.5-1.1</v>
      </c>
      <c r="B4230" s="89" t="str">
        <f>IF(CONCATENATE(I4230,Key!F$2)=CONCATENATE(INDEX(Dashboard!J:J,MATCH(I4230,Dashboard!J:J,0),1),INDEX(Dashboard!J:K,MATCH(I4230,Dashboard!J:J,0),2)),"ON",IF(Dashboard!K$32="ALL","ON","-"))</f>
        <v>-</v>
      </c>
      <c r="C4230" s="88" t="s">
        <v>329</v>
      </c>
      <c r="D4230" s="89">
        <f>IF(C4230="ID",1,(IF(C4230="PR",2,(IF(C4230="DE",3,(IF(C4230="RS",4,(IF(C4230="RC",5,0)))))))))</f>
        <v>4</v>
      </c>
      <c r="E4230" s="89" t="s">
        <v>623</v>
      </c>
      <c r="F4230" s="89">
        <f>IF(E4230="AM",1,(IF(E4230="BE",2,(IF(E4230="GV",3,(IF(E4230="RA",4,(IF(E4230="RM",5,(IF(E4230="AC",1,(IF(E4230="AT",2,(IF(E4230="DS",3,(IF(E4230="IP",4,(IF(E4230="MA",5,(IF(E4230="PT",6,(IF(E4230="AE",1,(IF(E4230="CM",2,(IF(E4230="DP",3,(IF(E4230="AN",1,(IF(E4230="CO",2,(IF(E4230="IM",3,(IF(E4230="MI",4,(IF(E4230="RP",5,(IF(E4230="SC",6,0)))))))))))))))))))))))))))))))))))))))</f>
        <v>5</v>
      </c>
      <c r="G4230" s="52">
        <v>1</v>
      </c>
      <c r="H4230" s="90" t="s">
        <v>115</v>
      </c>
      <c r="I4230" s="94" t="s">
        <v>77</v>
      </c>
      <c r="J4230" s="87" t="s">
        <v>1909</v>
      </c>
      <c r="K4230" s="102" t="s">
        <v>2805</v>
      </c>
      <c r="L4230" s="117">
        <f>IF(O4230="","",N4230*O4230*M4230)</f>
        <v>0</v>
      </c>
      <c r="M4230" s="108">
        <v>1</v>
      </c>
      <c r="N4230" s="95">
        <v>1</v>
      </c>
      <c r="O4230" s="109">
        <f>IF(Key!D$1="ON",P4230,IF(SUM(Q4230:DL4230)&lt;1,"",SUM(Q4230:DL4230)/COUNTIF(Q4230:DL4230,"&gt;0")))</f>
        <v>0</v>
      </c>
      <c r="P4230" s="109">
        <f>SUMIFS(Q4230:DK4230,Q$1:DK$1,Dashboard!$K$31)</f>
        <v>0</v>
      </c>
      <c r="U4230" s="95">
        <v>33</v>
      </c>
      <c r="AA4230" s="95">
        <v>25</v>
      </c>
      <c r="AH4230" s="95">
        <v>75</v>
      </c>
    </row>
    <row r="4231" spans="1:34" x14ac:dyDescent="0.3">
      <c r="A4231" s="89" t="str">
        <f>CONCATENATE(D4231,".",F4231,"-",G4231,".",H4231,"")</f>
        <v>4.5-1.1</v>
      </c>
      <c r="B4231" s="89" t="str">
        <f>IF(CONCATENATE(I4231,Key!F$2)=CONCATENATE(INDEX(Dashboard!J:J,MATCH(I4231,Dashboard!J:J,0),1),INDEX(Dashboard!J:K,MATCH(I4231,Dashboard!J:J,0),2)),"ON",IF(Dashboard!K$32="ALL","ON","-"))</f>
        <v>-</v>
      </c>
      <c r="C4231" s="88" t="s">
        <v>329</v>
      </c>
      <c r="D4231" s="89">
        <f>IF(C4231="ID",1,(IF(C4231="PR",2,(IF(C4231="DE",3,(IF(C4231="RS",4,(IF(C4231="RC",5,0)))))))))</f>
        <v>4</v>
      </c>
      <c r="E4231" s="89" t="s">
        <v>623</v>
      </c>
      <c r="F4231" s="89">
        <f>IF(E4231="AM",1,(IF(E4231="BE",2,(IF(E4231="GV",3,(IF(E4231="RA",4,(IF(E4231="RM",5,(IF(E4231="AC",1,(IF(E4231="AT",2,(IF(E4231="DS",3,(IF(E4231="IP",4,(IF(E4231="MA",5,(IF(E4231="PT",6,(IF(E4231="AE",1,(IF(E4231="CM",2,(IF(E4231="DP",3,(IF(E4231="AN",1,(IF(E4231="CO",2,(IF(E4231="IM",3,(IF(E4231="MI",4,(IF(E4231="RP",5,(IF(E4231="SC",6,0)))))))))))))))))))))))))))))))))))))))</f>
        <v>5</v>
      </c>
      <c r="G4231" s="52">
        <v>1</v>
      </c>
      <c r="H4231" s="90" t="s">
        <v>115</v>
      </c>
      <c r="I4231" s="94" t="s">
        <v>77</v>
      </c>
      <c r="J4231" s="87" t="s">
        <v>1910</v>
      </c>
      <c r="K4231" s="102" t="s">
        <v>2806</v>
      </c>
      <c r="L4231" s="117">
        <f>IF(O4231="","",N4231*O4231*M4231)</f>
        <v>0</v>
      </c>
      <c r="M4231" s="108">
        <v>1</v>
      </c>
      <c r="N4231" s="95">
        <v>1</v>
      </c>
      <c r="O4231" s="109">
        <f>IF(Key!D$1="ON",P4231,IF(SUM(Q4231:DL4231)&lt;1,"",SUM(Q4231:DL4231)/COUNTIF(Q4231:DL4231,"&gt;0")))</f>
        <v>0</v>
      </c>
      <c r="P4231" s="109">
        <f>SUMIFS(Q4231:DK4231,Q$1:DK$1,Dashboard!$K$31)</f>
        <v>0</v>
      </c>
      <c r="U4231" s="95">
        <v>33</v>
      </c>
      <c r="AA4231" s="95">
        <v>25</v>
      </c>
      <c r="AH4231" s="95">
        <v>75</v>
      </c>
    </row>
    <row r="4232" spans="1:34" x14ac:dyDescent="0.3">
      <c r="A4232" s="89" t="str">
        <f>CONCATENATE(D4232,".",F4232,"-",G4232,".",H4232,"")</f>
        <v>4.5-1.1</v>
      </c>
      <c r="B4232" s="89" t="str">
        <f>IF(CONCATENATE(I4232,Key!F$2)=CONCATENATE(INDEX(Dashboard!J:J,MATCH(I4232,Dashboard!J:J,0),1),INDEX(Dashboard!J:K,MATCH(I4232,Dashboard!J:J,0),2)),"ON",IF(Dashboard!K$32="ALL","ON","-"))</f>
        <v>-</v>
      </c>
      <c r="C4232" s="88" t="s">
        <v>329</v>
      </c>
      <c r="D4232" s="89">
        <f>IF(C4232="ID",1,(IF(C4232="PR",2,(IF(C4232="DE",3,(IF(C4232="RS",4,(IF(C4232="RC",5,0)))))))))</f>
        <v>4</v>
      </c>
      <c r="E4232" s="89" t="s">
        <v>623</v>
      </c>
      <c r="F4232" s="89">
        <f>IF(E4232="AM",1,(IF(E4232="BE",2,(IF(E4232="GV",3,(IF(E4232="RA",4,(IF(E4232="RM",5,(IF(E4232="AC",1,(IF(E4232="AT",2,(IF(E4232="DS",3,(IF(E4232="IP",4,(IF(E4232="MA",5,(IF(E4232="PT",6,(IF(E4232="AE",1,(IF(E4232="CM",2,(IF(E4232="DP",3,(IF(E4232="AN",1,(IF(E4232="CO",2,(IF(E4232="IM",3,(IF(E4232="MI",4,(IF(E4232="RP",5,(IF(E4232="SC",6,0)))))))))))))))))))))))))))))))))))))))</f>
        <v>5</v>
      </c>
      <c r="G4232" s="52">
        <v>1</v>
      </c>
      <c r="H4232" s="90" t="s">
        <v>115</v>
      </c>
      <c r="I4232" s="94" t="s">
        <v>77</v>
      </c>
      <c r="J4232" s="87" t="s">
        <v>1911</v>
      </c>
      <c r="K4232" s="102" t="s">
        <v>2807</v>
      </c>
      <c r="L4232" s="117">
        <f>IF(O4232="","",N4232*O4232*M4232)</f>
        <v>0</v>
      </c>
      <c r="M4232" s="108">
        <v>1</v>
      </c>
      <c r="N4232" s="95">
        <v>1</v>
      </c>
      <c r="O4232" s="109">
        <f>IF(Key!D$1="ON",P4232,IF(SUM(Q4232:DL4232)&lt;1,"",SUM(Q4232:DL4232)/COUNTIF(Q4232:DL4232,"&gt;0")))</f>
        <v>0</v>
      </c>
      <c r="P4232" s="109">
        <f>SUMIFS(Q4232:DK4232,Q$1:DK$1,Dashboard!$K$31)</f>
        <v>0</v>
      </c>
      <c r="U4232" s="95">
        <v>33</v>
      </c>
      <c r="AA4232" s="95">
        <v>25</v>
      </c>
      <c r="AH4232" s="95">
        <v>75</v>
      </c>
    </row>
    <row r="4233" spans="1:34" x14ac:dyDescent="0.3">
      <c r="A4233" s="89" t="str">
        <f>CONCATENATE(D4233,".",F4233,"-",G4233,".",H4233,"")</f>
        <v>4.5-1.1</v>
      </c>
      <c r="B4233" s="89" t="str">
        <f>IF(CONCATENATE(I4233,Key!F$2)=CONCATENATE(INDEX(Dashboard!J:J,MATCH(I4233,Dashboard!J:J,0),1),INDEX(Dashboard!J:K,MATCH(I4233,Dashboard!J:J,0),2)),"ON",IF(Dashboard!K$32="ALL","ON","-"))</f>
        <v>-</v>
      </c>
      <c r="C4233" s="88" t="s">
        <v>329</v>
      </c>
      <c r="D4233" s="89">
        <f>IF(C4233="ID",1,(IF(C4233="PR",2,(IF(C4233="DE",3,(IF(C4233="RS",4,(IF(C4233="RC",5,0)))))))))</f>
        <v>4</v>
      </c>
      <c r="E4233" s="89" t="s">
        <v>623</v>
      </c>
      <c r="F4233" s="89">
        <f>IF(E4233="AM",1,(IF(E4233="BE",2,(IF(E4233="GV",3,(IF(E4233="RA",4,(IF(E4233="RM",5,(IF(E4233="AC",1,(IF(E4233="AT",2,(IF(E4233="DS",3,(IF(E4233="IP",4,(IF(E4233="MA",5,(IF(E4233="PT",6,(IF(E4233="AE",1,(IF(E4233="CM",2,(IF(E4233="DP",3,(IF(E4233="AN",1,(IF(E4233="CO",2,(IF(E4233="IM",3,(IF(E4233="MI",4,(IF(E4233="RP",5,(IF(E4233="SC",6,0)))))))))))))))))))))))))))))))))))))))</f>
        <v>5</v>
      </c>
      <c r="G4233" s="52">
        <v>1</v>
      </c>
      <c r="H4233" s="90" t="s">
        <v>115</v>
      </c>
      <c r="I4233" s="94" t="s">
        <v>77</v>
      </c>
      <c r="J4233" s="87" t="s">
        <v>1912</v>
      </c>
      <c r="K4233" s="102" t="s">
        <v>2808</v>
      </c>
      <c r="L4233" s="117">
        <f>IF(O4233="","",N4233*O4233*M4233)</f>
        <v>0</v>
      </c>
      <c r="M4233" s="108">
        <v>0.9</v>
      </c>
      <c r="N4233" s="95">
        <v>1</v>
      </c>
      <c r="O4233" s="109">
        <f>IF(Key!D$1="ON",P4233,IF(SUM(Q4233:DL4233)&lt;1,"",SUM(Q4233:DL4233)/COUNTIF(Q4233:DL4233,"&gt;0")))</f>
        <v>0</v>
      </c>
      <c r="P4233" s="109">
        <f>SUMIFS(Q4233:DK4233,Q$1:DK$1,Dashboard!$K$31)</f>
        <v>0</v>
      </c>
      <c r="S4233" s="95">
        <v>99</v>
      </c>
      <c r="T4233" s="95">
        <v>80</v>
      </c>
      <c r="U4233" s="95">
        <v>33</v>
      </c>
      <c r="AA4233" s="95">
        <v>25</v>
      </c>
      <c r="AH4233" s="95">
        <v>75</v>
      </c>
    </row>
    <row r="4234" spans="1:34" x14ac:dyDescent="0.3">
      <c r="A4234" s="89" t="str">
        <f>CONCATENATE(D4234,".",F4234,"-",G4234,".",H4234,"")</f>
        <v>4.5-1.1</v>
      </c>
      <c r="B4234" s="89" t="str">
        <f>IF(CONCATENATE(I4234,Key!F$2)=CONCATENATE(INDEX(Dashboard!J:J,MATCH(I4234,Dashboard!J:J,0),1),INDEX(Dashboard!J:K,MATCH(I4234,Dashboard!J:J,0),2)),"ON",IF(Dashboard!K$32="ALL","ON","-"))</f>
        <v>-</v>
      </c>
      <c r="C4234" s="88" t="s">
        <v>329</v>
      </c>
      <c r="D4234" s="89">
        <f>IF(C4234="ID",1,(IF(C4234="PR",2,(IF(C4234="DE",3,(IF(C4234="RS",4,(IF(C4234="RC",5,0)))))))))</f>
        <v>4</v>
      </c>
      <c r="E4234" s="89" t="s">
        <v>623</v>
      </c>
      <c r="F4234" s="89">
        <f>IF(E4234="AM",1,(IF(E4234="BE",2,(IF(E4234="GV",3,(IF(E4234="RA",4,(IF(E4234="RM",5,(IF(E4234="AC",1,(IF(E4234="AT",2,(IF(E4234="DS",3,(IF(E4234="IP",4,(IF(E4234="MA",5,(IF(E4234="PT",6,(IF(E4234="AE",1,(IF(E4234="CM",2,(IF(E4234="DP",3,(IF(E4234="AN",1,(IF(E4234="CO",2,(IF(E4234="IM",3,(IF(E4234="MI",4,(IF(E4234="RP",5,(IF(E4234="SC",6,0)))))))))))))))))))))))))))))))))))))))</f>
        <v>5</v>
      </c>
      <c r="G4234" s="52">
        <v>1</v>
      </c>
      <c r="H4234" s="90" t="s">
        <v>115</v>
      </c>
      <c r="I4234" s="94" t="s">
        <v>77</v>
      </c>
      <c r="J4234" s="87" t="s">
        <v>1914</v>
      </c>
      <c r="K4234" s="102" t="s">
        <v>2809</v>
      </c>
      <c r="L4234" s="117">
        <f>IF(O4234="","",N4234*O4234*M4234)</f>
        <v>0</v>
      </c>
      <c r="M4234" s="108">
        <v>0.9</v>
      </c>
      <c r="N4234" s="95">
        <v>1</v>
      </c>
      <c r="O4234" s="109">
        <f>IF(Key!D$1="ON",P4234,IF(SUM(Q4234:DL4234)&lt;1,"",SUM(Q4234:DL4234)/COUNTIF(Q4234:DL4234,"&gt;0")))</f>
        <v>0</v>
      </c>
      <c r="P4234" s="109">
        <f>SUMIFS(Q4234:DK4234,Q$1:DK$1,Dashboard!$K$31)</f>
        <v>0</v>
      </c>
      <c r="S4234" s="95">
        <v>99</v>
      </c>
      <c r="T4234" s="95">
        <v>80</v>
      </c>
      <c r="U4234" s="95">
        <v>33</v>
      </c>
      <c r="AA4234" s="95">
        <v>25</v>
      </c>
      <c r="AH4234" s="95">
        <v>75</v>
      </c>
    </row>
    <row r="4235" spans="1:34" x14ac:dyDescent="0.3">
      <c r="A4235" s="89" t="str">
        <f>CONCATENATE(D4235,".",F4235,"-",G4235,".",H4235,"")</f>
        <v>4.5-1.1</v>
      </c>
      <c r="B4235" s="89" t="str">
        <f>IF(CONCATENATE(I4235,Key!F$2)=CONCATENATE(INDEX(Dashboard!J:J,MATCH(I4235,Dashboard!J:J,0),1),INDEX(Dashboard!J:K,MATCH(I4235,Dashboard!J:J,0),2)),"ON",IF(Dashboard!K$32="ALL","ON","-"))</f>
        <v>-</v>
      </c>
      <c r="C4235" s="88" t="s">
        <v>329</v>
      </c>
      <c r="D4235" s="89">
        <f>IF(C4235="ID",1,(IF(C4235="PR",2,(IF(C4235="DE",3,(IF(C4235="RS",4,(IF(C4235="RC",5,0)))))))))</f>
        <v>4</v>
      </c>
      <c r="E4235" s="89" t="s">
        <v>623</v>
      </c>
      <c r="F4235" s="89">
        <f>IF(E4235="AM",1,(IF(E4235="BE",2,(IF(E4235="GV",3,(IF(E4235="RA",4,(IF(E4235="RM",5,(IF(E4235="AC",1,(IF(E4235="AT",2,(IF(E4235="DS",3,(IF(E4235="IP",4,(IF(E4235="MA",5,(IF(E4235="PT",6,(IF(E4235="AE",1,(IF(E4235="CM",2,(IF(E4235="DP",3,(IF(E4235="AN",1,(IF(E4235="CO",2,(IF(E4235="IM",3,(IF(E4235="MI",4,(IF(E4235="RP",5,(IF(E4235="SC",6,0)))))))))))))))))))))))))))))))))))))))</f>
        <v>5</v>
      </c>
      <c r="G4235" s="52">
        <v>1</v>
      </c>
      <c r="H4235" s="90" t="s">
        <v>115</v>
      </c>
      <c r="I4235" s="94" t="s">
        <v>77</v>
      </c>
      <c r="J4235" s="87" t="s">
        <v>1915</v>
      </c>
      <c r="K4235" s="102" t="s">
        <v>2810</v>
      </c>
      <c r="L4235" s="117">
        <f>IF(O4235="","",N4235*O4235*M4235)</f>
        <v>0</v>
      </c>
      <c r="M4235" s="108">
        <v>0.9</v>
      </c>
      <c r="N4235" s="95">
        <v>1</v>
      </c>
      <c r="O4235" s="109">
        <f>IF(Key!D$1="ON",P4235,IF(SUM(Q4235:DL4235)&lt;1,"",SUM(Q4235:DL4235)/COUNTIF(Q4235:DL4235,"&gt;0")))</f>
        <v>0</v>
      </c>
      <c r="P4235" s="109">
        <f>SUMIFS(Q4235:DK4235,Q$1:DK$1,Dashboard!$K$31)</f>
        <v>0</v>
      </c>
      <c r="S4235" s="95">
        <v>99</v>
      </c>
      <c r="T4235" s="95">
        <v>80</v>
      </c>
      <c r="U4235" s="95">
        <v>33</v>
      </c>
      <c r="AA4235" s="95">
        <v>25</v>
      </c>
      <c r="AH4235" s="95">
        <v>75</v>
      </c>
    </row>
    <row r="4236" spans="1:34" x14ac:dyDescent="0.3">
      <c r="A4236" s="89" t="str">
        <f>CONCATENATE(D4236,".",F4236,"-",G4236,".",H4236,"")</f>
        <v>4.5-1.1</v>
      </c>
      <c r="B4236" s="89" t="str">
        <f>IF(CONCATENATE(I4236,Key!F$2)=CONCATENATE(INDEX(Dashboard!J:J,MATCH(I4236,Dashboard!J:J,0),1),INDEX(Dashboard!J:K,MATCH(I4236,Dashboard!J:J,0),2)),"ON",IF(Dashboard!K$32="ALL","ON","-"))</f>
        <v>-</v>
      </c>
      <c r="C4236" s="88" t="s">
        <v>329</v>
      </c>
      <c r="D4236" s="89">
        <f>IF(C4236="ID",1,(IF(C4236="PR",2,(IF(C4236="DE",3,(IF(C4236="RS",4,(IF(C4236="RC",5,0)))))))))</f>
        <v>4</v>
      </c>
      <c r="E4236" s="89" t="s">
        <v>623</v>
      </c>
      <c r="F4236" s="89">
        <f>IF(E4236="AM",1,(IF(E4236="BE",2,(IF(E4236="GV",3,(IF(E4236="RA",4,(IF(E4236="RM",5,(IF(E4236="AC",1,(IF(E4236="AT",2,(IF(E4236="DS",3,(IF(E4236="IP",4,(IF(E4236="MA",5,(IF(E4236="PT",6,(IF(E4236="AE",1,(IF(E4236="CM",2,(IF(E4236="DP",3,(IF(E4236="AN",1,(IF(E4236="CO",2,(IF(E4236="IM",3,(IF(E4236="MI",4,(IF(E4236="RP",5,(IF(E4236="SC",6,0)))))))))))))))))))))))))))))))))))))))</f>
        <v>5</v>
      </c>
      <c r="G4236" s="52">
        <v>1</v>
      </c>
      <c r="H4236" s="90" t="s">
        <v>115</v>
      </c>
      <c r="I4236" s="94" t="s">
        <v>77</v>
      </c>
      <c r="J4236" s="87" t="s">
        <v>1916</v>
      </c>
      <c r="K4236" s="102" t="s">
        <v>2811</v>
      </c>
      <c r="L4236" s="117">
        <f>IF(O4236="","",N4236*O4236*M4236)</f>
        <v>0</v>
      </c>
      <c r="M4236" s="108">
        <v>1</v>
      </c>
      <c r="N4236" s="95">
        <v>1</v>
      </c>
      <c r="O4236" s="109">
        <f>IF(Key!D$1="ON",P4236,IF(SUM(Q4236:DL4236)&lt;1,"",SUM(Q4236:DL4236)/COUNTIF(Q4236:DL4236,"&gt;0")))</f>
        <v>0</v>
      </c>
      <c r="P4236" s="109">
        <f>SUMIFS(Q4236:DK4236,Q$1:DK$1,Dashboard!$K$31)</f>
        <v>0</v>
      </c>
      <c r="U4236" s="95">
        <v>33</v>
      </c>
      <c r="AA4236" s="95">
        <v>25</v>
      </c>
      <c r="AH4236" s="95">
        <v>75</v>
      </c>
    </row>
    <row r="4237" spans="1:34" x14ac:dyDescent="0.3">
      <c r="A4237" s="89" t="str">
        <f>CONCATENATE(D4237,".",F4237,"-",G4237,".",H4237,"")</f>
        <v>4.5-1.1</v>
      </c>
      <c r="B4237" s="89" t="str">
        <f>IF(CONCATENATE(I4237,Key!F$2)=CONCATENATE(INDEX(Dashboard!J:J,MATCH(I4237,Dashboard!J:J,0),1),INDEX(Dashboard!J:K,MATCH(I4237,Dashboard!J:J,0),2)),"ON",IF(Dashboard!K$32="ALL","ON","-"))</f>
        <v>-</v>
      </c>
      <c r="C4237" s="88" t="s">
        <v>329</v>
      </c>
      <c r="D4237" s="89">
        <f>IF(C4237="ID",1,(IF(C4237="PR",2,(IF(C4237="DE",3,(IF(C4237="RS",4,(IF(C4237="RC",5,0)))))))))</f>
        <v>4</v>
      </c>
      <c r="E4237" s="89" t="s">
        <v>623</v>
      </c>
      <c r="F4237" s="89">
        <f>IF(E4237="AM",1,(IF(E4237="BE",2,(IF(E4237="GV",3,(IF(E4237="RA",4,(IF(E4237="RM",5,(IF(E4237="AC",1,(IF(E4237="AT",2,(IF(E4237="DS",3,(IF(E4237="IP",4,(IF(E4237="MA",5,(IF(E4237="PT",6,(IF(E4237="AE",1,(IF(E4237="CM",2,(IF(E4237="DP",3,(IF(E4237="AN",1,(IF(E4237="CO",2,(IF(E4237="IM",3,(IF(E4237="MI",4,(IF(E4237="RP",5,(IF(E4237="SC",6,0)))))))))))))))))))))))))))))))))))))))</f>
        <v>5</v>
      </c>
      <c r="G4237" s="52">
        <v>1</v>
      </c>
      <c r="H4237" s="90" t="s">
        <v>115</v>
      </c>
      <c r="I4237" s="94" t="s">
        <v>77</v>
      </c>
      <c r="J4237" s="87" t="s">
        <v>1918</v>
      </c>
      <c r="K4237" s="102" t="s">
        <v>2812</v>
      </c>
      <c r="L4237" s="117">
        <f>IF(O4237="","",N4237*O4237*M4237)</f>
        <v>0</v>
      </c>
      <c r="M4237" s="108">
        <v>1</v>
      </c>
      <c r="N4237" s="95">
        <v>1</v>
      </c>
      <c r="O4237" s="109">
        <f>IF(Key!D$1="ON",P4237,IF(SUM(Q4237:DL4237)&lt;1,"",SUM(Q4237:DL4237)/COUNTIF(Q4237:DL4237,"&gt;0")))</f>
        <v>0</v>
      </c>
      <c r="P4237" s="109">
        <f>SUMIFS(Q4237:DK4237,Q$1:DK$1,Dashboard!$K$31)</f>
        <v>0</v>
      </c>
      <c r="U4237" s="95">
        <v>33</v>
      </c>
      <c r="AA4237" s="95">
        <v>25</v>
      </c>
      <c r="AH4237" s="95">
        <v>75</v>
      </c>
    </row>
    <row r="4238" spans="1:34" x14ac:dyDescent="0.3">
      <c r="A4238" s="89" t="str">
        <f>CONCATENATE(D4238,".",F4238,"-",G4238,".",H4238,"")</f>
        <v>4.5-1.1</v>
      </c>
      <c r="B4238" s="89" t="str">
        <f>IF(CONCATENATE(I4238,Key!F$2)=CONCATENATE(INDEX(Dashboard!J:J,MATCH(I4238,Dashboard!J:J,0),1),INDEX(Dashboard!J:K,MATCH(I4238,Dashboard!J:J,0),2)),"ON",IF(Dashboard!K$32="ALL","ON","-"))</f>
        <v>-</v>
      </c>
      <c r="C4238" s="88" t="s">
        <v>329</v>
      </c>
      <c r="D4238" s="89">
        <f>IF(C4238="ID",1,(IF(C4238="PR",2,(IF(C4238="DE",3,(IF(C4238="RS",4,(IF(C4238="RC",5,0)))))))))</f>
        <v>4</v>
      </c>
      <c r="E4238" s="89" t="s">
        <v>623</v>
      </c>
      <c r="F4238" s="89">
        <f>IF(E4238="AM",1,(IF(E4238="BE",2,(IF(E4238="GV",3,(IF(E4238="RA",4,(IF(E4238="RM",5,(IF(E4238="AC",1,(IF(E4238="AT",2,(IF(E4238="DS",3,(IF(E4238="IP",4,(IF(E4238="MA",5,(IF(E4238="PT",6,(IF(E4238="AE",1,(IF(E4238="CM",2,(IF(E4238="DP",3,(IF(E4238="AN",1,(IF(E4238="CO",2,(IF(E4238="IM",3,(IF(E4238="MI",4,(IF(E4238="RP",5,(IF(E4238="SC",6,0)))))))))))))))))))))))))))))))))))))))</f>
        <v>5</v>
      </c>
      <c r="G4238" s="52">
        <v>1</v>
      </c>
      <c r="H4238" s="90" t="s">
        <v>115</v>
      </c>
      <c r="I4238" s="94" t="s">
        <v>77</v>
      </c>
      <c r="J4238" s="87" t="s">
        <v>1919</v>
      </c>
      <c r="K4238" s="102" t="s">
        <v>2813</v>
      </c>
      <c r="L4238" s="117">
        <f>IF(O4238="","",N4238*O4238*M4238)</f>
        <v>0</v>
      </c>
      <c r="M4238" s="108">
        <v>1</v>
      </c>
      <c r="N4238" s="95">
        <v>1</v>
      </c>
      <c r="O4238" s="109">
        <f>IF(Key!D$1="ON",P4238,IF(SUM(Q4238:DL4238)&lt;1,"",SUM(Q4238:DL4238)/COUNTIF(Q4238:DL4238,"&gt;0")))</f>
        <v>0</v>
      </c>
      <c r="P4238" s="109">
        <f>SUMIFS(Q4238:DK4238,Q$1:DK$1,Dashboard!$K$31)</f>
        <v>0</v>
      </c>
      <c r="U4238" s="95">
        <v>33</v>
      </c>
      <c r="AA4238" s="95">
        <v>25</v>
      </c>
      <c r="AH4238" s="95">
        <v>75</v>
      </c>
    </row>
    <row r="4239" spans="1:34" x14ac:dyDescent="0.3">
      <c r="A4239" s="89" t="str">
        <f>CONCATENATE(D4239,".",F4239,"-",G4239,".",H4239,"")</f>
        <v>4.5-1.1</v>
      </c>
      <c r="B4239" s="89" t="str">
        <f>IF(CONCATENATE(I4239,Key!F$2)=CONCATENATE(INDEX(Dashboard!J:J,MATCH(I4239,Dashboard!J:J,0),1),INDEX(Dashboard!J:K,MATCH(I4239,Dashboard!J:J,0),2)),"ON",IF(Dashboard!K$32="ALL","ON","-"))</f>
        <v>-</v>
      </c>
      <c r="C4239" s="88" t="s">
        <v>329</v>
      </c>
      <c r="D4239" s="89">
        <f>IF(C4239="ID",1,(IF(C4239="PR",2,(IF(C4239="DE",3,(IF(C4239="RS",4,(IF(C4239="RC",5,0)))))))))</f>
        <v>4</v>
      </c>
      <c r="E4239" s="89" t="s">
        <v>623</v>
      </c>
      <c r="F4239" s="89">
        <f>IF(E4239="AM",1,(IF(E4239="BE",2,(IF(E4239="GV",3,(IF(E4239="RA",4,(IF(E4239="RM",5,(IF(E4239="AC",1,(IF(E4239="AT",2,(IF(E4239="DS",3,(IF(E4239="IP",4,(IF(E4239="MA",5,(IF(E4239="PT",6,(IF(E4239="AE",1,(IF(E4239="CM",2,(IF(E4239="DP",3,(IF(E4239="AN",1,(IF(E4239="CO",2,(IF(E4239="IM",3,(IF(E4239="MI",4,(IF(E4239="RP",5,(IF(E4239="SC",6,0)))))))))))))))))))))))))))))))))))))))</f>
        <v>5</v>
      </c>
      <c r="G4239" s="52">
        <v>1</v>
      </c>
      <c r="H4239" s="90" t="s">
        <v>115</v>
      </c>
      <c r="I4239" s="94" t="s">
        <v>77</v>
      </c>
      <c r="J4239" s="87" t="s">
        <v>1920</v>
      </c>
      <c r="K4239" s="102" t="s">
        <v>2814</v>
      </c>
      <c r="L4239" s="117">
        <f>IF(O4239="","",N4239*O4239*M4239)</f>
        <v>0</v>
      </c>
      <c r="M4239" s="108">
        <v>1</v>
      </c>
      <c r="N4239" s="95">
        <v>1</v>
      </c>
      <c r="O4239" s="109">
        <f>IF(Key!D$1="ON",P4239,IF(SUM(Q4239:DL4239)&lt;1,"",SUM(Q4239:DL4239)/COUNTIF(Q4239:DL4239,"&gt;0")))</f>
        <v>0</v>
      </c>
      <c r="P4239" s="109">
        <f>SUMIFS(Q4239:DK4239,Q$1:DK$1,Dashboard!$K$31)</f>
        <v>0</v>
      </c>
      <c r="U4239" s="95">
        <v>33</v>
      </c>
      <c r="AA4239" s="95">
        <v>25</v>
      </c>
      <c r="AH4239" s="95">
        <v>75</v>
      </c>
    </row>
    <row r="4240" spans="1:34" x14ac:dyDescent="0.3">
      <c r="A4240" s="89" t="str">
        <f>CONCATENATE(D4240,".",F4240,"-",G4240,".",H4240,"")</f>
        <v>4.5-1.1</v>
      </c>
      <c r="B4240" s="89" t="str">
        <f>IF(CONCATENATE(I4240,Key!F$2)=CONCATENATE(INDEX(Dashboard!J:J,MATCH(I4240,Dashboard!J:J,0),1),INDEX(Dashboard!J:K,MATCH(I4240,Dashboard!J:J,0),2)),"ON",IF(Dashboard!K$32="ALL","ON","-"))</f>
        <v>-</v>
      </c>
      <c r="C4240" s="88" t="s">
        <v>329</v>
      </c>
      <c r="D4240" s="89">
        <f>IF(C4240="ID",1,(IF(C4240="PR",2,(IF(C4240="DE",3,(IF(C4240="RS",4,(IF(C4240="RC",5,0)))))))))</f>
        <v>4</v>
      </c>
      <c r="E4240" s="89" t="s">
        <v>623</v>
      </c>
      <c r="F4240" s="89">
        <f>IF(E4240="AM",1,(IF(E4240="BE",2,(IF(E4240="GV",3,(IF(E4240="RA",4,(IF(E4240="RM",5,(IF(E4240="AC",1,(IF(E4240="AT",2,(IF(E4240="DS",3,(IF(E4240="IP",4,(IF(E4240="MA",5,(IF(E4240="PT",6,(IF(E4240="AE",1,(IF(E4240="CM",2,(IF(E4240="DP",3,(IF(E4240="AN",1,(IF(E4240="CO",2,(IF(E4240="IM",3,(IF(E4240="MI",4,(IF(E4240="RP",5,(IF(E4240="SC",6,0)))))))))))))))))))))))))))))))))))))))</f>
        <v>5</v>
      </c>
      <c r="G4240" s="52">
        <v>1</v>
      </c>
      <c r="H4240" s="90" t="s">
        <v>115</v>
      </c>
      <c r="I4240" s="94" t="s">
        <v>77</v>
      </c>
      <c r="J4240" s="87" t="s">
        <v>1922</v>
      </c>
      <c r="K4240" s="102" t="s">
        <v>2815</v>
      </c>
      <c r="L4240" s="117">
        <f>IF(O4240="","",N4240*O4240*M4240)</f>
        <v>0</v>
      </c>
      <c r="M4240" s="108">
        <v>1</v>
      </c>
      <c r="N4240" s="95">
        <v>1</v>
      </c>
      <c r="O4240" s="109">
        <f>IF(Key!D$1="ON",P4240,IF(SUM(Q4240:DL4240)&lt;1,"",SUM(Q4240:DL4240)/COUNTIF(Q4240:DL4240,"&gt;0")))</f>
        <v>0</v>
      </c>
      <c r="P4240" s="109">
        <f>SUMIFS(Q4240:DK4240,Q$1:DK$1,Dashboard!$K$31)</f>
        <v>0</v>
      </c>
      <c r="U4240" s="95">
        <v>33</v>
      </c>
      <c r="AA4240" s="95">
        <v>25</v>
      </c>
      <c r="AH4240" s="95">
        <v>75</v>
      </c>
    </row>
    <row r="4241" spans="1:34" x14ac:dyDescent="0.3">
      <c r="A4241" s="89" t="str">
        <f>CONCATENATE(D4241,".",F4241,"-",G4241,".",H4241,"")</f>
        <v>4.5-1.1</v>
      </c>
      <c r="B4241" s="89" t="str">
        <f>IF(CONCATENATE(I4241,Key!F$2)=CONCATENATE(INDEX(Dashboard!J:J,MATCH(I4241,Dashboard!J:J,0),1),INDEX(Dashboard!J:K,MATCH(I4241,Dashboard!J:J,0),2)),"ON",IF(Dashboard!K$32="ALL","ON","-"))</f>
        <v>-</v>
      </c>
      <c r="C4241" s="88" t="s">
        <v>329</v>
      </c>
      <c r="D4241" s="89">
        <f>IF(C4241="ID",1,(IF(C4241="PR",2,(IF(C4241="DE",3,(IF(C4241="RS",4,(IF(C4241="RC",5,0)))))))))</f>
        <v>4</v>
      </c>
      <c r="E4241" s="89" t="s">
        <v>623</v>
      </c>
      <c r="F4241" s="89">
        <f>IF(E4241="AM",1,(IF(E4241="BE",2,(IF(E4241="GV",3,(IF(E4241="RA",4,(IF(E4241="RM",5,(IF(E4241="AC",1,(IF(E4241="AT",2,(IF(E4241="DS",3,(IF(E4241="IP",4,(IF(E4241="MA",5,(IF(E4241="PT",6,(IF(E4241="AE",1,(IF(E4241="CM",2,(IF(E4241="DP",3,(IF(E4241="AN",1,(IF(E4241="CO",2,(IF(E4241="IM",3,(IF(E4241="MI",4,(IF(E4241="RP",5,(IF(E4241="SC",6,0)))))))))))))))))))))))))))))))))))))))</f>
        <v>5</v>
      </c>
      <c r="G4241" s="52">
        <v>1</v>
      </c>
      <c r="H4241" s="90" t="s">
        <v>115</v>
      </c>
      <c r="I4241" s="94" t="s">
        <v>77</v>
      </c>
      <c r="J4241" s="87" t="s">
        <v>1923</v>
      </c>
      <c r="K4241" s="102" t="s">
        <v>2816</v>
      </c>
      <c r="L4241" s="117">
        <f>IF(O4241="","",N4241*O4241*M4241)</f>
        <v>0</v>
      </c>
      <c r="M4241" s="108">
        <v>0.9</v>
      </c>
      <c r="N4241" s="95">
        <v>1</v>
      </c>
      <c r="O4241" s="109">
        <f>IF(Key!D$1="ON",P4241,IF(SUM(Q4241:DL4241)&lt;1,"",SUM(Q4241:DL4241)/COUNTIF(Q4241:DL4241,"&gt;0")))</f>
        <v>0</v>
      </c>
      <c r="P4241" s="109">
        <f>SUMIFS(Q4241:DK4241,Q$1:DK$1,Dashboard!$K$31)</f>
        <v>0</v>
      </c>
      <c r="S4241" s="95">
        <v>99</v>
      </c>
      <c r="T4241" s="95">
        <v>80</v>
      </c>
      <c r="U4241" s="95">
        <v>33</v>
      </c>
      <c r="AA4241" s="95">
        <v>25</v>
      </c>
      <c r="AH4241" s="95">
        <v>75</v>
      </c>
    </row>
    <row r="4242" spans="1:34" x14ac:dyDescent="0.3">
      <c r="A4242" s="89" t="str">
        <f>CONCATENATE(D4242,".",F4242,"-",G4242,".",H4242,"")</f>
        <v>4.5-1.1</v>
      </c>
      <c r="B4242" s="89" t="str">
        <f>IF(CONCATENATE(I4242,Key!F$2)=CONCATENATE(INDEX(Dashboard!J:J,MATCH(I4242,Dashboard!J:J,0),1),INDEX(Dashboard!J:K,MATCH(I4242,Dashboard!J:J,0),2)),"ON",IF(Dashboard!K$32="ALL","ON","-"))</f>
        <v>-</v>
      </c>
      <c r="C4242" s="88" t="s">
        <v>329</v>
      </c>
      <c r="D4242" s="89">
        <f>IF(C4242="ID",1,(IF(C4242="PR",2,(IF(C4242="DE",3,(IF(C4242="RS",4,(IF(C4242="RC",5,0)))))))))</f>
        <v>4</v>
      </c>
      <c r="E4242" s="89" t="s">
        <v>623</v>
      </c>
      <c r="F4242" s="89">
        <f>IF(E4242="AM",1,(IF(E4242="BE",2,(IF(E4242="GV",3,(IF(E4242="RA",4,(IF(E4242="RM",5,(IF(E4242="AC",1,(IF(E4242="AT",2,(IF(E4242="DS",3,(IF(E4242="IP",4,(IF(E4242="MA",5,(IF(E4242="PT",6,(IF(E4242="AE",1,(IF(E4242="CM",2,(IF(E4242="DP",3,(IF(E4242="AN",1,(IF(E4242="CO",2,(IF(E4242="IM",3,(IF(E4242="MI",4,(IF(E4242="RP",5,(IF(E4242="SC",6,0)))))))))))))))))))))))))))))))))))))))</f>
        <v>5</v>
      </c>
      <c r="G4242" s="52">
        <v>1</v>
      </c>
      <c r="H4242" s="90" t="s">
        <v>115</v>
      </c>
      <c r="I4242" s="94" t="s">
        <v>77</v>
      </c>
      <c r="J4242" s="87" t="s">
        <v>1924</v>
      </c>
      <c r="K4242" s="102" t="s">
        <v>2817</v>
      </c>
      <c r="L4242" s="117">
        <f>IF(O4242="","",N4242*O4242*M4242)</f>
        <v>0</v>
      </c>
      <c r="M4242" s="108">
        <v>1</v>
      </c>
      <c r="N4242" s="95">
        <v>1</v>
      </c>
      <c r="O4242" s="109">
        <f>IF(Key!D$1="ON",P4242,IF(SUM(Q4242:DL4242)&lt;1,"",SUM(Q4242:DL4242)/COUNTIF(Q4242:DL4242,"&gt;0")))</f>
        <v>0</v>
      </c>
      <c r="P4242" s="109">
        <f>SUMIFS(Q4242:DK4242,Q$1:DK$1,Dashboard!$K$31)</f>
        <v>0</v>
      </c>
      <c r="U4242" s="95">
        <v>33</v>
      </c>
      <c r="AA4242" s="95">
        <v>25</v>
      </c>
      <c r="AH4242" s="95">
        <v>75</v>
      </c>
    </row>
    <row r="4243" spans="1:34" x14ac:dyDescent="0.3">
      <c r="A4243" s="89" t="str">
        <f>CONCATENATE(D4243,".",F4243,"-",G4243,".",H4243,"")</f>
        <v>4.5-1.1</v>
      </c>
      <c r="B4243" s="89" t="str">
        <f>IF(CONCATENATE(I4243,Key!F$2)=CONCATENATE(INDEX(Dashboard!J:J,MATCH(I4243,Dashboard!J:J,0),1),INDEX(Dashboard!J:K,MATCH(I4243,Dashboard!J:J,0),2)),"ON",IF(Dashboard!K$32="ALL","ON","-"))</f>
        <v>-</v>
      </c>
      <c r="C4243" s="88" t="s">
        <v>329</v>
      </c>
      <c r="D4243" s="89">
        <f>IF(C4243="ID",1,(IF(C4243="PR",2,(IF(C4243="DE",3,(IF(C4243="RS",4,(IF(C4243="RC",5,0)))))))))</f>
        <v>4</v>
      </c>
      <c r="E4243" s="89" t="s">
        <v>623</v>
      </c>
      <c r="F4243" s="89">
        <f>IF(E4243="AM",1,(IF(E4243="BE",2,(IF(E4243="GV",3,(IF(E4243="RA",4,(IF(E4243="RM",5,(IF(E4243="AC",1,(IF(E4243="AT",2,(IF(E4243="DS",3,(IF(E4243="IP",4,(IF(E4243="MA",5,(IF(E4243="PT",6,(IF(E4243="AE",1,(IF(E4243="CM",2,(IF(E4243="DP",3,(IF(E4243="AN",1,(IF(E4243="CO",2,(IF(E4243="IM",3,(IF(E4243="MI",4,(IF(E4243="RP",5,(IF(E4243="SC",6,0)))))))))))))))))))))))))))))))))))))))</f>
        <v>5</v>
      </c>
      <c r="G4243" s="52">
        <v>1</v>
      </c>
      <c r="H4243" s="90" t="s">
        <v>115</v>
      </c>
      <c r="I4243" s="94" t="s">
        <v>77</v>
      </c>
      <c r="J4243" s="87" t="s">
        <v>1925</v>
      </c>
      <c r="K4243" s="102" t="s">
        <v>2818</v>
      </c>
      <c r="L4243" s="117">
        <f>IF(O4243="","",N4243*O4243*M4243)</f>
        <v>0</v>
      </c>
      <c r="M4243" s="108">
        <v>1</v>
      </c>
      <c r="N4243" s="95">
        <v>1</v>
      </c>
      <c r="O4243" s="109">
        <f>IF(Key!D$1="ON",P4243,IF(SUM(Q4243:DL4243)&lt;1,"",SUM(Q4243:DL4243)/COUNTIF(Q4243:DL4243,"&gt;0")))</f>
        <v>0</v>
      </c>
      <c r="P4243" s="109">
        <f>SUMIFS(Q4243:DK4243,Q$1:DK$1,Dashboard!$K$31)</f>
        <v>0</v>
      </c>
      <c r="U4243" s="95">
        <v>33</v>
      </c>
      <c r="AA4243" s="95">
        <v>25</v>
      </c>
      <c r="AH4243" s="95">
        <v>75</v>
      </c>
    </row>
    <row r="4244" spans="1:34" x14ac:dyDescent="0.3">
      <c r="A4244" s="89" t="str">
        <f>CONCATENATE(D4244,".",F4244,"-",G4244,".",H4244,"")</f>
        <v>4.5-1.1</v>
      </c>
      <c r="B4244" s="89" t="str">
        <f>IF(CONCATENATE(I4244,Key!F$2)=CONCATENATE(INDEX(Dashboard!J:J,MATCH(I4244,Dashboard!J:J,0),1),INDEX(Dashboard!J:K,MATCH(I4244,Dashboard!J:J,0),2)),"ON",IF(Dashboard!K$32="ALL","ON","-"))</f>
        <v>-</v>
      </c>
      <c r="C4244" s="88" t="s">
        <v>329</v>
      </c>
      <c r="D4244" s="89">
        <f>IF(C4244="ID",1,(IF(C4244="PR",2,(IF(C4244="DE",3,(IF(C4244="RS",4,(IF(C4244="RC",5,0)))))))))</f>
        <v>4</v>
      </c>
      <c r="E4244" s="89" t="s">
        <v>623</v>
      </c>
      <c r="F4244" s="89">
        <f>IF(E4244="AM",1,(IF(E4244="BE",2,(IF(E4244="GV",3,(IF(E4244="RA",4,(IF(E4244="RM",5,(IF(E4244="AC",1,(IF(E4244="AT",2,(IF(E4244="DS",3,(IF(E4244="IP",4,(IF(E4244="MA",5,(IF(E4244="PT",6,(IF(E4244="AE",1,(IF(E4244="CM",2,(IF(E4244="DP",3,(IF(E4244="AN",1,(IF(E4244="CO",2,(IF(E4244="IM",3,(IF(E4244="MI",4,(IF(E4244="RP",5,(IF(E4244="SC",6,0)))))))))))))))))))))))))))))))))))))))</f>
        <v>5</v>
      </c>
      <c r="G4244" s="52">
        <v>1</v>
      </c>
      <c r="H4244" s="90" t="s">
        <v>115</v>
      </c>
      <c r="I4244" s="94" t="s">
        <v>85</v>
      </c>
      <c r="J4244" s="87" t="s">
        <v>1915</v>
      </c>
      <c r="K4244" s="119" t="s">
        <v>4786</v>
      </c>
      <c r="L4244" s="117">
        <f>IF(O4244="","",N4244*O4244*M4244)</f>
        <v>0</v>
      </c>
      <c r="M4244" s="108">
        <v>0.9</v>
      </c>
      <c r="N4244" s="95">
        <v>1</v>
      </c>
      <c r="O4244" s="109">
        <f>IF(Key!D$1="ON",P4244,IF(SUM(Q4244:DL4244)&lt;1,"",SUM(Q4244:DL4244)/COUNTIF(Q4244:DL4244,"&gt;0")))</f>
        <v>0</v>
      </c>
      <c r="P4244" s="109">
        <f>SUMIFS(Q4244:DK4244,Q$1:DK$1,Dashboard!$K$31)</f>
        <v>0</v>
      </c>
      <c r="S4244" s="95">
        <v>75</v>
      </c>
      <c r="T4244" s="95">
        <v>80</v>
      </c>
      <c r="U4244" s="95">
        <v>33</v>
      </c>
      <c r="AA4244" s="95">
        <v>25</v>
      </c>
      <c r="AH4244" s="95">
        <v>75</v>
      </c>
    </row>
    <row r="4245" spans="1:34" x14ac:dyDescent="0.3">
      <c r="A4245" s="89" t="str">
        <f>CONCATENATE(D4245,".",F4245,"-",G4245,".",H4245,"")</f>
        <v>4.5-1.1</v>
      </c>
      <c r="B4245" s="89" t="str">
        <f>IF(CONCATENATE(I4245,Key!F$2)=CONCATENATE(INDEX(Dashboard!J:J,MATCH(I4245,Dashboard!J:J,0),1),INDEX(Dashboard!J:K,MATCH(I4245,Dashboard!J:J,0),2)),"ON",IF(Dashboard!K$32="ALL","ON","-"))</f>
        <v>-</v>
      </c>
      <c r="C4245" s="88" t="s">
        <v>329</v>
      </c>
      <c r="D4245" s="89">
        <f>IF(C4245="ID",1,(IF(C4245="PR",2,(IF(C4245="DE",3,(IF(C4245="RS",4,(IF(C4245="RC",5,0)))))))))</f>
        <v>4</v>
      </c>
      <c r="E4245" s="89" t="s">
        <v>623</v>
      </c>
      <c r="F4245" s="89">
        <f>IF(E4245="AM",1,(IF(E4245="BE",2,(IF(E4245="GV",3,(IF(E4245="RA",4,(IF(E4245="RM",5,(IF(E4245="AC",1,(IF(E4245="AT",2,(IF(E4245="DS",3,(IF(E4245="IP",4,(IF(E4245="MA",5,(IF(E4245="PT",6,(IF(E4245="AE",1,(IF(E4245="CM",2,(IF(E4245="DP",3,(IF(E4245="AN",1,(IF(E4245="CO",2,(IF(E4245="IM",3,(IF(E4245="MI",4,(IF(E4245="RP",5,(IF(E4245="SC",6,0)))))))))))))))))))))))))))))))))))))))</f>
        <v>5</v>
      </c>
      <c r="G4245" s="52">
        <v>1</v>
      </c>
      <c r="H4245" s="90" t="s">
        <v>115</v>
      </c>
      <c r="I4245" s="94" t="s">
        <v>85</v>
      </c>
      <c r="J4245" s="87" t="s">
        <v>1918</v>
      </c>
      <c r="K4245" s="119" t="s">
        <v>4808</v>
      </c>
      <c r="L4245" s="117">
        <f>IF(O4245="","",N4245*O4245*M4245)</f>
        <v>0</v>
      </c>
      <c r="M4245" s="108">
        <v>1</v>
      </c>
      <c r="N4245" s="95">
        <v>1</v>
      </c>
      <c r="O4245" s="109">
        <f>IF(Key!D$1="ON",P4245,IF(SUM(Q4245:DL4245)&lt;1,"",SUM(Q4245:DL4245)/COUNTIF(Q4245:DL4245,"&gt;0")))</f>
        <v>0</v>
      </c>
      <c r="P4245" s="109">
        <f>SUMIFS(Q4245:DK4245,Q$1:DK$1,Dashboard!$K$31)</f>
        <v>0</v>
      </c>
      <c r="U4245" s="95">
        <v>33</v>
      </c>
      <c r="AA4245" s="95">
        <v>25</v>
      </c>
      <c r="AH4245" s="95">
        <v>75</v>
      </c>
    </row>
    <row r="4246" spans="1:34" x14ac:dyDescent="0.3">
      <c r="A4246" s="89" t="str">
        <f>CONCATENATE(D4246,".",F4246,"-",G4246,".",H4246,"")</f>
        <v>4.5-1.1</v>
      </c>
      <c r="B4246" s="89" t="str">
        <f>IF(CONCATENATE(I4246,Key!F$2)=CONCATENATE(INDEX(Dashboard!J:J,MATCH(I4246,Dashboard!J:J,0),1),INDEX(Dashboard!J:K,MATCH(I4246,Dashboard!J:J,0),2)),"ON",IF(Dashboard!K$32="ALL","ON","-"))</f>
        <v>-</v>
      </c>
      <c r="C4246" s="88" t="s">
        <v>329</v>
      </c>
      <c r="D4246" s="89">
        <f>IF(C4246="ID",1,(IF(C4246="PR",2,(IF(C4246="DE",3,(IF(C4246="RS",4,(IF(C4246="RC",5,0)))))))))</f>
        <v>4</v>
      </c>
      <c r="E4246" s="89" t="s">
        <v>623</v>
      </c>
      <c r="F4246" s="89">
        <f>IF(E4246="AM",1,(IF(E4246="BE",2,(IF(E4246="GV",3,(IF(E4246="RA",4,(IF(E4246="RM",5,(IF(E4246="AC",1,(IF(E4246="AT",2,(IF(E4246="DS",3,(IF(E4246="IP",4,(IF(E4246="MA",5,(IF(E4246="PT",6,(IF(E4246="AE",1,(IF(E4246="CM",2,(IF(E4246="DP",3,(IF(E4246="AN",1,(IF(E4246="CO",2,(IF(E4246="IM",3,(IF(E4246="MI",4,(IF(E4246="RP",5,(IF(E4246="SC",6,0)))))))))))))))))))))))))))))))))))))))</f>
        <v>5</v>
      </c>
      <c r="G4246" s="52">
        <v>1</v>
      </c>
      <c r="H4246" s="90" t="s">
        <v>115</v>
      </c>
      <c r="I4246" s="94" t="s">
        <v>85</v>
      </c>
      <c r="J4246" s="87" t="s">
        <v>1910</v>
      </c>
      <c r="K4246" s="119" t="s">
        <v>4740</v>
      </c>
      <c r="L4246" s="117">
        <f>IF(O4246="","",N4246*O4246*M4246)</f>
        <v>0</v>
      </c>
      <c r="M4246" s="108">
        <v>1</v>
      </c>
      <c r="N4246" s="95">
        <v>1</v>
      </c>
      <c r="O4246" s="109">
        <f>IF(Key!D$1="ON",P4246,IF(SUM(Q4246:DL4246)&lt;1,"",SUM(Q4246:DL4246)/COUNTIF(Q4246:DL4246,"&gt;0")))</f>
        <v>0</v>
      </c>
      <c r="P4246" s="109">
        <f>SUMIFS(Q4246:DK4246,Q$1:DK$1,Dashboard!$K$31)</f>
        <v>0</v>
      </c>
      <c r="U4246" s="95">
        <v>33</v>
      </c>
      <c r="AA4246" s="95">
        <v>25</v>
      </c>
      <c r="AH4246" s="95">
        <v>75</v>
      </c>
    </row>
    <row r="4247" spans="1:34" x14ac:dyDescent="0.3">
      <c r="A4247" s="89" t="str">
        <f>CONCATENATE(D4247,".",F4247,"-",G4247,".",H4247,"")</f>
        <v>4.5-1.1</v>
      </c>
      <c r="B4247" s="89" t="str">
        <f>IF(CONCATENATE(I4247,Key!F$2)=CONCATENATE(INDEX(Dashboard!J:J,MATCH(I4247,Dashboard!J:J,0),1),INDEX(Dashboard!J:K,MATCH(I4247,Dashboard!J:J,0),2)),"ON",IF(Dashboard!K$32="ALL","ON","-"))</f>
        <v>-</v>
      </c>
      <c r="C4247" s="88" t="s">
        <v>329</v>
      </c>
      <c r="D4247" s="89">
        <f>IF(C4247="ID",1,(IF(C4247="PR",2,(IF(C4247="DE",3,(IF(C4247="RS",4,(IF(C4247="RC",5,0)))))))))</f>
        <v>4</v>
      </c>
      <c r="E4247" s="89" t="s">
        <v>623</v>
      </c>
      <c r="F4247" s="89">
        <f>IF(E4247="AM",1,(IF(E4247="BE",2,(IF(E4247="GV",3,(IF(E4247="RA",4,(IF(E4247="RM",5,(IF(E4247="AC",1,(IF(E4247="AT",2,(IF(E4247="DS",3,(IF(E4247="IP",4,(IF(E4247="MA",5,(IF(E4247="PT",6,(IF(E4247="AE",1,(IF(E4247="CM",2,(IF(E4247="DP",3,(IF(E4247="AN",1,(IF(E4247="CO",2,(IF(E4247="IM",3,(IF(E4247="MI",4,(IF(E4247="RP",5,(IF(E4247="SC",6,0)))))))))))))))))))))))))))))))))))))))</f>
        <v>5</v>
      </c>
      <c r="G4247" s="52">
        <v>1</v>
      </c>
      <c r="H4247" s="90" t="s">
        <v>115</v>
      </c>
      <c r="I4247" s="94" t="s">
        <v>85</v>
      </c>
      <c r="J4247" s="87" t="s">
        <v>1919</v>
      </c>
      <c r="K4247" s="119" t="s">
        <v>4809</v>
      </c>
      <c r="L4247" s="117">
        <f>IF(O4247="","",N4247*O4247*M4247)</f>
        <v>0</v>
      </c>
      <c r="M4247" s="108">
        <v>1</v>
      </c>
      <c r="N4247" s="95">
        <v>1</v>
      </c>
      <c r="O4247" s="109">
        <f>IF(Key!D$1="ON",P4247,IF(SUM(Q4247:DL4247)&lt;1,"",SUM(Q4247:DL4247)/COUNTIF(Q4247:DL4247,"&gt;0")))</f>
        <v>0</v>
      </c>
      <c r="P4247" s="109">
        <f>SUMIFS(Q4247:DK4247,Q$1:DK$1,Dashboard!$K$31)</f>
        <v>0</v>
      </c>
      <c r="U4247" s="95">
        <v>33</v>
      </c>
      <c r="AA4247" s="95">
        <v>25</v>
      </c>
      <c r="AH4247" s="95">
        <v>75</v>
      </c>
    </row>
    <row r="4248" spans="1:34" x14ac:dyDescent="0.3">
      <c r="A4248" s="89" t="str">
        <f>CONCATENATE(D4248,".",F4248,"-",G4248,".",H4248,"")</f>
        <v>4.5-1.1</v>
      </c>
      <c r="B4248" s="89" t="str">
        <f>IF(CONCATENATE(I4248,Key!F$2)=CONCATENATE(INDEX(Dashboard!J:J,MATCH(I4248,Dashboard!J:J,0),1),INDEX(Dashboard!J:K,MATCH(I4248,Dashboard!J:J,0),2)),"ON",IF(Dashboard!K$32="ALL","ON","-"))</f>
        <v>-</v>
      </c>
      <c r="C4248" s="88" t="s">
        <v>329</v>
      </c>
      <c r="D4248" s="89">
        <f>IF(C4248="ID",1,(IF(C4248="PR",2,(IF(C4248="DE",3,(IF(C4248="RS",4,(IF(C4248="RC",5,0)))))))))</f>
        <v>4</v>
      </c>
      <c r="E4248" s="89" t="s">
        <v>623</v>
      </c>
      <c r="F4248" s="89">
        <f>IF(E4248="AM",1,(IF(E4248="BE",2,(IF(E4248="GV",3,(IF(E4248="RA",4,(IF(E4248="RM",5,(IF(E4248="AC",1,(IF(E4248="AT",2,(IF(E4248="DS",3,(IF(E4248="IP",4,(IF(E4248="MA",5,(IF(E4248="PT",6,(IF(E4248="AE",1,(IF(E4248="CM",2,(IF(E4248="DP",3,(IF(E4248="AN",1,(IF(E4248="CO",2,(IF(E4248="IM",3,(IF(E4248="MI",4,(IF(E4248="RP",5,(IF(E4248="SC",6,0)))))))))))))))))))))))))))))))))))))))</f>
        <v>5</v>
      </c>
      <c r="G4248" s="52">
        <v>1</v>
      </c>
      <c r="H4248" s="90" t="s">
        <v>115</v>
      </c>
      <c r="I4248" s="94" t="s">
        <v>85</v>
      </c>
      <c r="J4248" s="87" t="s">
        <v>1925</v>
      </c>
      <c r="K4248" s="119" t="s">
        <v>4813</v>
      </c>
      <c r="L4248" s="117">
        <f>IF(O4248="","",N4248*O4248*M4248)</f>
        <v>0</v>
      </c>
      <c r="M4248" s="108">
        <v>1</v>
      </c>
      <c r="N4248" s="95">
        <v>1</v>
      </c>
      <c r="O4248" s="109">
        <f>IF(Key!D$1="ON",P4248,IF(SUM(Q4248:DL4248)&lt;1,"",SUM(Q4248:DL4248)/COUNTIF(Q4248:DL4248,"&gt;0")))</f>
        <v>0</v>
      </c>
      <c r="P4248" s="109">
        <f>SUMIFS(Q4248:DK4248,Q$1:DK$1,Dashboard!$K$31)</f>
        <v>0</v>
      </c>
      <c r="U4248" s="95">
        <v>33</v>
      </c>
      <c r="AA4248" s="95">
        <v>25</v>
      </c>
      <c r="AH4248" s="95">
        <v>75</v>
      </c>
    </row>
    <row r="4249" spans="1:34" x14ac:dyDescent="0.3">
      <c r="A4249" s="89" t="str">
        <f>CONCATENATE(D4249,".",F4249,"-",G4249,".",H4249,"")</f>
        <v>4.5-1.1</v>
      </c>
      <c r="B4249" s="89" t="str">
        <f>IF(CONCATENATE(I4249,Key!F$2)=CONCATENATE(INDEX(Dashboard!J:J,MATCH(I4249,Dashboard!J:J,0),1),INDEX(Dashboard!J:K,MATCH(I4249,Dashboard!J:J,0),2)),"ON",IF(Dashboard!K$32="ALL","ON","-"))</f>
        <v>-</v>
      </c>
      <c r="C4249" s="88" t="s">
        <v>329</v>
      </c>
      <c r="D4249" s="89">
        <f>IF(C4249="ID",1,(IF(C4249="PR",2,(IF(C4249="DE",3,(IF(C4249="RS",4,(IF(C4249="RC",5,0)))))))))</f>
        <v>4</v>
      </c>
      <c r="E4249" s="89" t="s">
        <v>623</v>
      </c>
      <c r="F4249" s="89">
        <f>IF(E4249="AM",1,(IF(E4249="BE",2,(IF(E4249="GV",3,(IF(E4249="RA",4,(IF(E4249="RM",5,(IF(E4249="AC",1,(IF(E4249="AT",2,(IF(E4249="DS",3,(IF(E4249="IP",4,(IF(E4249="MA",5,(IF(E4249="PT",6,(IF(E4249="AE",1,(IF(E4249="CM",2,(IF(E4249="DP",3,(IF(E4249="AN",1,(IF(E4249="CO",2,(IF(E4249="IM",3,(IF(E4249="MI",4,(IF(E4249="RP",5,(IF(E4249="SC",6,0)))))))))))))))))))))))))))))))))))))))</f>
        <v>5</v>
      </c>
      <c r="G4249" s="52">
        <v>1</v>
      </c>
      <c r="H4249" s="90" t="s">
        <v>115</v>
      </c>
      <c r="I4249" s="94" t="s">
        <v>85</v>
      </c>
      <c r="J4249" s="87" t="s">
        <v>1916</v>
      </c>
      <c r="K4249" s="119" t="s">
        <v>1917</v>
      </c>
      <c r="L4249" s="117">
        <f>IF(O4249="","",N4249*O4249*M4249)</f>
        <v>0</v>
      </c>
      <c r="M4249" s="108">
        <v>1</v>
      </c>
      <c r="N4249" s="95">
        <v>1</v>
      </c>
      <c r="O4249" s="109">
        <f>IF(Key!D$1="ON",P4249,IF(SUM(Q4249:DL4249)&lt;1,"",SUM(Q4249:DL4249)/COUNTIF(Q4249:DL4249,"&gt;0")))</f>
        <v>0</v>
      </c>
      <c r="P4249" s="109">
        <f>SUMIFS(Q4249:DK4249,Q$1:DK$1,Dashboard!$K$31)</f>
        <v>0</v>
      </c>
      <c r="U4249" s="95">
        <v>33</v>
      </c>
      <c r="AA4249" s="95">
        <v>25</v>
      </c>
      <c r="AH4249" s="95">
        <v>75</v>
      </c>
    </row>
    <row r="4250" spans="1:34" x14ac:dyDescent="0.3">
      <c r="A4250" s="89" t="str">
        <f>CONCATENATE(D4250,".",F4250,"-",G4250,".",H4250,"")</f>
        <v>4.5-1.1</v>
      </c>
      <c r="B4250" s="89" t="str">
        <f>IF(CONCATENATE(I4250,Key!F$2)=CONCATENATE(INDEX(Dashboard!J:J,MATCH(I4250,Dashboard!J:J,0),1),INDEX(Dashboard!J:K,MATCH(I4250,Dashboard!J:J,0),2)),"ON",IF(Dashboard!K$32="ALL","ON","-"))</f>
        <v>-</v>
      </c>
      <c r="C4250" s="88" t="s">
        <v>329</v>
      </c>
      <c r="D4250" s="89">
        <f>IF(C4250="ID",1,(IF(C4250="PR",2,(IF(C4250="DE",3,(IF(C4250="RS",4,(IF(C4250="RC",5,0)))))))))</f>
        <v>4</v>
      </c>
      <c r="E4250" s="89" t="s">
        <v>623</v>
      </c>
      <c r="F4250" s="89">
        <f>IF(E4250="AM",1,(IF(E4250="BE",2,(IF(E4250="GV",3,(IF(E4250="RA",4,(IF(E4250="RM",5,(IF(E4250="AC",1,(IF(E4250="AT",2,(IF(E4250="DS",3,(IF(E4250="IP",4,(IF(E4250="MA",5,(IF(E4250="PT",6,(IF(E4250="AE",1,(IF(E4250="CM",2,(IF(E4250="DP",3,(IF(E4250="AN",1,(IF(E4250="CO",2,(IF(E4250="IM",3,(IF(E4250="MI",4,(IF(E4250="RP",5,(IF(E4250="SC",6,0)))))))))))))))))))))))))))))))))))))))</f>
        <v>5</v>
      </c>
      <c r="G4250" s="52">
        <v>1</v>
      </c>
      <c r="H4250" s="90" t="s">
        <v>115</v>
      </c>
      <c r="I4250" s="94" t="s">
        <v>85</v>
      </c>
      <c r="J4250" s="87" t="s">
        <v>1912</v>
      </c>
      <c r="K4250" s="119" t="s">
        <v>1913</v>
      </c>
      <c r="L4250" s="117">
        <f>IF(O4250="","",N4250*O4250*M4250)</f>
        <v>0</v>
      </c>
      <c r="M4250" s="108">
        <v>0.9</v>
      </c>
      <c r="N4250" s="95">
        <v>1</v>
      </c>
      <c r="O4250" s="109">
        <f>IF(Key!D$1="ON",P4250,IF(SUM(Q4250:DL4250)&lt;1,"",SUM(Q4250:DL4250)/COUNTIF(Q4250:DL4250,"&gt;0")))</f>
        <v>0</v>
      </c>
      <c r="P4250" s="109">
        <f>SUMIFS(Q4250:DK4250,Q$1:DK$1,Dashboard!$K$31)</f>
        <v>0</v>
      </c>
      <c r="S4250" s="95">
        <v>60</v>
      </c>
      <c r="T4250" s="95">
        <v>80</v>
      </c>
      <c r="U4250" s="95">
        <v>33</v>
      </c>
      <c r="AA4250" s="95">
        <v>25</v>
      </c>
      <c r="AH4250" s="95">
        <v>75</v>
      </c>
    </row>
    <row r="4251" spans="1:34" x14ac:dyDescent="0.3">
      <c r="A4251" s="89" t="str">
        <f>CONCATENATE(D4251,".",F4251,"-",G4251,".",H4251,"")</f>
        <v>4.5-1.1</v>
      </c>
      <c r="B4251" s="89" t="str">
        <f>IF(CONCATENATE(I4251,Key!F$2)=CONCATENATE(INDEX(Dashboard!J:J,MATCH(I4251,Dashboard!J:J,0),1),INDEX(Dashboard!J:K,MATCH(I4251,Dashboard!J:J,0),2)),"ON",IF(Dashboard!K$32="ALL","ON","-"))</f>
        <v>-</v>
      </c>
      <c r="C4251" s="88" t="s">
        <v>329</v>
      </c>
      <c r="D4251" s="89">
        <f>IF(C4251="ID",1,(IF(C4251="PR",2,(IF(C4251="DE",3,(IF(C4251="RS",4,(IF(C4251="RC",5,0)))))))))</f>
        <v>4</v>
      </c>
      <c r="E4251" s="89" t="s">
        <v>623</v>
      </c>
      <c r="F4251" s="89">
        <f>IF(E4251="AM",1,(IF(E4251="BE",2,(IF(E4251="GV",3,(IF(E4251="RA",4,(IF(E4251="RM",5,(IF(E4251="AC",1,(IF(E4251="AT",2,(IF(E4251="DS",3,(IF(E4251="IP",4,(IF(E4251="MA",5,(IF(E4251="PT",6,(IF(E4251="AE",1,(IF(E4251="CM",2,(IF(E4251="DP",3,(IF(E4251="AN",1,(IF(E4251="CO",2,(IF(E4251="IM",3,(IF(E4251="MI",4,(IF(E4251="RP",5,(IF(E4251="SC",6,0)))))))))))))))))))))))))))))))))))))))</f>
        <v>5</v>
      </c>
      <c r="G4251" s="52">
        <v>1</v>
      </c>
      <c r="H4251" s="90" t="s">
        <v>115</v>
      </c>
      <c r="I4251" s="94" t="s">
        <v>85</v>
      </c>
      <c r="J4251" s="87" t="s">
        <v>1920</v>
      </c>
      <c r="K4251" s="119" t="s">
        <v>1921</v>
      </c>
      <c r="L4251" s="117">
        <f>IF(O4251="","",N4251*O4251*M4251)</f>
        <v>0</v>
      </c>
      <c r="M4251" s="108">
        <v>1</v>
      </c>
      <c r="N4251" s="95">
        <v>1</v>
      </c>
      <c r="O4251" s="109">
        <f>IF(Key!D$1="ON",P4251,IF(SUM(Q4251:DL4251)&lt;1,"",SUM(Q4251:DL4251)/COUNTIF(Q4251:DL4251,"&gt;0")))</f>
        <v>0</v>
      </c>
      <c r="P4251" s="109">
        <f>SUMIFS(Q4251:DK4251,Q$1:DK$1,Dashboard!$K$31)</f>
        <v>0</v>
      </c>
      <c r="U4251" s="95">
        <v>33</v>
      </c>
      <c r="AA4251" s="95">
        <v>25</v>
      </c>
      <c r="AH4251" s="95">
        <v>75</v>
      </c>
    </row>
    <row r="4252" spans="1:34" x14ac:dyDescent="0.3">
      <c r="A4252" s="89" t="str">
        <f>CONCATENATE(D4252,".",F4252,"-",G4252,".",H4252,"")</f>
        <v>4.5-1.1</v>
      </c>
      <c r="B4252" s="89" t="str">
        <f>IF(CONCATENATE(I4252,Key!F$2)=CONCATENATE(INDEX(Dashboard!J:J,MATCH(I4252,Dashboard!J:J,0),1),INDEX(Dashboard!J:K,MATCH(I4252,Dashboard!J:J,0),2)),"ON",IF(Dashboard!K$32="ALL","ON","-"))</f>
        <v>-</v>
      </c>
      <c r="C4252" s="88" t="s">
        <v>329</v>
      </c>
      <c r="D4252" s="89">
        <f>IF(C4252="ID",1,(IF(C4252="PR",2,(IF(C4252="DE",3,(IF(C4252="RS",4,(IF(C4252="RC",5,0)))))))))</f>
        <v>4</v>
      </c>
      <c r="E4252" s="89" t="s">
        <v>623</v>
      </c>
      <c r="F4252" s="89">
        <f>IF(E4252="AM",1,(IF(E4252="BE",2,(IF(E4252="GV",3,(IF(E4252="RA",4,(IF(E4252="RM",5,(IF(E4252="AC",1,(IF(E4252="AT",2,(IF(E4252="DS",3,(IF(E4252="IP",4,(IF(E4252="MA",5,(IF(E4252="PT",6,(IF(E4252="AE",1,(IF(E4252="CM",2,(IF(E4252="DP",3,(IF(E4252="AN",1,(IF(E4252="CO",2,(IF(E4252="IM",3,(IF(E4252="MI",4,(IF(E4252="RP",5,(IF(E4252="SC",6,0)))))))))))))))))))))))))))))))))))))))</f>
        <v>5</v>
      </c>
      <c r="G4252" s="52">
        <v>1</v>
      </c>
      <c r="H4252" s="90" t="s">
        <v>115</v>
      </c>
      <c r="I4252" s="94" t="s">
        <v>85</v>
      </c>
      <c r="J4252" s="86" t="s">
        <v>699</v>
      </c>
      <c r="K4252" s="119" t="s">
        <v>4800</v>
      </c>
      <c r="L4252" s="117">
        <f>IF(O4252="","",N4252*O4252*M4252)</f>
        <v>0</v>
      </c>
      <c r="M4252" s="108">
        <v>1</v>
      </c>
      <c r="N4252" s="95">
        <v>1</v>
      </c>
      <c r="O4252" s="109">
        <f>IF(Key!D$1="ON",P4252,IF(SUM(Q4252:DL4252)&lt;1,"",SUM(Q4252:DL4252)/COUNTIF(Q4252:DL4252,"&gt;0")))</f>
        <v>0</v>
      </c>
      <c r="P4252" s="109">
        <f>SUMIFS(Q4252:DK4252,Q$1:DK$1,Dashboard!$K$31)</f>
        <v>0</v>
      </c>
      <c r="U4252" s="95">
        <v>33</v>
      </c>
      <c r="AA4252" s="95">
        <v>25</v>
      </c>
      <c r="AH4252" s="95">
        <v>75</v>
      </c>
    </row>
    <row r="4253" spans="1:34" x14ac:dyDescent="0.3">
      <c r="A4253" s="89" t="str">
        <f>CONCATENATE(D4253,".",F4253,"-",G4253,".",H4253,"")</f>
        <v>4.5-1.1</v>
      </c>
      <c r="B4253" s="89" t="str">
        <f>IF(CONCATENATE(I4253,Key!F$2)=CONCATENATE(INDEX(Dashboard!J:J,MATCH(I4253,Dashboard!J:J,0),1),INDEX(Dashboard!J:K,MATCH(I4253,Dashboard!J:J,0),2)),"ON",IF(Dashboard!K$32="ALL","ON","-"))</f>
        <v>-</v>
      </c>
      <c r="C4253" s="88" t="s">
        <v>329</v>
      </c>
      <c r="D4253" s="89">
        <f>IF(C4253="ID",1,(IF(C4253="PR",2,(IF(C4253="DE",3,(IF(C4253="RS",4,(IF(C4253="RC",5,0)))))))))</f>
        <v>4</v>
      </c>
      <c r="E4253" s="89" t="s">
        <v>623</v>
      </c>
      <c r="F4253" s="89">
        <f>IF(E4253="AM",1,(IF(E4253="BE",2,(IF(E4253="GV",3,(IF(E4253="RA",4,(IF(E4253="RM",5,(IF(E4253="AC",1,(IF(E4253="AT",2,(IF(E4253="DS",3,(IF(E4253="IP",4,(IF(E4253="MA",5,(IF(E4253="PT",6,(IF(E4253="AE",1,(IF(E4253="CM",2,(IF(E4253="DP",3,(IF(E4253="AN",1,(IF(E4253="CO",2,(IF(E4253="IM",3,(IF(E4253="MI",4,(IF(E4253="RP",5,(IF(E4253="SC",6,0)))))))))))))))))))))))))))))))))))))))</f>
        <v>5</v>
      </c>
      <c r="G4253" s="52">
        <v>1</v>
      </c>
      <c r="H4253" s="90" t="s">
        <v>115</v>
      </c>
      <c r="I4253" s="94" t="s">
        <v>85</v>
      </c>
      <c r="J4253" s="87" t="s">
        <v>1924</v>
      </c>
      <c r="K4253" s="119" t="s">
        <v>4812</v>
      </c>
      <c r="L4253" s="117">
        <f>IF(O4253="","",N4253*O4253*M4253)</f>
        <v>0</v>
      </c>
      <c r="M4253" s="108">
        <v>1</v>
      </c>
      <c r="N4253" s="95">
        <v>1</v>
      </c>
      <c r="O4253" s="109">
        <f>IF(Key!D$1="ON",P4253,IF(SUM(Q4253:DL4253)&lt;1,"",SUM(Q4253:DL4253)/COUNTIF(Q4253:DL4253,"&gt;0")))</f>
        <v>0</v>
      </c>
      <c r="P4253" s="109">
        <f>SUMIFS(Q4253:DK4253,Q$1:DK$1,Dashboard!$K$31)</f>
        <v>0</v>
      </c>
      <c r="U4253" s="95">
        <v>33</v>
      </c>
      <c r="AA4253" s="95">
        <v>25</v>
      </c>
      <c r="AH4253" s="95">
        <v>75</v>
      </c>
    </row>
    <row r="4254" spans="1:34" x14ac:dyDescent="0.3">
      <c r="A4254" s="89" t="str">
        <f>CONCATENATE(D4254,".",F4254,"-",G4254,".",H4254,"")</f>
        <v>4.5-1.1</v>
      </c>
      <c r="B4254" s="89" t="str">
        <f>IF(CONCATENATE(I4254,Key!F$2)=CONCATENATE(INDEX(Dashboard!J:J,MATCH(I4254,Dashboard!J:J,0),1),INDEX(Dashboard!J:K,MATCH(I4254,Dashboard!J:J,0),2)),"ON",IF(Dashboard!K$32="ALL","ON","-"))</f>
        <v>-</v>
      </c>
      <c r="C4254" s="88" t="s">
        <v>329</v>
      </c>
      <c r="D4254" s="89">
        <f>IF(C4254="ID",1,(IF(C4254="PR",2,(IF(C4254="DE",3,(IF(C4254="RS",4,(IF(C4254="RC",5,0)))))))))</f>
        <v>4</v>
      </c>
      <c r="E4254" s="89" t="s">
        <v>623</v>
      </c>
      <c r="F4254" s="89">
        <f>IF(E4254="AM",1,(IF(E4254="BE",2,(IF(E4254="GV",3,(IF(E4254="RA",4,(IF(E4254="RM",5,(IF(E4254="AC",1,(IF(E4254="AT",2,(IF(E4254="DS",3,(IF(E4254="IP",4,(IF(E4254="MA",5,(IF(E4254="PT",6,(IF(E4254="AE",1,(IF(E4254="CM",2,(IF(E4254="DP",3,(IF(E4254="AN",1,(IF(E4254="CO",2,(IF(E4254="IM",3,(IF(E4254="MI",4,(IF(E4254="RP",5,(IF(E4254="SC",6,0)))))))))))))))))))))))))))))))))))))))</f>
        <v>5</v>
      </c>
      <c r="G4254" s="52">
        <v>1</v>
      </c>
      <c r="H4254" s="90" t="s">
        <v>115</v>
      </c>
      <c r="I4254" s="94" t="s">
        <v>85</v>
      </c>
      <c r="J4254" s="87" t="s">
        <v>1909</v>
      </c>
      <c r="K4254" s="119" t="s">
        <v>4738</v>
      </c>
      <c r="L4254" s="117">
        <f>IF(O4254="","",N4254*O4254*M4254)</f>
        <v>0</v>
      </c>
      <c r="M4254" s="108">
        <v>1</v>
      </c>
      <c r="N4254" s="95">
        <v>1</v>
      </c>
      <c r="O4254" s="109">
        <f>IF(Key!D$1="ON",P4254,IF(SUM(Q4254:DL4254)&lt;1,"",SUM(Q4254:DL4254)/COUNTIF(Q4254:DL4254,"&gt;0")))</f>
        <v>0</v>
      </c>
      <c r="P4254" s="109">
        <f>SUMIFS(Q4254:DK4254,Q$1:DK$1,Dashboard!$K$31)</f>
        <v>0</v>
      </c>
      <c r="U4254" s="95">
        <v>33</v>
      </c>
      <c r="AA4254" s="95">
        <v>25</v>
      </c>
      <c r="AH4254" s="95">
        <v>75</v>
      </c>
    </row>
    <row r="4255" spans="1:34" x14ac:dyDescent="0.3">
      <c r="A4255" s="89" t="str">
        <f>CONCATENATE(D4255,".",F4255,"-",G4255,".",H4255,"")</f>
        <v>4.5-1.1</v>
      </c>
      <c r="B4255" s="89" t="str">
        <f>IF(CONCATENATE(I4255,Key!F$2)=CONCATENATE(INDEX(Dashboard!J:J,MATCH(I4255,Dashboard!J:J,0),1),INDEX(Dashboard!J:K,MATCH(I4255,Dashboard!J:J,0),2)),"ON",IF(Dashboard!K$32="ALL","ON","-"))</f>
        <v>-</v>
      </c>
      <c r="C4255" s="88" t="s">
        <v>329</v>
      </c>
      <c r="D4255" s="89">
        <f>IF(C4255="ID",1,(IF(C4255="PR",2,(IF(C4255="DE",3,(IF(C4255="RS",4,(IF(C4255="RC",5,0)))))))))</f>
        <v>4</v>
      </c>
      <c r="E4255" s="89" t="s">
        <v>623</v>
      </c>
      <c r="F4255" s="89">
        <f>IF(E4255="AM",1,(IF(E4255="BE",2,(IF(E4255="GV",3,(IF(E4255="RA",4,(IF(E4255="RM",5,(IF(E4255="AC",1,(IF(E4255="AT",2,(IF(E4255="DS",3,(IF(E4255="IP",4,(IF(E4255="MA",5,(IF(E4255="PT",6,(IF(E4255="AE",1,(IF(E4255="CM",2,(IF(E4255="DP",3,(IF(E4255="AN",1,(IF(E4255="CO",2,(IF(E4255="IM",3,(IF(E4255="MI",4,(IF(E4255="RP",5,(IF(E4255="SC",6,0)))))))))))))))))))))))))))))))))))))))</f>
        <v>5</v>
      </c>
      <c r="G4255" s="52">
        <v>1</v>
      </c>
      <c r="H4255" s="89">
        <v>1</v>
      </c>
      <c r="I4255" s="94" t="s">
        <v>85</v>
      </c>
      <c r="J4255" s="86" t="s">
        <v>767</v>
      </c>
      <c r="K4255" s="119" t="s">
        <v>768</v>
      </c>
      <c r="L4255" s="117">
        <f>IF(O4255="","",N4255*O4255*M4255)</f>
        <v>0</v>
      </c>
      <c r="M4255" s="108">
        <v>1</v>
      </c>
      <c r="N4255" s="95">
        <v>1</v>
      </c>
      <c r="O4255" s="109">
        <f>IF(Key!D$1="ON",P4255,IF(SUM(Q4255:DL4255)&lt;1,"",SUM(Q4255:DL4255)/COUNTIF(Q4255:DL4255,"&gt;0")))</f>
        <v>0</v>
      </c>
      <c r="P4255" s="109">
        <f>SUMIFS(Q4255:DK4255,Q$1:DK$1,Dashboard!$K$31)</f>
        <v>0</v>
      </c>
      <c r="U4255" s="95">
        <v>33</v>
      </c>
      <c r="AA4255" s="95">
        <v>25</v>
      </c>
      <c r="AH4255" s="95">
        <v>75</v>
      </c>
    </row>
    <row r="4256" spans="1:34" x14ac:dyDescent="0.3">
      <c r="A4256" s="89" t="str">
        <f>CONCATENATE(D4256,".",F4256,"-",G4256,".",H4256,"")</f>
        <v>4.5-1.1</v>
      </c>
      <c r="B4256" s="89" t="str">
        <f>IF(CONCATENATE(I4256,Key!F$2)=CONCATENATE(INDEX(Dashboard!J:J,MATCH(I4256,Dashboard!J:J,0),1),INDEX(Dashboard!J:K,MATCH(I4256,Dashboard!J:J,0),2)),"ON",IF(Dashboard!K$32="ALL","ON","-"))</f>
        <v>-</v>
      </c>
      <c r="C4256" s="88" t="s">
        <v>329</v>
      </c>
      <c r="D4256" s="89">
        <f>IF(C4256="ID",1,(IF(C4256="PR",2,(IF(C4256="DE",3,(IF(C4256="RS",4,(IF(C4256="RC",5,0)))))))))</f>
        <v>4</v>
      </c>
      <c r="E4256" s="89" t="s">
        <v>623</v>
      </c>
      <c r="F4256" s="89">
        <f>IF(E4256="AM",1,(IF(E4256="BE",2,(IF(E4256="GV",3,(IF(E4256="RA",4,(IF(E4256="RM",5,(IF(E4256="AC",1,(IF(E4256="AT",2,(IF(E4256="DS",3,(IF(E4256="IP",4,(IF(E4256="MA",5,(IF(E4256="PT",6,(IF(E4256="AE",1,(IF(E4256="CM",2,(IF(E4256="DP",3,(IF(E4256="AN",1,(IF(E4256="CO",2,(IF(E4256="IM",3,(IF(E4256="MI",4,(IF(E4256="RP",5,(IF(E4256="SC",6,0)))))))))))))))))))))))))))))))))))))))</f>
        <v>5</v>
      </c>
      <c r="G4256" s="52">
        <v>1</v>
      </c>
      <c r="H4256" s="90" t="s">
        <v>115</v>
      </c>
      <c r="I4256" s="94" t="s">
        <v>85</v>
      </c>
      <c r="J4256" s="87" t="s">
        <v>1914</v>
      </c>
      <c r="K4256" s="119" t="s">
        <v>4716</v>
      </c>
      <c r="L4256" s="117">
        <f>IF(O4256="","",N4256*O4256*M4256)</f>
        <v>0</v>
      </c>
      <c r="M4256" s="108">
        <v>0.9</v>
      </c>
      <c r="N4256" s="95">
        <v>1</v>
      </c>
      <c r="O4256" s="109">
        <f>IF(Key!D$1="ON",P4256,IF(SUM(Q4256:DL4256)&lt;1,"",SUM(Q4256:DL4256)/COUNTIF(Q4256:DL4256,"&gt;0")))</f>
        <v>0</v>
      </c>
      <c r="P4256" s="109">
        <f>SUMIFS(Q4256:DK4256,Q$1:DK$1,Dashboard!$K$31)</f>
        <v>0</v>
      </c>
      <c r="S4256" s="95">
        <v>60</v>
      </c>
      <c r="T4256" s="95">
        <v>80</v>
      </c>
      <c r="U4256" s="95">
        <v>33</v>
      </c>
      <c r="AA4256" s="95">
        <v>25</v>
      </c>
      <c r="AH4256" s="95">
        <v>75</v>
      </c>
    </row>
    <row r="4257" spans="1:34" x14ac:dyDescent="0.3">
      <c r="A4257" s="89" t="str">
        <f>CONCATENATE(D4257,".",F4257,"-",G4257,".",H4257,"")</f>
        <v>4.5-1.1</v>
      </c>
      <c r="B4257" s="89" t="str">
        <f>IF(CONCATENATE(I4257,Key!F$2)=CONCATENATE(INDEX(Dashboard!J:J,MATCH(I4257,Dashboard!J:J,0),1),INDEX(Dashboard!J:K,MATCH(I4257,Dashboard!J:J,0),2)),"ON",IF(Dashboard!K$32="ALL","ON","-"))</f>
        <v>-</v>
      </c>
      <c r="C4257" s="96" t="s">
        <v>329</v>
      </c>
      <c r="D4257" s="89">
        <f>IF(C4257="ID",1,(IF(C4257="PR",2,(IF(C4257="DE",3,(IF(C4257="RS",4,(IF(C4257="RC",5,0)))))))))</f>
        <v>4</v>
      </c>
      <c r="E4257" s="89" t="s">
        <v>623</v>
      </c>
      <c r="F4257" s="89">
        <f>IF(E4257="AM",1,(IF(E4257="BE",2,(IF(E4257="GV",3,(IF(E4257="RA",4,(IF(E4257="RM",5,(IF(E4257="AC",1,(IF(E4257="AT",2,(IF(E4257="DS",3,(IF(E4257="IP",4,(IF(E4257="MA",5,(IF(E4257="PT",6,(IF(E4257="AE",1,(IF(E4257="CM",2,(IF(E4257="DP",3,(IF(E4257="AN",1,(IF(E4257="CO",2,(IF(E4257="IM",3,(IF(E4257="MI",4,(IF(E4257="RP",5,(IF(E4257="SC",6,0)))))))))))))))))))))))))))))))))))))))</f>
        <v>5</v>
      </c>
      <c r="G4257" s="98">
        <v>1</v>
      </c>
      <c r="H4257" s="90" t="s">
        <v>115</v>
      </c>
      <c r="I4257" s="94" t="s">
        <v>85</v>
      </c>
      <c r="J4257" s="87" t="s">
        <v>1906</v>
      </c>
      <c r="K4257" s="119" t="s">
        <v>1907</v>
      </c>
      <c r="L4257" s="117">
        <f>IF(O4257="","",N4257*O4257*M4257)</f>
        <v>0</v>
      </c>
      <c r="M4257" s="108">
        <v>1</v>
      </c>
      <c r="N4257" s="95">
        <v>1</v>
      </c>
      <c r="O4257" s="109">
        <f>IF(Key!D$1="ON",P4257,IF(SUM(Q4257:DL4257)&lt;1,"",SUM(Q4257:DL4257)/COUNTIF(Q4257:DL4257,"&gt;0")))</f>
        <v>0</v>
      </c>
      <c r="P4257" s="109">
        <f>SUMIFS(Q4257:DK4257,Q$1:DK$1,Dashboard!$K$31)</f>
        <v>0</v>
      </c>
      <c r="U4257" s="95">
        <v>33</v>
      </c>
      <c r="AA4257" s="95">
        <v>25</v>
      </c>
      <c r="AH4257" s="95">
        <v>75</v>
      </c>
    </row>
    <row r="4258" spans="1:34" x14ac:dyDescent="0.3">
      <c r="A4258" s="89" t="str">
        <f>CONCATENATE(D4258,".",F4258,"-",G4258,".",H4258,"")</f>
        <v>4.5-1.1</v>
      </c>
      <c r="B4258" s="89" t="str">
        <f>IF(CONCATENATE(I4258,Key!F$2)=CONCATENATE(INDEX(Dashboard!J:J,MATCH(I4258,Dashboard!J:J,0),1),INDEX(Dashboard!J:K,MATCH(I4258,Dashboard!J:J,0),2)),"ON",IF(Dashboard!K$32="ALL","ON","-"))</f>
        <v>-</v>
      </c>
      <c r="C4258" s="88" t="s">
        <v>329</v>
      </c>
      <c r="D4258" s="89">
        <f>IF(C4258="ID",1,(IF(C4258="PR",2,(IF(C4258="DE",3,(IF(C4258="RS",4,(IF(C4258="RC",5,0)))))))))</f>
        <v>4</v>
      </c>
      <c r="E4258" s="89" t="s">
        <v>623</v>
      </c>
      <c r="F4258" s="89">
        <f>IF(E4258="AM",1,(IF(E4258="BE",2,(IF(E4258="GV",3,(IF(E4258="RA",4,(IF(E4258="RM",5,(IF(E4258="AC",1,(IF(E4258="AT",2,(IF(E4258="DS",3,(IF(E4258="IP",4,(IF(E4258="MA",5,(IF(E4258="PT",6,(IF(E4258="AE",1,(IF(E4258="CM",2,(IF(E4258="DP",3,(IF(E4258="AN",1,(IF(E4258="CO",2,(IF(E4258="IM",3,(IF(E4258="MI",4,(IF(E4258="RP",5,(IF(E4258="SC",6,0)))))))))))))))))))))))))))))))))))))))</f>
        <v>5</v>
      </c>
      <c r="G4258" s="52">
        <v>1</v>
      </c>
      <c r="H4258" s="90" t="s">
        <v>115</v>
      </c>
      <c r="I4258" s="94" t="s">
        <v>85</v>
      </c>
      <c r="J4258" s="87" t="s">
        <v>1923</v>
      </c>
      <c r="K4258" s="119" t="s">
        <v>4811</v>
      </c>
      <c r="L4258" s="117">
        <f>IF(O4258="","",N4258*O4258*M4258)</f>
        <v>0</v>
      </c>
      <c r="M4258" s="108">
        <v>0.9</v>
      </c>
      <c r="N4258" s="95">
        <v>1</v>
      </c>
      <c r="O4258" s="109">
        <f>IF(Key!D$1="ON",P4258,IF(SUM(Q4258:DL4258)&lt;1,"",SUM(Q4258:DL4258)/COUNTIF(Q4258:DL4258,"&gt;0")))</f>
        <v>0</v>
      </c>
      <c r="P4258" s="109">
        <f>SUMIFS(Q4258:DK4258,Q$1:DK$1,Dashboard!$K$31)</f>
        <v>0</v>
      </c>
      <c r="S4258" s="95">
        <v>1</v>
      </c>
      <c r="T4258" s="95">
        <v>80</v>
      </c>
      <c r="U4258" s="95">
        <v>33</v>
      </c>
      <c r="AA4258" s="95">
        <v>25</v>
      </c>
      <c r="AH4258" s="95">
        <v>75</v>
      </c>
    </row>
    <row r="4259" spans="1:34" x14ac:dyDescent="0.3">
      <c r="A4259" s="89" t="str">
        <f>CONCATENATE(D4259,".",F4259,"-",G4259,".",H4259,"")</f>
        <v>4.5-1.1</v>
      </c>
      <c r="B4259" s="89" t="str">
        <f>IF(CONCATENATE(I4259,Key!F$2)=CONCATENATE(INDEX(Dashboard!J:J,MATCH(I4259,Dashboard!J:J,0),1),INDEX(Dashboard!J:K,MATCH(I4259,Dashboard!J:J,0),2)),"ON",IF(Dashboard!K$32="ALL","ON","-"))</f>
        <v>-</v>
      </c>
      <c r="C4259" s="88" t="s">
        <v>329</v>
      </c>
      <c r="D4259" s="89">
        <f>IF(C4259="ID",1,(IF(C4259="PR",2,(IF(C4259="DE",3,(IF(C4259="RS",4,(IF(C4259="RC",5,0)))))))))</f>
        <v>4</v>
      </c>
      <c r="E4259" s="89" t="s">
        <v>623</v>
      </c>
      <c r="F4259" s="89">
        <f>IF(E4259="AM",1,(IF(E4259="BE",2,(IF(E4259="GV",3,(IF(E4259="RA",4,(IF(E4259="RM",5,(IF(E4259="AC",1,(IF(E4259="AT",2,(IF(E4259="DS",3,(IF(E4259="IP",4,(IF(E4259="MA",5,(IF(E4259="PT",6,(IF(E4259="AE",1,(IF(E4259="CM",2,(IF(E4259="DP",3,(IF(E4259="AN",1,(IF(E4259="CO",2,(IF(E4259="IM",3,(IF(E4259="MI",4,(IF(E4259="RP",5,(IF(E4259="SC",6,0)))))))))))))))))))))))))))))))))))))))</f>
        <v>5</v>
      </c>
      <c r="G4259" s="52">
        <v>1</v>
      </c>
      <c r="H4259" s="90" t="s">
        <v>115</v>
      </c>
      <c r="I4259" s="94" t="s">
        <v>85</v>
      </c>
      <c r="J4259" s="87" t="s">
        <v>1908</v>
      </c>
      <c r="K4259" s="119" t="s">
        <v>4737</v>
      </c>
      <c r="L4259" s="117">
        <f>IF(O4259="","",N4259*O4259*M4259)</f>
        <v>0</v>
      </c>
      <c r="M4259" s="108">
        <v>1</v>
      </c>
      <c r="N4259" s="95">
        <v>1</v>
      </c>
      <c r="O4259" s="109">
        <f>IF(Key!D$1="ON",P4259,IF(SUM(Q4259:DL4259)&lt;1,"",SUM(Q4259:DL4259)/COUNTIF(Q4259:DL4259,"&gt;0")))</f>
        <v>0</v>
      </c>
      <c r="P4259" s="109">
        <f>SUMIFS(Q4259:DK4259,Q$1:DK$1,Dashboard!$K$31)</f>
        <v>0</v>
      </c>
      <c r="U4259" s="95">
        <v>33</v>
      </c>
      <c r="AA4259" s="95">
        <v>25</v>
      </c>
      <c r="AH4259" s="95">
        <v>75</v>
      </c>
    </row>
    <row r="4260" spans="1:34" x14ac:dyDescent="0.3">
      <c r="A4260" s="89" t="str">
        <f>CONCATENATE(D4260,".",F4260,"-",G4260,".",H4260,"")</f>
        <v>5.2-0.0</v>
      </c>
      <c r="B4260" s="89" t="str">
        <f>IF(CONCATENATE(I4260,Key!F$2)=CONCATENATE(INDEX(Dashboard!J:J,MATCH(I4260,Dashboard!J:J,0),1),INDEX(Dashboard!J:K,MATCH(I4260,Dashboard!J:J,0),2)),"ON",IF(Dashboard!K$32="ALL","ON","-"))</f>
        <v>-</v>
      </c>
      <c r="C4260" s="96" t="s">
        <v>622</v>
      </c>
      <c r="D4260" s="89">
        <f>IF(C4260="ID",1,(IF(C4260="PR",2,(IF(C4260="DE",3,(IF(C4260="RS",4,(IF(C4260="RC",5,0)))))))))</f>
        <v>5</v>
      </c>
      <c r="E4260" s="89" t="s">
        <v>341</v>
      </c>
      <c r="F4260" s="89">
        <f>IF(E4260="AM",1,(IF(E4260="BE",2,(IF(E4260="GV",3,(IF(E4260="RA",4,(IF(E4260="RM",5,(IF(E4260="AC",1,(IF(E4260="AT",2,(IF(E4260="DS",3,(IF(E4260="IP",4,(IF(E4260="MA",5,(IF(E4260="PT",6,(IF(E4260="AE",1,(IF(E4260="CM",2,(IF(E4260="DP",3,(IF(E4260="AN",1,(IF(E4260="CO",2,(IF(E4260="IM",3,(IF(E4260="MI",4,(IF(E4260="RP",5,(IF(E4260="SC",6,0)))))))))))))))))))))))))))))))))))))))</f>
        <v>2</v>
      </c>
      <c r="G4260" s="52">
        <v>0</v>
      </c>
      <c r="H4260" s="90" t="s">
        <v>347</v>
      </c>
      <c r="I4260" s="94" t="s">
        <v>2835</v>
      </c>
      <c r="J4260" s="141" t="s">
        <v>3096</v>
      </c>
      <c r="K4260" s="146" t="s">
        <v>3097</v>
      </c>
      <c r="L4260" s="117">
        <f>IF(O4260="","",N4260*O4260*M4260)</f>
        <v>0</v>
      </c>
      <c r="M4260" s="108">
        <v>1</v>
      </c>
      <c r="N4260" s="95">
        <v>1</v>
      </c>
      <c r="O4260" s="109">
        <f>IF(Key!D$1="ON",P4260,IF(SUM(Q4260:DL4260)&lt;1,"",SUM(Q4260:DL4260)/COUNTIF(Q4260:DL4260,"&gt;0")))</f>
        <v>0</v>
      </c>
      <c r="P4260" s="109">
        <f>SUMIFS(Q4260:DK4260,Q$1:DK$1,Dashboard!$K$31)</f>
        <v>0</v>
      </c>
      <c r="Q4260" s="110">
        <v>83</v>
      </c>
      <c r="U4260" s="95">
        <v>33</v>
      </c>
    </row>
    <row r="4261" spans="1:34" x14ac:dyDescent="0.3">
      <c r="A4261" s="89" t="str">
        <f>CONCATENATE(D4261,".",F4261,"-",G4261,".",H4261,"")</f>
        <v>5.2-0.1</v>
      </c>
      <c r="B4261" s="89" t="str">
        <f>IF(CONCATENATE(I4261,Key!F$2)=CONCATENATE(INDEX(Dashboard!J:J,MATCH(I4261,Dashboard!J:J,0),1),INDEX(Dashboard!J:K,MATCH(I4261,Dashboard!J:J,0),2)),"ON",IF(Dashboard!K$32="ALL","ON","-"))</f>
        <v>-</v>
      </c>
      <c r="C4261" s="96" t="s">
        <v>622</v>
      </c>
      <c r="D4261" s="89">
        <f>IF(C4261="ID",1,(IF(C4261="PR",2,(IF(C4261="DE",3,(IF(C4261="RS",4,(IF(C4261="RC",5,0)))))))))</f>
        <v>5</v>
      </c>
      <c r="E4261" s="89" t="s">
        <v>341</v>
      </c>
      <c r="F4261" s="89">
        <f>IF(E4261="AM",1,(IF(E4261="BE",2,(IF(E4261="GV",3,(IF(E4261="RA",4,(IF(E4261="RM",5,(IF(E4261="AC",1,(IF(E4261="AT",2,(IF(E4261="DS",3,(IF(E4261="IP",4,(IF(E4261="MA",5,(IF(E4261="PT",6,(IF(E4261="AE",1,(IF(E4261="CM",2,(IF(E4261="DP",3,(IF(E4261="AN",1,(IF(E4261="CO",2,(IF(E4261="IM",3,(IF(E4261="MI",4,(IF(E4261="RP",5,(IF(E4261="SC",6,0)))))))))))))))))))))))))))))))))))))))</f>
        <v>2</v>
      </c>
      <c r="G4261" s="52">
        <v>0</v>
      </c>
      <c r="H4261" s="90" t="s">
        <v>115</v>
      </c>
      <c r="I4261" s="94" t="s">
        <v>2835</v>
      </c>
      <c r="J4261" s="60" t="s">
        <v>3096</v>
      </c>
      <c r="K4261" s="106" t="s">
        <v>3098</v>
      </c>
      <c r="L4261" s="117">
        <f>IF(O4261="","",N4261*O4261*M4261)</f>
        <v>0</v>
      </c>
      <c r="M4261" s="108">
        <v>1</v>
      </c>
      <c r="N4261" s="95">
        <v>1</v>
      </c>
      <c r="O4261" s="109">
        <f>IF(Key!D$1="ON",P4261,IF(SUM(Q4261:DL4261)&lt;1,"",SUM(Q4261:DL4261)/COUNTIF(Q4261:DL4261,"&gt;0")))</f>
        <v>0</v>
      </c>
      <c r="P4261" s="109">
        <f>SUMIFS(Q4261:DK4261,Q$1:DK$1,Dashboard!$K$31)</f>
        <v>0</v>
      </c>
      <c r="Q4261" s="110">
        <v>83</v>
      </c>
      <c r="U4261" s="95">
        <v>33</v>
      </c>
      <c r="AA4261" s="95">
        <v>50</v>
      </c>
    </row>
    <row r="4262" spans="1:34" x14ac:dyDescent="0.3">
      <c r="A4262" s="89" t="str">
        <f>CONCATENATE(D4262,".",F4262,"-",G4262,".",H4262,"")</f>
        <v>5.2-1.0</v>
      </c>
      <c r="B4262" s="89" t="str">
        <f>IF(CONCATENATE(I4262,Key!F$2)=CONCATENATE(INDEX(Dashboard!J:J,MATCH(I4262,Dashboard!J:J,0),1),INDEX(Dashboard!J:K,MATCH(I4262,Dashboard!J:J,0),2)),"ON",IF(Dashboard!K$32="ALL","ON","-"))</f>
        <v>-</v>
      </c>
      <c r="C4262" s="96" t="s">
        <v>622</v>
      </c>
      <c r="D4262" s="89">
        <f>IF(C4262="ID",1,(IF(C4262="PR",2,(IF(C4262="DE",3,(IF(C4262="RS",4,(IF(C4262="RC",5,0)))))))))</f>
        <v>5</v>
      </c>
      <c r="E4262" s="89" t="s">
        <v>341</v>
      </c>
      <c r="F4262" s="89">
        <f>IF(E4262="AM",1,(IF(E4262="BE",2,(IF(E4262="GV",3,(IF(E4262="RA",4,(IF(E4262="RM",5,(IF(E4262="AC",1,(IF(E4262="AT",2,(IF(E4262="DS",3,(IF(E4262="IP",4,(IF(E4262="MA",5,(IF(E4262="PT",6,(IF(E4262="AE",1,(IF(E4262="CM",2,(IF(E4262="DP",3,(IF(E4262="AN",1,(IF(E4262="CO",2,(IF(E4262="IM",3,(IF(E4262="MI",4,(IF(E4262="RP",5,(IF(E4262="SC",6,0)))))))))))))))))))))))))))))))))))))))</f>
        <v>2</v>
      </c>
      <c r="G4262" s="52">
        <v>1</v>
      </c>
      <c r="H4262" s="90" t="s">
        <v>347</v>
      </c>
      <c r="I4262" s="94" t="s">
        <v>2835</v>
      </c>
      <c r="J4262" s="53" t="s">
        <v>3099</v>
      </c>
      <c r="K4262" s="106" t="s">
        <v>3100</v>
      </c>
      <c r="L4262" s="117">
        <f>IF(O4262="","",N4262*O4262*M4262)</f>
        <v>0</v>
      </c>
      <c r="M4262" s="108">
        <v>1</v>
      </c>
      <c r="N4262" s="95">
        <v>1</v>
      </c>
      <c r="O4262" s="109">
        <f>IF(Key!D$1="ON",P4262,IF(SUM(Q4262:DL4262)&lt;1,"",SUM(Q4262:DL4262)/COUNTIF(Q4262:DL4262,"&gt;0")))</f>
        <v>0</v>
      </c>
      <c r="P4262" s="109">
        <f>SUMIFS(Q4262:DK4262,Q$1:DK$1,Dashboard!$K$31)</f>
        <v>0</v>
      </c>
      <c r="U4262" s="95">
        <v>33</v>
      </c>
    </row>
    <row r="4263" spans="1:34" x14ac:dyDescent="0.3">
      <c r="A4263" s="89" t="str">
        <f>CONCATENATE(D4263,".",F4263,"-",G4263,".",H4263,"")</f>
        <v>5.2-1.1</v>
      </c>
      <c r="B4263" s="89" t="str">
        <f>IF(CONCATENATE(I4263,Key!F$2)=CONCATENATE(INDEX(Dashboard!J:J,MATCH(I4263,Dashboard!J:J,0),1),INDEX(Dashboard!J:K,MATCH(I4263,Dashboard!J:J,0),2)),"ON",IF(Dashboard!K$32="ALL","ON","-"))</f>
        <v>-</v>
      </c>
      <c r="C4263" s="96" t="s">
        <v>622</v>
      </c>
      <c r="D4263" s="89">
        <f>IF(C4263="ID",1,(IF(C4263="PR",2,(IF(C4263="DE",3,(IF(C4263="RS",4,(IF(C4263="RC",5,0)))))))))</f>
        <v>5</v>
      </c>
      <c r="E4263" s="89" t="s">
        <v>341</v>
      </c>
      <c r="F4263" s="89">
        <f>IF(E4263="AM",1,(IF(E4263="BE",2,(IF(E4263="GV",3,(IF(E4263="RA",4,(IF(E4263="RM",5,(IF(E4263="AC",1,(IF(E4263="AT",2,(IF(E4263="DS",3,(IF(E4263="IP",4,(IF(E4263="MA",5,(IF(E4263="PT",6,(IF(E4263="AE",1,(IF(E4263="CM",2,(IF(E4263="DP",3,(IF(E4263="AN",1,(IF(E4263="CO",2,(IF(E4263="IM",3,(IF(E4263="MI",4,(IF(E4263="RP",5,(IF(E4263="SC",6,0)))))))))))))))))))))))))))))))))))))))</f>
        <v>2</v>
      </c>
      <c r="G4263" s="98">
        <v>1</v>
      </c>
      <c r="H4263" s="90" t="s">
        <v>115</v>
      </c>
      <c r="I4263" s="94" t="s">
        <v>52</v>
      </c>
      <c r="J4263" s="88" t="s">
        <v>3437</v>
      </c>
      <c r="K4263" s="103" t="s">
        <v>3438</v>
      </c>
      <c r="L4263" s="117">
        <f>IF(O4263="","",N4263*O4263*M4263)</f>
        <v>0</v>
      </c>
      <c r="M4263" s="108">
        <v>1</v>
      </c>
      <c r="N4263" s="95">
        <v>1</v>
      </c>
      <c r="O4263" s="109">
        <f>IF(Key!D$1="ON",P4263,IF(SUM(Q4263:DL4263)&lt;1,"",SUM(Q4263:DL4263)/COUNTIF(Q4263:DL4263,"&gt;0")))</f>
        <v>0</v>
      </c>
      <c r="P4263" s="109">
        <f>SUMIFS(Q4263:DK4263,Q$1:DK$1,Dashboard!$K$31)</f>
        <v>0</v>
      </c>
      <c r="U4263" s="95">
        <v>33</v>
      </c>
      <c r="AA4263" s="95">
        <v>25</v>
      </c>
      <c r="AH4263" s="95">
        <v>75</v>
      </c>
    </row>
    <row r="4264" spans="1:34" ht="15.6" x14ac:dyDescent="0.3">
      <c r="A4264" s="89" t="str">
        <f>CONCATENATE(D4264,".",F4264,"-",G4264,".",H4264,"")</f>
        <v>5.2-1.1</v>
      </c>
      <c r="B4264" s="89" t="str">
        <f>IF(CONCATENATE(I4264,Key!F$2)=CONCATENATE(INDEX(Dashboard!J:J,MATCH(I4264,Dashboard!J:J,0),1),INDEX(Dashboard!J:K,MATCH(I4264,Dashboard!J:J,0),2)),"ON",IF(Dashboard!K$32="ALL","ON","-"))</f>
        <v>-</v>
      </c>
      <c r="C4264" s="96" t="s">
        <v>622</v>
      </c>
      <c r="D4264" s="89">
        <f>IF(C4264="ID",1,(IF(C4264="PR",2,(IF(C4264="DE",3,(IF(C4264="RS",4,(IF(C4264="RC",5,0)))))))))</f>
        <v>5</v>
      </c>
      <c r="E4264" s="89" t="s">
        <v>341</v>
      </c>
      <c r="F4264" s="89">
        <f>IF(E4264="AM",1,(IF(E4264="BE",2,(IF(E4264="GV",3,(IF(E4264="RA",4,(IF(E4264="RM",5,(IF(E4264="AC",1,(IF(E4264="AT",2,(IF(E4264="DS",3,(IF(E4264="IP",4,(IF(E4264="MA",5,(IF(E4264="PT",6,(IF(E4264="AE",1,(IF(E4264="CM",2,(IF(E4264="DP",3,(IF(E4264="AN",1,(IF(E4264="CO",2,(IF(E4264="IM",3,(IF(E4264="MI",4,(IF(E4264="RP",5,(IF(E4264="SC",6,0)))))))))))))))))))))))))))))))))))))))</f>
        <v>2</v>
      </c>
      <c r="G4264" s="98">
        <v>1</v>
      </c>
      <c r="H4264" s="90" t="s">
        <v>115</v>
      </c>
      <c r="I4264" s="94" t="s">
        <v>52</v>
      </c>
      <c r="J4264" s="129" t="s">
        <v>3327</v>
      </c>
      <c r="K4264" s="102" t="s">
        <v>3450</v>
      </c>
      <c r="L4264" s="117">
        <f>IF(O4264="","",N4264*O4264*M4264)</f>
        <v>0</v>
      </c>
      <c r="M4264" s="108">
        <v>1</v>
      </c>
      <c r="N4264" s="95">
        <v>1</v>
      </c>
      <c r="O4264" s="109">
        <f>IF(Key!D$1="ON",P4264,IF(SUM(Q4264:DL4264)&lt;1,"",SUM(Q4264:DL4264)/COUNTIF(Q4264:DL4264,"&gt;0")))</f>
        <v>0</v>
      </c>
      <c r="P4264" s="109">
        <f>SUMIFS(Q4264:DK4264,Q$1:DK$1,Dashboard!$K$31)</f>
        <v>0</v>
      </c>
      <c r="U4264" s="95">
        <v>33</v>
      </c>
      <c r="AA4264" s="95">
        <v>25</v>
      </c>
      <c r="AH4264" s="95">
        <v>75</v>
      </c>
    </row>
    <row r="4265" spans="1:34" x14ac:dyDescent="0.3">
      <c r="A4265" s="89" t="str">
        <f>CONCATENATE(D4265,".",F4265,"-",G4265,".",H4265,"")</f>
        <v>5.2-1.1</v>
      </c>
      <c r="B4265" s="89" t="str">
        <f>IF(CONCATENATE(I4265,Key!F$2)=CONCATENATE(INDEX(Dashboard!J:J,MATCH(I4265,Dashboard!J:J,0),1),INDEX(Dashboard!J:K,MATCH(I4265,Dashboard!J:J,0),2)),"ON",IF(Dashboard!K$32="ALL","ON","-"))</f>
        <v>-</v>
      </c>
      <c r="C4265" s="88" t="s">
        <v>622</v>
      </c>
      <c r="D4265" s="89">
        <f>IF(C4265="ID",1,(IF(C4265="PR",2,(IF(C4265="DE",3,(IF(C4265="RS",4,(IF(C4265="RC",5,0)))))))))</f>
        <v>5</v>
      </c>
      <c r="E4265" s="89" t="s">
        <v>341</v>
      </c>
      <c r="F4265" s="89">
        <f>IF(E4265="AM",1,(IF(E4265="BE",2,(IF(E4265="GV",3,(IF(E4265="RA",4,(IF(E4265="RM",5,(IF(E4265="AC",1,(IF(E4265="AT",2,(IF(E4265="DS",3,(IF(E4265="IP",4,(IF(E4265="MA",5,(IF(E4265="PT",6,(IF(E4265="AE",1,(IF(E4265="CM",2,(IF(E4265="DP",3,(IF(E4265="AN",1,(IF(E4265="CO",2,(IF(E4265="IM",3,(IF(E4265="MI",4,(IF(E4265="RP",5,(IF(E4265="SC",6,0)))))))))))))))))))))))))))))))))))))))</f>
        <v>2</v>
      </c>
      <c r="G4265" s="52">
        <v>1</v>
      </c>
      <c r="H4265" s="90" t="s">
        <v>115</v>
      </c>
      <c r="I4265" s="94" t="s">
        <v>60</v>
      </c>
      <c r="J4265" s="87" t="s">
        <v>3269</v>
      </c>
      <c r="K4265" s="51" t="s">
        <v>5382</v>
      </c>
      <c r="L4265" s="117">
        <f>IF(O4265="","",N4265*O4265*M4265)</f>
        <v>0</v>
      </c>
      <c r="M4265" s="108">
        <v>1</v>
      </c>
      <c r="N4265" s="95">
        <v>1</v>
      </c>
      <c r="O4265" s="109">
        <f>IF(Key!D$1="ON",P4265,IF(SUM(Q4265:DL4265)&lt;1,"",SUM(Q4265:DL4265)/COUNTIF(Q4265:DL4265,"&gt;0")))</f>
        <v>0</v>
      </c>
      <c r="P4265" s="109">
        <f>SUMIFS(Q4265:DK4265,Q$1:DK$1,Dashboard!$K$31)</f>
        <v>0</v>
      </c>
      <c r="U4265" s="95">
        <v>33</v>
      </c>
      <c r="AA4265" s="95">
        <v>25</v>
      </c>
      <c r="AH4265" s="95">
        <v>75</v>
      </c>
    </row>
    <row r="4266" spans="1:34" x14ac:dyDescent="0.3">
      <c r="A4266" s="89" t="str">
        <f>CONCATENATE(D4266,".",F4266,"-",G4266,".",H4266,"")</f>
        <v>5.2-1.5</v>
      </c>
      <c r="B4266" s="89" t="str">
        <f>IF(CONCATENATE(I4266,Key!F$2)=CONCATENATE(INDEX(Dashboard!J:J,MATCH(I4266,Dashboard!J:J,0),1),INDEX(Dashboard!J:K,MATCH(I4266,Dashboard!J:J,0),2)),"ON",IF(Dashboard!K$32="ALL","ON","-"))</f>
        <v>-</v>
      </c>
      <c r="C4266" s="88" t="s">
        <v>622</v>
      </c>
      <c r="D4266" s="89">
        <f>IF(C4266="ID",1,(IF(C4266="PR",2,(IF(C4266="DE",3,(IF(C4266="RS",4,(IF(C4266="RC",5,0)))))))))</f>
        <v>5</v>
      </c>
      <c r="E4266" s="89" t="s">
        <v>341</v>
      </c>
      <c r="F4266" s="89">
        <f>IF(E4266="AM",1,(IF(E4266="BE",2,(IF(E4266="GV",3,(IF(E4266="RA",4,(IF(E4266="RM",5,(IF(E4266="AC",1,(IF(E4266="AT",2,(IF(E4266="DS",3,(IF(E4266="IP",4,(IF(E4266="MA",5,(IF(E4266="PT",6,(IF(E4266="AE",1,(IF(E4266="CM",2,(IF(E4266="DP",3,(IF(E4266="AN",1,(IF(E4266="CO",2,(IF(E4266="IM",3,(IF(E4266="MI",4,(IF(E4266="RP",5,(IF(E4266="SC",6,0)))))))))))))))))))))))))))))))))))))))</f>
        <v>2</v>
      </c>
      <c r="G4266" s="52">
        <v>1</v>
      </c>
      <c r="H4266" s="90" t="s">
        <v>123</v>
      </c>
      <c r="I4266" s="94" t="s">
        <v>77</v>
      </c>
      <c r="J4266" s="87" t="s">
        <v>1926</v>
      </c>
      <c r="K4266" s="102" t="s">
        <v>2819</v>
      </c>
      <c r="L4266" s="117">
        <f>IF(O4266="","",N4266*O4266*M4266)</f>
        <v>0</v>
      </c>
      <c r="M4266" s="108">
        <v>1</v>
      </c>
      <c r="N4266" s="95">
        <v>1</v>
      </c>
      <c r="O4266" s="109">
        <f>IF(Key!D$1="ON",P4266,IF(SUM(Q4266:DL4266)&lt;1,"",SUM(Q4266:DL4266)/COUNTIF(Q4266:DL4266,"&gt;0")))</f>
        <v>0</v>
      </c>
      <c r="P4266" s="109">
        <f>SUMIFS(Q4266:DK4266,Q$1:DK$1,Dashboard!$K$31)</f>
        <v>0</v>
      </c>
      <c r="U4266" s="95">
        <v>33</v>
      </c>
      <c r="AA4266" s="95">
        <v>25</v>
      </c>
      <c r="AH4266" s="95">
        <v>75</v>
      </c>
    </row>
    <row r="4267" spans="1:34" x14ac:dyDescent="0.3">
      <c r="A4267" s="89" t="str">
        <f>CONCATENATE(D4267,".",F4267,"-",G4267,".",H4267,"")</f>
        <v>5.2-2.0</v>
      </c>
      <c r="B4267" s="89" t="str">
        <f>IF(CONCATENATE(I4267,Key!F$2)=CONCATENATE(INDEX(Dashboard!J:J,MATCH(I4267,Dashboard!J:J,0),1),INDEX(Dashboard!J:K,MATCH(I4267,Dashboard!J:J,0),2)),"ON",IF(Dashboard!K$32="ALL","ON","-"))</f>
        <v>-</v>
      </c>
      <c r="C4267" s="96" t="s">
        <v>622</v>
      </c>
      <c r="D4267" s="89">
        <f>IF(C4267="ID",1,(IF(C4267="PR",2,(IF(C4267="DE",3,(IF(C4267="RS",4,(IF(C4267="RC",5,0)))))))))</f>
        <v>5</v>
      </c>
      <c r="E4267" s="89" t="s">
        <v>341</v>
      </c>
      <c r="F4267" s="89">
        <f>IF(E4267="AM",1,(IF(E4267="BE",2,(IF(E4267="GV",3,(IF(E4267="RA",4,(IF(E4267="RM",5,(IF(E4267="AC",1,(IF(E4267="AT",2,(IF(E4267="DS",3,(IF(E4267="IP",4,(IF(E4267="MA",5,(IF(E4267="PT",6,(IF(E4267="AE",1,(IF(E4267="CM",2,(IF(E4267="DP",3,(IF(E4267="AN",1,(IF(E4267="CO",2,(IF(E4267="IM",3,(IF(E4267="MI",4,(IF(E4267="RP",5,(IF(E4267="SC",6,0)))))))))))))))))))))))))))))))))))))))</f>
        <v>2</v>
      </c>
      <c r="G4267" s="52">
        <v>2</v>
      </c>
      <c r="H4267" s="90" t="s">
        <v>347</v>
      </c>
      <c r="I4267" s="94" t="s">
        <v>2835</v>
      </c>
      <c r="J4267" s="53" t="s">
        <v>3101</v>
      </c>
      <c r="K4267" s="106" t="s">
        <v>3102</v>
      </c>
      <c r="L4267" s="117">
        <f>IF(O4267="","",N4267*O4267*M4267)</f>
        <v>0</v>
      </c>
      <c r="M4267" s="108">
        <v>1</v>
      </c>
      <c r="N4267" s="95">
        <v>1</v>
      </c>
      <c r="O4267" s="109">
        <f>IF(Key!D$1="ON",P4267,IF(SUM(Q4267:DL4267)&lt;1,"",SUM(Q4267:DL4267)/COUNTIF(Q4267:DL4267,"&gt;0")))</f>
        <v>0</v>
      </c>
      <c r="P4267" s="109">
        <f>SUMIFS(Q4267:DK4267,Q$1:DK$1,Dashboard!$K$31)</f>
        <v>0</v>
      </c>
      <c r="U4267" s="95">
        <v>33</v>
      </c>
    </row>
    <row r="4268" spans="1:34" x14ac:dyDescent="0.3">
      <c r="A4268" s="89" t="str">
        <f>CONCATENATE(D4268,".",F4268,"-",G4268,".",H4268,"")</f>
        <v>5.2-2.1</v>
      </c>
      <c r="B4268" s="89" t="str">
        <f>IF(CONCATENATE(I4268,Key!F$2)=CONCATENATE(INDEX(Dashboard!J:J,MATCH(I4268,Dashboard!J:J,0),1),INDEX(Dashboard!J:K,MATCH(I4268,Dashboard!J:J,0),2)),"ON",IF(Dashboard!K$32="ALL","ON","-"))</f>
        <v>-</v>
      </c>
      <c r="C4268" s="96" t="s">
        <v>622</v>
      </c>
      <c r="D4268" s="89">
        <f>IF(C4268="ID",1,(IF(C4268="PR",2,(IF(C4268="DE",3,(IF(C4268="RS",4,(IF(C4268="RC",5,0)))))))))</f>
        <v>5</v>
      </c>
      <c r="E4268" s="89" t="s">
        <v>341</v>
      </c>
      <c r="F4268" s="89">
        <f>IF(E4268="AM",1,(IF(E4268="BE",2,(IF(E4268="GV",3,(IF(E4268="RA",4,(IF(E4268="RM",5,(IF(E4268="AC",1,(IF(E4268="AT",2,(IF(E4268="DS",3,(IF(E4268="IP",4,(IF(E4268="MA",5,(IF(E4268="PT",6,(IF(E4268="AE",1,(IF(E4268="CM",2,(IF(E4268="DP",3,(IF(E4268="AN",1,(IF(E4268="CO",2,(IF(E4268="IM",3,(IF(E4268="MI",4,(IF(E4268="RP",5,(IF(E4268="SC",6,0)))))))))))))))))))))))))))))))))))))))</f>
        <v>2</v>
      </c>
      <c r="G4268" s="98">
        <v>2</v>
      </c>
      <c r="H4268" s="90" t="s">
        <v>115</v>
      </c>
      <c r="I4268" s="94" t="s">
        <v>52</v>
      </c>
      <c r="J4268" s="88" t="s">
        <v>3437</v>
      </c>
      <c r="K4268" s="103" t="s">
        <v>3438</v>
      </c>
      <c r="L4268" s="117">
        <f>IF(O4268="","",N4268*O4268*M4268)</f>
        <v>0</v>
      </c>
      <c r="M4268" s="108">
        <v>1</v>
      </c>
      <c r="N4268" s="95">
        <v>1</v>
      </c>
      <c r="O4268" s="109">
        <f>IF(Key!D$1="ON",P4268,IF(SUM(Q4268:DL4268)&lt;1,"",SUM(Q4268:DL4268)/COUNTIF(Q4268:DL4268,"&gt;0")))</f>
        <v>0</v>
      </c>
      <c r="P4268" s="109">
        <f>SUMIFS(Q4268:DK4268,Q$1:DK$1,Dashboard!$K$31)</f>
        <v>0</v>
      </c>
      <c r="U4268" s="95">
        <v>33</v>
      </c>
      <c r="AA4268" s="95">
        <v>25</v>
      </c>
      <c r="AH4268" s="95">
        <v>75</v>
      </c>
    </row>
    <row r="4269" spans="1:34" ht="15.6" x14ac:dyDescent="0.3">
      <c r="A4269" s="89" t="str">
        <f>CONCATENATE(D4269,".",F4269,"-",G4269,".",H4269,"")</f>
        <v>5.2-2.1</v>
      </c>
      <c r="B4269" s="89" t="str">
        <f>IF(CONCATENATE(I4269,Key!F$2)=CONCATENATE(INDEX(Dashboard!J:J,MATCH(I4269,Dashboard!J:J,0),1),INDEX(Dashboard!J:K,MATCH(I4269,Dashboard!J:J,0),2)),"ON",IF(Dashboard!K$32="ALL","ON","-"))</f>
        <v>-</v>
      </c>
      <c r="C4269" s="96" t="s">
        <v>622</v>
      </c>
      <c r="D4269" s="89">
        <f>IF(C4269="ID",1,(IF(C4269="PR",2,(IF(C4269="DE",3,(IF(C4269="RS",4,(IF(C4269="RC",5,0)))))))))</f>
        <v>5</v>
      </c>
      <c r="E4269" s="89" t="s">
        <v>341</v>
      </c>
      <c r="F4269" s="89">
        <f>IF(E4269="AM",1,(IF(E4269="BE",2,(IF(E4269="GV",3,(IF(E4269="RA",4,(IF(E4269="RM",5,(IF(E4269="AC",1,(IF(E4269="AT",2,(IF(E4269="DS",3,(IF(E4269="IP",4,(IF(E4269="MA",5,(IF(E4269="PT",6,(IF(E4269="AE",1,(IF(E4269="CM",2,(IF(E4269="DP",3,(IF(E4269="AN",1,(IF(E4269="CO",2,(IF(E4269="IM",3,(IF(E4269="MI",4,(IF(E4269="RP",5,(IF(E4269="SC",6,0)))))))))))))))))))))))))))))))))))))))</f>
        <v>2</v>
      </c>
      <c r="G4269" s="98">
        <v>2</v>
      </c>
      <c r="H4269" s="90" t="s">
        <v>115</v>
      </c>
      <c r="I4269" s="94" t="s">
        <v>52</v>
      </c>
      <c r="J4269" s="129" t="s">
        <v>3327</v>
      </c>
      <c r="K4269" s="102" t="s">
        <v>3450</v>
      </c>
      <c r="L4269" s="117">
        <f>IF(O4269="","",N4269*O4269*M4269)</f>
        <v>0</v>
      </c>
      <c r="M4269" s="108">
        <v>1</v>
      </c>
      <c r="N4269" s="95">
        <v>1</v>
      </c>
      <c r="O4269" s="109">
        <f>IF(Key!D$1="ON",P4269,IF(SUM(Q4269:DL4269)&lt;1,"",SUM(Q4269:DL4269)/COUNTIF(Q4269:DL4269,"&gt;0")))</f>
        <v>0</v>
      </c>
      <c r="P4269" s="109">
        <f>SUMIFS(Q4269:DK4269,Q$1:DK$1,Dashboard!$K$31)</f>
        <v>0</v>
      </c>
      <c r="U4269" s="95">
        <v>33</v>
      </c>
      <c r="AA4269" s="95">
        <v>25</v>
      </c>
      <c r="AH4269" s="95">
        <v>75</v>
      </c>
    </row>
    <row r="4270" spans="1:34" x14ac:dyDescent="0.3">
      <c r="A4270" s="89" t="str">
        <f>CONCATENATE(D4270,".",F4270,"-",G4270,".",H4270,"")</f>
        <v>5.2-2.1</v>
      </c>
      <c r="B4270" s="89" t="str">
        <f>IF(CONCATENATE(I4270,Key!F$2)=CONCATENATE(INDEX(Dashboard!J:J,MATCH(I4270,Dashboard!J:J,0),1),INDEX(Dashboard!J:K,MATCH(I4270,Dashboard!J:J,0),2)),"ON",IF(Dashboard!K$32="ALL","ON","-"))</f>
        <v>-</v>
      </c>
      <c r="C4270" s="88" t="s">
        <v>622</v>
      </c>
      <c r="D4270" s="89">
        <f>IF(C4270="ID",1,(IF(C4270="PR",2,(IF(C4270="DE",3,(IF(C4270="RS",4,(IF(C4270="RC",5,0)))))))))</f>
        <v>5</v>
      </c>
      <c r="E4270" s="89" t="s">
        <v>341</v>
      </c>
      <c r="F4270" s="89">
        <f>IF(E4270="AM",1,(IF(E4270="BE",2,(IF(E4270="GV",3,(IF(E4270="RA",4,(IF(E4270="RM",5,(IF(E4270="AC",1,(IF(E4270="AT",2,(IF(E4270="DS",3,(IF(E4270="IP",4,(IF(E4270="MA",5,(IF(E4270="PT",6,(IF(E4270="AE",1,(IF(E4270="CM",2,(IF(E4270="DP",3,(IF(E4270="AN",1,(IF(E4270="CO",2,(IF(E4270="IM",3,(IF(E4270="MI",4,(IF(E4270="RP",5,(IF(E4270="SC",6,0)))))))))))))))))))))))))))))))))))))))</f>
        <v>2</v>
      </c>
      <c r="G4270" s="52">
        <v>2</v>
      </c>
      <c r="H4270" s="90" t="s">
        <v>115</v>
      </c>
      <c r="I4270" s="94" t="s">
        <v>60</v>
      </c>
      <c r="J4270" s="87" t="s">
        <v>3269</v>
      </c>
      <c r="K4270" s="51" t="s">
        <v>5382</v>
      </c>
      <c r="L4270" s="117">
        <f>IF(O4270="","",N4270*O4270*M4270)</f>
        <v>0</v>
      </c>
      <c r="M4270" s="108">
        <v>1</v>
      </c>
      <c r="N4270" s="95">
        <v>1</v>
      </c>
      <c r="O4270" s="109">
        <f>IF(Key!D$1="ON",P4270,IF(SUM(Q4270:DL4270)&lt;1,"",SUM(Q4270:DL4270)/COUNTIF(Q4270:DL4270,"&gt;0")))</f>
        <v>0</v>
      </c>
      <c r="P4270" s="109">
        <f>SUMIFS(Q4270:DK4270,Q$1:DK$1,Dashboard!$K$31)</f>
        <v>0</v>
      </c>
      <c r="U4270" s="95">
        <v>33</v>
      </c>
      <c r="AA4270" s="95">
        <v>25</v>
      </c>
      <c r="AH4270" s="95">
        <v>75</v>
      </c>
    </row>
    <row r="4271" spans="1:34" x14ac:dyDescent="0.3">
      <c r="A4271" s="89" t="str">
        <f>CONCATENATE(D4271,".",F4271,"-",G4271,".",H4271,"")</f>
        <v>5.2-2.1</v>
      </c>
      <c r="B4271" s="89" t="str">
        <f>IF(CONCATENATE(I4271,Key!F$2)=CONCATENATE(INDEX(Dashboard!J:J,MATCH(I4271,Dashboard!J:J,0),1),INDEX(Dashboard!J:K,MATCH(I4271,Dashboard!J:J,0),2)),"ON",IF(Dashboard!K$32="ALL","ON","-"))</f>
        <v>-</v>
      </c>
      <c r="C4271" s="88" t="s">
        <v>622</v>
      </c>
      <c r="D4271" s="89">
        <f>IF(C4271="ID",1,(IF(C4271="PR",2,(IF(C4271="DE",3,(IF(C4271="RS",4,(IF(C4271="RC",5,0)))))))))</f>
        <v>5</v>
      </c>
      <c r="E4271" s="89" t="s">
        <v>341</v>
      </c>
      <c r="F4271" s="89">
        <f>IF(E4271="AM",1,(IF(E4271="BE",2,(IF(E4271="GV",3,(IF(E4271="RA",4,(IF(E4271="RM",5,(IF(E4271="AC",1,(IF(E4271="AT",2,(IF(E4271="DS",3,(IF(E4271="IP",4,(IF(E4271="MA",5,(IF(E4271="PT",6,(IF(E4271="AE",1,(IF(E4271="CM",2,(IF(E4271="DP",3,(IF(E4271="AN",1,(IF(E4271="CO",2,(IF(E4271="IM",3,(IF(E4271="MI",4,(IF(E4271="RP",5,(IF(E4271="SC",6,0)))))))))))))))))))))))))))))))))))))))</f>
        <v>2</v>
      </c>
      <c r="G4271" s="52">
        <v>2</v>
      </c>
      <c r="H4271" s="90" t="s">
        <v>115</v>
      </c>
      <c r="I4271" s="94" t="s">
        <v>60</v>
      </c>
      <c r="J4271" s="87" t="s">
        <v>3276</v>
      </c>
      <c r="K4271" s="51" t="s">
        <v>5389</v>
      </c>
      <c r="L4271" s="117">
        <f>IF(O4271="","",N4271*O4271*M4271)</f>
        <v>0</v>
      </c>
      <c r="M4271" s="108">
        <v>1</v>
      </c>
      <c r="N4271" s="95">
        <v>1</v>
      </c>
      <c r="O4271" s="109">
        <f>IF(Key!D$1="ON",P4271,IF(SUM(Q4271:DL4271)&lt;1,"",SUM(Q4271:DL4271)/COUNTIF(Q4271:DL4271,"&gt;0")))</f>
        <v>0</v>
      </c>
      <c r="P4271" s="109">
        <f>SUMIFS(Q4271:DK4271,Q$1:DK$1,Dashboard!$K$31)</f>
        <v>0</v>
      </c>
      <c r="U4271" s="95">
        <v>33</v>
      </c>
      <c r="AA4271" s="95">
        <v>25</v>
      </c>
      <c r="AH4271" s="95">
        <v>75</v>
      </c>
    </row>
    <row r="4272" spans="1:34" x14ac:dyDescent="0.3">
      <c r="A4272" s="89" t="str">
        <f>CONCATENATE(D4272,".",F4272,"-",G4272,".",H4272,"")</f>
        <v>5.2-2.1</v>
      </c>
      <c r="B4272" s="89" t="str">
        <f>IF(CONCATENATE(I4272,Key!F$2)=CONCATENATE(INDEX(Dashboard!J:J,MATCH(I4272,Dashboard!J:J,0),1),INDEX(Dashboard!J:K,MATCH(I4272,Dashboard!J:J,0),2)),"ON",IF(Dashboard!K$32="ALL","ON","-"))</f>
        <v>-</v>
      </c>
      <c r="C4272" s="96" t="s">
        <v>622</v>
      </c>
      <c r="D4272" s="89">
        <f>IF(C4272="ID",1,(IF(C4272="PR",2,(IF(C4272="DE",3,(IF(C4272="RS",4,(IF(C4272="RC",5,0)))))))))</f>
        <v>5</v>
      </c>
      <c r="E4272" s="89" t="s">
        <v>341</v>
      </c>
      <c r="F4272" s="89">
        <f>IF(E4272="AM",1,(IF(E4272="BE",2,(IF(E4272="GV",3,(IF(E4272="RA",4,(IF(E4272="RM",5,(IF(E4272="AC",1,(IF(E4272="AT",2,(IF(E4272="DS",3,(IF(E4272="IP",4,(IF(E4272="MA",5,(IF(E4272="PT",6,(IF(E4272="AE",1,(IF(E4272="CM",2,(IF(E4272="DP",3,(IF(E4272="AN",1,(IF(E4272="CO",2,(IF(E4272="IM",3,(IF(E4272="MI",4,(IF(E4272="RP",5,(IF(E4272="SC",6,0)))))))))))))))))))))))))))))))))))))))</f>
        <v>2</v>
      </c>
      <c r="G4272" s="52">
        <v>2</v>
      </c>
      <c r="H4272" s="90" t="s">
        <v>115</v>
      </c>
      <c r="I4272" s="94" t="s">
        <v>85</v>
      </c>
      <c r="J4272" s="86" t="s">
        <v>702</v>
      </c>
      <c r="K4272" s="119" t="s">
        <v>4804</v>
      </c>
      <c r="L4272" s="117">
        <f>IF(O4272="","",N4272*O4272*M4272)</f>
        <v>0</v>
      </c>
      <c r="M4272" s="108">
        <v>1</v>
      </c>
      <c r="N4272" s="95">
        <v>1</v>
      </c>
      <c r="O4272" s="109">
        <f>IF(Key!D$1="ON",P4272,IF(SUM(Q4272:DL4272)&lt;1,"",SUM(Q4272:DL4272)/COUNTIF(Q4272:DL4272,"&gt;0")))</f>
        <v>0</v>
      </c>
      <c r="P4272" s="109">
        <f>SUMIFS(Q4272:DK4272,Q$1:DK$1,Dashboard!$K$31)</f>
        <v>0</v>
      </c>
      <c r="U4272" s="95">
        <v>33</v>
      </c>
      <c r="AA4272" s="95">
        <v>25</v>
      </c>
      <c r="AH4272" s="95">
        <v>75</v>
      </c>
    </row>
    <row r="4273" spans="1:34" x14ac:dyDescent="0.3">
      <c r="A4273" s="89" t="str">
        <f>CONCATENATE(D4273,".",F4273,"-",G4273,".",H4273,"")</f>
        <v>5.2-3.0</v>
      </c>
      <c r="B4273" s="89" t="str">
        <f>IF(CONCATENATE(I4273,Key!F$2)=CONCATENATE(INDEX(Dashboard!J:J,MATCH(I4273,Dashboard!J:J,0),1),INDEX(Dashboard!J:K,MATCH(I4273,Dashboard!J:J,0),2)),"ON",IF(Dashboard!K$32="ALL","ON","-"))</f>
        <v>-</v>
      </c>
      <c r="C4273" s="96" t="s">
        <v>622</v>
      </c>
      <c r="D4273" s="89">
        <f>IF(C4273="ID",1,(IF(C4273="PR",2,(IF(C4273="DE",3,(IF(C4273="RS",4,(IF(C4273="RC",5,0)))))))))</f>
        <v>5</v>
      </c>
      <c r="E4273" s="89" t="s">
        <v>341</v>
      </c>
      <c r="F4273" s="89">
        <f>IF(E4273="AM",1,(IF(E4273="BE",2,(IF(E4273="GV",3,(IF(E4273="RA",4,(IF(E4273="RM",5,(IF(E4273="AC",1,(IF(E4273="AT",2,(IF(E4273="DS",3,(IF(E4273="IP",4,(IF(E4273="MA",5,(IF(E4273="PT",6,(IF(E4273="AE",1,(IF(E4273="CM",2,(IF(E4273="DP",3,(IF(E4273="AN",1,(IF(E4273="CO",2,(IF(E4273="IM",3,(IF(E4273="MI",4,(IF(E4273="RP",5,(IF(E4273="SC",6,0)))))))))))))))))))))))))))))))))))))))</f>
        <v>2</v>
      </c>
      <c r="G4273" s="52">
        <v>3</v>
      </c>
      <c r="H4273" s="90" t="s">
        <v>347</v>
      </c>
      <c r="I4273" s="94" t="s">
        <v>2835</v>
      </c>
      <c r="J4273" s="53" t="s">
        <v>3103</v>
      </c>
      <c r="K4273" s="106" t="s">
        <v>3104</v>
      </c>
      <c r="L4273" s="117">
        <f>IF(O4273="","",N4273*O4273*M4273)</f>
        <v>0</v>
      </c>
      <c r="M4273" s="108">
        <v>1</v>
      </c>
      <c r="N4273" s="95">
        <v>1</v>
      </c>
      <c r="O4273" s="109">
        <f>IF(Key!D$1="ON",P4273,IF(SUM(Q4273:DL4273)&lt;1,"",SUM(Q4273:DL4273)/COUNTIF(Q4273:DL4273,"&gt;0")))</f>
        <v>0</v>
      </c>
      <c r="P4273" s="109">
        <f>SUMIFS(Q4273:DK4273,Q$1:DK$1,Dashboard!$K$31)</f>
        <v>0</v>
      </c>
      <c r="U4273" s="95">
        <v>33</v>
      </c>
    </row>
    <row r="4274" spans="1:34" x14ac:dyDescent="0.3">
      <c r="A4274" s="89" t="str">
        <f>CONCATENATE(D4274,".",F4274,"-",G4274,".",H4274,"")</f>
        <v>5.2-3.1</v>
      </c>
      <c r="B4274" s="89" t="str">
        <f>IF(CONCATENATE(I4274,Key!F$2)=CONCATENATE(INDEX(Dashboard!J:J,MATCH(I4274,Dashboard!J:J,0),1),INDEX(Dashboard!J:K,MATCH(I4274,Dashboard!J:J,0),2)),"ON",IF(Dashboard!K$32="ALL","ON","-"))</f>
        <v>-</v>
      </c>
      <c r="C4274" s="96" t="s">
        <v>622</v>
      </c>
      <c r="D4274" s="89">
        <f>IF(C4274="ID",1,(IF(C4274="PR",2,(IF(C4274="DE",3,(IF(C4274="RS",4,(IF(C4274="RC",5,0)))))))))</f>
        <v>5</v>
      </c>
      <c r="E4274" s="89" t="s">
        <v>341</v>
      </c>
      <c r="F4274" s="89">
        <f>IF(E4274="AM",1,(IF(E4274="BE",2,(IF(E4274="GV",3,(IF(E4274="RA",4,(IF(E4274="RM",5,(IF(E4274="AC",1,(IF(E4274="AT",2,(IF(E4274="DS",3,(IF(E4274="IP",4,(IF(E4274="MA",5,(IF(E4274="PT",6,(IF(E4274="AE",1,(IF(E4274="CM",2,(IF(E4274="DP",3,(IF(E4274="AN",1,(IF(E4274="CO",2,(IF(E4274="IM",3,(IF(E4274="MI",4,(IF(E4274="RP",5,(IF(E4274="SC",6,0)))))))))))))))))))))))))))))))))))))))</f>
        <v>2</v>
      </c>
      <c r="G4274" s="98">
        <v>3</v>
      </c>
      <c r="H4274" s="90" t="s">
        <v>115</v>
      </c>
      <c r="I4274" s="94" t="s">
        <v>52</v>
      </c>
      <c r="J4274" s="88" t="s">
        <v>3305</v>
      </c>
      <c r="K4274" s="103" t="s">
        <v>3306</v>
      </c>
      <c r="L4274" s="117">
        <f>IF(O4274="","",N4274*O4274*M4274)</f>
        <v>0</v>
      </c>
      <c r="M4274" s="108">
        <v>1</v>
      </c>
      <c r="N4274" s="95">
        <v>1</v>
      </c>
      <c r="O4274" s="109">
        <f>IF(Key!D$1="ON",P4274,IF(SUM(Q4274:DL4274)&lt;1,"",SUM(Q4274:DL4274)/COUNTIF(Q4274:DL4274,"&gt;0")))</f>
        <v>0</v>
      </c>
      <c r="P4274" s="109">
        <f>SUMIFS(Q4274:DK4274,Q$1:DK$1,Dashboard!$K$31)</f>
        <v>0</v>
      </c>
      <c r="U4274" s="95">
        <v>33</v>
      </c>
      <c r="AA4274" s="95">
        <v>25</v>
      </c>
      <c r="AH4274" s="95">
        <v>75</v>
      </c>
    </row>
    <row r="4275" spans="1:34" x14ac:dyDescent="0.3">
      <c r="A4275" s="89" t="str">
        <f>CONCATENATE(D4275,".",F4275,"-",G4275,".",H4275,"")</f>
        <v>5.2-3.1</v>
      </c>
      <c r="B4275" s="89" t="str">
        <f>IF(CONCATENATE(I4275,Key!F$2)=CONCATENATE(INDEX(Dashboard!J:J,MATCH(I4275,Dashboard!J:J,0),1),INDEX(Dashboard!J:K,MATCH(I4275,Dashboard!J:J,0),2)),"ON",IF(Dashboard!K$32="ALL","ON","-"))</f>
        <v>-</v>
      </c>
      <c r="C4275" s="96" t="s">
        <v>622</v>
      </c>
      <c r="D4275" s="89">
        <f>IF(C4275="ID",1,(IF(C4275="PR",2,(IF(C4275="DE",3,(IF(C4275="RS",4,(IF(C4275="RC",5,0)))))))))</f>
        <v>5</v>
      </c>
      <c r="E4275" s="89" t="s">
        <v>341</v>
      </c>
      <c r="F4275" s="89">
        <f>IF(E4275="AM",1,(IF(E4275="BE",2,(IF(E4275="GV",3,(IF(E4275="RA",4,(IF(E4275="RM",5,(IF(E4275="AC",1,(IF(E4275="AT",2,(IF(E4275="DS",3,(IF(E4275="IP",4,(IF(E4275="MA",5,(IF(E4275="PT",6,(IF(E4275="AE",1,(IF(E4275="CM",2,(IF(E4275="DP",3,(IF(E4275="AN",1,(IF(E4275="CO",2,(IF(E4275="IM",3,(IF(E4275="MI",4,(IF(E4275="RP",5,(IF(E4275="SC",6,0)))))))))))))))))))))))))))))))))))))))</f>
        <v>2</v>
      </c>
      <c r="G4275" s="98">
        <v>3</v>
      </c>
      <c r="H4275" s="90" t="s">
        <v>115</v>
      </c>
      <c r="I4275" s="94" t="s">
        <v>52</v>
      </c>
      <c r="J4275" s="88" t="s">
        <v>3290</v>
      </c>
      <c r="K4275" s="103" t="s">
        <v>3291</v>
      </c>
      <c r="L4275" s="117">
        <f>IF(O4275="","",N4275*O4275*M4275)</f>
        <v>0</v>
      </c>
      <c r="M4275" s="108">
        <v>1</v>
      </c>
      <c r="N4275" s="95">
        <v>1</v>
      </c>
      <c r="O4275" s="109">
        <f>IF(Key!D$1="ON",P4275,IF(SUM(Q4275:DL4275)&lt;1,"",SUM(Q4275:DL4275)/COUNTIF(Q4275:DL4275,"&gt;0")))</f>
        <v>0</v>
      </c>
      <c r="P4275" s="109">
        <f>SUMIFS(Q4275:DK4275,Q$1:DK$1,Dashboard!$K$31)</f>
        <v>0</v>
      </c>
      <c r="U4275" s="95">
        <v>33</v>
      </c>
      <c r="AA4275" s="95">
        <v>25</v>
      </c>
      <c r="AH4275" s="95">
        <v>75</v>
      </c>
    </row>
    <row r="4276" spans="1:34" x14ac:dyDescent="0.3">
      <c r="A4276" s="89" t="str">
        <f>CONCATENATE(D4276,".",F4276,"-",G4276,".",H4276,"")</f>
        <v>5.2-3.1</v>
      </c>
      <c r="B4276" s="89" t="str">
        <f>IF(CONCATENATE(I4276,Key!F$2)=CONCATENATE(INDEX(Dashboard!J:J,MATCH(I4276,Dashboard!J:J,0),1),INDEX(Dashboard!J:K,MATCH(I4276,Dashboard!J:J,0),2)),"ON",IF(Dashboard!K$32="ALL","ON","-"))</f>
        <v>-</v>
      </c>
      <c r="C4276" s="96" t="s">
        <v>622</v>
      </c>
      <c r="D4276" s="89">
        <f>IF(C4276="ID",1,(IF(C4276="PR",2,(IF(C4276="DE",3,(IF(C4276="RS",4,(IF(C4276="RC",5,0)))))))))</f>
        <v>5</v>
      </c>
      <c r="E4276" s="89" t="s">
        <v>341</v>
      </c>
      <c r="F4276" s="89">
        <f>IF(E4276="AM",1,(IF(E4276="BE",2,(IF(E4276="GV",3,(IF(E4276="RA",4,(IF(E4276="RM",5,(IF(E4276="AC",1,(IF(E4276="AT",2,(IF(E4276="DS",3,(IF(E4276="IP",4,(IF(E4276="MA",5,(IF(E4276="PT",6,(IF(E4276="AE",1,(IF(E4276="CM",2,(IF(E4276="DP",3,(IF(E4276="AN",1,(IF(E4276="CO",2,(IF(E4276="IM",3,(IF(E4276="MI",4,(IF(E4276="RP",5,(IF(E4276="SC",6,0)))))))))))))))))))))))))))))))))))))))</f>
        <v>2</v>
      </c>
      <c r="G4276" s="98">
        <v>3</v>
      </c>
      <c r="H4276" s="90" t="s">
        <v>115</v>
      </c>
      <c r="I4276" s="94" t="s">
        <v>52</v>
      </c>
      <c r="J4276" s="88" t="s">
        <v>3307</v>
      </c>
      <c r="K4276" s="103" t="s">
        <v>3308</v>
      </c>
      <c r="L4276" s="117">
        <f>IF(O4276="","",N4276*O4276*M4276)</f>
        <v>0</v>
      </c>
      <c r="M4276" s="108">
        <v>1</v>
      </c>
      <c r="N4276" s="95">
        <v>1</v>
      </c>
      <c r="O4276" s="109">
        <f>IF(Key!D$1="ON",P4276,IF(SUM(Q4276:DL4276)&lt;1,"",SUM(Q4276:DL4276)/COUNTIF(Q4276:DL4276,"&gt;0")))</f>
        <v>0</v>
      </c>
      <c r="P4276" s="109">
        <f>SUMIFS(Q4276:DK4276,Q$1:DK$1,Dashboard!$K$31)</f>
        <v>0</v>
      </c>
      <c r="U4276" s="95">
        <v>33</v>
      </c>
      <c r="AA4276" s="95">
        <v>25</v>
      </c>
      <c r="AH4276" s="95">
        <v>75</v>
      </c>
    </row>
    <row r="4277" spans="1:34" ht="15.6" x14ac:dyDescent="0.3">
      <c r="A4277" s="89" t="str">
        <f>CONCATENATE(D4277,".",F4277,"-",G4277,".",H4277,"")</f>
        <v>5.2-3.1</v>
      </c>
      <c r="B4277" s="89" t="str">
        <f>IF(CONCATENATE(I4277,Key!F$2)=CONCATENATE(INDEX(Dashboard!J:J,MATCH(I4277,Dashboard!J:J,0),1),INDEX(Dashboard!J:K,MATCH(I4277,Dashboard!J:J,0),2)),"ON",IF(Dashboard!K$32="ALL","ON","-"))</f>
        <v>-</v>
      </c>
      <c r="C4277" s="96" t="s">
        <v>622</v>
      </c>
      <c r="D4277" s="89">
        <f>IF(C4277="ID",1,(IF(C4277="PR",2,(IF(C4277="DE",3,(IF(C4277="RS",4,(IF(C4277="RC",5,0)))))))))</f>
        <v>5</v>
      </c>
      <c r="E4277" s="89" t="s">
        <v>341</v>
      </c>
      <c r="F4277" s="89">
        <f>IF(E4277="AM",1,(IF(E4277="BE",2,(IF(E4277="GV",3,(IF(E4277="RA",4,(IF(E4277="RM",5,(IF(E4277="AC",1,(IF(E4277="AT",2,(IF(E4277="DS",3,(IF(E4277="IP",4,(IF(E4277="MA",5,(IF(E4277="PT",6,(IF(E4277="AE",1,(IF(E4277="CM",2,(IF(E4277="DP",3,(IF(E4277="AN",1,(IF(E4277="CO",2,(IF(E4277="IM",3,(IF(E4277="MI",4,(IF(E4277="RP",5,(IF(E4277="SC",6,0)))))))))))))))))))))))))))))))))))))))</f>
        <v>2</v>
      </c>
      <c r="G4277" s="98">
        <v>3</v>
      </c>
      <c r="H4277" s="90" t="s">
        <v>115</v>
      </c>
      <c r="I4277" s="94" t="s">
        <v>52</v>
      </c>
      <c r="J4277" s="88" t="s">
        <v>3331</v>
      </c>
      <c r="K4277" s="103" t="s">
        <v>3332</v>
      </c>
      <c r="L4277" s="117">
        <f>IF(O4277="","",N4277*O4277*M4277)</f>
        <v>0</v>
      </c>
      <c r="M4277" s="108">
        <v>1</v>
      </c>
      <c r="N4277" s="95">
        <v>1</v>
      </c>
      <c r="O4277" s="109">
        <f>IF(Key!D$1="ON",P4277,IF(SUM(Q4277:DL4277)&lt;1,"",SUM(Q4277:DL4277)/COUNTIF(Q4277:DL4277,"&gt;0")))</f>
        <v>0</v>
      </c>
      <c r="P4277" s="109">
        <f>SUMIFS(Q4277:DK4277,Q$1:DK$1,Dashboard!$K$31)</f>
        <v>0</v>
      </c>
      <c r="U4277" s="95">
        <v>33</v>
      </c>
      <c r="AA4277" s="95">
        <v>25</v>
      </c>
      <c r="AH4277" s="95">
        <v>75</v>
      </c>
    </row>
    <row r="4278" spans="1:34" x14ac:dyDescent="0.3">
      <c r="A4278" s="89" t="str">
        <f>CONCATENATE(D4278,".",F4278,"-",G4278,".",H4278,"")</f>
        <v>5.2-3.1</v>
      </c>
      <c r="B4278" s="89" t="str">
        <f>IF(CONCATENATE(I4278,Key!F$2)=CONCATENATE(INDEX(Dashboard!J:J,MATCH(I4278,Dashboard!J:J,0),1),INDEX(Dashboard!J:K,MATCH(I4278,Dashboard!J:J,0),2)),"ON",IF(Dashboard!K$32="ALL","ON","-"))</f>
        <v>-</v>
      </c>
      <c r="C4278" s="88" t="s">
        <v>622</v>
      </c>
      <c r="D4278" s="89">
        <f>IF(C4278="ID",1,(IF(C4278="PR",2,(IF(C4278="DE",3,(IF(C4278="RS",4,(IF(C4278="RC",5,0)))))))))</f>
        <v>5</v>
      </c>
      <c r="E4278" s="89" t="s">
        <v>341</v>
      </c>
      <c r="F4278" s="89">
        <f>IF(E4278="AM",1,(IF(E4278="BE",2,(IF(E4278="GV",3,(IF(E4278="RA",4,(IF(E4278="RM",5,(IF(E4278="AC",1,(IF(E4278="AT",2,(IF(E4278="DS",3,(IF(E4278="IP",4,(IF(E4278="MA",5,(IF(E4278="PT",6,(IF(E4278="AE",1,(IF(E4278="CM",2,(IF(E4278="DP",3,(IF(E4278="AN",1,(IF(E4278="CO",2,(IF(E4278="IM",3,(IF(E4278="MI",4,(IF(E4278="RP",5,(IF(E4278="SC",6,0)))))))))))))))))))))))))))))))))))))))</f>
        <v>2</v>
      </c>
      <c r="G4278" s="52">
        <v>3</v>
      </c>
      <c r="H4278" s="90" t="s">
        <v>115</v>
      </c>
      <c r="I4278" s="94" t="s">
        <v>60</v>
      </c>
      <c r="J4278" s="87" t="s">
        <v>3269</v>
      </c>
      <c r="K4278" s="51" t="s">
        <v>5382</v>
      </c>
      <c r="L4278" s="117">
        <f>IF(O4278="","",N4278*O4278*M4278)</f>
        <v>0</v>
      </c>
      <c r="M4278" s="108">
        <v>1</v>
      </c>
      <c r="N4278" s="95">
        <v>1</v>
      </c>
      <c r="O4278" s="109">
        <f>IF(Key!D$1="ON",P4278,IF(SUM(Q4278:DL4278)&lt;1,"",SUM(Q4278:DL4278)/COUNTIF(Q4278:DL4278,"&gt;0")))</f>
        <v>0</v>
      </c>
      <c r="P4278" s="109">
        <f>SUMIFS(Q4278:DK4278,Q$1:DK$1,Dashboard!$K$31)</f>
        <v>0</v>
      </c>
      <c r="U4278" s="95">
        <v>33</v>
      </c>
      <c r="AA4278" s="95">
        <v>25</v>
      </c>
      <c r="AH4278" s="95">
        <v>75</v>
      </c>
    </row>
    <row r="4279" spans="1:34" x14ac:dyDescent="0.3">
      <c r="A4279" s="89" t="str">
        <f>CONCATENATE(D4279,".",F4279,"-",G4279,".",H4279,"")</f>
        <v>5.2-3.1</v>
      </c>
      <c r="B4279" s="89" t="str">
        <f>IF(CONCATENATE(I4279,Key!F$2)=CONCATENATE(INDEX(Dashboard!J:J,MATCH(I4279,Dashboard!J:J,0),1),INDEX(Dashboard!J:K,MATCH(I4279,Dashboard!J:J,0),2)),"ON",IF(Dashboard!K$32="ALL","ON","-"))</f>
        <v>-</v>
      </c>
      <c r="C4279" s="88" t="s">
        <v>622</v>
      </c>
      <c r="D4279" s="89">
        <f>IF(C4279="ID",1,(IF(C4279="PR",2,(IF(C4279="DE",3,(IF(C4279="RS",4,(IF(C4279="RC",5,0)))))))))</f>
        <v>5</v>
      </c>
      <c r="E4279" s="89" t="s">
        <v>341</v>
      </c>
      <c r="F4279" s="89">
        <f>IF(E4279="AM",1,(IF(E4279="BE",2,(IF(E4279="GV",3,(IF(E4279="RA",4,(IF(E4279="RM",5,(IF(E4279="AC",1,(IF(E4279="AT",2,(IF(E4279="DS",3,(IF(E4279="IP",4,(IF(E4279="MA",5,(IF(E4279="PT",6,(IF(E4279="AE",1,(IF(E4279="CM",2,(IF(E4279="DP",3,(IF(E4279="AN",1,(IF(E4279="CO",2,(IF(E4279="IM",3,(IF(E4279="MI",4,(IF(E4279="RP",5,(IF(E4279="SC",6,0)))))))))))))))))))))))))))))))))))))))</f>
        <v>2</v>
      </c>
      <c r="G4279" s="52">
        <v>3</v>
      </c>
      <c r="H4279" s="90" t="s">
        <v>115</v>
      </c>
      <c r="I4279" s="94" t="s">
        <v>73</v>
      </c>
      <c r="J4279" s="86" t="s">
        <v>295</v>
      </c>
      <c r="K4279" s="101" t="s">
        <v>5207</v>
      </c>
      <c r="L4279" s="117">
        <f>IF(O4279="","",N4279*O4279*M4279)</f>
        <v>0</v>
      </c>
      <c r="M4279" s="108">
        <v>1</v>
      </c>
      <c r="N4279" s="95">
        <v>1</v>
      </c>
      <c r="O4279" s="109">
        <f>IF(Key!D$1="ON",P4279,IF(SUM(Q4279:DL4279)&lt;1,"",SUM(Q4279:DL4279)/COUNTIF(Q4279:DL4279,"&gt;0")))</f>
        <v>0</v>
      </c>
      <c r="P4279" s="109">
        <f>SUMIFS(Q4279:DK4279,Q$1:DK$1,Dashboard!$K$31)</f>
        <v>0</v>
      </c>
      <c r="U4279" s="95">
        <v>33</v>
      </c>
      <c r="AA4279" s="95">
        <v>25</v>
      </c>
      <c r="AH4279" s="95">
        <v>75</v>
      </c>
    </row>
    <row r="4280" spans="1:34" x14ac:dyDescent="0.3">
      <c r="A4280" s="89" t="str">
        <f>CONCATENATE(D4280,".",F4280,"-",G4280,".",H4280,"")</f>
        <v>5.2-3.1</v>
      </c>
      <c r="B4280" s="89" t="str">
        <f>IF(CONCATENATE(I4280,Key!F$2)=CONCATENATE(INDEX(Dashboard!J:J,MATCH(I4280,Dashboard!J:J,0),1),INDEX(Dashboard!J:K,MATCH(I4280,Dashboard!J:J,0),2)),"ON",IF(Dashboard!K$32="ALL","ON","-"))</f>
        <v>-</v>
      </c>
      <c r="C4280" s="88" t="s">
        <v>622</v>
      </c>
      <c r="D4280" s="89">
        <f>IF(C4280="ID",1,(IF(C4280="PR",2,(IF(C4280="DE",3,(IF(C4280="RS",4,(IF(C4280="RC",5,0)))))))))</f>
        <v>5</v>
      </c>
      <c r="E4280" s="89" t="s">
        <v>341</v>
      </c>
      <c r="F4280" s="89">
        <f>IF(E4280="AM",1,(IF(E4280="BE",2,(IF(E4280="GV",3,(IF(E4280="RA",4,(IF(E4280="RM",5,(IF(E4280="AC",1,(IF(E4280="AT",2,(IF(E4280="DS",3,(IF(E4280="IP",4,(IF(E4280="MA",5,(IF(E4280="PT",6,(IF(E4280="AE",1,(IF(E4280="CM",2,(IF(E4280="DP",3,(IF(E4280="AN",1,(IF(E4280="CO",2,(IF(E4280="IM",3,(IF(E4280="MI",4,(IF(E4280="RP",5,(IF(E4280="SC",6,0)))))))))))))))))))))))))))))))))))))))</f>
        <v>2</v>
      </c>
      <c r="G4280" s="52">
        <v>3</v>
      </c>
      <c r="H4280" s="90" t="s">
        <v>115</v>
      </c>
      <c r="I4280" s="94" t="s">
        <v>73</v>
      </c>
      <c r="J4280" s="86" t="s">
        <v>296</v>
      </c>
      <c r="K4280" s="101" t="s">
        <v>5201</v>
      </c>
      <c r="L4280" s="117">
        <f>IF(O4280="","",N4280*O4280*M4280)</f>
        <v>0</v>
      </c>
      <c r="M4280" s="108">
        <v>1</v>
      </c>
      <c r="N4280" s="95">
        <v>1</v>
      </c>
      <c r="O4280" s="109">
        <f>IF(Key!D$1="ON",P4280,IF(SUM(Q4280:DL4280)&lt;1,"",SUM(Q4280:DL4280)/COUNTIF(Q4280:DL4280,"&gt;0")))</f>
        <v>0</v>
      </c>
      <c r="P4280" s="109">
        <f>SUMIFS(Q4280:DK4280,Q$1:DK$1,Dashboard!$K$31)</f>
        <v>0</v>
      </c>
      <c r="U4280" s="95">
        <v>33</v>
      </c>
      <c r="AA4280" s="95">
        <v>25</v>
      </c>
      <c r="AH4280" s="95">
        <v>75</v>
      </c>
    </row>
    <row r="4281" spans="1:34" x14ac:dyDescent="0.3">
      <c r="A4281" s="89" t="str">
        <f>CONCATENATE(D4281,".",F4281,"-",G4281,".",H4281,"")</f>
        <v>5.3-0.0</v>
      </c>
      <c r="B4281" s="89" t="str">
        <f>IF(CONCATENATE(I4281,Key!F$2)=CONCATENATE(INDEX(Dashboard!J:J,MATCH(I4281,Dashboard!J:J,0),1),INDEX(Dashboard!J:K,MATCH(I4281,Dashboard!J:J,0),2)),"ON",IF(Dashboard!K$32="ALL","ON","-"))</f>
        <v>-</v>
      </c>
      <c r="C4281" s="96" t="s">
        <v>622</v>
      </c>
      <c r="D4281" s="89">
        <f>IF(C4281="ID",1,(IF(C4281="PR",2,(IF(C4281="DE",3,(IF(C4281="RS",4,(IF(C4281="RC",5,0)))))))))</f>
        <v>5</v>
      </c>
      <c r="E4281" s="89" t="s">
        <v>343</v>
      </c>
      <c r="F4281" s="89">
        <f>IF(E4281="AM",1,(IF(E4281="BE",2,(IF(E4281="GV",3,(IF(E4281="RA",4,(IF(E4281="RM",5,(IF(E4281="AC",1,(IF(E4281="AT",2,(IF(E4281="DS",3,(IF(E4281="IP",4,(IF(E4281="MA",5,(IF(E4281="PT",6,(IF(E4281="AE",1,(IF(E4281="CM",2,(IF(E4281="DP",3,(IF(E4281="AN",1,(IF(E4281="CO",2,(IF(E4281="IM",3,(IF(E4281="MI",4,(IF(E4281="RP",5,(IF(E4281="SC",6,0)))))))))))))))))))))))))))))))))))))))</f>
        <v>3</v>
      </c>
      <c r="G4281" s="52">
        <v>0</v>
      </c>
      <c r="H4281" s="90" t="s">
        <v>347</v>
      </c>
      <c r="I4281" s="94" t="s">
        <v>2835</v>
      </c>
      <c r="J4281" s="141" t="s">
        <v>3105</v>
      </c>
      <c r="K4281" s="146" t="s">
        <v>3106</v>
      </c>
      <c r="L4281" s="117">
        <f>IF(O4281="","",N4281*O4281*M4281)</f>
        <v>0</v>
      </c>
      <c r="M4281" s="108">
        <v>1</v>
      </c>
      <c r="N4281" s="95">
        <v>1</v>
      </c>
      <c r="O4281" s="109">
        <f>IF(Key!D$1="ON",P4281,IF(SUM(Q4281:DL4281)&lt;1,"",SUM(Q4281:DL4281)/COUNTIF(Q4281:DL4281,"&gt;0")))</f>
        <v>0</v>
      </c>
      <c r="P4281" s="109">
        <f>SUMIFS(Q4281:DK4281,Q$1:DK$1,Dashboard!$K$31)</f>
        <v>0</v>
      </c>
      <c r="Q4281" s="110">
        <v>83</v>
      </c>
      <c r="U4281" s="95">
        <v>33</v>
      </c>
    </row>
    <row r="4282" spans="1:34" x14ac:dyDescent="0.3">
      <c r="A4282" s="89" t="str">
        <f>CONCATENATE(D4282,".",F4282,"-",G4282,".",H4282,"")</f>
        <v>5.3-0.1</v>
      </c>
      <c r="B4282" s="89" t="str">
        <f>IF(CONCATENATE(I4282,Key!F$2)=CONCATENATE(INDEX(Dashboard!J:J,MATCH(I4282,Dashboard!J:J,0),1),INDEX(Dashboard!J:K,MATCH(I4282,Dashboard!J:J,0),2)),"ON",IF(Dashboard!K$32="ALL","ON","-"))</f>
        <v>-</v>
      </c>
      <c r="C4282" s="96" t="s">
        <v>622</v>
      </c>
      <c r="D4282" s="89">
        <f>IF(C4282="ID",1,(IF(C4282="PR",2,(IF(C4282="DE",3,(IF(C4282="RS",4,(IF(C4282="RC",5,0)))))))))</f>
        <v>5</v>
      </c>
      <c r="E4282" s="89" t="s">
        <v>343</v>
      </c>
      <c r="F4282" s="89">
        <f>IF(E4282="AM",1,(IF(E4282="BE",2,(IF(E4282="GV",3,(IF(E4282="RA",4,(IF(E4282="RM",5,(IF(E4282="AC",1,(IF(E4282="AT",2,(IF(E4282="DS",3,(IF(E4282="IP",4,(IF(E4282="MA",5,(IF(E4282="PT",6,(IF(E4282="AE",1,(IF(E4282="CM",2,(IF(E4282="DP",3,(IF(E4282="AN",1,(IF(E4282="CO",2,(IF(E4282="IM",3,(IF(E4282="MI",4,(IF(E4282="RP",5,(IF(E4282="SC",6,0)))))))))))))))))))))))))))))))))))))))</f>
        <v>3</v>
      </c>
      <c r="G4282" s="52">
        <v>0</v>
      </c>
      <c r="H4282" s="90" t="s">
        <v>115</v>
      </c>
      <c r="I4282" s="94" t="s">
        <v>2835</v>
      </c>
      <c r="J4282" s="60" t="s">
        <v>3105</v>
      </c>
      <c r="K4282" s="106" t="s">
        <v>3107</v>
      </c>
      <c r="L4282" s="117">
        <f>IF(O4282="","",N4282*O4282*M4282)</f>
        <v>0</v>
      </c>
      <c r="M4282" s="108">
        <v>1</v>
      </c>
      <c r="N4282" s="95">
        <v>1</v>
      </c>
      <c r="O4282" s="109">
        <f>IF(Key!D$1="ON",P4282,IF(SUM(Q4282:DL4282)&lt;1,"",SUM(Q4282:DL4282)/COUNTIF(Q4282:DL4282,"&gt;0")))</f>
        <v>0</v>
      </c>
      <c r="P4282" s="109">
        <f>SUMIFS(Q4282:DK4282,Q$1:DK$1,Dashboard!$K$31)</f>
        <v>0</v>
      </c>
      <c r="Q4282" s="110">
        <v>83</v>
      </c>
      <c r="U4282" s="95">
        <v>33</v>
      </c>
      <c r="AA4282" s="95">
        <v>50</v>
      </c>
    </row>
    <row r="4283" spans="1:34" x14ac:dyDescent="0.3">
      <c r="A4283" s="89" t="str">
        <f>CONCATENATE(D4283,".",F4283,"-",G4283,".",H4283,"")</f>
        <v>5.3-1.0</v>
      </c>
      <c r="B4283" s="89" t="str">
        <f>IF(CONCATENATE(I4283,Key!F$2)=CONCATENATE(INDEX(Dashboard!J:J,MATCH(I4283,Dashboard!J:J,0),1),INDEX(Dashboard!J:K,MATCH(I4283,Dashboard!J:J,0),2)),"ON",IF(Dashboard!K$32="ALL","ON","-"))</f>
        <v>-</v>
      </c>
      <c r="C4283" s="96" t="s">
        <v>622</v>
      </c>
      <c r="D4283" s="89">
        <f>IF(C4283="ID",1,(IF(C4283="PR",2,(IF(C4283="DE",3,(IF(C4283="RS",4,(IF(C4283="RC",5,0)))))))))</f>
        <v>5</v>
      </c>
      <c r="E4283" s="89" t="s">
        <v>343</v>
      </c>
      <c r="F4283" s="89">
        <f>IF(E4283="AM",1,(IF(E4283="BE",2,(IF(E4283="GV",3,(IF(E4283="RA",4,(IF(E4283="RM",5,(IF(E4283="AC",1,(IF(E4283="AT",2,(IF(E4283="DS",3,(IF(E4283="IP",4,(IF(E4283="MA",5,(IF(E4283="PT",6,(IF(E4283="AE",1,(IF(E4283="CM",2,(IF(E4283="DP",3,(IF(E4283="AN",1,(IF(E4283="CO",2,(IF(E4283="IM",3,(IF(E4283="MI",4,(IF(E4283="RP",5,(IF(E4283="SC",6,0)))))))))))))))))))))))))))))))))))))))</f>
        <v>3</v>
      </c>
      <c r="G4283" s="52">
        <v>1</v>
      </c>
      <c r="H4283" s="90" t="s">
        <v>347</v>
      </c>
      <c r="I4283" s="94" t="s">
        <v>2835</v>
      </c>
      <c r="J4283" s="53" t="s">
        <v>3108</v>
      </c>
      <c r="K4283" s="106" t="s">
        <v>3109</v>
      </c>
      <c r="L4283" s="117">
        <f>IF(O4283="","",N4283*O4283*M4283)</f>
        <v>0</v>
      </c>
      <c r="M4283" s="108">
        <v>1</v>
      </c>
      <c r="N4283" s="95">
        <v>1</v>
      </c>
      <c r="O4283" s="109">
        <f>IF(Key!D$1="ON",P4283,IF(SUM(Q4283:DL4283)&lt;1,"",SUM(Q4283:DL4283)/COUNTIF(Q4283:DL4283,"&gt;0")))</f>
        <v>0</v>
      </c>
      <c r="P4283" s="109">
        <f>SUMIFS(Q4283:DK4283,Q$1:DK$1,Dashboard!$K$31)</f>
        <v>0</v>
      </c>
      <c r="U4283" s="95">
        <v>33</v>
      </c>
    </row>
    <row r="4284" spans="1:34" x14ac:dyDescent="0.3">
      <c r="A4284" s="89" t="str">
        <f>CONCATENATE(D4284,".",F4284,"-",G4284,".",H4284,"")</f>
        <v>5.3-1.1</v>
      </c>
      <c r="B4284" s="89" t="str">
        <f>IF(CONCATENATE(I4284,Key!F$2)=CONCATENATE(INDEX(Dashboard!J:J,MATCH(I4284,Dashboard!J:J,0),1),INDEX(Dashboard!J:K,MATCH(I4284,Dashboard!J:J,0),2)),"ON",IF(Dashboard!K$32="ALL","ON","-"))</f>
        <v>ON</v>
      </c>
      <c r="C4284" s="130" t="s">
        <v>622</v>
      </c>
      <c r="D4284" s="89">
        <f>IF(C4284="ID",1,(IF(C4284="PR",2,(IF(C4284="DE",3,(IF(C4284="RS",4,(IF(C4284="RC",5,0)))))))))</f>
        <v>5</v>
      </c>
      <c r="E4284" s="95" t="s">
        <v>343</v>
      </c>
      <c r="F4284" s="89">
        <f>IF(E4284="AM",1,(IF(E4284="BE",2,(IF(E4284="GV",3,(IF(E4284="RA",4,(IF(E4284="RM",5,(IF(E4284="AC",1,(IF(E4284="AT",2,(IF(E4284="DS",3,(IF(E4284="IP",4,(IF(E4284="MA",5,(IF(E4284="PT",6,(IF(E4284="AE",1,(IF(E4284="CM",2,(IF(E4284="DP",3,(IF(E4284="AN",1,(IF(E4284="CO",2,(IF(E4284="IM",3,(IF(E4284="MI",4,(IF(E4284="RP",5,(IF(E4284="SC",6,0)))))))))))))))))))))))))))))))))))))))</f>
        <v>3</v>
      </c>
      <c r="G4284" s="52">
        <v>1</v>
      </c>
      <c r="H4284" s="90" t="s">
        <v>115</v>
      </c>
      <c r="I4284" s="94" t="s">
        <v>4107</v>
      </c>
      <c r="J4284" s="86" t="s">
        <v>4061</v>
      </c>
      <c r="K4284" s="101" t="s">
        <v>4467</v>
      </c>
      <c r="L4284" s="117">
        <f>IF(O4284="","",N4284*O4284*M4284)</f>
        <v>0</v>
      </c>
      <c r="M4284" s="108">
        <v>1</v>
      </c>
      <c r="N4284" s="95">
        <v>1</v>
      </c>
      <c r="O4284" s="109">
        <f>IF(Key!D$1="ON",P4284,IF(SUM(Q4284:DL4284)&lt;1,"",SUM(Q4284:DL4284)/COUNTIF(Q4284:DL4284,"&gt;0")))</f>
        <v>0</v>
      </c>
      <c r="P4284" s="109">
        <f>SUMIFS(Q4284:DK4284,Q$1:DK$1,Dashboard!$K$31)</f>
        <v>0</v>
      </c>
      <c r="U4284" s="95">
        <v>33</v>
      </c>
      <c r="AA4284" s="95">
        <v>25</v>
      </c>
      <c r="AH4284" s="95">
        <v>75</v>
      </c>
    </row>
    <row r="4285" spans="1:34" x14ac:dyDescent="0.3">
      <c r="A4285" s="89" t="str">
        <f>CONCATENATE(D4285,".",F4285,"-",G4285,".",H4285,"")</f>
        <v>5.3-1.1</v>
      </c>
      <c r="B4285" s="89" t="str">
        <f>IF(CONCATENATE(I4285,Key!F$2)=CONCATENATE(INDEX(Dashboard!J:J,MATCH(I4285,Dashboard!J:J,0),1),INDEX(Dashboard!J:K,MATCH(I4285,Dashboard!J:J,0),2)),"ON",IF(Dashboard!K$32="ALL","ON","-"))</f>
        <v>-</v>
      </c>
      <c r="C4285" s="96" t="s">
        <v>622</v>
      </c>
      <c r="D4285" s="89">
        <f>IF(C4285="ID",1,(IF(C4285="PR",2,(IF(C4285="DE",3,(IF(C4285="RS",4,(IF(C4285="RC",5,0)))))))))</f>
        <v>5</v>
      </c>
      <c r="E4285" s="89" t="s">
        <v>343</v>
      </c>
      <c r="F4285" s="89">
        <f>IF(E4285="AM",1,(IF(E4285="BE",2,(IF(E4285="GV",3,(IF(E4285="RA",4,(IF(E4285="RM",5,(IF(E4285="AC",1,(IF(E4285="AT",2,(IF(E4285="DS",3,(IF(E4285="IP",4,(IF(E4285="MA",5,(IF(E4285="PT",6,(IF(E4285="AE",1,(IF(E4285="CM",2,(IF(E4285="DP",3,(IF(E4285="AN",1,(IF(E4285="CO",2,(IF(E4285="IM",3,(IF(E4285="MI",4,(IF(E4285="RP",5,(IF(E4285="SC",6,0)))))))))))))))))))))))))))))))))))))))</f>
        <v>3</v>
      </c>
      <c r="G4285" s="98">
        <v>1</v>
      </c>
      <c r="H4285" s="90" t="s">
        <v>115</v>
      </c>
      <c r="I4285" s="94" t="s">
        <v>52</v>
      </c>
      <c r="J4285" s="88" t="s">
        <v>3329</v>
      </c>
      <c r="K4285" s="103" t="s">
        <v>3330</v>
      </c>
      <c r="L4285" s="117">
        <f>IF(O4285="","",N4285*O4285*M4285)</f>
        <v>0</v>
      </c>
      <c r="M4285" s="108">
        <v>1</v>
      </c>
      <c r="N4285" s="95">
        <v>1</v>
      </c>
      <c r="O4285" s="109">
        <f>IF(Key!D$1="ON",P4285,IF(SUM(Q4285:DL4285)&lt;1,"",SUM(Q4285:DL4285)/COUNTIF(Q4285:DL4285,"&gt;0")))</f>
        <v>0</v>
      </c>
      <c r="P4285" s="109">
        <f>SUMIFS(Q4285:DK4285,Q$1:DK$1,Dashboard!$K$31)</f>
        <v>0</v>
      </c>
      <c r="U4285" s="95">
        <v>33</v>
      </c>
      <c r="AA4285" s="95">
        <v>25</v>
      </c>
      <c r="AH4285" s="95">
        <v>75</v>
      </c>
    </row>
    <row r="4286" spans="1:34" x14ac:dyDescent="0.3">
      <c r="A4286" s="89" t="str">
        <f>CONCATENATE(D4286,".",F4286,"-",G4286,".",H4286,"")</f>
        <v>5.3-1.1</v>
      </c>
      <c r="B4286" s="89" t="str">
        <f>IF(CONCATENATE(I4286,Key!F$2)=CONCATENATE(INDEX(Dashboard!J:J,MATCH(I4286,Dashboard!J:J,0),1),INDEX(Dashboard!J:K,MATCH(I4286,Dashboard!J:J,0),2)),"ON",IF(Dashboard!K$32="ALL","ON","-"))</f>
        <v>-</v>
      </c>
      <c r="C4286" s="96" t="s">
        <v>622</v>
      </c>
      <c r="D4286" s="89">
        <f>IF(C4286="ID",1,(IF(C4286="PR",2,(IF(C4286="DE",3,(IF(C4286="RS",4,(IF(C4286="RC",5,0)))))))))</f>
        <v>5</v>
      </c>
      <c r="E4286" s="89" t="s">
        <v>343</v>
      </c>
      <c r="F4286" s="89">
        <f>IF(E4286="AM",1,(IF(E4286="BE",2,(IF(E4286="GV",3,(IF(E4286="RA",4,(IF(E4286="RM",5,(IF(E4286="AC",1,(IF(E4286="AT",2,(IF(E4286="DS",3,(IF(E4286="IP",4,(IF(E4286="MA",5,(IF(E4286="PT",6,(IF(E4286="AE",1,(IF(E4286="CM",2,(IF(E4286="DP",3,(IF(E4286="AN",1,(IF(E4286="CO",2,(IF(E4286="IM",3,(IF(E4286="MI",4,(IF(E4286="RP",5,(IF(E4286="SC",6,0)))))))))))))))))))))))))))))))))))))))</f>
        <v>3</v>
      </c>
      <c r="G4286" s="98">
        <v>1</v>
      </c>
      <c r="H4286" s="90" t="s">
        <v>115</v>
      </c>
      <c r="I4286" s="94" t="s">
        <v>52</v>
      </c>
      <c r="J4286" s="88" t="s">
        <v>3292</v>
      </c>
      <c r="K4286" s="103" t="s">
        <v>3293</v>
      </c>
      <c r="L4286" s="117">
        <f>IF(O4286="","",N4286*O4286*M4286)</f>
        <v>0</v>
      </c>
      <c r="M4286" s="108">
        <v>1</v>
      </c>
      <c r="N4286" s="95">
        <v>1</v>
      </c>
      <c r="O4286" s="109">
        <f>IF(Key!D$1="ON",P4286,IF(SUM(Q4286:DL4286)&lt;1,"",SUM(Q4286:DL4286)/COUNTIF(Q4286:DL4286,"&gt;0")))</f>
        <v>0</v>
      </c>
      <c r="P4286" s="109">
        <f>SUMIFS(Q4286:DK4286,Q$1:DK$1,Dashboard!$K$31)</f>
        <v>0</v>
      </c>
      <c r="U4286" s="95">
        <v>33</v>
      </c>
      <c r="AA4286" s="95">
        <v>25</v>
      </c>
      <c r="AH4286" s="95">
        <v>75</v>
      </c>
    </row>
    <row r="4287" spans="1:34" x14ac:dyDescent="0.3">
      <c r="A4287" s="89" t="str">
        <f>CONCATENATE(D4287,".",F4287,"-",G4287,".",H4287,"")</f>
        <v>5.3-1.1</v>
      </c>
      <c r="B4287" s="89" t="str">
        <f>IF(CONCATENATE(I4287,Key!F$2)=CONCATENATE(INDEX(Dashboard!J:J,MATCH(I4287,Dashboard!J:J,0),1),INDEX(Dashboard!J:K,MATCH(I4287,Dashboard!J:J,0),2)),"ON",IF(Dashboard!K$32="ALL","ON","-"))</f>
        <v>-</v>
      </c>
      <c r="C4287" s="88" t="s">
        <v>622</v>
      </c>
      <c r="D4287" s="89">
        <f>IF(C4287="ID",1,(IF(C4287="PR",2,(IF(C4287="DE",3,(IF(C4287="RS",4,(IF(C4287="RC",5,0)))))))))</f>
        <v>5</v>
      </c>
      <c r="E4287" s="89" t="s">
        <v>343</v>
      </c>
      <c r="F4287" s="89">
        <f>IF(E4287="AM",1,(IF(E4287="BE",2,(IF(E4287="GV",3,(IF(E4287="RA",4,(IF(E4287="RM",5,(IF(E4287="AC",1,(IF(E4287="AT",2,(IF(E4287="DS",3,(IF(E4287="IP",4,(IF(E4287="MA",5,(IF(E4287="PT",6,(IF(E4287="AE",1,(IF(E4287="CM",2,(IF(E4287="DP",3,(IF(E4287="AN",1,(IF(E4287="CO",2,(IF(E4287="IM",3,(IF(E4287="MI",4,(IF(E4287="RP",5,(IF(E4287="SC",6,0)))))))))))))))))))))))))))))))))))))))</f>
        <v>3</v>
      </c>
      <c r="G4287" s="52">
        <v>1</v>
      </c>
      <c r="H4287" s="89">
        <v>1</v>
      </c>
      <c r="I4287" s="94" t="s">
        <v>60</v>
      </c>
      <c r="J4287" s="88" t="s">
        <v>3133</v>
      </c>
      <c r="K4287" s="51" t="s">
        <v>5246</v>
      </c>
      <c r="L4287" s="117">
        <f>IF(O4287="","",N4287*O4287*M4287)</f>
        <v>0</v>
      </c>
      <c r="M4287" s="108">
        <v>1</v>
      </c>
      <c r="N4287" s="95">
        <v>1</v>
      </c>
      <c r="O4287" s="109">
        <f>IF(Key!D$1="ON",P4287,IF(SUM(Q4287:DL4287)&lt;1,"",SUM(Q4287:DL4287)/COUNTIF(Q4287:DL4287,"&gt;0")))</f>
        <v>0</v>
      </c>
      <c r="P4287" s="109">
        <f>SUMIFS(Q4287:DK4287,Q$1:DK$1,Dashboard!$K$31)</f>
        <v>0</v>
      </c>
      <c r="U4287" s="95">
        <v>33</v>
      </c>
      <c r="AA4287" s="95">
        <v>25</v>
      </c>
      <c r="AH4287" s="95">
        <v>75</v>
      </c>
    </row>
    <row r="4288" spans="1:34" x14ac:dyDescent="0.3">
      <c r="A4288" s="89" t="str">
        <f>CONCATENATE(D4288,".",F4288,"-",G4288,".",H4288,"")</f>
        <v>5.3-1.1</v>
      </c>
      <c r="B4288" s="89" t="str">
        <f>IF(CONCATENATE(I4288,Key!F$2)=CONCATENATE(INDEX(Dashboard!J:J,MATCH(I4288,Dashboard!J:J,0),1),INDEX(Dashboard!J:K,MATCH(I4288,Dashboard!J:J,0),2)),"ON",IF(Dashboard!K$32="ALL","ON","-"))</f>
        <v>-</v>
      </c>
      <c r="C4288" s="88" t="s">
        <v>622</v>
      </c>
      <c r="D4288" s="89">
        <f>IF(C4288="ID",1,(IF(C4288="PR",2,(IF(C4288="DE",3,(IF(C4288="RS",4,(IF(C4288="RC",5,0)))))))))</f>
        <v>5</v>
      </c>
      <c r="E4288" s="89" t="s">
        <v>343</v>
      </c>
      <c r="F4288" s="89">
        <f>IF(E4288="AM",1,(IF(E4288="BE",2,(IF(E4288="GV",3,(IF(E4288="RA",4,(IF(E4288="RM",5,(IF(E4288="AC",1,(IF(E4288="AT",2,(IF(E4288="DS",3,(IF(E4288="IP",4,(IF(E4288="MA",5,(IF(E4288="PT",6,(IF(E4288="AE",1,(IF(E4288="CM",2,(IF(E4288="DP",3,(IF(E4288="AN",1,(IF(E4288="CO",2,(IF(E4288="IM",3,(IF(E4288="MI",4,(IF(E4288="RP",5,(IF(E4288="SC",6,0)))))))))))))))))))))))))))))))))))))))</f>
        <v>3</v>
      </c>
      <c r="G4288" s="52">
        <v>1</v>
      </c>
      <c r="H4288" s="90" t="s">
        <v>115</v>
      </c>
      <c r="I4288" s="94" t="s">
        <v>73</v>
      </c>
      <c r="J4288" s="86" t="s">
        <v>295</v>
      </c>
      <c r="K4288" s="101" t="s">
        <v>5207</v>
      </c>
      <c r="L4288" s="117">
        <f>IF(O4288="","",N4288*O4288*M4288)</f>
        <v>0</v>
      </c>
      <c r="M4288" s="108">
        <v>1</v>
      </c>
      <c r="N4288" s="95">
        <v>1</v>
      </c>
      <c r="O4288" s="109">
        <f>IF(Key!D$1="ON",P4288,IF(SUM(Q4288:DL4288)&lt;1,"",SUM(Q4288:DL4288)/COUNTIF(Q4288:DL4288,"&gt;0")))</f>
        <v>0</v>
      </c>
      <c r="P4288" s="109">
        <f>SUMIFS(Q4288:DK4288,Q$1:DK$1,Dashboard!$K$31)</f>
        <v>0</v>
      </c>
      <c r="U4288" s="95">
        <v>33</v>
      </c>
      <c r="AA4288" s="95">
        <v>25</v>
      </c>
      <c r="AH4288" s="95">
        <v>75</v>
      </c>
    </row>
    <row r="4289" spans="1:34" x14ac:dyDescent="0.3">
      <c r="A4289" s="89" t="str">
        <f>CONCATENATE(D4289,".",F4289,"-",G4289,".",H4289,"")</f>
        <v>5.3-1.1</v>
      </c>
      <c r="B4289" s="89" t="str">
        <f>IF(CONCATENATE(I4289,Key!F$2)=CONCATENATE(INDEX(Dashboard!J:J,MATCH(I4289,Dashboard!J:J,0),1),INDEX(Dashboard!J:K,MATCH(I4289,Dashboard!J:J,0),2)),"ON",IF(Dashboard!K$32="ALL","ON","-"))</f>
        <v>-</v>
      </c>
      <c r="C4289" s="88" t="s">
        <v>622</v>
      </c>
      <c r="D4289" s="89">
        <f>IF(C4289="ID",1,(IF(C4289="PR",2,(IF(C4289="DE",3,(IF(C4289="RS",4,(IF(C4289="RC",5,0)))))))))</f>
        <v>5</v>
      </c>
      <c r="E4289" s="89" t="s">
        <v>343</v>
      </c>
      <c r="F4289" s="89">
        <f>IF(E4289="AM",1,(IF(E4289="BE",2,(IF(E4289="GV",3,(IF(E4289="RA",4,(IF(E4289="RM",5,(IF(E4289="AC",1,(IF(E4289="AT",2,(IF(E4289="DS",3,(IF(E4289="IP",4,(IF(E4289="MA",5,(IF(E4289="PT",6,(IF(E4289="AE",1,(IF(E4289="CM",2,(IF(E4289="DP",3,(IF(E4289="AN",1,(IF(E4289="CO",2,(IF(E4289="IM",3,(IF(E4289="MI",4,(IF(E4289="RP",5,(IF(E4289="SC",6,0)))))))))))))))))))))))))))))))))))))))</f>
        <v>3</v>
      </c>
      <c r="G4289" s="52">
        <v>1</v>
      </c>
      <c r="H4289" s="90" t="s">
        <v>115</v>
      </c>
      <c r="I4289" s="94" t="s">
        <v>73</v>
      </c>
      <c r="J4289" s="86" t="s">
        <v>296</v>
      </c>
      <c r="K4289" s="101" t="s">
        <v>5201</v>
      </c>
      <c r="L4289" s="117">
        <f>IF(O4289="","",N4289*O4289*M4289)</f>
        <v>0</v>
      </c>
      <c r="M4289" s="108">
        <v>1</v>
      </c>
      <c r="N4289" s="95">
        <v>1</v>
      </c>
      <c r="O4289" s="109">
        <f>IF(Key!D$1="ON",P4289,IF(SUM(Q4289:DL4289)&lt;1,"",SUM(Q4289:DL4289)/COUNTIF(Q4289:DL4289,"&gt;0")))</f>
        <v>0</v>
      </c>
      <c r="P4289" s="109">
        <f>SUMIFS(Q4289:DK4289,Q$1:DK$1,Dashboard!$K$31)</f>
        <v>0</v>
      </c>
      <c r="U4289" s="95">
        <v>33</v>
      </c>
      <c r="AA4289" s="95">
        <v>25</v>
      </c>
      <c r="AH4289" s="95">
        <v>75</v>
      </c>
    </row>
    <row r="4290" spans="1:34" x14ac:dyDescent="0.3">
      <c r="A4290" s="89" t="str">
        <f>CONCATENATE(D4290,".",F4290,"-",G4290,".",H4290,"")</f>
        <v>5.3-1.1</v>
      </c>
      <c r="B4290" s="89" t="str">
        <f>IF(CONCATENATE(I4290,Key!F$2)=CONCATENATE(INDEX(Dashboard!J:J,MATCH(I4290,Dashboard!J:J,0),1),INDEX(Dashboard!J:K,MATCH(I4290,Dashboard!J:J,0),2)),"ON",IF(Dashboard!K$32="ALL","ON","-"))</f>
        <v>-</v>
      </c>
      <c r="C4290" s="88" t="s">
        <v>622</v>
      </c>
      <c r="D4290" s="89">
        <f>IF(C4290="ID",1,(IF(C4290="PR",2,(IF(C4290="DE",3,(IF(C4290="RS",4,(IF(C4290="RC",5,0)))))))))</f>
        <v>5</v>
      </c>
      <c r="E4290" s="89" t="s">
        <v>343</v>
      </c>
      <c r="F4290" s="89">
        <f>IF(E4290="AM",1,(IF(E4290="BE",2,(IF(E4290="GV",3,(IF(E4290="RA",4,(IF(E4290="RM",5,(IF(E4290="AC",1,(IF(E4290="AT",2,(IF(E4290="DS",3,(IF(E4290="IP",4,(IF(E4290="MA",5,(IF(E4290="PT",6,(IF(E4290="AE",1,(IF(E4290="CM",2,(IF(E4290="DP",3,(IF(E4290="AN",1,(IF(E4290="CO",2,(IF(E4290="IM",3,(IF(E4290="MI",4,(IF(E4290="RP",5,(IF(E4290="SC",6,0)))))))))))))))))))))))))))))))))))))))</f>
        <v>3</v>
      </c>
      <c r="G4290" s="52">
        <v>1</v>
      </c>
      <c r="H4290" s="90" t="s">
        <v>115</v>
      </c>
      <c r="I4290" s="94" t="s">
        <v>85</v>
      </c>
      <c r="J4290" s="87" t="s">
        <v>1932</v>
      </c>
      <c r="K4290" s="119" t="s">
        <v>4739</v>
      </c>
      <c r="L4290" s="117">
        <f>IF(O4290="","",N4290*O4290*M4290)</f>
        <v>0</v>
      </c>
      <c r="M4290" s="108">
        <v>1</v>
      </c>
      <c r="N4290" s="95">
        <v>1</v>
      </c>
      <c r="O4290" s="109">
        <f>IF(Key!D$1="ON",P4290,IF(SUM(Q4290:DL4290)&lt;1,"",SUM(Q4290:DL4290)/COUNTIF(Q4290:DL4290,"&gt;0")))</f>
        <v>0</v>
      </c>
      <c r="P4290" s="109">
        <f>SUMIFS(Q4290:DK4290,Q$1:DK$1,Dashboard!$K$31)</f>
        <v>0</v>
      </c>
      <c r="U4290" s="95">
        <v>33</v>
      </c>
      <c r="AA4290" s="95">
        <v>25</v>
      </c>
      <c r="AH4290" s="95">
        <v>75</v>
      </c>
    </row>
    <row r="4291" spans="1:34" x14ac:dyDescent="0.3">
      <c r="A4291" s="89" t="str">
        <f>CONCATENATE(D4291,".",F4291,"-",G4291,".",H4291,"")</f>
        <v>5.3-1.1</v>
      </c>
      <c r="B4291" s="89" t="str">
        <f>IF(CONCATENATE(I4291,Key!F$2)=CONCATENATE(INDEX(Dashboard!J:J,MATCH(I4291,Dashboard!J:J,0),1),INDEX(Dashboard!J:K,MATCH(I4291,Dashboard!J:J,0),2)),"ON",IF(Dashboard!K$32="ALL","ON","-"))</f>
        <v>-</v>
      </c>
      <c r="C4291" s="88" t="s">
        <v>622</v>
      </c>
      <c r="D4291" s="89">
        <f>IF(C4291="ID",1,(IF(C4291="PR",2,(IF(C4291="DE",3,(IF(C4291="RS",4,(IF(C4291="RC",5,0)))))))))</f>
        <v>5</v>
      </c>
      <c r="E4291" s="89" t="s">
        <v>343</v>
      </c>
      <c r="F4291" s="89">
        <f>IF(E4291="AM",1,(IF(E4291="BE",2,(IF(E4291="GV",3,(IF(E4291="RA",4,(IF(E4291="RM",5,(IF(E4291="AC",1,(IF(E4291="AT",2,(IF(E4291="DS",3,(IF(E4291="IP",4,(IF(E4291="MA",5,(IF(E4291="PT",6,(IF(E4291="AE",1,(IF(E4291="CM",2,(IF(E4291="DP",3,(IF(E4291="AN",1,(IF(E4291="CO",2,(IF(E4291="IM",3,(IF(E4291="MI",4,(IF(E4291="RP",5,(IF(E4291="SC",6,0)))))))))))))))))))))))))))))))))))))))</f>
        <v>3</v>
      </c>
      <c r="G4291" s="52">
        <v>1</v>
      </c>
      <c r="H4291" s="90" t="s">
        <v>115</v>
      </c>
      <c r="I4291" s="94" t="s">
        <v>85</v>
      </c>
      <c r="J4291" s="87" t="s">
        <v>1930</v>
      </c>
      <c r="K4291" s="119" t="s">
        <v>5146</v>
      </c>
      <c r="L4291" s="117">
        <f>IF(O4291="","",N4291*O4291*M4291)</f>
        <v>0</v>
      </c>
      <c r="M4291" s="108">
        <v>1</v>
      </c>
      <c r="N4291" s="95">
        <v>1</v>
      </c>
      <c r="O4291" s="109">
        <f>IF(Key!D$1="ON",P4291,IF(SUM(Q4291:DL4291)&lt;1,"",SUM(Q4291:DL4291)/COUNTIF(Q4291:DL4291,"&gt;0")))</f>
        <v>0</v>
      </c>
      <c r="P4291" s="109">
        <f>SUMIFS(Q4291:DK4291,Q$1:DK$1,Dashboard!$K$31)</f>
        <v>0</v>
      </c>
      <c r="U4291" s="95">
        <v>33</v>
      </c>
      <c r="AA4291" s="95">
        <v>25</v>
      </c>
      <c r="AH4291" s="95">
        <v>75</v>
      </c>
    </row>
    <row r="4292" spans="1:34" x14ac:dyDescent="0.3">
      <c r="A4292" s="89" t="str">
        <f>CONCATENATE(D4292,".",F4292,"-",G4292,".",H4292,"")</f>
        <v>5.3-1.1</v>
      </c>
      <c r="B4292" s="89" t="str">
        <f>IF(CONCATENATE(I4292,Key!F$2)=CONCATENATE(INDEX(Dashboard!J:J,MATCH(I4292,Dashboard!J:J,0),1),INDEX(Dashboard!J:K,MATCH(I4292,Dashboard!J:J,0),2)),"ON",IF(Dashboard!K$32="ALL","ON","-"))</f>
        <v>-</v>
      </c>
      <c r="C4292" s="88" t="s">
        <v>622</v>
      </c>
      <c r="D4292" s="89">
        <f>IF(C4292="ID",1,(IF(C4292="PR",2,(IF(C4292="DE",3,(IF(C4292="RS",4,(IF(C4292="RC",5,0)))))))))</f>
        <v>5</v>
      </c>
      <c r="E4292" s="89" t="s">
        <v>343</v>
      </c>
      <c r="F4292" s="89">
        <f>IF(E4292="AM",1,(IF(E4292="BE",2,(IF(E4292="GV",3,(IF(E4292="RA",4,(IF(E4292="RM",5,(IF(E4292="AC",1,(IF(E4292="AT",2,(IF(E4292="DS",3,(IF(E4292="IP",4,(IF(E4292="MA",5,(IF(E4292="PT",6,(IF(E4292="AE",1,(IF(E4292="CM",2,(IF(E4292="DP",3,(IF(E4292="AN",1,(IF(E4292="CO",2,(IF(E4292="IM",3,(IF(E4292="MI",4,(IF(E4292="RP",5,(IF(E4292="SC",6,0)))))))))))))))))))))))))))))))))))))))</f>
        <v>3</v>
      </c>
      <c r="G4292" s="52">
        <v>1</v>
      </c>
      <c r="H4292" s="90" t="s">
        <v>115</v>
      </c>
      <c r="I4292" s="94" t="s">
        <v>85</v>
      </c>
      <c r="J4292" s="87" t="s">
        <v>1927</v>
      </c>
      <c r="K4292" s="119" t="s">
        <v>1928</v>
      </c>
      <c r="L4292" s="117">
        <f>IF(O4292="","",N4292*O4292*M4292)</f>
        <v>0</v>
      </c>
      <c r="M4292" s="108">
        <v>1</v>
      </c>
      <c r="N4292" s="95">
        <v>1</v>
      </c>
      <c r="O4292" s="109">
        <f>IF(Key!D$1="ON",P4292,IF(SUM(Q4292:DL4292)&lt;1,"",SUM(Q4292:DL4292)/COUNTIF(Q4292:DL4292,"&gt;0")))</f>
        <v>0</v>
      </c>
      <c r="P4292" s="109">
        <f>SUMIFS(Q4292:DK4292,Q$1:DK$1,Dashboard!$K$31)</f>
        <v>0</v>
      </c>
      <c r="U4292" s="95">
        <v>33</v>
      </c>
      <c r="AA4292" s="95">
        <v>25</v>
      </c>
      <c r="AH4292" s="95">
        <v>75</v>
      </c>
    </row>
    <row r="4293" spans="1:34" x14ac:dyDescent="0.3">
      <c r="A4293" s="89" t="str">
        <f>CONCATENATE(D4293,".",F4293,"-",G4293,".",H4293,"")</f>
        <v>5.3-1.1</v>
      </c>
      <c r="B4293" s="89" t="str">
        <f>IF(CONCATENATE(I4293,Key!F$2)=CONCATENATE(INDEX(Dashboard!J:J,MATCH(I4293,Dashboard!J:J,0),1),INDEX(Dashboard!J:K,MATCH(I4293,Dashboard!J:J,0),2)),"ON",IF(Dashboard!K$32="ALL","ON","-"))</f>
        <v>-</v>
      </c>
      <c r="C4293" s="88" t="s">
        <v>622</v>
      </c>
      <c r="D4293" s="89">
        <f>IF(C4293="ID",1,(IF(C4293="PR",2,(IF(C4293="DE",3,(IF(C4293="RS",4,(IF(C4293="RC",5,0)))))))))</f>
        <v>5</v>
      </c>
      <c r="E4293" s="89" t="s">
        <v>343</v>
      </c>
      <c r="F4293" s="89">
        <f>IF(E4293="AM",1,(IF(E4293="BE",2,(IF(E4293="GV",3,(IF(E4293="RA",4,(IF(E4293="RM",5,(IF(E4293="AC",1,(IF(E4293="AT",2,(IF(E4293="DS",3,(IF(E4293="IP",4,(IF(E4293="MA",5,(IF(E4293="PT",6,(IF(E4293="AE",1,(IF(E4293="CM",2,(IF(E4293="DP",3,(IF(E4293="AN",1,(IF(E4293="CO",2,(IF(E4293="IM",3,(IF(E4293="MI",4,(IF(E4293="RP",5,(IF(E4293="SC",6,0)))))))))))))))))))))))))))))))))))))))</f>
        <v>3</v>
      </c>
      <c r="G4293" s="52">
        <v>1</v>
      </c>
      <c r="H4293" s="90" t="s">
        <v>115</v>
      </c>
      <c r="I4293" s="94" t="s">
        <v>85</v>
      </c>
      <c r="J4293" s="87" t="s">
        <v>1931</v>
      </c>
      <c r="K4293" s="119" t="s">
        <v>5147</v>
      </c>
      <c r="L4293" s="117">
        <f>IF(O4293="","",N4293*O4293*M4293)</f>
        <v>0</v>
      </c>
      <c r="M4293" s="108">
        <v>1</v>
      </c>
      <c r="N4293" s="95">
        <v>1</v>
      </c>
      <c r="O4293" s="109">
        <f>IF(Key!D$1="ON",P4293,IF(SUM(Q4293:DL4293)&lt;1,"",SUM(Q4293:DL4293)/COUNTIF(Q4293:DL4293,"&gt;0")))</f>
        <v>0</v>
      </c>
      <c r="P4293" s="109">
        <f>SUMIFS(Q4293:DK4293,Q$1:DK$1,Dashboard!$K$31)</f>
        <v>0</v>
      </c>
      <c r="U4293" s="95">
        <v>33</v>
      </c>
      <c r="AA4293" s="95">
        <v>25</v>
      </c>
      <c r="AH4293" s="95">
        <v>75</v>
      </c>
    </row>
    <row r="4294" spans="1:34" x14ac:dyDescent="0.3">
      <c r="A4294" s="89" t="str">
        <f>CONCATENATE(D4294,".",F4294,"-",G4294,".",H4294,"")</f>
        <v>5.3-1.1</v>
      </c>
      <c r="B4294" s="89" t="str">
        <f>IF(CONCATENATE(I4294,Key!F$2)=CONCATENATE(INDEX(Dashboard!J:J,MATCH(I4294,Dashboard!J:J,0),1),INDEX(Dashboard!J:K,MATCH(I4294,Dashboard!J:J,0),2)),"ON",IF(Dashboard!K$32="ALL","ON","-"))</f>
        <v>-</v>
      </c>
      <c r="C4294" s="88" t="s">
        <v>622</v>
      </c>
      <c r="D4294" s="89">
        <f>IF(C4294="ID",1,(IF(C4294="PR",2,(IF(C4294="DE",3,(IF(C4294="RS",4,(IF(C4294="RC",5,0)))))))))</f>
        <v>5</v>
      </c>
      <c r="E4294" s="89" t="s">
        <v>343</v>
      </c>
      <c r="F4294" s="89">
        <f>IF(E4294="AM",1,(IF(E4294="BE",2,(IF(E4294="GV",3,(IF(E4294="RA",4,(IF(E4294="RM",5,(IF(E4294="AC",1,(IF(E4294="AT",2,(IF(E4294="DS",3,(IF(E4294="IP",4,(IF(E4294="MA",5,(IF(E4294="PT",6,(IF(E4294="AE",1,(IF(E4294="CM",2,(IF(E4294="DP",3,(IF(E4294="AN",1,(IF(E4294="CO",2,(IF(E4294="IM",3,(IF(E4294="MI",4,(IF(E4294="RP",5,(IF(E4294="SC",6,0)))))))))))))))))))))))))))))))))))))))</f>
        <v>3</v>
      </c>
      <c r="G4294" s="52">
        <v>1</v>
      </c>
      <c r="H4294" s="90" t="s">
        <v>115</v>
      </c>
      <c r="I4294" s="94" t="s">
        <v>85</v>
      </c>
      <c r="J4294" s="87" t="s">
        <v>1929</v>
      </c>
      <c r="K4294" s="119" t="s">
        <v>5145</v>
      </c>
      <c r="L4294" s="117">
        <f>IF(O4294="","",N4294*O4294*M4294)</f>
        <v>0</v>
      </c>
      <c r="M4294" s="108">
        <v>1</v>
      </c>
      <c r="N4294" s="95">
        <v>1</v>
      </c>
      <c r="O4294" s="109">
        <f>IF(Key!D$1="ON",P4294,IF(SUM(Q4294:DL4294)&lt;1,"",SUM(Q4294:DL4294)/COUNTIF(Q4294:DL4294,"&gt;0")))</f>
        <v>0</v>
      </c>
      <c r="P4294" s="109">
        <f>SUMIFS(Q4294:DK4294,Q$1:DK$1,Dashboard!$K$31)</f>
        <v>0</v>
      </c>
      <c r="U4294" s="95">
        <v>33</v>
      </c>
      <c r="AA4294" s="95">
        <v>25</v>
      </c>
      <c r="AH4294" s="95">
        <v>75</v>
      </c>
    </row>
    <row r="4295" spans="1:34" x14ac:dyDescent="0.3">
      <c r="A4295" s="89" t="str">
        <f>CONCATENATE(D4295,".",F4295,"-",G4295,".",H4295,"")</f>
        <v>5.3-1.5</v>
      </c>
      <c r="B4295" s="89" t="str">
        <f>IF(CONCATENATE(I4295,Key!F$2)=CONCATENATE(INDEX(Dashboard!J:J,MATCH(I4295,Dashboard!J:J,0),1),INDEX(Dashboard!J:K,MATCH(I4295,Dashboard!J:J,0),2)),"ON",IF(Dashboard!K$32="ALL","ON","-"))</f>
        <v>-</v>
      </c>
      <c r="C4295" s="88" t="s">
        <v>622</v>
      </c>
      <c r="D4295" s="89">
        <f>IF(C4295="ID",1,(IF(C4295="PR",2,(IF(C4295="DE",3,(IF(C4295="RS",4,(IF(C4295="RC",5,0)))))))))</f>
        <v>5</v>
      </c>
      <c r="E4295" s="89" t="s">
        <v>343</v>
      </c>
      <c r="F4295" s="89">
        <f>IF(E4295="AM",1,(IF(E4295="BE",2,(IF(E4295="GV",3,(IF(E4295="RA",4,(IF(E4295="RM",5,(IF(E4295="AC",1,(IF(E4295="AT",2,(IF(E4295="DS",3,(IF(E4295="IP",4,(IF(E4295="MA",5,(IF(E4295="PT",6,(IF(E4295="AE",1,(IF(E4295="CM",2,(IF(E4295="DP",3,(IF(E4295="AN",1,(IF(E4295="CO",2,(IF(E4295="IM",3,(IF(E4295="MI",4,(IF(E4295="RP",5,(IF(E4295="SC",6,0)))))))))))))))))))))))))))))))))))))))</f>
        <v>3</v>
      </c>
      <c r="G4295" s="52">
        <v>1</v>
      </c>
      <c r="H4295" s="90" t="s">
        <v>123</v>
      </c>
      <c r="I4295" s="94" t="s">
        <v>77</v>
      </c>
      <c r="J4295" s="87" t="s">
        <v>1927</v>
      </c>
      <c r="K4295" s="102" t="s">
        <v>2820</v>
      </c>
      <c r="L4295" s="117">
        <f>IF(O4295="","",N4295*O4295*M4295)</f>
        <v>0</v>
      </c>
      <c r="M4295" s="108">
        <v>1</v>
      </c>
      <c r="N4295" s="95">
        <v>1</v>
      </c>
      <c r="O4295" s="109">
        <f>IF(Key!D$1="ON",P4295,IF(SUM(Q4295:DL4295)&lt;1,"",SUM(Q4295:DL4295)/COUNTIF(Q4295:DL4295,"&gt;0")))</f>
        <v>0</v>
      </c>
      <c r="P4295" s="109">
        <f>SUMIFS(Q4295:DK4295,Q$1:DK$1,Dashboard!$K$31)</f>
        <v>0</v>
      </c>
      <c r="U4295" s="95">
        <v>33</v>
      </c>
      <c r="AA4295" s="95">
        <v>25</v>
      </c>
      <c r="AH4295" s="95">
        <v>75</v>
      </c>
    </row>
    <row r="4296" spans="1:34" x14ac:dyDescent="0.3">
      <c r="A4296" s="89" t="str">
        <f>CONCATENATE(D4296,".",F4296,"-",G4296,".",H4296,"")</f>
        <v>5.3-1.5</v>
      </c>
      <c r="B4296" s="89" t="str">
        <f>IF(CONCATENATE(I4296,Key!F$2)=CONCATENATE(INDEX(Dashboard!J:J,MATCH(I4296,Dashboard!J:J,0),1),INDEX(Dashboard!J:K,MATCH(I4296,Dashboard!J:J,0),2)),"ON",IF(Dashboard!K$32="ALL","ON","-"))</f>
        <v>-</v>
      </c>
      <c r="C4296" s="88" t="s">
        <v>622</v>
      </c>
      <c r="D4296" s="89">
        <f>IF(C4296="ID",1,(IF(C4296="PR",2,(IF(C4296="DE",3,(IF(C4296="RS",4,(IF(C4296="RC",5,0)))))))))</f>
        <v>5</v>
      </c>
      <c r="E4296" s="89" t="s">
        <v>343</v>
      </c>
      <c r="F4296" s="89">
        <f>IF(E4296="AM",1,(IF(E4296="BE",2,(IF(E4296="GV",3,(IF(E4296="RA",4,(IF(E4296="RM",5,(IF(E4296="AC",1,(IF(E4296="AT",2,(IF(E4296="DS",3,(IF(E4296="IP",4,(IF(E4296="MA",5,(IF(E4296="PT",6,(IF(E4296="AE",1,(IF(E4296="CM",2,(IF(E4296="DP",3,(IF(E4296="AN",1,(IF(E4296="CO",2,(IF(E4296="IM",3,(IF(E4296="MI",4,(IF(E4296="RP",5,(IF(E4296="SC",6,0)))))))))))))))))))))))))))))))))))))))</f>
        <v>3</v>
      </c>
      <c r="G4296" s="52">
        <v>1</v>
      </c>
      <c r="H4296" s="90" t="s">
        <v>123</v>
      </c>
      <c r="I4296" s="94" t="s">
        <v>77</v>
      </c>
      <c r="J4296" s="87" t="s">
        <v>1929</v>
      </c>
      <c r="K4296" s="102" t="s">
        <v>2821</v>
      </c>
      <c r="L4296" s="117">
        <f>IF(O4296="","",N4296*O4296*M4296)</f>
        <v>0</v>
      </c>
      <c r="M4296" s="108">
        <v>1</v>
      </c>
      <c r="N4296" s="95">
        <v>1</v>
      </c>
      <c r="O4296" s="109">
        <f>IF(Key!D$1="ON",P4296,IF(SUM(Q4296:DL4296)&lt;1,"",SUM(Q4296:DL4296)/COUNTIF(Q4296:DL4296,"&gt;0")))</f>
        <v>0</v>
      </c>
      <c r="P4296" s="109">
        <f>SUMIFS(Q4296:DK4296,Q$1:DK$1,Dashboard!$K$31)</f>
        <v>0</v>
      </c>
      <c r="U4296" s="95">
        <v>33</v>
      </c>
      <c r="AA4296" s="95">
        <v>25</v>
      </c>
      <c r="AH4296" s="95">
        <v>75</v>
      </c>
    </row>
    <row r="4297" spans="1:34" x14ac:dyDescent="0.3">
      <c r="A4297" s="89" t="str">
        <f>CONCATENATE(D4297,".",F4297,"-",G4297,".",H4297,"")</f>
        <v>5.3-1.5</v>
      </c>
      <c r="B4297" s="89" t="str">
        <f>IF(CONCATENATE(I4297,Key!F$2)=CONCATENATE(INDEX(Dashboard!J:J,MATCH(I4297,Dashboard!J:J,0),1),INDEX(Dashboard!J:K,MATCH(I4297,Dashboard!J:J,0),2)),"ON",IF(Dashboard!K$32="ALL","ON","-"))</f>
        <v>-</v>
      </c>
      <c r="C4297" s="88" t="s">
        <v>622</v>
      </c>
      <c r="D4297" s="89">
        <f>IF(C4297="ID",1,(IF(C4297="PR",2,(IF(C4297="DE",3,(IF(C4297="RS",4,(IF(C4297="RC",5,0)))))))))</f>
        <v>5</v>
      </c>
      <c r="E4297" s="89" t="s">
        <v>343</v>
      </c>
      <c r="F4297" s="89">
        <f>IF(E4297="AM",1,(IF(E4297="BE",2,(IF(E4297="GV",3,(IF(E4297="RA",4,(IF(E4297="RM",5,(IF(E4297="AC",1,(IF(E4297="AT",2,(IF(E4297="DS",3,(IF(E4297="IP",4,(IF(E4297="MA",5,(IF(E4297="PT",6,(IF(E4297="AE",1,(IF(E4297="CM",2,(IF(E4297="DP",3,(IF(E4297="AN",1,(IF(E4297="CO",2,(IF(E4297="IM",3,(IF(E4297="MI",4,(IF(E4297="RP",5,(IF(E4297="SC",6,0)))))))))))))))))))))))))))))))))))))))</f>
        <v>3</v>
      </c>
      <c r="G4297" s="52">
        <v>1</v>
      </c>
      <c r="H4297" s="90" t="s">
        <v>123</v>
      </c>
      <c r="I4297" s="94" t="s">
        <v>77</v>
      </c>
      <c r="J4297" s="87" t="s">
        <v>1930</v>
      </c>
      <c r="K4297" s="102" t="s">
        <v>2822</v>
      </c>
      <c r="L4297" s="117">
        <f>IF(O4297="","",N4297*O4297*M4297)</f>
        <v>0</v>
      </c>
      <c r="M4297" s="108">
        <v>1</v>
      </c>
      <c r="N4297" s="95">
        <v>1</v>
      </c>
      <c r="O4297" s="109">
        <f>IF(Key!D$1="ON",P4297,IF(SUM(Q4297:DL4297)&lt;1,"",SUM(Q4297:DL4297)/COUNTIF(Q4297:DL4297,"&gt;0")))</f>
        <v>0</v>
      </c>
      <c r="P4297" s="109">
        <f>SUMIFS(Q4297:DK4297,Q$1:DK$1,Dashboard!$K$31)</f>
        <v>0</v>
      </c>
      <c r="U4297" s="95">
        <v>33</v>
      </c>
      <c r="AA4297" s="95">
        <v>25</v>
      </c>
      <c r="AH4297" s="95">
        <v>75</v>
      </c>
    </row>
    <row r="4298" spans="1:34" x14ac:dyDescent="0.3">
      <c r="A4298" s="89" t="str">
        <f>CONCATENATE(D4298,".",F4298,"-",G4298,".",H4298,"")</f>
        <v>5.3-1.5</v>
      </c>
      <c r="B4298" s="89" t="str">
        <f>IF(CONCATENATE(I4298,Key!F$2)=CONCATENATE(INDEX(Dashboard!J:J,MATCH(I4298,Dashboard!J:J,0),1),INDEX(Dashboard!J:K,MATCH(I4298,Dashboard!J:J,0),2)),"ON",IF(Dashboard!K$32="ALL","ON","-"))</f>
        <v>-</v>
      </c>
      <c r="C4298" s="88" t="s">
        <v>622</v>
      </c>
      <c r="D4298" s="89">
        <f>IF(C4298="ID",1,(IF(C4298="PR",2,(IF(C4298="DE",3,(IF(C4298="RS",4,(IF(C4298="RC",5,0)))))))))</f>
        <v>5</v>
      </c>
      <c r="E4298" s="89" t="s">
        <v>343</v>
      </c>
      <c r="F4298" s="89">
        <f>IF(E4298="AM",1,(IF(E4298="BE",2,(IF(E4298="GV",3,(IF(E4298="RA",4,(IF(E4298="RM",5,(IF(E4298="AC",1,(IF(E4298="AT",2,(IF(E4298="DS",3,(IF(E4298="IP",4,(IF(E4298="MA",5,(IF(E4298="PT",6,(IF(E4298="AE",1,(IF(E4298="CM",2,(IF(E4298="DP",3,(IF(E4298="AN",1,(IF(E4298="CO",2,(IF(E4298="IM",3,(IF(E4298="MI",4,(IF(E4298="RP",5,(IF(E4298="SC",6,0)))))))))))))))))))))))))))))))))))))))</f>
        <v>3</v>
      </c>
      <c r="G4298" s="52">
        <v>1</v>
      </c>
      <c r="H4298" s="90" t="s">
        <v>123</v>
      </c>
      <c r="I4298" s="94" t="s">
        <v>77</v>
      </c>
      <c r="J4298" s="87" t="s">
        <v>1931</v>
      </c>
      <c r="K4298" s="102" t="s">
        <v>2823</v>
      </c>
      <c r="L4298" s="117">
        <f>IF(O4298="","",N4298*O4298*M4298)</f>
        <v>0</v>
      </c>
      <c r="M4298" s="108">
        <v>1</v>
      </c>
      <c r="N4298" s="95">
        <v>1</v>
      </c>
      <c r="O4298" s="109">
        <f>IF(Key!D$1="ON",P4298,IF(SUM(Q4298:DL4298)&lt;1,"",SUM(Q4298:DL4298)/COUNTIF(Q4298:DL4298,"&gt;0")))</f>
        <v>0</v>
      </c>
      <c r="P4298" s="109">
        <f>SUMIFS(Q4298:DK4298,Q$1:DK$1,Dashboard!$K$31)</f>
        <v>0</v>
      </c>
      <c r="U4298" s="95">
        <v>33</v>
      </c>
      <c r="AA4298" s="95">
        <v>25</v>
      </c>
      <c r="AH4298" s="95">
        <v>75</v>
      </c>
    </row>
    <row r="4299" spans="1:34" x14ac:dyDescent="0.3">
      <c r="A4299" s="89" t="str">
        <f>CONCATENATE(D4299,".",F4299,"-",G4299,".",H4299,"")</f>
        <v>5.3-1.5</v>
      </c>
      <c r="B4299" s="89" t="str">
        <f>IF(CONCATENATE(I4299,Key!F$2)=CONCATENATE(INDEX(Dashboard!J:J,MATCH(I4299,Dashboard!J:J,0),1),INDEX(Dashboard!J:K,MATCH(I4299,Dashboard!J:J,0),2)),"ON",IF(Dashboard!K$32="ALL","ON","-"))</f>
        <v>-</v>
      </c>
      <c r="C4299" s="88" t="s">
        <v>622</v>
      </c>
      <c r="D4299" s="89">
        <f>IF(C4299="ID",1,(IF(C4299="PR",2,(IF(C4299="DE",3,(IF(C4299="RS",4,(IF(C4299="RC",5,0)))))))))</f>
        <v>5</v>
      </c>
      <c r="E4299" s="89" t="s">
        <v>343</v>
      </c>
      <c r="F4299" s="89">
        <f>IF(E4299="AM",1,(IF(E4299="BE",2,(IF(E4299="GV",3,(IF(E4299="RA",4,(IF(E4299="RM",5,(IF(E4299="AC",1,(IF(E4299="AT",2,(IF(E4299="DS",3,(IF(E4299="IP",4,(IF(E4299="MA",5,(IF(E4299="PT",6,(IF(E4299="AE",1,(IF(E4299="CM",2,(IF(E4299="DP",3,(IF(E4299="AN",1,(IF(E4299="CO",2,(IF(E4299="IM",3,(IF(E4299="MI",4,(IF(E4299="RP",5,(IF(E4299="SC",6,0)))))))))))))))))))))))))))))))))))))))</f>
        <v>3</v>
      </c>
      <c r="G4299" s="52">
        <v>1</v>
      </c>
      <c r="H4299" s="90" t="s">
        <v>123</v>
      </c>
      <c r="I4299" s="94" t="s">
        <v>77</v>
      </c>
      <c r="J4299" s="87" t="s">
        <v>1932</v>
      </c>
      <c r="K4299" s="102" t="s">
        <v>2824</v>
      </c>
      <c r="L4299" s="117">
        <f>IF(O4299="","",N4299*O4299*M4299)</f>
        <v>0</v>
      </c>
      <c r="M4299" s="108">
        <v>1</v>
      </c>
      <c r="N4299" s="95">
        <v>1</v>
      </c>
      <c r="O4299" s="109">
        <f>IF(Key!D$1="ON",P4299,IF(SUM(Q4299:DL4299)&lt;1,"",SUM(Q4299:DL4299)/COUNTIF(Q4299:DL4299,"&gt;0")))</f>
        <v>0</v>
      </c>
      <c r="P4299" s="109">
        <f>SUMIFS(Q4299:DK4299,Q$1:DK$1,Dashboard!$K$31)</f>
        <v>0</v>
      </c>
      <c r="U4299" s="95">
        <v>33</v>
      </c>
      <c r="AA4299" s="95">
        <v>25</v>
      </c>
      <c r="AH4299" s="95">
        <v>75</v>
      </c>
    </row>
    <row r="4300" spans="1:34" x14ac:dyDescent="0.3">
      <c r="A4300" s="89" t="str">
        <f>CONCATENATE(D4300,".",F4300,"-",G4300,".",H4300,"")</f>
        <v>5.3-2.0</v>
      </c>
      <c r="B4300" s="89" t="str">
        <f>IF(CONCATENATE(I4300,Key!F$2)=CONCATENATE(INDEX(Dashboard!J:J,MATCH(I4300,Dashboard!J:J,0),1),INDEX(Dashboard!J:K,MATCH(I4300,Dashboard!J:J,0),2)),"ON",IF(Dashboard!K$32="ALL","ON","-"))</f>
        <v>-</v>
      </c>
      <c r="C4300" s="96" t="s">
        <v>622</v>
      </c>
      <c r="D4300" s="89">
        <f>IF(C4300="ID",1,(IF(C4300="PR",2,(IF(C4300="DE",3,(IF(C4300="RS",4,(IF(C4300="RC",5,0)))))))))</f>
        <v>5</v>
      </c>
      <c r="E4300" s="89" t="s">
        <v>343</v>
      </c>
      <c r="F4300" s="89">
        <f>IF(E4300="AM",1,(IF(E4300="BE",2,(IF(E4300="GV",3,(IF(E4300="RA",4,(IF(E4300="RM",5,(IF(E4300="AC",1,(IF(E4300="AT",2,(IF(E4300="DS",3,(IF(E4300="IP",4,(IF(E4300="MA",5,(IF(E4300="PT",6,(IF(E4300="AE",1,(IF(E4300="CM",2,(IF(E4300="DP",3,(IF(E4300="AN",1,(IF(E4300="CO",2,(IF(E4300="IM",3,(IF(E4300="MI",4,(IF(E4300="RP",5,(IF(E4300="SC",6,0)))))))))))))))))))))))))))))))))))))))</f>
        <v>3</v>
      </c>
      <c r="G4300" s="52">
        <v>2</v>
      </c>
      <c r="H4300" s="90" t="s">
        <v>347</v>
      </c>
      <c r="I4300" s="94" t="s">
        <v>2835</v>
      </c>
      <c r="J4300" s="53" t="s">
        <v>3110</v>
      </c>
      <c r="K4300" s="106" t="s">
        <v>3111</v>
      </c>
      <c r="L4300" s="117">
        <f>IF(O4300="","",N4300*O4300*M4300)</f>
        <v>0</v>
      </c>
      <c r="M4300" s="108">
        <v>1</v>
      </c>
      <c r="N4300" s="95">
        <v>1</v>
      </c>
      <c r="O4300" s="109">
        <f>IF(Key!D$1="ON",P4300,IF(SUM(Q4300:DL4300)&lt;1,"",SUM(Q4300:DL4300)/COUNTIF(Q4300:DL4300,"&gt;0")))</f>
        <v>0</v>
      </c>
      <c r="P4300" s="109">
        <f>SUMIFS(Q4300:DK4300,Q$1:DK$1,Dashboard!$K$31)</f>
        <v>0</v>
      </c>
      <c r="U4300" s="95">
        <v>33</v>
      </c>
    </row>
    <row r="4301" spans="1:34" x14ac:dyDescent="0.3">
      <c r="A4301" s="89" t="str">
        <f>CONCATENATE(D4301,".",F4301,"-",G4301,".",H4301,"")</f>
        <v>5.3-2.1</v>
      </c>
      <c r="B4301" s="89" t="str">
        <f>IF(CONCATENATE(I4301,Key!F$2)=CONCATENATE(INDEX(Dashboard!J:J,MATCH(I4301,Dashboard!J:J,0),1),INDEX(Dashboard!J:K,MATCH(I4301,Dashboard!J:J,0),2)),"ON",IF(Dashboard!K$32="ALL","ON","-"))</f>
        <v>ON</v>
      </c>
      <c r="C4301" s="130" t="s">
        <v>622</v>
      </c>
      <c r="D4301" s="89">
        <f>IF(C4301="ID",1,(IF(C4301="PR",2,(IF(C4301="DE",3,(IF(C4301="RS",4,(IF(C4301="RC",5,0)))))))))</f>
        <v>5</v>
      </c>
      <c r="E4301" s="95" t="s">
        <v>343</v>
      </c>
      <c r="F4301" s="89">
        <f>IF(E4301="AM",1,(IF(E4301="BE",2,(IF(E4301="GV",3,(IF(E4301="RA",4,(IF(E4301="RM",5,(IF(E4301="AC",1,(IF(E4301="AT",2,(IF(E4301="DS",3,(IF(E4301="IP",4,(IF(E4301="MA",5,(IF(E4301="PT",6,(IF(E4301="AE",1,(IF(E4301="CM",2,(IF(E4301="DP",3,(IF(E4301="AN",1,(IF(E4301="CO",2,(IF(E4301="IM",3,(IF(E4301="MI",4,(IF(E4301="RP",5,(IF(E4301="SC",6,0)))))))))))))))))))))))))))))))))))))))</f>
        <v>3</v>
      </c>
      <c r="G4301" s="52">
        <v>2</v>
      </c>
      <c r="H4301" s="90" t="s">
        <v>115</v>
      </c>
      <c r="I4301" s="94" t="s">
        <v>4107</v>
      </c>
      <c r="J4301" s="86" t="s">
        <v>4061</v>
      </c>
      <c r="K4301" s="101" t="s">
        <v>4467</v>
      </c>
      <c r="L4301" s="117">
        <f>IF(O4301="","",N4301*O4301*M4301)</f>
        <v>33</v>
      </c>
      <c r="M4301" s="108">
        <v>1</v>
      </c>
      <c r="N4301" s="95">
        <v>1</v>
      </c>
      <c r="O4301" s="109">
        <f>IF(Key!D$1="ON",P4301,IF(SUM(Q4301:DL4301)&lt;1,"",SUM(Q4301:DL4301)/COUNTIF(Q4301:DL4301,"&gt;0")))</f>
        <v>33</v>
      </c>
      <c r="P4301" s="109">
        <f>SUMIFS(Q4301:DK4301,Q$1:DK$1,Dashboard!$K$31)</f>
        <v>33</v>
      </c>
      <c r="R4301" s="95">
        <v>33</v>
      </c>
      <c r="U4301" s="95">
        <v>33</v>
      </c>
      <c r="AA4301" s="95">
        <v>25</v>
      </c>
      <c r="AH4301" s="95">
        <v>75</v>
      </c>
    </row>
    <row r="4302" spans="1:34" x14ac:dyDescent="0.3">
      <c r="A4302" s="89" t="str">
        <f>CONCATENATE(D4302,".",F4302,"-",G4302,".",H4302,"")</f>
        <v>5.3-2.1</v>
      </c>
      <c r="B4302" s="89" t="str">
        <f>IF(CONCATENATE(I4302,Key!F$2)=CONCATENATE(INDEX(Dashboard!J:J,MATCH(I4302,Dashboard!J:J,0),1),INDEX(Dashboard!J:K,MATCH(I4302,Dashboard!J:J,0),2)),"ON",IF(Dashboard!K$32="ALL","ON","-"))</f>
        <v>-</v>
      </c>
      <c r="C4302" s="96" t="s">
        <v>622</v>
      </c>
      <c r="D4302" s="89">
        <f>IF(C4302="ID",1,(IF(C4302="PR",2,(IF(C4302="DE",3,(IF(C4302="RS",4,(IF(C4302="RC",5,0)))))))))</f>
        <v>5</v>
      </c>
      <c r="E4302" s="89" t="s">
        <v>343</v>
      </c>
      <c r="F4302" s="89">
        <f>IF(E4302="AM",1,(IF(E4302="BE",2,(IF(E4302="GV",3,(IF(E4302="RA",4,(IF(E4302="RM",5,(IF(E4302="AC",1,(IF(E4302="AT",2,(IF(E4302="DS",3,(IF(E4302="IP",4,(IF(E4302="MA",5,(IF(E4302="PT",6,(IF(E4302="AE",1,(IF(E4302="CM",2,(IF(E4302="DP",3,(IF(E4302="AN",1,(IF(E4302="CO",2,(IF(E4302="IM",3,(IF(E4302="MI",4,(IF(E4302="RP",5,(IF(E4302="SC",6,0)))))))))))))))))))))))))))))))))))))))</f>
        <v>3</v>
      </c>
      <c r="G4302" s="98">
        <v>2</v>
      </c>
      <c r="H4302" s="90" t="s">
        <v>115</v>
      </c>
      <c r="I4302" s="94" t="s">
        <v>52</v>
      </c>
      <c r="J4302" s="88" t="s">
        <v>3329</v>
      </c>
      <c r="K4302" s="103" t="s">
        <v>3330</v>
      </c>
      <c r="L4302" s="117">
        <f>IF(O4302="","",N4302*O4302*M4302)</f>
        <v>0</v>
      </c>
      <c r="M4302" s="108">
        <v>1</v>
      </c>
      <c r="N4302" s="95">
        <v>1</v>
      </c>
      <c r="O4302" s="109">
        <f>IF(Key!D$1="ON",P4302,IF(SUM(Q4302:DL4302)&lt;1,"",SUM(Q4302:DL4302)/COUNTIF(Q4302:DL4302,"&gt;0")))</f>
        <v>0</v>
      </c>
      <c r="P4302" s="109">
        <f>SUMIFS(Q4302:DK4302,Q$1:DK$1,Dashboard!$K$31)</f>
        <v>0</v>
      </c>
      <c r="U4302" s="95">
        <v>33</v>
      </c>
      <c r="AA4302" s="95">
        <v>25</v>
      </c>
      <c r="AH4302" s="95">
        <v>75</v>
      </c>
    </row>
    <row r="4303" spans="1:34" x14ac:dyDescent="0.3">
      <c r="A4303" s="89" t="str">
        <f>CONCATENATE(D4303,".",F4303,"-",G4303,".",H4303,"")</f>
        <v>5.3-2.1</v>
      </c>
      <c r="B4303" s="89" t="str">
        <f>IF(CONCATENATE(I4303,Key!F$2)=CONCATENATE(INDEX(Dashboard!J:J,MATCH(I4303,Dashboard!J:J,0),1),INDEX(Dashboard!J:K,MATCH(I4303,Dashboard!J:J,0),2)),"ON",IF(Dashboard!K$32="ALL","ON","-"))</f>
        <v>-</v>
      </c>
      <c r="C4303" s="96" t="s">
        <v>622</v>
      </c>
      <c r="D4303" s="89">
        <f>IF(C4303="ID",1,(IF(C4303="PR",2,(IF(C4303="DE",3,(IF(C4303="RS",4,(IF(C4303="RC",5,0)))))))))</f>
        <v>5</v>
      </c>
      <c r="E4303" s="89" t="s">
        <v>343</v>
      </c>
      <c r="F4303" s="89">
        <f>IF(E4303="AM",1,(IF(E4303="BE",2,(IF(E4303="GV",3,(IF(E4303="RA",4,(IF(E4303="RM",5,(IF(E4303="AC",1,(IF(E4303="AT",2,(IF(E4303="DS",3,(IF(E4303="IP",4,(IF(E4303="MA",5,(IF(E4303="PT",6,(IF(E4303="AE",1,(IF(E4303="CM",2,(IF(E4303="DP",3,(IF(E4303="AN",1,(IF(E4303="CO",2,(IF(E4303="IM",3,(IF(E4303="MI",4,(IF(E4303="RP",5,(IF(E4303="SC",6,0)))))))))))))))))))))))))))))))))))))))</f>
        <v>3</v>
      </c>
      <c r="G4303" s="98">
        <v>2</v>
      </c>
      <c r="H4303" s="90" t="s">
        <v>115</v>
      </c>
      <c r="I4303" s="94" t="s">
        <v>52</v>
      </c>
      <c r="J4303" s="88" t="s">
        <v>3292</v>
      </c>
      <c r="K4303" s="103" t="s">
        <v>3293</v>
      </c>
      <c r="L4303" s="117">
        <f>IF(O4303="","",N4303*O4303*M4303)</f>
        <v>0</v>
      </c>
      <c r="M4303" s="108">
        <v>1</v>
      </c>
      <c r="N4303" s="95">
        <v>1</v>
      </c>
      <c r="O4303" s="109">
        <f>IF(Key!D$1="ON",P4303,IF(SUM(Q4303:DL4303)&lt;1,"",SUM(Q4303:DL4303)/COUNTIF(Q4303:DL4303,"&gt;0")))</f>
        <v>0</v>
      </c>
      <c r="P4303" s="109">
        <f>SUMIFS(Q4303:DK4303,Q$1:DK$1,Dashboard!$K$31)</f>
        <v>0</v>
      </c>
      <c r="U4303" s="95">
        <v>33</v>
      </c>
      <c r="AA4303" s="95">
        <v>25</v>
      </c>
      <c r="AH4303" s="95">
        <v>75</v>
      </c>
    </row>
    <row r="4304" spans="1:34" x14ac:dyDescent="0.3">
      <c r="A4304" s="89" t="str">
        <f>CONCATENATE(D4304,".",F4304,"-",G4304,".",H4304,"")</f>
        <v>5.3-2.1</v>
      </c>
      <c r="B4304" s="89" t="str">
        <f>IF(CONCATENATE(I4304,Key!F$2)=CONCATENATE(INDEX(Dashboard!J:J,MATCH(I4304,Dashboard!J:J,0),1),INDEX(Dashboard!J:K,MATCH(I4304,Dashboard!J:J,0),2)),"ON",IF(Dashboard!K$32="ALL","ON","-"))</f>
        <v>-</v>
      </c>
      <c r="C4304" s="88" t="s">
        <v>622</v>
      </c>
      <c r="D4304" s="89">
        <f>IF(C4304="ID",1,(IF(C4304="PR",2,(IF(C4304="DE",3,(IF(C4304="RS",4,(IF(C4304="RC",5,0)))))))))</f>
        <v>5</v>
      </c>
      <c r="E4304" s="89" t="s">
        <v>343</v>
      </c>
      <c r="F4304" s="89">
        <f>IF(E4304="AM",1,(IF(E4304="BE",2,(IF(E4304="GV",3,(IF(E4304="RA",4,(IF(E4304="RM",5,(IF(E4304="AC",1,(IF(E4304="AT",2,(IF(E4304="DS",3,(IF(E4304="IP",4,(IF(E4304="MA",5,(IF(E4304="PT",6,(IF(E4304="AE",1,(IF(E4304="CM",2,(IF(E4304="DP",3,(IF(E4304="AN",1,(IF(E4304="CO",2,(IF(E4304="IM",3,(IF(E4304="MI",4,(IF(E4304="RP",5,(IF(E4304="SC",6,0)))))))))))))))))))))))))))))))))))))))</f>
        <v>3</v>
      </c>
      <c r="G4304" s="52">
        <v>2</v>
      </c>
      <c r="H4304" s="89">
        <v>1</v>
      </c>
      <c r="I4304" s="94" t="s">
        <v>60</v>
      </c>
      <c r="J4304" s="88" t="s">
        <v>3132</v>
      </c>
      <c r="K4304" s="51" t="s">
        <v>5245</v>
      </c>
      <c r="L4304" s="117">
        <f>IF(O4304="","",N4304*O4304*M4304)</f>
        <v>0</v>
      </c>
      <c r="M4304" s="108">
        <v>1</v>
      </c>
      <c r="N4304" s="95">
        <v>1</v>
      </c>
      <c r="O4304" s="109">
        <f>IF(Key!D$1="ON",P4304,IF(SUM(Q4304:DL4304)&lt;1,"",SUM(Q4304:DL4304)/COUNTIF(Q4304:DL4304,"&gt;0")))</f>
        <v>0</v>
      </c>
      <c r="P4304" s="109">
        <f>SUMIFS(Q4304:DK4304,Q$1:DK$1,Dashboard!$K$31)</f>
        <v>0</v>
      </c>
      <c r="U4304" s="95">
        <v>33</v>
      </c>
      <c r="AA4304" s="95">
        <v>25</v>
      </c>
      <c r="AH4304" s="95">
        <v>75</v>
      </c>
    </row>
    <row r="4305" spans="1:34" x14ac:dyDescent="0.3">
      <c r="A4305" s="89" t="str">
        <f>CONCATENATE(D4305,".",F4305,"-",G4305,".",H4305,"")</f>
        <v>5.3-2.1</v>
      </c>
      <c r="B4305" s="89" t="str">
        <f>IF(CONCATENATE(I4305,Key!F$2)=CONCATENATE(INDEX(Dashboard!J:J,MATCH(I4305,Dashboard!J:J,0),1),INDEX(Dashboard!J:K,MATCH(I4305,Dashboard!J:J,0),2)),"ON",IF(Dashboard!K$32="ALL","ON","-"))</f>
        <v>-</v>
      </c>
      <c r="C4305" s="88" t="s">
        <v>622</v>
      </c>
      <c r="D4305" s="89">
        <f>IF(C4305="ID",1,(IF(C4305="PR",2,(IF(C4305="DE",3,(IF(C4305="RS",4,(IF(C4305="RC",5,0)))))))))</f>
        <v>5</v>
      </c>
      <c r="E4305" s="89" t="s">
        <v>343</v>
      </c>
      <c r="F4305" s="89">
        <f>IF(E4305="AM",1,(IF(E4305="BE",2,(IF(E4305="GV",3,(IF(E4305="RA",4,(IF(E4305="RM",5,(IF(E4305="AC",1,(IF(E4305="AT",2,(IF(E4305="DS",3,(IF(E4305="IP",4,(IF(E4305="MA",5,(IF(E4305="PT",6,(IF(E4305="AE",1,(IF(E4305="CM",2,(IF(E4305="DP",3,(IF(E4305="AN",1,(IF(E4305="CO",2,(IF(E4305="IM",3,(IF(E4305="MI",4,(IF(E4305="RP",5,(IF(E4305="SC",6,0)))))))))))))))))))))))))))))))))))))))</f>
        <v>3</v>
      </c>
      <c r="G4305" s="52">
        <v>2</v>
      </c>
      <c r="H4305" s="90" t="s">
        <v>115</v>
      </c>
      <c r="I4305" s="94" t="s">
        <v>73</v>
      </c>
      <c r="J4305" s="86" t="s">
        <v>295</v>
      </c>
      <c r="K4305" s="101" t="s">
        <v>5207</v>
      </c>
      <c r="L4305" s="117">
        <f>IF(O4305="","",N4305*O4305*M4305)</f>
        <v>0</v>
      </c>
      <c r="M4305" s="108">
        <v>1</v>
      </c>
      <c r="N4305" s="95">
        <v>1</v>
      </c>
      <c r="O4305" s="109">
        <f>IF(Key!D$1="ON",P4305,IF(SUM(Q4305:DL4305)&lt;1,"",SUM(Q4305:DL4305)/COUNTIF(Q4305:DL4305,"&gt;0")))</f>
        <v>0</v>
      </c>
      <c r="P4305" s="109">
        <f>SUMIFS(Q4305:DK4305,Q$1:DK$1,Dashboard!$K$31)</f>
        <v>0</v>
      </c>
      <c r="U4305" s="95">
        <v>33</v>
      </c>
      <c r="AA4305" s="95">
        <v>25</v>
      </c>
      <c r="AH4305" s="95">
        <v>75</v>
      </c>
    </row>
    <row r="4306" spans="1:34" x14ac:dyDescent="0.3">
      <c r="A4306" s="89" t="str">
        <f>CONCATENATE(D4306,".",F4306,"-",G4306,".",H4306,"")</f>
        <v>5.3-2.1</v>
      </c>
      <c r="B4306" s="89" t="str">
        <f>IF(CONCATENATE(I4306,Key!F$2)=CONCATENATE(INDEX(Dashboard!J:J,MATCH(I4306,Dashboard!J:J,0),1),INDEX(Dashboard!J:K,MATCH(I4306,Dashboard!J:J,0),2)),"ON",IF(Dashboard!K$32="ALL","ON","-"))</f>
        <v>-</v>
      </c>
      <c r="C4306" s="88" t="s">
        <v>622</v>
      </c>
      <c r="D4306" s="89">
        <f>IF(C4306="ID",1,(IF(C4306="PR",2,(IF(C4306="DE",3,(IF(C4306="RS",4,(IF(C4306="RC",5,0)))))))))</f>
        <v>5</v>
      </c>
      <c r="E4306" s="89" t="s">
        <v>343</v>
      </c>
      <c r="F4306" s="89">
        <f>IF(E4306="AM",1,(IF(E4306="BE",2,(IF(E4306="GV",3,(IF(E4306="RA",4,(IF(E4306="RM",5,(IF(E4306="AC",1,(IF(E4306="AT",2,(IF(E4306="DS",3,(IF(E4306="IP",4,(IF(E4306="MA",5,(IF(E4306="PT",6,(IF(E4306="AE",1,(IF(E4306="CM",2,(IF(E4306="DP",3,(IF(E4306="AN",1,(IF(E4306="CO",2,(IF(E4306="IM",3,(IF(E4306="MI",4,(IF(E4306="RP",5,(IF(E4306="SC",6,0)))))))))))))))))))))))))))))))))))))))</f>
        <v>3</v>
      </c>
      <c r="G4306" s="52">
        <v>2</v>
      </c>
      <c r="H4306" s="90" t="s">
        <v>115</v>
      </c>
      <c r="I4306" s="94" t="s">
        <v>73</v>
      </c>
      <c r="J4306" s="86" t="s">
        <v>296</v>
      </c>
      <c r="K4306" s="101" t="s">
        <v>5201</v>
      </c>
      <c r="L4306" s="117">
        <f>IF(O4306="","",N4306*O4306*M4306)</f>
        <v>0</v>
      </c>
      <c r="M4306" s="108">
        <v>1</v>
      </c>
      <c r="N4306" s="95">
        <v>1</v>
      </c>
      <c r="O4306" s="109">
        <f>IF(Key!D$1="ON",P4306,IF(SUM(Q4306:DL4306)&lt;1,"",SUM(Q4306:DL4306)/COUNTIF(Q4306:DL4306,"&gt;0")))</f>
        <v>0</v>
      </c>
      <c r="P4306" s="109">
        <f>SUMIFS(Q4306:DK4306,Q$1:DK$1,Dashboard!$K$31)</f>
        <v>0</v>
      </c>
      <c r="U4306" s="95">
        <v>33</v>
      </c>
      <c r="AA4306" s="95">
        <v>25</v>
      </c>
      <c r="AH4306" s="95">
        <v>75</v>
      </c>
    </row>
    <row r="4307" spans="1:34" x14ac:dyDescent="0.3">
      <c r="A4307" s="89" t="str">
        <f>CONCATENATE(D4307,".",F4307,"-",G4307,".",H4307,"")</f>
        <v>5.3-2.1</v>
      </c>
      <c r="B4307" s="89" t="str">
        <f>IF(CONCATENATE(I4307,Key!F$2)=CONCATENATE(INDEX(Dashboard!J:J,MATCH(I4307,Dashboard!J:J,0),1),INDEX(Dashboard!J:K,MATCH(I4307,Dashboard!J:J,0),2)),"ON",IF(Dashboard!K$32="ALL","ON","-"))</f>
        <v>-</v>
      </c>
      <c r="C4307" s="88" t="s">
        <v>622</v>
      </c>
      <c r="D4307" s="89">
        <f>IF(C4307="ID",1,(IF(C4307="PR",2,(IF(C4307="DE",3,(IF(C4307="RS",4,(IF(C4307="RC",5,0)))))))))</f>
        <v>5</v>
      </c>
      <c r="E4307" s="89" t="s">
        <v>343</v>
      </c>
      <c r="F4307" s="89">
        <f>IF(E4307="AM",1,(IF(E4307="BE",2,(IF(E4307="GV",3,(IF(E4307="RA",4,(IF(E4307="RM",5,(IF(E4307="AC",1,(IF(E4307="AT",2,(IF(E4307="DS",3,(IF(E4307="IP",4,(IF(E4307="MA",5,(IF(E4307="PT",6,(IF(E4307="AE",1,(IF(E4307="CM",2,(IF(E4307="DP",3,(IF(E4307="AN",1,(IF(E4307="CO",2,(IF(E4307="IM",3,(IF(E4307="MI",4,(IF(E4307="RP",5,(IF(E4307="SC",6,0)))))))))))))))))))))))))))))))))))))))</f>
        <v>3</v>
      </c>
      <c r="G4307" s="52">
        <v>2</v>
      </c>
      <c r="H4307" s="90" t="s">
        <v>115</v>
      </c>
      <c r="I4307" s="94" t="s">
        <v>85</v>
      </c>
      <c r="J4307" s="87" t="s">
        <v>1933</v>
      </c>
      <c r="K4307" s="119" t="s">
        <v>1934</v>
      </c>
      <c r="L4307" s="117">
        <f>IF(O4307="","",N4307*O4307*M4307)</f>
        <v>0</v>
      </c>
      <c r="M4307" s="108">
        <v>1</v>
      </c>
      <c r="N4307" s="95">
        <v>1</v>
      </c>
      <c r="O4307" s="109">
        <f>IF(Key!D$1="ON",P4307,IF(SUM(Q4307:DL4307)&lt;1,"",SUM(Q4307:DL4307)/COUNTIF(Q4307:DL4307,"&gt;0")))</f>
        <v>0</v>
      </c>
      <c r="P4307" s="109">
        <f>SUMIFS(Q4307:DK4307,Q$1:DK$1,Dashboard!$K$31)</f>
        <v>0</v>
      </c>
      <c r="U4307" s="95">
        <v>33</v>
      </c>
      <c r="AA4307" s="95">
        <v>25</v>
      </c>
      <c r="AH4307" s="95">
        <v>75</v>
      </c>
    </row>
    <row r="4308" spans="1:34" x14ac:dyDescent="0.3">
      <c r="A4308" s="89" t="str">
        <f>CONCATENATE(D4308,".",F4308,"-",G4308,".",H4308,"")</f>
        <v>5.3-2.1</v>
      </c>
      <c r="B4308" s="89" t="str">
        <f>IF(CONCATENATE(I4308,Key!F$2)=CONCATENATE(INDEX(Dashboard!J:J,MATCH(I4308,Dashboard!J:J,0),1),INDEX(Dashboard!J:K,MATCH(I4308,Dashboard!J:J,0),2)),"ON",IF(Dashboard!K$32="ALL","ON","-"))</f>
        <v>-</v>
      </c>
      <c r="C4308" s="88" t="s">
        <v>622</v>
      </c>
      <c r="D4308" s="89">
        <f>IF(C4308="ID",1,(IF(C4308="PR",2,(IF(C4308="DE",3,(IF(C4308="RS",4,(IF(C4308="RC",5,0)))))))))</f>
        <v>5</v>
      </c>
      <c r="E4308" s="89" t="s">
        <v>343</v>
      </c>
      <c r="F4308" s="89">
        <f>IF(E4308="AM",1,(IF(E4308="BE",2,(IF(E4308="GV",3,(IF(E4308="RA",4,(IF(E4308="RM",5,(IF(E4308="AC",1,(IF(E4308="AT",2,(IF(E4308="DS",3,(IF(E4308="IP",4,(IF(E4308="MA",5,(IF(E4308="PT",6,(IF(E4308="AE",1,(IF(E4308="CM",2,(IF(E4308="DP",3,(IF(E4308="AN",1,(IF(E4308="CO",2,(IF(E4308="IM",3,(IF(E4308="MI",4,(IF(E4308="RP",5,(IF(E4308="SC",6,0)))))))))))))))))))))))))))))))))))))))</f>
        <v>3</v>
      </c>
      <c r="G4308" s="52">
        <v>2</v>
      </c>
      <c r="H4308" s="90" t="s">
        <v>115</v>
      </c>
      <c r="I4308" s="94" t="s">
        <v>85</v>
      </c>
      <c r="J4308" s="87" t="s">
        <v>1935</v>
      </c>
      <c r="K4308" s="119" t="s">
        <v>5072</v>
      </c>
      <c r="L4308" s="117">
        <f>IF(O4308="","",N4308*O4308*M4308)</f>
        <v>0</v>
      </c>
      <c r="M4308" s="108">
        <v>1</v>
      </c>
      <c r="N4308" s="95">
        <v>1</v>
      </c>
      <c r="O4308" s="109">
        <f>IF(Key!D$1="ON",P4308,IF(SUM(Q4308:DL4308)&lt;1,"",SUM(Q4308:DL4308)/COUNTIF(Q4308:DL4308,"&gt;0")))</f>
        <v>0</v>
      </c>
      <c r="P4308" s="109">
        <f>SUMIFS(Q4308:DK4308,Q$1:DK$1,Dashboard!$K$31)</f>
        <v>0</v>
      </c>
      <c r="U4308" s="95">
        <v>33</v>
      </c>
      <c r="AA4308" s="95">
        <v>25</v>
      </c>
      <c r="AH4308" s="95">
        <v>75</v>
      </c>
    </row>
    <row r="4309" spans="1:34" x14ac:dyDescent="0.3">
      <c r="A4309" s="89" t="str">
        <f>CONCATENATE(D4309,".",F4309,"-",G4309,".",H4309,"")</f>
        <v>5.3-2.5</v>
      </c>
      <c r="B4309" s="89" t="str">
        <f>IF(CONCATENATE(I4309,Key!F$2)=CONCATENATE(INDEX(Dashboard!J:J,MATCH(I4309,Dashboard!J:J,0),1),INDEX(Dashboard!J:K,MATCH(I4309,Dashboard!J:J,0),2)),"ON",IF(Dashboard!K$32="ALL","ON","-"))</f>
        <v>-</v>
      </c>
      <c r="C4309" s="88" t="s">
        <v>622</v>
      </c>
      <c r="D4309" s="89">
        <f>IF(C4309="ID",1,(IF(C4309="PR",2,(IF(C4309="DE",3,(IF(C4309="RS",4,(IF(C4309="RC",5,0)))))))))</f>
        <v>5</v>
      </c>
      <c r="E4309" s="89" t="s">
        <v>343</v>
      </c>
      <c r="F4309" s="89">
        <f>IF(E4309="AM",1,(IF(E4309="BE",2,(IF(E4309="GV",3,(IF(E4309="RA",4,(IF(E4309="RM",5,(IF(E4309="AC",1,(IF(E4309="AT",2,(IF(E4309="DS",3,(IF(E4309="IP",4,(IF(E4309="MA",5,(IF(E4309="PT",6,(IF(E4309="AE",1,(IF(E4309="CM",2,(IF(E4309="DP",3,(IF(E4309="AN",1,(IF(E4309="CO",2,(IF(E4309="IM",3,(IF(E4309="MI",4,(IF(E4309="RP",5,(IF(E4309="SC",6,0)))))))))))))))))))))))))))))))))))))))</f>
        <v>3</v>
      </c>
      <c r="G4309" s="52">
        <v>2</v>
      </c>
      <c r="H4309" s="90" t="s">
        <v>123</v>
      </c>
      <c r="I4309" s="94" t="s">
        <v>77</v>
      </c>
      <c r="J4309" s="87" t="s">
        <v>1933</v>
      </c>
      <c r="K4309" s="102" t="s">
        <v>2825</v>
      </c>
      <c r="L4309" s="117">
        <f>IF(O4309="","",N4309*O4309*M4309)</f>
        <v>0</v>
      </c>
      <c r="M4309" s="108">
        <v>1</v>
      </c>
      <c r="N4309" s="95">
        <v>1</v>
      </c>
      <c r="O4309" s="109">
        <f>IF(Key!D$1="ON",P4309,IF(SUM(Q4309:DL4309)&lt;1,"",SUM(Q4309:DL4309)/COUNTIF(Q4309:DL4309,"&gt;0")))</f>
        <v>0</v>
      </c>
      <c r="P4309" s="109">
        <f>SUMIFS(Q4309:DK4309,Q$1:DK$1,Dashboard!$K$31)</f>
        <v>0</v>
      </c>
      <c r="U4309" s="95">
        <v>33</v>
      </c>
      <c r="AA4309" s="95">
        <v>25</v>
      </c>
      <c r="AH4309" s="95">
        <v>75</v>
      </c>
    </row>
    <row r="4310" spans="1:34" x14ac:dyDescent="0.3">
      <c r="A4310" s="89" t="str">
        <f>CONCATENATE(D4310,".",F4310,"-",G4310,".",H4310,"")</f>
        <v>5.3-2.5</v>
      </c>
      <c r="B4310" s="89" t="str">
        <f>IF(CONCATENATE(I4310,Key!F$2)=CONCATENATE(INDEX(Dashboard!J:J,MATCH(I4310,Dashboard!J:J,0),1),INDEX(Dashboard!J:K,MATCH(I4310,Dashboard!J:J,0),2)),"ON",IF(Dashboard!K$32="ALL","ON","-"))</f>
        <v>-</v>
      </c>
      <c r="C4310" s="88" t="s">
        <v>622</v>
      </c>
      <c r="D4310" s="89">
        <f>IF(C4310="ID",1,(IF(C4310="PR",2,(IF(C4310="DE",3,(IF(C4310="RS",4,(IF(C4310="RC",5,0)))))))))</f>
        <v>5</v>
      </c>
      <c r="E4310" s="89" t="s">
        <v>343</v>
      </c>
      <c r="F4310" s="89">
        <f>IF(E4310="AM",1,(IF(E4310="BE",2,(IF(E4310="GV",3,(IF(E4310="RA",4,(IF(E4310="RM",5,(IF(E4310="AC",1,(IF(E4310="AT",2,(IF(E4310="DS",3,(IF(E4310="IP",4,(IF(E4310="MA",5,(IF(E4310="PT",6,(IF(E4310="AE",1,(IF(E4310="CM",2,(IF(E4310="DP",3,(IF(E4310="AN",1,(IF(E4310="CO",2,(IF(E4310="IM",3,(IF(E4310="MI",4,(IF(E4310="RP",5,(IF(E4310="SC",6,0)))))))))))))))))))))))))))))))))))))))</f>
        <v>3</v>
      </c>
      <c r="G4310" s="52">
        <v>2</v>
      </c>
      <c r="H4310" s="90" t="s">
        <v>123</v>
      </c>
      <c r="I4310" s="94" t="s">
        <v>77</v>
      </c>
      <c r="J4310" s="87" t="s">
        <v>1935</v>
      </c>
      <c r="K4310" s="102" t="s">
        <v>2826</v>
      </c>
      <c r="L4310" s="117">
        <f>IF(O4310="","",N4310*O4310*M4310)</f>
        <v>0</v>
      </c>
      <c r="M4310" s="108">
        <v>1</v>
      </c>
      <c r="N4310" s="95">
        <v>1</v>
      </c>
      <c r="O4310" s="109">
        <f>IF(Key!D$1="ON",P4310,IF(SUM(Q4310:DL4310)&lt;1,"",SUM(Q4310:DL4310)/COUNTIF(Q4310:DL4310,"&gt;0")))</f>
        <v>0</v>
      </c>
      <c r="P4310" s="109">
        <f>SUMIFS(Q4310:DK4310,Q$1:DK$1,Dashboard!$K$31)</f>
        <v>0</v>
      </c>
      <c r="U4310" s="95">
        <v>33</v>
      </c>
      <c r="AA4310" s="95">
        <v>25</v>
      </c>
      <c r="AH4310" s="95">
        <v>75</v>
      </c>
    </row>
    <row r="4311" spans="1:34" x14ac:dyDescent="0.3">
      <c r="A4311" s="89" t="str">
        <f>CONCATENATE(D4311,".",F4311,"-",G4311,".",H4311,"")</f>
        <v>5.3-8.1</v>
      </c>
      <c r="B4311" s="89" t="str">
        <f>IF(CONCATENATE(I4311,Key!F$2)=CONCATENATE(INDEX(Dashboard!J:J,MATCH(I4311,Dashboard!J:J,0),1),INDEX(Dashboard!J:K,MATCH(I4311,Dashboard!J:J,0),2)),"ON",IF(Dashboard!K$32="ALL","ON","-"))</f>
        <v>-</v>
      </c>
      <c r="C4311" s="88" t="s">
        <v>622</v>
      </c>
      <c r="D4311" s="89">
        <f>IF(C4311="ID",1,(IF(C4311="PR",2,(IF(C4311="DE",3,(IF(C4311="RS",4,(IF(C4311="RC",5,0)))))))))</f>
        <v>5</v>
      </c>
      <c r="E4311" s="89" t="s">
        <v>343</v>
      </c>
      <c r="F4311" s="89">
        <f>IF(E4311="AM",1,(IF(E4311="BE",2,(IF(E4311="GV",3,(IF(E4311="RA",4,(IF(E4311="RM",5,(IF(E4311="AC",1,(IF(E4311="AT",2,(IF(E4311="DS",3,(IF(E4311="IP",4,(IF(E4311="MA",5,(IF(E4311="PT",6,(IF(E4311="AE",1,(IF(E4311="CM",2,(IF(E4311="DP",3,(IF(E4311="AN",1,(IF(E4311="CO",2,(IF(E4311="IM",3,(IF(E4311="MI",4,(IF(E4311="RP",5,(IF(E4311="SC",6,0)))))))))))))))))))))))))))))))))))))))</f>
        <v>3</v>
      </c>
      <c r="G4311" s="52">
        <v>8</v>
      </c>
      <c r="H4311" s="90" t="s">
        <v>115</v>
      </c>
      <c r="I4311" s="94" t="s">
        <v>85</v>
      </c>
      <c r="J4311" s="86" t="s">
        <v>831</v>
      </c>
      <c r="K4311" s="119" t="s">
        <v>5073</v>
      </c>
      <c r="L4311" s="117">
        <f>IF(O4311="","",N4311*O4311*M4311)</f>
        <v>0</v>
      </c>
      <c r="M4311" s="108">
        <v>1</v>
      </c>
      <c r="N4311" s="95">
        <v>1</v>
      </c>
      <c r="O4311" s="109">
        <f>IF(Key!D$1="ON",P4311,IF(SUM(Q4311:DL4311)&lt;1,"",SUM(Q4311:DL4311)/COUNTIF(Q4311:DL4311,"&gt;0")))</f>
        <v>0</v>
      </c>
      <c r="P4311" s="109">
        <f>SUMIFS(Q4311:DK4311,Q$1:DK$1,Dashboard!$K$31)</f>
        <v>0</v>
      </c>
      <c r="U4311" s="95">
        <v>33</v>
      </c>
      <c r="AA4311" s="95">
        <v>25</v>
      </c>
      <c r="AH4311" s="95">
        <v>75</v>
      </c>
    </row>
    <row r="4312" spans="1:34" ht="15.6" x14ac:dyDescent="0.3">
      <c r="A4312" s="89" t="str">
        <f>CONCATENATE(D4312,".",F4312,"-",G4312,".",H4312,"")</f>
        <v>5.5-0.0</v>
      </c>
      <c r="B4312" s="89" t="str">
        <f>IF(CONCATENATE(I4312,Key!F$2)=CONCATENATE(INDEX(Dashboard!J:J,MATCH(I4312,Dashboard!J:J,0),1),INDEX(Dashboard!J:K,MATCH(I4312,Dashboard!J:J,0),2)),"ON",IF(Dashboard!K$32="ALL","ON","-"))</f>
        <v>-</v>
      </c>
      <c r="C4312" s="96" t="s">
        <v>622</v>
      </c>
      <c r="D4312" s="89">
        <f>IF(C4312="ID",1,(IF(C4312="PR",2,(IF(C4312="DE",3,(IF(C4312="RS",4,(IF(C4312="RC",5,0)))))))))</f>
        <v>5</v>
      </c>
      <c r="E4312" s="89" t="s">
        <v>623</v>
      </c>
      <c r="F4312" s="89">
        <f>IF(E4312="AM",1,(IF(E4312="BE",2,(IF(E4312="GV",3,(IF(E4312="RA",4,(IF(E4312="RM",5,(IF(E4312="AC",1,(IF(E4312="AT",2,(IF(E4312="DS",3,(IF(E4312="IP",4,(IF(E4312="MA",5,(IF(E4312="PT",6,(IF(E4312="AE",1,(IF(E4312="CM",2,(IF(E4312="DP",3,(IF(E4312="AN",1,(IF(E4312="CO",2,(IF(E4312="IM",3,(IF(E4312="MI",4,(IF(E4312="RP",5,(IF(E4312="SC",6,0)))))))))))))))))))))))))))))))))))))))</f>
        <v>5</v>
      </c>
      <c r="G4312" s="52">
        <v>0</v>
      </c>
      <c r="H4312" s="90" t="s">
        <v>347</v>
      </c>
      <c r="I4312" s="94" t="s">
        <v>2835</v>
      </c>
      <c r="J4312" s="141" t="s">
        <v>3112</v>
      </c>
      <c r="K4312" s="146" t="s">
        <v>3113</v>
      </c>
      <c r="L4312" s="117">
        <f>IF(O4312="","",N4312*O4312*M4312)</f>
        <v>0</v>
      </c>
      <c r="M4312" s="108">
        <v>1</v>
      </c>
      <c r="N4312" s="95">
        <v>1</v>
      </c>
      <c r="O4312" s="109">
        <f>IF(Key!D$1="ON",P4312,IF(SUM(Q4312:DL4312)&lt;1,"",SUM(Q4312:DL4312)/COUNTIF(Q4312:DL4312,"&gt;0")))</f>
        <v>0</v>
      </c>
      <c r="P4312" s="109">
        <f>SUMIFS(Q4312:DK4312,Q$1:DK$1,Dashboard!$K$31)</f>
        <v>0</v>
      </c>
      <c r="Q4312" s="110">
        <v>83</v>
      </c>
      <c r="U4312" s="95">
        <v>33</v>
      </c>
    </row>
    <row r="4313" spans="1:34" ht="15.6" x14ac:dyDescent="0.3">
      <c r="A4313" s="89" t="str">
        <f>CONCATENATE(D4313,".",F4313,"-",G4313,".",H4313,"")</f>
        <v>5.5-0.1</v>
      </c>
      <c r="B4313" s="89" t="str">
        <f>IF(CONCATENATE(I4313,Key!F$2)=CONCATENATE(INDEX(Dashboard!J:J,MATCH(I4313,Dashboard!J:J,0),1),INDEX(Dashboard!J:K,MATCH(I4313,Dashboard!J:J,0),2)),"ON",IF(Dashboard!K$32="ALL","ON","-"))</f>
        <v>-</v>
      </c>
      <c r="C4313" s="96" t="s">
        <v>622</v>
      </c>
      <c r="D4313" s="89">
        <f>IF(C4313="ID",1,(IF(C4313="PR",2,(IF(C4313="DE",3,(IF(C4313="RS",4,(IF(C4313="RC",5,0)))))))))</f>
        <v>5</v>
      </c>
      <c r="E4313" s="89" t="s">
        <v>623</v>
      </c>
      <c r="F4313" s="89">
        <f>IF(E4313="AM",1,(IF(E4313="BE",2,(IF(E4313="GV",3,(IF(E4313="RA",4,(IF(E4313="RM",5,(IF(E4313="AC",1,(IF(E4313="AT",2,(IF(E4313="DS",3,(IF(E4313="IP",4,(IF(E4313="MA",5,(IF(E4313="PT",6,(IF(E4313="AE",1,(IF(E4313="CM",2,(IF(E4313="DP",3,(IF(E4313="AN",1,(IF(E4313="CO",2,(IF(E4313="IM",3,(IF(E4313="MI",4,(IF(E4313="RP",5,(IF(E4313="SC",6,0)))))))))))))))))))))))))))))))))))))))</f>
        <v>5</v>
      </c>
      <c r="G4313" s="52">
        <v>0</v>
      </c>
      <c r="H4313" s="90" t="s">
        <v>115</v>
      </c>
      <c r="I4313" s="94" t="s">
        <v>2835</v>
      </c>
      <c r="J4313" s="60" t="s">
        <v>3112</v>
      </c>
      <c r="K4313" s="106" t="s">
        <v>3114</v>
      </c>
      <c r="L4313" s="117">
        <f>IF(O4313="","",N4313*O4313*M4313)</f>
        <v>0</v>
      </c>
      <c r="M4313" s="108">
        <v>1</v>
      </c>
      <c r="N4313" s="95">
        <v>1</v>
      </c>
      <c r="O4313" s="109">
        <f>IF(Key!D$1="ON",P4313,IF(SUM(Q4313:DL4313)&lt;1,"",SUM(Q4313:DL4313)/COUNTIF(Q4313:DL4313,"&gt;0")))</f>
        <v>0</v>
      </c>
      <c r="P4313" s="109">
        <f>SUMIFS(Q4313:DK4313,Q$1:DK$1,Dashboard!$K$31)</f>
        <v>0</v>
      </c>
      <c r="Q4313" s="110">
        <v>83</v>
      </c>
      <c r="U4313" s="95">
        <v>33</v>
      </c>
      <c r="AA4313" s="95">
        <v>50</v>
      </c>
    </row>
    <row r="4314" spans="1:34" ht="15.6" x14ac:dyDescent="0.3">
      <c r="A4314" s="89" t="str">
        <f>CONCATENATE(D4314,".",F4314,"-",G4314,".",H4314,"")</f>
        <v>5.5-1.0</v>
      </c>
      <c r="B4314" s="89" t="str">
        <f>IF(CONCATENATE(I4314,Key!F$2)=CONCATENATE(INDEX(Dashboard!J:J,MATCH(I4314,Dashboard!J:J,0),1),INDEX(Dashboard!J:K,MATCH(I4314,Dashboard!J:J,0),2)),"ON",IF(Dashboard!K$32="ALL","ON","-"))</f>
        <v>-</v>
      </c>
      <c r="C4314" s="96" t="s">
        <v>622</v>
      </c>
      <c r="D4314" s="89">
        <f>IF(C4314="ID",1,(IF(C4314="PR",2,(IF(C4314="DE",3,(IF(C4314="RS",4,(IF(C4314="RC",5,0)))))))))</f>
        <v>5</v>
      </c>
      <c r="E4314" s="89" t="s">
        <v>623</v>
      </c>
      <c r="F4314" s="89">
        <f>IF(E4314="AM",1,(IF(E4314="BE",2,(IF(E4314="GV",3,(IF(E4314="RA",4,(IF(E4314="RM",5,(IF(E4314="AC",1,(IF(E4314="AT",2,(IF(E4314="DS",3,(IF(E4314="IP",4,(IF(E4314="MA",5,(IF(E4314="PT",6,(IF(E4314="AE",1,(IF(E4314="CM",2,(IF(E4314="DP",3,(IF(E4314="AN",1,(IF(E4314="CO",2,(IF(E4314="IM",3,(IF(E4314="MI",4,(IF(E4314="RP",5,(IF(E4314="SC",6,0)))))))))))))))))))))))))))))))))))))))</f>
        <v>5</v>
      </c>
      <c r="G4314" s="52">
        <v>1</v>
      </c>
      <c r="H4314" s="90" t="s">
        <v>347</v>
      </c>
      <c r="I4314" s="94" t="s">
        <v>2835</v>
      </c>
      <c r="J4314" s="53" t="s">
        <v>3115</v>
      </c>
      <c r="K4314" s="106" t="s">
        <v>3116</v>
      </c>
      <c r="L4314" s="117">
        <f>IF(O4314="","",N4314*O4314*M4314)</f>
        <v>0</v>
      </c>
      <c r="M4314" s="108">
        <v>1</v>
      </c>
      <c r="N4314" s="95">
        <v>1</v>
      </c>
      <c r="O4314" s="109">
        <f>IF(Key!D$1="ON",P4314,IF(SUM(Q4314:DL4314)&lt;1,"",SUM(Q4314:DL4314)/COUNTIF(Q4314:DL4314,"&gt;0")))</f>
        <v>0</v>
      </c>
      <c r="P4314" s="109">
        <f>SUMIFS(Q4314:DK4314,Q$1:DK$1,Dashboard!$K$31)</f>
        <v>0</v>
      </c>
      <c r="U4314" s="95">
        <v>33</v>
      </c>
    </row>
    <row r="4315" spans="1:34" ht="15.6" x14ac:dyDescent="0.3">
      <c r="A4315" s="89" t="str">
        <f>CONCATENATE(D4315,".",F4315,"-",G4315,".",H4315,"")</f>
        <v>5.5-1.1</v>
      </c>
      <c r="B4315" s="89" t="str">
        <f>IF(CONCATENATE(I4315,Key!F$2)=CONCATENATE(INDEX(Dashboard!J:J,MATCH(I4315,Dashboard!J:J,0),1),INDEX(Dashboard!J:K,MATCH(I4315,Dashboard!J:J,0),2)),"ON",IF(Dashboard!K$32="ALL","ON","-"))</f>
        <v>-</v>
      </c>
      <c r="C4315" s="96" t="s">
        <v>622</v>
      </c>
      <c r="D4315" s="89">
        <f>IF(C4315="ID",1,(IF(C4315="PR",2,(IF(C4315="DE",3,(IF(C4315="RS",4,(IF(C4315="RC",5,0)))))))))</f>
        <v>5</v>
      </c>
      <c r="E4315" s="89" t="s">
        <v>623</v>
      </c>
      <c r="F4315" s="89">
        <f>IF(E4315="AM",1,(IF(E4315="BE",2,(IF(E4315="GV",3,(IF(E4315="RA",4,(IF(E4315="RM",5,(IF(E4315="AC",1,(IF(E4315="AT",2,(IF(E4315="DS",3,(IF(E4315="IP",4,(IF(E4315="MA",5,(IF(E4315="PT",6,(IF(E4315="AE",1,(IF(E4315="CM",2,(IF(E4315="DP",3,(IF(E4315="AN",1,(IF(E4315="CO",2,(IF(E4315="IM",3,(IF(E4315="MI",4,(IF(E4315="RP",5,(IF(E4315="SC",6,0)))))))))))))))))))))))))))))))))))))))</f>
        <v>5</v>
      </c>
      <c r="G4315" s="98">
        <v>1</v>
      </c>
      <c r="H4315" s="90" t="s">
        <v>115</v>
      </c>
      <c r="I4315" s="94" t="s">
        <v>52</v>
      </c>
      <c r="J4315" s="88" t="s">
        <v>3367</v>
      </c>
      <c r="K4315" s="103" t="s">
        <v>3368</v>
      </c>
      <c r="L4315" s="117">
        <f>IF(O4315="","",N4315*O4315*M4315)</f>
        <v>0</v>
      </c>
      <c r="M4315" s="108">
        <v>1</v>
      </c>
      <c r="N4315" s="95">
        <v>1</v>
      </c>
      <c r="O4315" s="109">
        <f>IF(Key!D$1="ON",P4315,IF(SUM(Q4315:DL4315)&lt;1,"",SUM(Q4315:DL4315)/COUNTIF(Q4315:DL4315,"&gt;0")))</f>
        <v>0</v>
      </c>
      <c r="P4315" s="109">
        <f>SUMIFS(Q4315:DK4315,Q$1:DK$1,Dashboard!$K$31)</f>
        <v>0</v>
      </c>
      <c r="U4315" s="95">
        <v>33</v>
      </c>
      <c r="AA4315" s="95">
        <v>25</v>
      </c>
      <c r="AH4315" s="95">
        <v>75</v>
      </c>
    </row>
    <row r="4316" spans="1:34" ht="15.6" x14ac:dyDescent="0.3">
      <c r="A4316" s="89" t="str">
        <f>CONCATENATE(D4316,".",F4316,"-",G4316,".",H4316,"")</f>
        <v>5.5-1.1</v>
      </c>
      <c r="B4316" s="89" t="str">
        <f>IF(CONCATENATE(I4316,Key!F$2)=CONCATENATE(INDEX(Dashboard!J:J,MATCH(I4316,Dashboard!J:J,0),1),INDEX(Dashboard!J:K,MATCH(I4316,Dashboard!J:J,0),2)),"ON",IF(Dashboard!K$32="ALL","ON","-"))</f>
        <v>-</v>
      </c>
      <c r="C4316" s="96" t="s">
        <v>622</v>
      </c>
      <c r="D4316" s="89">
        <f>IF(C4316="ID",1,(IF(C4316="PR",2,(IF(C4316="DE",3,(IF(C4316="RS",4,(IF(C4316="RC",5,0)))))))))</f>
        <v>5</v>
      </c>
      <c r="E4316" s="89" t="s">
        <v>623</v>
      </c>
      <c r="F4316" s="89">
        <f>IF(E4316="AM",1,(IF(E4316="BE",2,(IF(E4316="GV",3,(IF(E4316="RA",4,(IF(E4316="RM",5,(IF(E4316="AC",1,(IF(E4316="AT",2,(IF(E4316="DS",3,(IF(E4316="IP",4,(IF(E4316="MA",5,(IF(E4316="PT",6,(IF(E4316="AE",1,(IF(E4316="CM",2,(IF(E4316="DP",3,(IF(E4316="AN",1,(IF(E4316="CO",2,(IF(E4316="IM",3,(IF(E4316="MI",4,(IF(E4316="RP",5,(IF(E4316="SC",6,0)))))))))))))))))))))))))))))))))))))))</f>
        <v>5</v>
      </c>
      <c r="G4316" s="98">
        <v>1</v>
      </c>
      <c r="H4316" s="90" t="s">
        <v>115</v>
      </c>
      <c r="I4316" s="94" t="s">
        <v>52</v>
      </c>
      <c r="J4316" s="88" t="s">
        <v>3299</v>
      </c>
      <c r="K4316" s="103" t="s">
        <v>3300</v>
      </c>
      <c r="L4316" s="117">
        <f>IF(O4316="","",N4316*O4316*M4316)</f>
        <v>0</v>
      </c>
      <c r="M4316" s="108">
        <v>1</v>
      </c>
      <c r="N4316" s="95">
        <v>1</v>
      </c>
      <c r="O4316" s="109">
        <f>IF(Key!D$1="ON",P4316,IF(SUM(Q4316:DL4316)&lt;1,"",SUM(Q4316:DL4316)/COUNTIF(Q4316:DL4316,"&gt;0")))</f>
        <v>0</v>
      </c>
      <c r="P4316" s="109">
        <f>SUMIFS(Q4316:DK4316,Q$1:DK$1,Dashboard!$K$31)</f>
        <v>0</v>
      </c>
      <c r="U4316" s="95">
        <v>33</v>
      </c>
      <c r="AA4316" s="95">
        <v>25</v>
      </c>
      <c r="AH4316" s="95">
        <v>75</v>
      </c>
    </row>
    <row r="4317" spans="1:34" ht="15.6" x14ac:dyDescent="0.3">
      <c r="A4317" s="89" t="str">
        <f>CONCATENATE(D4317,".",F4317,"-",G4317,".",H4317,"")</f>
        <v>5.5-1.1</v>
      </c>
      <c r="B4317" s="89" t="str">
        <f>IF(CONCATENATE(I4317,Key!F$2)=CONCATENATE(INDEX(Dashboard!J:J,MATCH(I4317,Dashboard!J:J,0),1),INDEX(Dashboard!J:K,MATCH(I4317,Dashboard!J:J,0),2)),"ON",IF(Dashboard!K$32="ALL","ON","-"))</f>
        <v>-</v>
      </c>
      <c r="C4317" s="96" t="s">
        <v>622</v>
      </c>
      <c r="D4317" s="89">
        <f>IF(C4317="ID",1,(IF(C4317="PR",2,(IF(C4317="DE",3,(IF(C4317="RS",4,(IF(C4317="RC",5,0)))))))))</f>
        <v>5</v>
      </c>
      <c r="E4317" s="89" t="s">
        <v>623</v>
      </c>
      <c r="F4317" s="89">
        <f>IF(E4317="AM",1,(IF(E4317="BE",2,(IF(E4317="GV",3,(IF(E4317="RA",4,(IF(E4317="RM",5,(IF(E4317="AC",1,(IF(E4317="AT",2,(IF(E4317="DS",3,(IF(E4317="IP",4,(IF(E4317="MA",5,(IF(E4317="PT",6,(IF(E4317="AE",1,(IF(E4317="CM",2,(IF(E4317="DP",3,(IF(E4317="AN",1,(IF(E4317="CO",2,(IF(E4317="IM",3,(IF(E4317="MI",4,(IF(E4317="RP",5,(IF(E4317="SC",6,0)))))))))))))))))))))))))))))))))))))))</f>
        <v>5</v>
      </c>
      <c r="G4317" s="98">
        <v>1</v>
      </c>
      <c r="H4317" s="90" t="s">
        <v>115</v>
      </c>
      <c r="I4317" s="94" t="s">
        <v>52</v>
      </c>
      <c r="J4317" s="88" t="s">
        <v>3307</v>
      </c>
      <c r="K4317" s="103" t="s">
        <v>3308</v>
      </c>
      <c r="L4317" s="117">
        <f>IF(O4317="","",N4317*O4317*M4317)</f>
        <v>0</v>
      </c>
      <c r="M4317" s="108">
        <v>1</v>
      </c>
      <c r="N4317" s="95">
        <v>1</v>
      </c>
      <c r="O4317" s="109">
        <f>IF(Key!D$1="ON",P4317,IF(SUM(Q4317:DL4317)&lt;1,"",SUM(Q4317:DL4317)/COUNTIF(Q4317:DL4317,"&gt;0")))</f>
        <v>0</v>
      </c>
      <c r="P4317" s="109">
        <f>SUMIFS(Q4317:DK4317,Q$1:DK$1,Dashboard!$K$31)</f>
        <v>0</v>
      </c>
      <c r="U4317" s="95">
        <v>33</v>
      </c>
      <c r="AA4317" s="95">
        <v>25</v>
      </c>
      <c r="AH4317" s="95">
        <v>75</v>
      </c>
    </row>
    <row r="4318" spans="1:34" x14ac:dyDescent="0.3">
      <c r="A4318" s="89" t="str">
        <f>CONCATENATE(D4318,".",F4318,"-",G4318,".",H4318,"")</f>
        <v>5.5-1.1</v>
      </c>
      <c r="B4318" s="89" t="str">
        <f>IF(CONCATENATE(I4318,Key!F$2)=CONCATENATE(INDEX(Dashboard!J:J,MATCH(I4318,Dashboard!J:J,0),1),INDEX(Dashboard!J:K,MATCH(I4318,Dashboard!J:J,0),2)),"ON",IF(Dashboard!K$32="ALL","ON","-"))</f>
        <v>-</v>
      </c>
      <c r="C4318" s="88" t="s">
        <v>622</v>
      </c>
      <c r="D4318" s="89">
        <f>IF(C4318="ID",1,(IF(C4318="PR",2,(IF(C4318="DE",3,(IF(C4318="RS",4,(IF(C4318="RC",5,0)))))))))</f>
        <v>5</v>
      </c>
      <c r="E4318" s="89" t="s">
        <v>623</v>
      </c>
      <c r="F4318" s="89">
        <f>IF(E4318="AM",1,(IF(E4318="BE",2,(IF(E4318="GV",3,(IF(E4318="RA",4,(IF(E4318="RM",5,(IF(E4318="AC",1,(IF(E4318="AT",2,(IF(E4318="DS",3,(IF(E4318="IP",4,(IF(E4318="MA",5,(IF(E4318="PT",6,(IF(E4318="AE",1,(IF(E4318="CM",2,(IF(E4318="DP",3,(IF(E4318="AN",1,(IF(E4318="CO",2,(IF(E4318="IM",3,(IF(E4318="MI",4,(IF(E4318="RP",5,(IF(E4318="SC",6,0)))))))))))))))))))))))))))))))))))))))</f>
        <v>5</v>
      </c>
      <c r="G4318" s="52">
        <v>1</v>
      </c>
      <c r="H4318" s="89">
        <v>1</v>
      </c>
      <c r="I4318" s="94" t="s">
        <v>60</v>
      </c>
      <c r="J4318" s="88" t="s">
        <v>3199</v>
      </c>
      <c r="K4318" s="51" t="s">
        <v>5312</v>
      </c>
      <c r="L4318" s="117">
        <f>IF(O4318="","",N4318*O4318*M4318)</f>
        <v>0</v>
      </c>
      <c r="M4318" s="108">
        <v>1</v>
      </c>
      <c r="N4318" s="95">
        <v>1</v>
      </c>
      <c r="O4318" s="109">
        <f>IF(Key!D$1="ON",P4318,IF(SUM(Q4318:DL4318)&lt;1,"",SUM(Q4318:DL4318)/COUNTIF(Q4318:DL4318,"&gt;0")))</f>
        <v>0</v>
      </c>
      <c r="P4318" s="109">
        <f>SUMIFS(Q4318:DK4318,Q$1:DK$1,Dashboard!$K$31)</f>
        <v>0</v>
      </c>
      <c r="U4318" s="95">
        <v>33</v>
      </c>
      <c r="AA4318" s="95">
        <v>25</v>
      </c>
      <c r="AH4318" s="95">
        <v>75</v>
      </c>
    </row>
    <row r="4319" spans="1:34" x14ac:dyDescent="0.3">
      <c r="A4319" s="89" t="str">
        <f>CONCATENATE(D4319,".",F4319,"-",G4319,".",H4319,"")</f>
        <v>5.5-1.1</v>
      </c>
      <c r="B4319" s="89" t="str">
        <f>IF(CONCATENATE(I4319,Key!F$2)=CONCATENATE(INDEX(Dashboard!J:J,MATCH(I4319,Dashboard!J:J,0),1),INDEX(Dashboard!J:K,MATCH(I4319,Dashboard!J:J,0),2)),"ON",IF(Dashboard!K$32="ALL","ON","-"))</f>
        <v>-</v>
      </c>
      <c r="C4319" s="88" t="s">
        <v>622</v>
      </c>
      <c r="D4319" s="89">
        <f>IF(C4319="ID",1,(IF(C4319="PR",2,(IF(C4319="DE",3,(IF(C4319="RS",4,(IF(C4319="RC",5,0)))))))))</f>
        <v>5</v>
      </c>
      <c r="E4319" s="89" t="s">
        <v>623</v>
      </c>
      <c r="F4319" s="89">
        <f>IF(E4319="AM",1,(IF(E4319="BE",2,(IF(E4319="GV",3,(IF(E4319="RA",4,(IF(E4319="RM",5,(IF(E4319="AC",1,(IF(E4319="AT",2,(IF(E4319="DS",3,(IF(E4319="IP",4,(IF(E4319="MA",5,(IF(E4319="PT",6,(IF(E4319="AE",1,(IF(E4319="CM",2,(IF(E4319="DP",3,(IF(E4319="AN",1,(IF(E4319="CO",2,(IF(E4319="IM",3,(IF(E4319="MI",4,(IF(E4319="RP",5,(IF(E4319="SC",6,0)))))))))))))))))))))))))))))))))))))))</f>
        <v>5</v>
      </c>
      <c r="G4319" s="52">
        <v>1</v>
      </c>
      <c r="H4319" s="90" t="s">
        <v>115</v>
      </c>
      <c r="I4319" s="94" t="s">
        <v>73</v>
      </c>
      <c r="J4319" s="86" t="s">
        <v>295</v>
      </c>
      <c r="K4319" s="101" t="s">
        <v>5207</v>
      </c>
      <c r="L4319" s="117">
        <f>IF(O4319="","",N4319*O4319*M4319)</f>
        <v>0</v>
      </c>
      <c r="M4319" s="108">
        <v>1</v>
      </c>
      <c r="N4319" s="95">
        <v>1</v>
      </c>
      <c r="O4319" s="109">
        <f>IF(Key!D$1="ON",P4319,IF(SUM(Q4319:DL4319)&lt;1,"",SUM(Q4319:DL4319)/COUNTIF(Q4319:DL4319,"&gt;0")))</f>
        <v>0</v>
      </c>
      <c r="P4319" s="109">
        <f>SUMIFS(Q4319:DK4319,Q$1:DK$1,Dashboard!$K$31)</f>
        <v>0</v>
      </c>
      <c r="U4319" s="95">
        <v>33</v>
      </c>
      <c r="AA4319" s="95">
        <v>25</v>
      </c>
      <c r="AH4319" s="95">
        <v>75</v>
      </c>
    </row>
    <row r="4320" spans="1:34" x14ac:dyDescent="0.3">
      <c r="A4320" s="89" t="str">
        <f>CONCATENATE(D4320,".",F4320,"-",G4320,".",H4320,"")</f>
        <v>5.5-1.1</v>
      </c>
      <c r="B4320" s="89" t="str">
        <f>IF(CONCATENATE(I4320,Key!F$2)=CONCATENATE(INDEX(Dashboard!J:J,MATCH(I4320,Dashboard!J:J,0),1),INDEX(Dashboard!J:K,MATCH(I4320,Dashboard!J:J,0),2)),"ON",IF(Dashboard!K$32="ALL","ON","-"))</f>
        <v>-</v>
      </c>
      <c r="C4320" s="88" t="s">
        <v>622</v>
      </c>
      <c r="D4320" s="89">
        <f>IF(C4320="ID",1,(IF(C4320="PR",2,(IF(C4320="DE",3,(IF(C4320="RS",4,(IF(C4320="RC",5,0)))))))))</f>
        <v>5</v>
      </c>
      <c r="E4320" s="89" t="s">
        <v>623</v>
      </c>
      <c r="F4320" s="89">
        <f>IF(E4320="AM",1,(IF(E4320="BE",2,(IF(E4320="GV",3,(IF(E4320="RA",4,(IF(E4320="RM",5,(IF(E4320="AC",1,(IF(E4320="AT",2,(IF(E4320="DS",3,(IF(E4320="IP",4,(IF(E4320="MA",5,(IF(E4320="PT",6,(IF(E4320="AE",1,(IF(E4320="CM",2,(IF(E4320="DP",3,(IF(E4320="AN",1,(IF(E4320="CO",2,(IF(E4320="IM",3,(IF(E4320="MI",4,(IF(E4320="RP",5,(IF(E4320="SC",6,0)))))))))))))))))))))))))))))))))))))))</f>
        <v>5</v>
      </c>
      <c r="G4320" s="52">
        <v>1</v>
      </c>
      <c r="H4320" s="90" t="s">
        <v>115</v>
      </c>
      <c r="I4320" s="94" t="s">
        <v>73</v>
      </c>
      <c r="J4320" s="86" t="s">
        <v>296</v>
      </c>
      <c r="K4320" s="101" t="s">
        <v>5201</v>
      </c>
      <c r="L4320" s="117">
        <f>IF(O4320="","",N4320*O4320*M4320)</f>
        <v>0</v>
      </c>
      <c r="M4320" s="108">
        <v>1</v>
      </c>
      <c r="N4320" s="95">
        <v>1</v>
      </c>
      <c r="O4320" s="109">
        <f>IF(Key!D$1="ON",P4320,IF(SUM(Q4320:DL4320)&lt;1,"",SUM(Q4320:DL4320)/COUNTIF(Q4320:DL4320,"&gt;0")))</f>
        <v>0</v>
      </c>
      <c r="P4320" s="109">
        <f>SUMIFS(Q4320:DK4320,Q$1:DK$1,Dashboard!$K$31)</f>
        <v>0</v>
      </c>
      <c r="U4320" s="95">
        <v>33</v>
      </c>
      <c r="AA4320" s="95">
        <v>25</v>
      </c>
      <c r="AH4320" s="95">
        <v>75</v>
      </c>
    </row>
    <row r="4321" spans="1:34" x14ac:dyDescent="0.3">
      <c r="A4321" s="89" t="str">
        <f>CONCATENATE(D4321,".",F4321,"-",G4321,".",H4321,"")</f>
        <v>5.5-1.1</v>
      </c>
      <c r="B4321" s="89" t="str">
        <f>IF(CONCATENATE(I4321,Key!F$2)=CONCATENATE(INDEX(Dashboard!J:J,MATCH(I4321,Dashboard!J:J,0),1),INDEX(Dashboard!J:K,MATCH(I4321,Dashboard!J:J,0),2)),"ON",IF(Dashboard!K$32="ALL","ON","-"))</f>
        <v>-</v>
      </c>
      <c r="C4321" s="88" t="s">
        <v>622</v>
      </c>
      <c r="D4321" s="89">
        <f>IF(C4321="ID",1,(IF(C4321="PR",2,(IF(C4321="DE",3,(IF(C4321="RS",4,(IF(C4321="RC",5,0)))))))))</f>
        <v>5</v>
      </c>
      <c r="E4321" s="89" t="s">
        <v>623</v>
      </c>
      <c r="F4321" s="89">
        <f>IF(E4321="AM",1,(IF(E4321="BE",2,(IF(E4321="GV",3,(IF(E4321="RA",4,(IF(E4321="RM",5,(IF(E4321="AC",1,(IF(E4321="AT",2,(IF(E4321="DS",3,(IF(E4321="IP",4,(IF(E4321="MA",5,(IF(E4321="PT",6,(IF(E4321="AE",1,(IF(E4321="CM",2,(IF(E4321="DP",3,(IF(E4321="AN",1,(IF(E4321="CO",2,(IF(E4321="IM",3,(IF(E4321="MI",4,(IF(E4321="RP",5,(IF(E4321="SC",6,0)))))))))))))))))))))))))))))))))))))))</f>
        <v>5</v>
      </c>
      <c r="G4321" s="52">
        <v>1</v>
      </c>
      <c r="H4321" s="90" t="s">
        <v>115</v>
      </c>
      <c r="I4321" s="94" t="s">
        <v>77</v>
      </c>
      <c r="J4321" s="87" t="s">
        <v>1937</v>
      </c>
      <c r="K4321" s="102" t="s">
        <v>2827</v>
      </c>
      <c r="L4321" s="117">
        <f>IF(O4321="","",N4321*O4321*M4321)</f>
        <v>0</v>
      </c>
      <c r="M4321" s="108">
        <v>1</v>
      </c>
      <c r="N4321" s="95">
        <v>1</v>
      </c>
      <c r="O4321" s="109">
        <f>IF(Key!D$1="ON",P4321,IF(SUM(Q4321:DL4321)&lt;1,"",SUM(Q4321:DL4321)/COUNTIF(Q4321:DL4321,"&gt;0")))</f>
        <v>0</v>
      </c>
      <c r="P4321" s="109">
        <f>SUMIFS(Q4321:DK4321,Q$1:DK$1,Dashboard!$K$31)</f>
        <v>0</v>
      </c>
      <c r="U4321" s="95">
        <v>33</v>
      </c>
      <c r="AA4321" s="95">
        <v>25</v>
      </c>
      <c r="AH4321" s="95">
        <v>75</v>
      </c>
    </row>
    <row r="4322" spans="1:34" x14ac:dyDescent="0.3">
      <c r="A4322" s="89" t="str">
        <f>CONCATENATE(D4322,".",F4322,"-",G4322,".",H4322,"")</f>
        <v>5.5-1.1</v>
      </c>
      <c r="B4322" s="89" t="str">
        <f>IF(CONCATENATE(I4322,Key!F$2)=CONCATENATE(INDEX(Dashboard!J:J,MATCH(I4322,Dashboard!J:J,0),1),INDEX(Dashboard!J:K,MATCH(I4322,Dashboard!J:J,0),2)),"ON",IF(Dashboard!K$32="ALL","ON","-"))</f>
        <v>-</v>
      </c>
      <c r="C4322" s="88" t="s">
        <v>622</v>
      </c>
      <c r="D4322" s="89">
        <f>IF(C4322="ID",1,(IF(C4322="PR",2,(IF(C4322="DE",3,(IF(C4322="RS",4,(IF(C4322="RC",5,0)))))))))</f>
        <v>5</v>
      </c>
      <c r="E4322" s="89" t="s">
        <v>623</v>
      </c>
      <c r="F4322" s="89">
        <f>IF(E4322="AM",1,(IF(E4322="BE",2,(IF(E4322="GV",3,(IF(E4322="RA",4,(IF(E4322="RM",5,(IF(E4322="AC",1,(IF(E4322="AT",2,(IF(E4322="DS",3,(IF(E4322="IP",4,(IF(E4322="MA",5,(IF(E4322="PT",6,(IF(E4322="AE",1,(IF(E4322="CM",2,(IF(E4322="DP",3,(IF(E4322="AN",1,(IF(E4322="CO",2,(IF(E4322="IM",3,(IF(E4322="MI",4,(IF(E4322="RP",5,(IF(E4322="SC",6,0)))))))))))))))))))))))))))))))))))))))</f>
        <v>5</v>
      </c>
      <c r="G4322" s="52">
        <v>1</v>
      </c>
      <c r="H4322" s="90" t="s">
        <v>115</v>
      </c>
      <c r="I4322" s="94" t="s">
        <v>77</v>
      </c>
      <c r="J4322" s="87" t="s">
        <v>1939</v>
      </c>
      <c r="K4322" s="102" t="s">
        <v>2828</v>
      </c>
      <c r="L4322" s="117">
        <f>IF(O4322="","",N4322*O4322*M4322)</f>
        <v>0</v>
      </c>
      <c r="M4322" s="108">
        <v>1</v>
      </c>
      <c r="N4322" s="95">
        <v>1</v>
      </c>
      <c r="O4322" s="109">
        <f>IF(Key!D$1="ON",P4322,IF(SUM(Q4322:DL4322)&lt;1,"",SUM(Q4322:DL4322)/COUNTIF(Q4322:DL4322,"&gt;0")))</f>
        <v>0</v>
      </c>
      <c r="P4322" s="109">
        <f>SUMIFS(Q4322:DK4322,Q$1:DK$1,Dashboard!$K$31)</f>
        <v>0</v>
      </c>
      <c r="U4322" s="95">
        <v>33</v>
      </c>
      <c r="AA4322" s="95">
        <v>25</v>
      </c>
      <c r="AH4322" s="95">
        <v>75</v>
      </c>
    </row>
    <row r="4323" spans="1:34" x14ac:dyDescent="0.3">
      <c r="A4323" s="89" t="str">
        <f>CONCATENATE(D4323,".",F4323,"-",G4323,".",H4323,"")</f>
        <v>5.5-1.1</v>
      </c>
      <c r="B4323" s="89" t="str">
        <f>IF(CONCATENATE(I4323,Key!F$2)=CONCATENATE(INDEX(Dashboard!J:J,MATCH(I4323,Dashboard!J:J,0),1),INDEX(Dashboard!J:K,MATCH(I4323,Dashboard!J:J,0),2)),"ON",IF(Dashboard!K$32="ALL","ON","-"))</f>
        <v>-</v>
      </c>
      <c r="C4323" s="88" t="s">
        <v>622</v>
      </c>
      <c r="D4323" s="89">
        <f>IF(C4323="ID",1,(IF(C4323="PR",2,(IF(C4323="DE",3,(IF(C4323="RS",4,(IF(C4323="RC",5,0)))))))))</f>
        <v>5</v>
      </c>
      <c r="E4323" s="89" t="s">
        <v>623</v>
      </c>
      <c r="F4323" s="89">
        <f>IF(E4323="AM",1,(IF(E4323="BE",2,(IF(E4323="GV",3,(IF(E4323="RA",4,(IF(E4323="RM",5,(IF(E4323="AC",1,(IF(E4323="AT",2,(IF(E4323="DS",3,(IF(E4323="IP",4,(IF(E4323="MA",5,(IF(E4323="PT",6,(IF(E4323="AE",1,(IF(E4323="CM",2,(IF(E4323="DP",3,(IF(E4323="AN",1,(IF(E4323="CO",2,(IF(E4323="IM",3,(IF(E4323="MI",4,(IF(E4323="RP",5,(IF(E4323="SC",6,0)))))))))))))))))))))))))))))))))))))))</f>
        <v>5</v>
      </c>
      <c r="G4323" s="52">
        <v>1</v>
      </c>
      <c r="H4323" s="90" t="s">
        <v>115</v>
      </c>
      <c r="I4323" s="94" t="s">
        <v>77</v>
      </c>
      <c r="J4323" s="87" t="s">
        <v>1941</v>
      </c>
      <c r="K4323" s="102" t="s">
        <v>2829</v>
      </c>
      <c r="L4323" s="117">
        <f>IF(O4323="","",N4323*O4323*M4323)</f>
        <v>0</v>
      </c>
      <c r="M4323" s="108">
        <v>1</v>
      </c>
      <c r="N4323" s="95">
        <v>1</v>
      </c>
      <c r="O4323" s="109">
        <f>IF(Key!D$1="ON",P4323,IF(SUM(Q4323:DL4323)&lt;1,"",SUM(Q4323:DL4323)/COUNTIF(Q4323:DL4323,"&gt;0")))</f>
        <v>0</v>
      </c>
      <c r="P4323" s="109">
        <f>SUMIFS(Q4323:DK4323,Q$1:DK$1,Dashboard!$K$31)</f>
        <v>0</v>
      </c>
      <c r="U4323" s="95">
        <v>33</v>
      </c>
      <c r="AA4323" s="95">
        <v>25</v>
      </c>
      <c r="AH4323" s="95">
        <v>75</v>
      </c>
    </row>
    <row r="4324" spans="1:34" x14ac:dyDescent="0.3">
      <c r="A4324" s="89" t="str">
        <f>CONCATENATE(D4324,".",F4324,"-",G4324,".",H4324,"")</f>
        <v>5.5-1.1</v>
      </c>
      <c r="B4324" s="89" t="str">
        <f>IF(CONCATENATE(I4324,Key!F$2)=CONCATENATE(INDEX(Dashboard!J:J,MATCH(I4324,Dashboard!J:J,0),1),INDEX(Dashboard!J:K,MATCH(I4324,Dashboard!J:J,0),2)),"ON",IF(Dashboard!K$32="ALL","ON","-"))</f>
        <v>-</v>
      </c>
      <c r="C4324" s="88" t="s">
        <v>622</v>
      </c>
      <c r="D4324" s="89">
        <f>IF(C4324="ID",1,(IF(C4324="PR",2,(IF(C4324="DE",3,(IF(C4324="RS",4,(IF(C4324="RC",5,0)))))))))</f>
        <v>5</v>
      </c>
      <c r="E4324" s="89" t="s">
        <v>623</v>
      </c>
      <c r="F4324" s="89">
        <f>IF(E4324="AM",1,(IF(E4324="BE",2,(IF(E4324="GV",3,(IF(E4324="RA",4,(IF(E4324="RM",5,(IF(E4324="AC",1,(IF(E4324="AT",2,(IF(E4324="DS",3,(IF(E4324="IP",4,(IF(E4324="MA",5,(IF(E4324="PT",6,(IF(E4324="AE",1,(IF(E4324="CM",2,(IF(E4324="DP",3,(IF(E4324="AN",1,(IF(E4324="CO",2,(IF(E4324="IM",3,(IF(E4324="MI",4,(IF(E4324="RP",5,(IF(E4324="SC",6,0)))))))))))))))))))))))))))))))))))))))</f>
        <v>5</v>
      </c>
      <c r="G4324" s="52">
        <v>1</v>
      </c>
      <c r="H4324" s="90" t="s">
        <v>115</v>
      </c>
      <c r="I4324" s="94" t="s">
        <v>77</v>
      </c>
      <c r="J4324" s="87" t="s">
        <v>1943</v>
      </c>
      <c r="K4324" s="102" t="s">
        <v>2830</v>
      </c>
      <c r="L4324" s="117">
        <f>IF(O4324="","",N4324*O4324*M4324)</f>
        <v>0</v>
      </c>
      <c r="M4324" s="108">
        <v>1</v>
      </c>
      <c r="N4324" s="95">
        <v>1</v>
      </c>
      <c r="O4324" s="109">
        <f>IF(Key!D$1="ON",P4324,IF(SUM(Q4324:DL4324)&lt;1,"",SUM(Q4324:DL4324)/COUNTIF(Q4324:DL4324,"&gt;0")))</f>
        <v>0</v>
      </c>
      <c r="P4324" s="109">
        <f>SUMIFS(Q4324:DK4324,Q$1:DK$1,Dashboard!$K$31)</f>
        <v>0</v>
      </c>
      <c r="U4324" s="95">
        <v>33</v>
      </c>
      <c r="AA4324" s="95">
        <v>25</v>
      </c>
      <c r="AH4324" s="95">
        <v>75</v>
      </c>
    </row>
    <row r="4325" spans="1:34" x14ac:dyDescent="0.3">
      <c r="A4325" s="89" t="str">
        <f>CONCATENATE(D4325,".",F4325,"-",G4325,".",H4325,"")</f>
        <v>5.5-1.1</v>
      </c>
      <c r="B4325" s="89" t="str">
        <f>IF(CONCATENATE(I4325,Key!F$2)=CONCATENATE(INDEX(Dashboard!J:J,MATCH(I4325,Dashboard!J:J,0),1),INDEX(Dashboard!J:K,MATCH(I4325,Dashboard!J:J,0),2)),"ON",IF(Dashboard!K$32="ALL","ON","-"))</f>
        <v>-</v>
      </c>
      <c r="C4325" s="88" t="s">
        <v>622</v>
      </c>
      <c r="D4325" s="89">
        <f>IF(C4325="ID",1,(IF(C4325="PR",2,(IF(C4325="DE",3,(IF(C4325="RS",4,(IF(C4325="RC",5,0)))))))))</f>
        <v>5</v>
      </c>
      <c r="E4325" s="89" t="s">
        <v>623</v>
      </c>
      <c r="F4325" s="89">
        <f>IF(E4325="AM",1,(IF(E4325="BE",2,(IF(E4325="GV",3,(IF(E4325="RA",4,(IF(E4325="RM",5,(IF(E4325="AC",1,(IF(E4325="AT",2,(IF(E4325="DS",3,(IF(E4325="IP",4,(IF(E4325="MA",5,(IF(E4325="PT",6,(IF(E4325="AE",1,(IF(E4325="CM",2,(IF(E4325="DP",3,(IF(E4325="AN",1,(IF(E4325="CO",2,(IF(E4325="IM",3,(IF(E4325="MI",4,(IF(E4325="RP",5,(IF(E4325="SC",6,0)))))))))))))))))))))))))))))))))))))))</f>
        <v>5</v>
      </c>
      <c r="G4325" s="52">
        <v>1</v>
      </c>
      <c r="H4325" s="90" t="s">
        <v>115</v>
      </c>
      <c r="I4325" s="94" t="s">
        <v>77</v>
      </c>
      <c r="J4325" s="87" t="s">
        <v>1944</v>
      </c>
      <c r="K4325" s="102" t="s">
        <v>2831</v>
      </c>
      <c r="L4325" s="117">
        <f>IF(O4325="","",N4325*O4325*M4325)</f>
        <v>0</v>
      </c>
      <c r="M4325" s="108">
        <v>1</v>
      </c>
      <c r="N4325" s="95">
        <v>1</v>
      </c>
      <c r="O4325" s="109">
        <f>IF(Key!D$1="ON",P4325,IF(SUM(Q4325:DL4325)&lt;1,"",SUM(Q4325:DL4325)/COUNTIF(Q4325:DL4325,"&gt;0")))</f>
        <v>0</v>
      </c>
      <c r="P4325" s="109">
        <f>SUMIFS(Q4325:DK4325,Q$1:DK$1,Dashboard!$K$31)</f>
        <v>0</v>
      </c>
      <c r="U4325" s="95">
        <v>33</v>
      </c>
      <c r="AA4325" s="95">
        <v>25</v>
      </c>
      <c r="AH4325" s="95">
        <v>75</v>
      </c>
    </row>
    <row r="4326" spans="1:34" x14ac:dyDescent="0.3">
      <c r="A4326" s="89" t="str">
        <f>CONCATENATE(D4326,".",F4326,"-",G4326,".",H4326,"")</f>
        <v>5.5-1.1</v>
      </c>
      <c r="B4326" s="89" t="str">
        <f>IF(CONCATENATE(I4326,Key!F$2)=CONCATENATE(INDEX(Dashboard!J:J,MATCH(I4326,Dashboard!J:J,0),1),INDEX(Dashboard!J:K,MATCH(I4326,Dashboard!J:J,0),2)),"ON",IF(Dashboard!K$32="ALL","ON","-"))</f>
        <v>-</v>
      </c>
      <c r="C4326" s="88" t="s">
        <v>622</v>
      </c>
      <c r="D4326" s="89">
        <f>IF(C4326="ID",1,(IF(C4326="PR",2,(IF(C4326="DE",3,(IF(C4326="RS",4,(IF(C4326="RC",5,0)))))))))</f>
        <v>5</v>
      </c>
      <c r="E4326" s="89" t="s">
        <v>623</v>
      </c>
      <c r="F4326" s="89">
        <f>IF(E4326="AM",1,(IF(E4326="BE",2,(IF(E4326="GV",3,(IF(E4326="RA",4,(IF(E4326="RM",5,(IF(E4326="AC",1,(IF(E4326="AT",2,(IF(E4326="DS",3,(IF(E4326="IP",4,(IF(E4326="MA",5,(IF(E4326="PT",6,(IF(E4326="AE",1,(IF(E4326="CM",2,(IF(E4326="DP",3,(IF(E4326="AN",1,(IF(E4326="CO",2,(IF(E4326="IM",3,(IF(E4326="MI",4,(IF(E4326="RP",5,(IF(E4326="SC",6,0)))))))))))))))))))))))))))))))))))))))</f>
        <v>5</v>
      </c>
      <c r="G4326" s="52">
        <v>1</v>
      </c>
      <c r="H4326" s="90" t="s">
        <v>115</v>
      </c>
      <c r="I4326" s="94" t="s">
        <v>77</v>
      </c>
      <c r="J4326" s="87" t="s">
        <v>1945</v>
      </c>
      <c r="K4326" s="102" t="s">
        <v>2832</v>
      </c>
      <c r="L4326" s="117">
        <f>IF(O4326="","",N4326*O4326*M4326)</f>
        <v>0</v>
      </c>
      <c r="M4326" s="108">
        <v>1</v>
      </c>
      <c r="N4326" s="95">
        <v>1</v>
      </c>
      <c r="O4326" s="109">
        <f>IF(Key!D$1="ON",P4326,IF(SUM(Q4326:DL4326)&lt;1,"",SUM(Q4326:DL4326)/COUNTIF(Q4326:DL4326,"&gt;0")))</f>
        <v>0</v>
      </c>
      <c r="P4326" s="109">
        <f>SUMIFS(Q4326:DK4326,Q$1:DK$1,Dashboard!$K$31)</f>
        <v>0</v>
      </c>
      <c r="U4326" s="95">
        <v>33</v>
      </c>
      <c r="AA4326" s="95">
        <v>25</v>
      </c>
      <c r="AH4326" s="95">
        <v>75</v>
      </c>
    </row>
    <row r="4327" spans="1:34" x14ac:dyDescent="0.3">
      <c r="A4327" s="89" t="str">
        <f>CONCATENATE(D4327,".",F4327,"-",G4327,".",H4327,"")</f>
        <v>5.5-1.1</v>
      </c>
      <c r="B4327" s="89" t="str">
        <f>IF(CONCATENATE(I4327,Key!F$2)=CONCATENATE(INDEX(Dashboard!J:J,MATCH(I4327,Dashboard!J:J,0),1),INDEX(Dashboard!J:K,MATCH(I4327,Dashboard!J:J,0),2)),"ON",IF(Dashboard!K$32="ALL","ON","-"))</f>
        <v>-</v>
      </c>
      <c r="C4327" s="88" t="s">
        <v>622</v>
      </c>
      <c r="D4327" s="89">
        <f>IF(C4327="ID",1,(IF(C4327="PR",2,(IF(C4327="DE",3,(IF(C4327="RS",4,(IF(C4327="RC",5,0)))))))))</f>
        <v>5</v>
      </c>
      <c r="E4327" s="89" t="s">
        <v>623</v>
      </c>
      <c r="F4327" s="89">
        <f>IF(E4327="AM",1,(IF(E4327="BE",2,(IF(E4327="GV",3,(IF(E4327="RA",4,(IF(E4327="RM",5,(IF(E4327="AC",1,(IF(E4327="AT",2,(IF(E4327="DS",3,(IF(E4327="IP",4,(IF(E4327="MA",5,(IF(E4327="PT",6,(IF(E4327="AE",1,(IF(E4327="CM",2,(IF(E4327="DP",3,(IF(E4327="AN",1,(IF(E4327="CO",2,(IF(E4327="IM",3,(IF(E4327="MI",4,(IF(E4327="RP",5,(IF(E4327="SC",6,0)))))))))))))))))))))))))))))))))))))))</f>
        <v>5</v>
      </c>
      <c r="G4327" s="52">
        <v>1</v>
      </c>
      <c r="H4327" s="90" t="s">
        <v>115</v>
      </c>
      <c r="I4327" s="94" t="s">
        <v>77</v>
      </c>
      <c r="J4327" s="87" t="s">
        <v>1946</v>
      </c>
      <c r="K4327" s="102" t="s">
        <v>2833</v>
      </c>
      <c r="L4327" s="117">
        <f>IF(O4327="","",N4327*O4327*M4327)</f>
        <v>0</v>
      </c>
      <c r="M4327" s="108">
        <v>1</v>
      </c>
      <c r="N4327" s="95">
        <v>1</v>
      </c>
      <c r="O4327" s="109">
        <f>IF(Key!D$1="ON",P4327,IF(SUM(Q4327:DL4327)&lt;1,"",SUM(Q4327:DL4327)/COUNTIF(Q4327:DL4327,"&gt;0")))</f>
        <v>0</v>
      </c>
      <c r="P4327" s="109">
        <f>SUMIFS(Q4327:DK4327,Q$1:DK$1,Dashboard!$K$31)</f>
        <v>0</v>
      </c>
      <c r="U4327" s="95">
        <v>33</v>
      </c>
      <c r="AA4327" s="95">
        <v>25</v>
      </c>
      <c r="AH4327" s="95">
        <v>75</v>
      </c>
    </row>
    <row r="4328" spans="1:34" x14ac:dyDescent="0.3">
      <c r="A4328" s="89" t="str">
        <f>CONCATENATE(D4328,".",F4328,"-",G4328,".",H4328,"")</f>
        <v>5.5-1.1</v>
      </c>
      <c r="B4328" s="89" t="str">
        <f>IF(CONCATENATE(I4328,Key!F$2)=CONCATENATE(INDEX(Dashboard!J:J,MATCH(I4328,Dashboard!J:J,0),1),INDEX(Dashboard!J:K,MATCH(I4328,Dashboard!J:J,0),2)),"ON",IF(Dashboard!K$32="ALL","ON","-"))</f>
        <v>-</v>
      </c>
      <c r="C4328" s="88" t="s">
        <v>622</v>
      </c>
      <c r="D4328" s="89">
        <f>IF(C4328="ID",1,(IF(C4328="PR",2,(IF(C4328="DE",3,(IF(C4328="RS",4,(IF(C4328="RC",5,0)))))))))</f>
        <v>5</v>
      </c>
      <c r="E4328" s="89" t="s">
        <v>623</v>
      </c>
      <c r="F4328" s="89">
        <f>IF(E4328="AM",1,(IF(E4328="BE",2,(IF(E4328="GV",3,(IF(E4328="RA",4,(IF(E4328="RM",5,(IF(E4328="AC",1,(IF(E4328="AT",2,(IF(E4328="DS",3,(IF(E4328="IP",4,(IF(E4328="MA",5,(IF(E4328="PT",6,(IF(E4328="AE",1,(IF(E4328="CM",2,(IF(E4328="DP",3,(IF(E4328="AN",1,(IF(E4328="CO",2,(IF(E4328="IM",3,(IF(E4328="MI",4,(IF(E4328="RP",5,(IF(E4328="SC",6,0)))))))))))))))))))))))))))))))))))))))</f>
        <v>5</v>
      </c>
      <c r="G4328" s="52">
        <v>1</v>
      </c>
      <c r="H4328" s="90" t="s">
        <v>115</v>
      </c>
      <c r="I4328" s="94" t="s">
        <v>77</v>
      </c>
      <c r="J4328" s="87" t="s">
        <v>1947</v>
      </c>
      <c r="K4328" s="102" t="s">
        <v>2834</v>
      </c>
      <c r="L4328" s="117">
        <f>IF(O4328="","",N4328*O4328*M4328)</f>
        <v>0</v>
      </c>
      <c r="M4328" s="108">
        <v>1</v>
      </c>
      <c r="N4328" s="95">
        <v>1</v>
      </c>
      <c r="O4328" s="109">
        <f>IF(Key!D$1="ON",P4328,IF(SUM(Q4328:DL4328)&lt;1,"",SUM(Q4328:DL4328)/COUNTIF(Q4328:DL4328,"&gt;0")))</f>
        <v>0</v>
      </c>
      <c r="P4328" s="109">
        <f>SUMIFS(Q4328:DK4328,Q$1:DK$1,Dashboard!$K$31)</f>
        <v>0</v>
      </c>
      <c r="U4328" s="95">
        <v>33</v>
      </c>
      <c r="AA4328" s="95">
        <v>25</v>
      </c>
      <c r="AH4328" s="95">
        <v>75</v>
      </c>
    </row>
    <row r="4329" spans="1:34" x14ac:dyDescent="0.3">
      <c r="A4329" s="89" t="str">
        <f>CONCATENATE(D4329,".",F4329,"-",G4329,".",H4329,"")</f>
        <v>5.5-1.1</v>
      </c>
      <c r="B4329" s="89" t="str">
        <f>IF(CONCATENATE(I4329,Key!F$2)=CONCATENATE(INDEX(Dashboard!J:J,MATCH(I4329,Dashboard!J:J,0),1),INDEX(Dashboard!J:K,MATCH(I4329,Dashboard!J:J,0),2)),"ON",IF(Dashboard!K$32="ALL","ON","-"))</f>
        <v>-</v>
      </c>
      <c r="C4329" s="88" t="s">
        <v>622</v>
      </c>
      <c r="D4329" s="89">
        <f>IF(C4329="ID",1,(IF(C4329="PR",2,(IF(C4329="DE",3,(IF(C4329="RS",4,(IF(C4329="RC",5,0)))))))))</f>
        <v>5</v>
      </c>
      <c r="E4329" s="89" t="s">
        <v>623</v>
      </c>
      <c r="F4329" s="89">
        <f>IF(E4329="AM",1,(IF(E4329="BE",2,(IF(E4329="GV",3,(IF(E4329="RA",4,(IF(E4329="RM",5,(IF(E4329="AC",1,(IF(E4329="AT",2,(IF(E4329="DS",3,(IF(E4329="IP",4,(IF(E4329="MA",5,(IF(E4329="PT",6,(IF(E4329="AE",1,(IF(E4329="CM",2,(IF(E4329="DP",3,(IF(E4329="AN",1,(IF(E4329="CO",2,(IF(E4329="IM",3,(IF(E4329="MI",4,(IF(E4329="RP",5,(IF(E4329="SC",6,0)))))))))))))))))))))))))))))))))))))))</f>
        <v>5</v>
      </c>
      <c r="G4329" s="52">
        <v>1</v>
      </c>
      <c r="H4329" s="90" t="s">
        <v>115</v>
      </c>
      <c r="I4329" s="94" t="s">
        <v>85</v>
      </c>
      <c r="J4329" s="87" t="s">
        <v>1944</v>
      </c>
      <c r="K4329" s="119" t="s">
        <v>4723</v>
      </c>
      <c r="L4329" s="117">
        <f>IF(O4329="","",N4329*O4329*M4329)</f>
        <v>0</v>
      </c>
      <c r="M4329" s="108">
        <v>1</v>
      </c>
      <c r="N4329" s="95">
        <v>1</v>
      </c>
      <c r="O4329" s="109">
        <f>IF(Key!D$1="ON",P4329,IF(SUM(Q4329:DL4329)&lt;1,"",SUM(Q4329:DL4329)/COUNTIF(Q4329:DL4329,"&gt;0")))</f>
        <v>0</v>
      </c>
      <c r="P4329" s="109">
        <f>SUMIFS(Q4329:DK4329,Q$1:DK$1,Dashboard!$K$31)</f>
        <v>0</v>
      </c>
      <c r="U4329" s="95">
        <v>33</v>
      </c>
      <c r="AA4329" s="95">
        <v>25</v>
      </c>
      <c r="AH4329" s="95">
        <v>75</v>
      </c>
    </row>
    <row r="4330" spans="1:34" x14ac:dyDescent="0.3">
      <c r="A4330" s="89" t="str">
        <f>CONCATENATE(D4330,".",F4330,"-",G4330,".",H4330,"")</f>
        <v>5.5-1.1</v>
      </c>
      <c r="B4330" s="89" t="str">
        <f>IF(CONCATENATE(I4330,Key!F$2)=CONCATENATE(INDEX(Dashboard!J:J,MATCH(I4330,Dashboard!J:J,0),1),INDEX(Dashboard!J:K,MATCH(I4330,Dashboard!J:J,0),2)),"ON",IF(Dashboard!K$32="ALL","ON","-"))</f>
        <v>-</v>
      </c>
      <c r="C4330" s="88" t="s">
        <v>622</v>
      </c>
      <c r="D4330" s="89">
        <f>IF(C4330="ID",1,(IF(C4330="PR",2,(IF(C4330="DE",3,(IF(C4330="RS",4,(IF(C4330="RC",5,0)))))))))</f>
        <v>5</v>
      </c>
      <c r="E4330" s="89" t="s">
        <v>623</v>
      </c>
      <c r="F4330" s="89">
        <f>IF(E4330="AM",1,(IF(E4330="BE",2,(IF(E4330="GV",3,(IF(E4330="RA",4,(IF(E4330="RM",5,(IF(E4330="AC",1,(IF(E4330="AT",2,(IF(E4330="DS",3,(IF(E4330="IP",4,(IF(E4330="MA",5,(IF(E4330="PT",6,(IF(E4330="AE",1,(IF(E4330="CM",2,(IF(E4330="DP",3,(IF(E4330="AN",1,(IF(E4330="CO",2,(IF(E4330="IM",3,(IF(E4330="MI",4,(IF(E4330="RP",5,(IF(E4330="SC",6,0)))))))))))))))))))))))))))))))))))))))</f>
        <v>5</v>
      </c>
      <c r="G4330" s="52">
        <v>1</v>
      </c>
      <c r="H4330" s="90" t="s">
        <v>115</v>
      </c>
      <c r="I4330" s="94" t="s">
        <v>85</v>
      </c>
      <c r="J4330" s="87" t="s">
        <v>1941</v>
      </c>
      <c r="K4330" s="119" t="s">
        <v>1942</v>
      </c>
      <c r="L4330" s="117">
        <f>IF(O4330="","",N4330*O4330*M4330)</f>
        <v>0</v>
      </c>
      <c r="M4330" s="108">
        <v>1</v>
      </c>
      <c r="N4330" s="95">
        <v>1</v>
      </c>
      <c r="O4330" s="109">
        <f>IF(Key!D$1="ON",P4330,IF(SUM(Q4330:DL4330)&lt;1,"",SUM(Q4330:DL4330)/COUNTIF(Q4330:DL4330,"&gt;0")))</f>
        <v>0</v>
      </c>
      <c r="P4330" s="109">
        <f>SUMIFS(Q4330:DK4330,Q$1:DK$1,Dashboard!$K$31)</f>
        <v>0</v>
      </c>
      <c r="U4330" s="95">
        <v>33</v>
      </c>
      <c r="AA4330" s="95">
        <v>25</v>
      </c>
      <c r="AH4330" s="95">
        <v>75</v>
      </c>
    </row>
    <row r="4331" spans="1:34" x14ac:dyDescent="0.3">
      <c r="A4331" s="89" t="str">
        <f>CONCATENATE(D4331,".",F4331,"-",G4331,".",H4331,"")</f>
        <v>5.5-1.1</v>
      </c>
      <c r="B4331" s="89" t="str">
        <f>IF(CONCATENATE(I4331,Key!F$2)=CONCATENATE(INDEX(Dashboard!J:J,MATCH(I4331,Dashboard!J:J,0),1),INDEX(Dashboard!J:K,MATCH(I4331,Dashboard!J:J,0),2)),"ON",IF(Dashboard!K$32="ALL","ON","-"))</f>
        <v>-</v>
      </c>
      <c r="C4331" s="88" t="s">
        <v>622</v>
      </c>
      <c r="D4331" s="89">
        <f>IF(C4331="ID",1,(IF(C4331="PR",2,(IF(C4331="DE",3,(IF(C4331="RS",4,(IF(C4331="RC",5,0)))))))))</f>
        <v>5</v>
      </c>
      <c r="E4331" s="89" t="s">
        <v>623</v>
      </c>
      <c r="F4331" s="89">
        <f>IF(E4331="AM",1,(IF(E4331="BE",2,(IF(E4331="GV",3,(IF(E4331="RA",4,(IF(E4331="RM",5,(IF(E4331="AC",1,(IF(E4331="AT",2,(IF(E4331="DS",3,(IF(E4331="IP",4,(IF(E4331="MA",5,(IF(E4331="PT",6,(IF(E4331="AE",1,(IF(E4331="CM",2,(IF(E4331="DP",3,(IF(E4331="AN",1,(IF(E4331="CO",2,(IF(E4331="IM",3,(IF(E4331="MI",4,(IF(E4331="RP",5,(IF(E4331="SC",6,0)))))))))))))))))))))))))))))))))))))))</f>
        <v>5</v>
      </c>
      <c r="G4331" s="52">
        <v>1</v>
      </c>
      <c r="H4331" s="90" t="s">
        <v>115</v>
      </c>
      <c r="I4331" s="94" t="s">
        <v>85</v>
      </c>
      <c r="J4331" s="87" t="s">
        <v>1939</v>
      </c>
      <c r="K4331" s="119" t="s">
        <v>1940</v>
      </c>
      <c r="L4331" s="117">
        <f>IF(O4331="","",N4331*O4331*M4331)</f>
        <v>0</v>
      </c>
      <c r="M4331" s="108">
        <v>1</v>
      </c>
      <c r="N4331" s="95">
        <v>1</v>
      </c>
      <c r="O4331" s="109">
        <f>IF(Key!D$1="ON",P4331,IF(SUM(Q4331:DL4331)&lt;1,"",SUM(Q4331:DL4331)/COUNTIF(Q4331:DL4331,"&gt;0")))</f>
        <v>0</v>
      </c>
      <c r="P4331" s="109">
        <f>SUMIFS(Q4331:DK4331,Q$1:DK$1,Dashboard!$K$31)</f>
        <v>0</v>
      </c>
      <c r="U4331" s="95">
        <v>33</v>
      </c>
      <c r="AA4331" s="95">
        <v>25</v>
      </c>
      <c r="AH4331" s="95">
        <v>75</v>
      </c>
    </row>
    <row r="4332" spans="1:34" x14ac:dyDescent="0.3">
      <c r="A4332" s="89" t="str">
        <f>CONCATENATE(D4332,".",F4332,"-",G4332,".",H4332,"")</f>
        <v>5.5-1.1</v>
      </c>
      <c r="B4332" s="89" t="str">
        <f>IF(CONCATENATE(I4332,Key!F$2)=CONCATENATE(INDEX(Dashboard!J:J,MATCH(I4332,Dashboard!J:J,0),1),INDEX(Dashboard!J:K,MATCH(I4332,Dashboard!J:J,0),2)),"ON",IF(Dashboard!K$32="ALL","ON","-"))</f>
        <v>-</v>
      </c>
      <c r="C4332" s="88" t="s">
        <v>622</v>
      </c>
      <c r="D4332" s="89">
        <f>IF(C4332="ID",1,(IF(C4332="PR",2,(IF(C4332="DE",3,(IF(C4332="RS",4,(IF(C4332="RC",5,0)))))))))</f>
        <v>5</v>
      </c>
      <c r="E4332" s="89" t="s">
        <v>623</v>
      </c>
      <c r="F4332" s="89">
        <f>IF(E4332="AM",1,(IF(E4332="BE",2,(IF(E4332="GV",3,(IF(E4332="RA",4,(IF(E4332="RM",5,(IF(E4332="AC",1,(IF(E4332="AT",2,(IF(E4332="DS",3,(IF(E4332="IP",4,(IF(E4332="MA",5,(IF(E4332="PT",6,(IF(E4332="AE",1,(IF(E4332="CM",2,(IF(E4332="DP",3,(IF(E4332="AN",1,(IF(E4332="CO",2,(IF(E4332="IM",3,(IF(E4332="MI",4,(IF(E4332="RP",5,(IF(E4332="SC",6,0)))))))))))))))))))))))))))))))))))))))</f>
        <v>5</v>
      </c>
      <c r="G4332" s="52">
        <v>1</v>
      </c>
      <c r="H4332" s="90" t="s">
        <v>115</v>
      </c>
      <c r="I4332" s="94" t="s">
        <v>85</v>
      </c>
      <c r="J4332" s="87" t="s">
        <v>1936</v>
      </c>
      <c r="K4332" s="119" t="s">
        <v>4500</v>
      </c>
      <c r="L4332" s="117">
        <f>IF(O4332="","",N4332*O4332*M4332)</f>
        <v>0</v>
      </c>
      <c r="M4332" s="108">
        <v>1</v>
      </c>
      <c r="N4332" s="95">
        <v>1</v>
      </c>
      <c r="O4332" s="109">
        <f>IF(Key!D$1="ON",P4332,IF(SUM(Q4332:DL4332)&lt;1,"",SUM(Q4332:DL4332)/COUNTIF(Q4332:DL4332,"&gt;0")))</f>
        <v>0</v>
      </c>
      <c r="P4332" s="109">
        <f>SUMIFS(Q4332:DK4332,Q$1:DK$1,Dashboard!$K$31)</f>
        <v>0</v>
      </c>
      <c r="U4332" s="95">
        <v>33</v>
      </c>
      <c r="AA4332" s="95">
        <v>25</v>
      </c>
      <c r="AH4332" s="95">
        <v>75</v>
      </c>
    </row>
    <row r="4333" spans="1:34" x14ac:dyDescent="0.3">
      <c r="A4333" s="89" t="str">
        <f>CONCATENATE(D4333,".",F4333,"-",G4333,".",H4333,"")</f>
        <v>5.5-1.1</v>
      </c>
      <c r="B4333" s="89" t="str">
        <f>IF(CONCATENATE(I4333,Key!F$2)=CONCATENATE(INDEX(Dashboard!J:J,MATCH(I4333,Dashboard!J:J,0),1),INDEX(Dashboard!J:K,MATCH(I4333,Dashboard!J:J,0),2)),"ON",IF(Dashboard!K$32="ALL","ON","-"))</f>
        <v>-</v>
      </c>
      <c r="C4333" s="88" t="s">
        <v>622</v>
      </c>
      <c r="D4333" s="89">
        <f>IF(C4333="ID",1,(IF(C4333="PR",2,(IF(C4333="DE",3,(IF(C4333="RS",4,(IF(C4333="RC",5,0)))))))))</f>
        <v>5</v>
      </c>
      <c r="E4333" s="89" t="s">
        <v>623</v>
      </c>
      <c r="F4333" s="89">
        <f>IF(E4333="AM",1,(IF(E4333="BE",2,(IF(E4333="GV",3,(IF(E4333="RA",4,(IF(E4333="RM",5,(IF(E4333="AC",1,(IF(E4333="AT",2,(IF(E4333="DS",3,(IF(E4333="IP",4,(IF(E4333="MA",5,(IF(E4333="PT",6,(IF(E4333="AE",1,(IF(E4333="CM",2,(IF(E4333="DP",3,(IF(E4333="AN",1,(IF(E4333="CO",2,(IF(E4333="IM",3,(IF(E4333="MI",4,(IF(E4333="RP",5,(IF(E4333="SC",6,0)))))))))))))))))))))))))))))))))))))))</f>
        <v>5</v>
      </c>
      <c r="G4333" s="52">
        <v>1</v>
      </c>
      <c r="H4333" s="90" t="s">
        <v>115</v>
      </c>
      <c r="I4333" s="94" t="s">
        <v>85</v>
      </c>
      <c r="J4333" s="87" t="s">
        <v>1947</v>
      </c>
      <c r="K4333" s="119" t="s">
        <v>4726</v>
      </c>
      <c r="L4333" s="117">
        <f>IF(O4333="","",N4333*O4333*M4333)</f>
        <v>0</v>
      </c>
      <c r="M4333" s="108">
        <v>1</v>
      </c>
      <c r="N4333" s="95">
        <v>1</v>
      </c>
      <c r="O4333" s="109">
        <f>IF(Key!D$1="ON",P4333,IF(SUM(Q4333:DL4333)&lt;1,"",SUM(Q4333:DL4333)/COUNTIF(Q4333:DL4333,"&gt;0")))</f>
        <v>0</v>
      </c>
      <c r="P4333" s="109">
        <f>SUMIFS(Q4333:DK4333,Q$1:DK$1,Dashboard!$K$31)</f>
        <v>0</v>
      </c>
      <c r="U4333" s="95">
        <v>33</v>
      </c>
      <c r="AA4333" s="95">
        <v>25</v>
      </c>
      <c r="AH4333" s="95">
        <v>75</v>
      </c>
    </row>
    <row r="4334" spans="1:34" x14ac:dyDescent="0.3">
      <c r="A4334" s="89" t="str">
        <f>CONCATENATE(D4334,".",F4334,"-",G4334,".",H4334,"")</f>
        <v>5.5-1.1</v>
      </c>
      <c r="B4334" s="89" t="str">
        <f>IF(CONCATENATE(I4334,Key!F$2)=CONCATENATE(INDEX(Dashboard!J:J,MATCH(I4334,Dashboard!J:J,0),1),INDEX(Dashboard!J:K,MATCH(I4334,Dashboard!J:J,0),2)),"ON",IF(Dashboard!K$32="ALL","ON","-"))</f>
        <v>-</v>
      </c>
      <c r="C4334" s="88" t="s">
        <v>622</v>
      </c>
      <c r="D4334" s="89">
        <f>IF(C4334="ID",1,(IF(C4334="PR",2,(IF(C4334="DE",3,(IF(C4334="RS",4,(IF(C4334="RC",5,0)))))))))</f>
        <v>5</v>
      </c>
      <c r="E4334" s="89" t="s">
        <v>623</v>
      </c>
      <c r="F4334" s="89">
        <f>IF(E4334="AM",1,(IF(E4334="BE",2,(IF(E4334="GV",3,(IF(E4334="RA",4,(IF(E4334="RM",5,(IF(E4334="AC",1,(IF(E4334="AT",2,(IF(E4334="DS",3,(IF(E4334="IP",4,(IF(E4334="MA",5,(IF(E4334="PT",6,(IF(E4334="AE",1,(IF(E4334="CM",2,(IF(E4334="DP",3,(IF(E4334="AN",1,(IF(E4334="CO",2,(IF(E4334="IM",3,(IF(E4334="MI",4,(IF(E4334="RP",5,(IF(E4334="SC",6,0)))))))))))))))))))))))))))))))))))))))</f>
        <v>5</v>
      </c>
      <c r="G4334" s="52">
        <v>1</v>
      </c>
      <c r="H4334" s="90" t="s">
        <v>115</v>
      </c>
      <c r="I4334" s="94" t="s">
        <v>85</v>
      </c>
      <c r="J4334" s="87" t="s">
        <v>1946</v>
      </c>
      <c r="K4334" s="119" t="s">
        <v>4725</v>
      </c>
      <c r="L4334" s="117">
        <f>IF(O4334="","",N4334*O4334*M4334)</f>
        <v>0</v>
      </c>
      <c r="M4334" s="108">
        <v>1</v>
      </c>
      <c r="N4334" s="95">
        <v>1</v>
      </c>
      <c r="O4334" s="109">
        <f>IF(Key!D$1="ON",P4334,IF(SUM(Q4334:DL4334)&lt;1,"",SUM(Q4334:DL4334)/COUNTIF(Q4334:DL4334,"&gt;0")))</f>
        <v>0</v>
      </c>
      <c r="P4334" s="109">
        <f>SUMIFS(Q4334:DK4334,Q$1:DK$1,Dashboard!$K$31)</f>
        <v>0</v>
      </c>
      <c r="U4334" s="95">
        <v>33</v>
      </c>
      <c r="AA4334" s="95">
        <v>25</v>
      </c>
      <c r="AH4334" s="95">
        <v>75</v>
      </c>
    </row>
    <row r="4335" spans="1:34" x14ac:dyDescent="0.3">
      <c r="A4335" s="89" t="str">
        <f>CONCATENATE(D4335,".",F4335,"-",G4335,".",H4335,"")</f>
        <v>5.5-1.1</v>
      </c>
      <c r="B4335" s="89" t="str">
        <f>IF(CONCATENATE(I4335,Key!F$2)=CONCATENATE(INDEX(Dashboard!J:J,MATCH(I4335,Dashboard!J:J,0),1),INDEX(Dashboard!J:K,MATCH(I4335,Dashboard!J:J,0),2)),"ON",IF(Dashboard!K$32="ALL","ON","-"))</f>
        <v>-</v>
      </c>
      <c r="C4335" s="88" t="s">
        <v>622</v>
      </c>
      <c r="D4335" s="89">
        <f>IF(C4335="ID",1,(IF(C4335="PR",2,(IF(C4335="DE",3,(IF(C4335="RS",4,(IF(C4335="RC",5,0)))))))))</f>
        <v>5</v>
      </c>
      <c r="E4335" s="89" t="s">
        <v>623</v>
      </c>
      <c r="F4335" s="89">
        <f>IF(E4335="AM",1,(IF(E4335="BE",2,(IF(E4335="GV",3,(IF(E4335="RA",4,(IF(E4335="RM",5,(IF(E4335="AC",1,(IF(E4335="AT",2,(IF(E4335="DS",3,(IF(E4335="IP",4,(IF(E4335="MA",5,(IF(E4335="PT",6,(IF(E4335="AE",1,(IF(E4335="CM",2,(IF(E4335="DP",3,(IF(E4335="AN",1,(IF(E4335="CO",2,(IF(E4335="IM",3,(IF(E4335="MI",4,(IF(E4335="RP",5,(IF(E4335="SC",6,0)))))))))))))))))))))))))))))))))))))))</f>
        <v>5</v>
      </c>
      <c r="G4335" s="52">
        <v>1</v>
      </c>
      <c r="H4335" s="90" t="s">
        <v>115</v>
      </c>
      <c r="I4335" s="94" t="s">
        <v>85</v>
      </c>
      <c r="J4335" s="87" t="s">
        <v>1945</v>
      </c>
      <c r="K4335" s="119" t="s">
        <v>4724</v>
      </c>
      <c r="L4335" s="117">
        <f>IF(O4335="","",N4335*O4335*M4335)</f>
        <v>0</v>
      </c>
      <c r="M4335" s="108">
        <v>1</v>
      </c>
      <c r="N4335" s="95">
        <v>1</v>
      </c>
      <c r="O4335" s="109">
        <f>IF(Key!D$1="ON",P4335,IF(SUM(Q4335:DL4335)&lt;1,"",SUM(Q4335:DL4335)/COUNTIF(Q4335:DL4335,"&gt;0")))</f>
        <v>0</v>
      </c>
      <c r="P4335" s="109">
        <f>SUMIFS(Q4335:DK4335,Q$1:DK$1,Dashboard!$K$31)</f>
        <v>0</v>
      </c>
      <c r="U4335" s="95">
        <v>33</v>
      </c>
      <c r="AA4335" s="95">
        <v>25</v>
      </c>
      <c r="AH4335" s="95">
        <v>75</v>
      </c>
    </row>
    <row r="4336" spans="1:34" x14ac:dyDescent="0.3">
      <c r="A4336" s="89" t="str">
        <f>CONCATENATE(D4336,".",F4336,"-",G4336,".",H4336,"")</f>
        <v>5.5-1.1</v>
      </c>
      <c r="B4336" s="89" t="str">
        <f>IF(CONCATENATE(I4336,Key!F$2)=CONCATENATE(INDEX(Dashboard!J:J,MATCH(I4336,Dashboard!J:J,0),1),INDEX(Dashboard!J:K,MATCH(I4336,Dashboard!J:J,0),2)),"ON",IF(Dashboard!K$32="ALL","ON","-"))</f>
        <v>-</v>
      </c>
      <c r="C4336" s="88" t="s">
        <v>622</v>
      </c>
      <c r="D4336" s="89">
        <f>IF(C4336="ID",1,(IF(C4336="PR",2,(IF(C4336="DE",3,(IF(C4336="RS",4,(IF(C4336="RC",5,0)))))))))</f>
        <v>5</v>
      </c>
      <c r="E4336" s="89" t="s">
        <v>623</v>
      </c>
      <c r="F4336" s="89">
        <f>IF(E4336="AM",1,(IF(E4336="BE",2,(IF(E4336="GV",3,(IF(E4336="RA",4,(IF(E4336="RM",5,(IF(E4336="AC",1,(IF(E4336="AT",2,(IF(E4336="DS",3,(IF(E4336="IP",4,(IF(E4336="MA",5,(IF(E4336="PT",6,(IF(E4336="AE",1,(IF(E4336="CM",2,(IF(E4336="DP",3,(IF(E4336="AN",1,(IF(E4336="CO",2,(IF(E4336="IM",3,(IF(E4336="MI",4,(IF(E4336="RP",5,(IF(E4336="SC",6,0)))))))))))))))))))))))))))))))))))))))</f>
        <v>5</v>
      </c>
      <c r="G4336" s="52">
        <v>1</v>
      </c>
      <c r="H4336" s="90" t="s">
        <v>115</v>
      </c>
      <c r="I4336" s="94" t="s">
        <v>85</v>
      </c>
      <c r="J4336" s="87" t="s">
        <v>1937</v>
      </c>
      <c r="K4336" s="119" t="s">
        <v>1938</v>
      </c>
      <c r="L4336" s="117">
        <f>IF(O4336="","",N4336*O4336*M4336)</f>
        <v>0</v>
      </c>
      <c r="M4336" s="108">
        <v>1</v>
      </c>
      <c r="N4336" s="95">
        <v>1</v>
      </c>
      <c r="O4336" s="109">
        <f>IF(Key!D$1="ON",P4336,IF(SUM(Q4336:DL4336)&lt;1,"",SUM(Q4336:DL4336)/COUNTIF(Q4336:DL4336,"&gt;0")))</f>
        <v>0</v>
      </c>
      <c r="P4336" s="109">
        <f>SUMIFS(Q4336:DK4336,Q$1:DK$1,Dashboard!$K$31)</f>
        <v>0</v>
      </c>
      <c r="U4336" s="95">
        <v>33</v>
      </c>
      <c r="AA4336" s="95">
        <v>25</v>
      </c>
      <c r="AH4336" s="95">
        <v>75</v>
      </c>
    </row>
    <row r="4337" spans="1:34" x14ac:dyDescent="0.3">
      <c r="A4337" s="89" t="str">
        <f>CONCATENATE(D4337,".",F4337,"-",G4337,".",H4337,"")</f>
        <v>5.5-1.1</v>
      </c>
      <c r="B4337" s="89" t="str">
        <f>IF(CONCATENATE(I4337,Key!F$2)=CONCATENATE(INDEX(Dashboard!J:J,MATCH(I4337,Dashboard!J:J,0),1),INDEX(Dashboard!J:K,MATCH(I4337,Dashboard!J:J,0),2)),"ON",IF(Dashboard!K$32="ALL","ON","-"))</f>
        <v>-</v>
      </c>
      <c r="C4337" s="88" t="s">
        <v>622</v>
      </c>
      <c r="D4337" s="89">
        <f>IF(C4337="ID",1,(IF(C4337="PR",2,(IF(C4337="DE",3,(IF(C4337="RS",4,(IF(C4337="RC",5,0)))))))))</f>
        <v>5</v>
      </c>
      <c r="E4337" s="89" t="s">
        <v>623</v>
      </c>
      <c r="F4337" s="89">
        <f>IF(E4337="AM",1,(IF(E4337="BE",2,(IF(E4337="GV",3,(IF(E4337="RA",4,(IF(E4337="RM",5,(IF(E4337="AC",1,(IF(E4337="AT",2,(IF(E4337="DS",3,(IF(E4337="IP",4,(IF(E4337="MA",5,(IF(E4337="PT",6,(IF(E4337="AE",1,(IF(E4337="CM",2,(IF(E4337="DP",3,(IF(E4337="AN",1,(IF(E4337="CO",2,(IF(E4337="IM",3,(IF(E4337="MI",4,(IF(E4337="RP",5,(IF(E4337="SC",6,0)))))))))))))))))))))))))))))))))))))))</f>
        <v>5</v>
      </c>
      <c r="G4337" s="52">
        <v>1</v>
      </c>
      <c r="H4337" s="90" t="s">
        <v>115</v>
      </c>
      <c r="I4337" s="94" t="s">
        <v>85</v>
      </c>
      <c r="J4337" s="87" t="s">
        <v>1943</v>
      </c>
      <c r="K4337" s="119" t="s">
        <v>4721</v>
      </c>
      <c r="L4337" s="117">
        <f>IF(O4337="","",N4337*O4337*M4337)</f>
        <v>0</v>
      </c>
      <c r="M4337" s="108">
        <v>1</v>
      </c>
      <c r="N4337" s="95">
        <v>1</v>
      </c>
      <c r="O4337" s="109">
        <f>IF(Key!D$1="ON",P4337,IF(SUM(Q4337:DL4337)&lt;1,"",SUM(Q4337:DL4337)/COUNTIF(Q4337:DL4337,"&gt;0")))</f>
        <v>0</v>
      </c>
      <c r="P4337" s="109">
        <f>SUMIFS(Q4337:DK4337,Q$1:DK$1,Dashboard!$K$31)</f>
        <v>0</v>
      </c>
      <c r="U4337" s="95">
        <v>33</v>
      </c>
      <c r="AA4337" s="95">
        <v>25</v>
      </c>
      <c r="AH4337" s="95">
        <v>75</v>
      </c>
    </row>
    <row r="4338" spans="1:34" ht="15.6" x14ac:dyDescent="0.3">
      <c r="A4338" s="89" t="str">
        <f>CONCATENATE(D4338,".",F4338,"-",G4338,".",H4338,"")</f>
        <v>5.5-1.1</v>
      </c>
      <c r="B4338" s="89" t="str">
        <f>IF(CONCATENATE(I4338,Key!F$2)=CONCATENATE(INDEX(Dashboard!J:J,MATCH(I4338,Dashboard!J:J,0),1),INDEX(Dashboard!J:K,MATCH(I4338,Dashboard!J:J,0),2)),"ON",IF(Dashboard!K$32="ALL","ON","-"))</f>
        <v>-</v>
      </c>
      <c r="C4338" s="96" t="s">
        <v>622</v>
      </c>
      <c r="D4338" s="89">
        <f>IF(C4338="ID",1,(IF(C4338="PR",2,(IF(C4338="DE",3,(IF(C4338="RS",4,(IF(C4338="RC",5,0)))))))))</f>
        <v>5</v>
      </c>
      <c r="E4338" s="89" t="s">
        <v>623</v>
      </c>
      <c r="F4338" s="89">
        <f>IF(E4338="AM",1,(IF(E4338="BE",2,(IF(E4338="GV",3,(IF(E4338="RA",4,(IF(E4338="RM",5,(IF(E4338="AC",1,(IF(E4338="AT",2,(IF(E4338="DS",3,(IF(E4338="IP",4,(IF(E4338="MA",5,(IF(E4338="PT",6,(IF(E4338="AE",1,(IF(E4338="CM",2,(IF(E4338="DP",3,(IF(E4338="AN",1,(IF(E4338="CO",2,(IF(E4338="IM",3,(IF(E4338="MI",4,(IF(E4338="RP",5,(IF(E4338="SC",6,0)))))))))))))))))))))))))))))))))))))))</f>
        <v>5</v>
      </c>
      <c r="G4338" s="52">
        <v>1</v>
      </c>
      <c r="H4338" s="90" t="s">
        <v>115</v>
      </c>
      <c r="I4338" s="94" t="s">
        <v>89</v>
      </c>
      <c r="J4338" s="88" t="s">
        <v>624</v>
      </c>
      <c r="K4338" s="102" t="s">
        <v>625</v>
      </c>
      <c r="L4338" s="117">
        <f>IF(O4338="","",N4338*O4338*M4338)</f>
        <v>0</v>
      </c>
      <c r="M4338" s="108">
        <v>1</v>
      </c>
      <c r="N4338" s="95">
        <v>1</v>
      </c>
      <c r="O4338" s="109">
        <f>IF(Key!D$1="ON",P4338,IF(SUM(Q4338:DL4338)&lt;1,"",SUM(Q4338:DL4338)/COUNTIF(Q4338:DL4338,"&gt;0")))</f>
        <v>0</v>
      </c>
      <c r="P4338" s="109">
        <f>SUMIFS(Q4338:DK4338,Q$1:DK$1,Dashboard!$K$31)</f>
        <v>0</v>
      </c>
      <c r="U4338" s="95">
        <v>33</v>
      </c>
      <c r="AA4338" s="95">
        <v>25</v>
      </c>
      <c r="AH4338" s="95">
        <v>75</v>
      </c>
    </row>
  </sheetData>
  <autoFilter ref="A1:DL4338" xr:uid="{0E2E0A92-A045-44D4-9438-50A2677D4B6C}">
    <sortState xmlns:xlrd2="http://schemas.microsoft.com/office/spreadsheetml/2017/richdata2" ref="A2:DL4338">
      <sortCondition ref="A1:A4338"/>
    </sortState>
  </autoFilter>
  <sortState xmlns:xlrd2="http://schemas.microsoft.com/office/spreadsheetml/2017/richdata2" ref="I3995:K4338">
    <sortCondition ref="I3995:I4338"/>
  </sortState>
  <phoneticPr fontId="25" type="noConversion"/>
  <conditionalFormatting sqref="L191">
    <cfRule type="colorScale" priority="201">
      <colorScale>
        <cfvo type="min"/>
        <cfvo type="percentile" val="50"/>
        <cfvo type="max"/>
        <color rgb="FFF8696B"/>
        <color rgb="FFFFEB84"/>
        <color rgb="FF63BE7B"/>
      </colorScale>
    </cfRule>
  </conditionalFormatting>
  <conditionalFormatting sqref="L191">
    <cfRule type="colorScale" priority="202">
      <colorScale>
        <cfvo type="min"/>
        <cfvo type="percentile" val="50"/>
        <cfvo type="max"/>
        <color rgb="FFF8696B"/>
        <color rgb="FFFFEB84"/>
        <color rgb="FF63BE7B"/>
      </colorScale>
    </cfRule>
  </conditionalFormatting>
  <conditionalFormatting sqref="L193">
    <cfRule type="colorScale" priority="199">
      <colorScale>
        <cfvo type="min"/>
        <cfvo type="percentile" val="50"/>
        <cfvo type="max"/>
        <color rgb="FFF8696B"/>
        <color rgb="FFFFEB84"/>
        <color rgb="FF63BE7B"/>
      </colorScale>
    </cfRule>
  </conditionalFormatting>
  <conditionalFormatting sqref="L193">
    <cfRule type="colorScale" priority="200">
      <colorScale>
        <cfvo type="min"/>
        <cfvo type="percentile" val="50"/>
        <cfvo type="max"/>
        <color rgb="FFF8696B"/>
        <color rgb="FFFFEB84"/>
        <color rgb="FF63BE7B"/>
      </colorScale>
    </cfRule>
  </conditionalFormatting>
  <conditionalFormatting sqref="L303:L307">
    <cfRule type="colorScale" priority="193">
      <colorScale>
        <cfvo type="min"/>
        <cfvo type="percentile" val="50"/>
        <cfvo type="max"/>
        <color rgb="FFF8696B"/>
        <color rgb="FFFFEB84"/>
        <color rgb="FF63BE7B"/>
      </colorScale>
    </cfRule>
  </conditionalFormatting>
  <conditionalFormatting sqref="L303:L307">
    <cfRule type="colorScale" priority="194">
      <colorScale>
        <cfvo type="min"/>
        <cfvo type="percentile" val="50"/>
        <cfvo type="max"/>
        <color rgb="FFF8696B"/>
        <color rgb="FFFFEB84"/>
        <color rgb="FF63BE7B"/>
      </colorScale>
    </cfRule>
  </conditionalFormatting>
  <conditionalFormatting sqref="L315:L328">
    <cfRule type="colorScale" priority="191">
      <colorScale>
        <cfvo type="min"/>
        <cfvo type="percentile" val="50"/>
        <cfvo type="max"/>
        <color rgb="FFF8696B"/>
        <color rgb="FFFFEB84"/>
        <color rgb="FF63BE7B"/>
      </colorScale>
    </cfRule>
  </conditionalFormatting>
  <conditionalFormatting sqref="L315:L328">
    <cfRule type="colorScale" priority="192">
      <colorScale>
        <cfvo type="min"/>
        <cfvo type="percentile" val="50"/>
        <cfvo type="max"/>
        <color rgb="FFF8696B"/>
        <color rgb="FFFFEB84"/>
        <color rgb="FF63BE7B"/>
      </colorScale>
    </cfRule>
  </conditionalFormatting>
  <conditionalFormatting sqref="L362:L370">
    <cfRule type="colorScale" priority="189">
      <colorScale>
        <cfvo type="min"/>
        <cfvo type="percentile" val="50"/>
        <cfvo type="max"/>
        <color rgb="FFF8696B"/>
        <color rgb="FFFFEB84"/>
        <color rgb="FF63BE7B"/>
      </colorScale>
    </cfRule>
  </conditionalFormatting>
  <conditionalFormatting sqref="L362:L370">
    <cfRule type="colorScale" priority="190">
      <colorScale>
        <cfvo type="min"/>
        <cfvo type="percentile" val="50"/>
        <cfvo type="max"/>
        <color rgb="FFF8696B"/>
        <color rgb="FFFFEB84"/>
        <color rgb="FF63BE7B"/>
      </colorScale>
    </cfRule>
  </conditionalFormatting>
  <conditionalFormatting sqref="L406:L415">
    <cfRule type="colorScale" priority="187">
      <colorScale>
        <cfvo type="min"/>
        <cfvo type="percentile" val="50"/>
        <cfvo type="max"/>
        <color rgb="FFF8696B"/>
        <color rgb="FFFFEB84"/>
        <color rgb="FF63BE7B"/>
      </colorScale>
    </cfRule>
  </conditionalFormatting>
  <conditionalFormatting sqref="L406:L415">
    <cfRule type="colorScale" priority="188">
      <colorScale>
        <cfvo type="min"/>
        <cfvo type="percentile" val="50"/>
        <cfvo type="max"/>
        <color rgb="FFF8696B"/>
        <color rgb="FFFFEB84"/>
        <color rgb="FF63BE7B"/>
      </colorScale>
    </cfRule>
  </conditionalFormatting>
  <conditionalFormatting sqref="L439:L442">
    <cfRule type="colorScale" priority="185">
      <colorScale>
        <cfvo type="min"/>
        <cfvo type="percentile" val="50"/>
        <cfvo type="max"/>
        <color rgb="FFF8696B"/>
        <color rgb="FFFFEB84"/>
        <color rgb="FF63BE7B"/>
      </colorScale>
    </cfRule>
  </conditionalFormatting>
  <conditionalFormatting sqref="L439:L442">
    <cfRule type="colorScale" priority="186">
      <colorScale>
        <cfvo type="min"/>
        <cfvo type="percentile" val="50"/>
        <cfvo type="max"/>
        <color rgb="FFF8696B"/>
        <color rgb="FFFFEB84"/>
        <color rgb="FF63BE7B"/>
      </colorScale>
    </cfRule>
  </conditionalFormatting>
  <conditionalFormatting sqref="L482">
    <cfRule type="colorScale" priority="183">
      <colorScale>
        <cfvo type="min"/>
        <cfvo type="percentile" val="50"/>
        <cfvo type="max"/>
        <color rgb="FFF8696B"/>
        <color rgb="FFFFEB84"/>
        <color rgb="FF63BE7B"/>
      </colorScale>
    </cfRule>
  </conditionalFormatting>
  <conditionalFormatting sqref="L482">
    <cfRule type="colorScale" priority="184">
      <colorScale>
        <cfvo type="min"/>
        <cfvo type="percentile" val="50"/>
        <cfvo type="max"/>
        <color rgb="FFF8696B"/>
        <color rgb="FFFFEB84"/>
        <color rgb="FF63BE7B"/>
      </colorScale>
    </cfRule>
  </conditionalFormatting>
  <conditionalFormatting sqref="L487:L488">
    <cfRule type="colorScale" priority="181">
      <colorScale>
        <cfvo type="min"/>
        <cfvo type="percentile" val="50"/>
        <cfvo type="max"/>
        <color rgb="FFF8696B"/>
        <color rgb="FFFFEB84"/>
        <color rgb="FF63BE7B"/>
      </colorScale>
    </cfRule>
  </conditionalFormatting>
  <conditionalFormatting sqref="L487:L488">
    <cfRule type="colorScale" priority="182">
      <colorScale>
        <cfvo type="min"/>
        <cfvo type="percentile" val="50"/>
        <cfvo type="max"/>
        <color rgb="FFF8696B"/>
        <color rgb="FFFFEB84"/>
        <color rgb="FF63BE7B"/>
      </colorScale>
    </cfRule>
  </conditionalFormatting>
  <conditionalFormatting sqref="L509:L510">
    <cfRule type="colorScale" priority="179">
      <colorScale>
        <cfvo type="min"/>
        <cfvo type="percentile" val="50"/>
        <cfvo type="max"/>
        <color rgb="FFF8696B"/>
        <color rgb="FFFFEB84"/>
        <color rgb="FF63BE7B"/>
      </colorScale>
    </cfRule>
  </conditionalFormatting>
  <conditionalFormatting sqref="L509:L510">
    <cfRule type="colorScale" priority="180">
      <colorScale>
        <cfvo type="min"/>
        <cfvo type="percentile" val="50"/>
        <cfvo type="max"/>
        <color rgb="FFF8696B"/>
        <color rgb="FFFFEB84"/>
        <color rgb="FF63BE7B"/>
      </colorScale>
    </cfRule>
  </conditionalFormatting>
  <conditionalFormatting sqref="L515:L516">
    <cfRule type="colorScale" priority="177">
      <colorScale>
        <cfvo type="min"/>
        <cfvo type="percentile" val="50"/>
        <cfvo type="max"/>
        <color rgb="FFF8696B"/>
        <color rgb="FFFFEB84"/>
        <color rgb="FF63BE7B"/>
      </colorScale>
    </cfRule>
  </conditionalFormatting>
  <conditionalFormatting sqref="L515:L516">
    <cfRule type="colorScale" priority="178">
      <colorScale>
        <cfvo type="min"/>
        <cfvo type="percentile" val="50"/>
        <cfvo type="max"/>
        <color rgb="FFF8696B"/>
        <color rgb="FFFFEB84"/>
        <color rgb="FF63BE7B"/>
      </colorScale>
    </cfRule>
  </conditionalFormatting>
  <conditionalFormatting sqref="L529:L531">
    <cfRule type="colorScale" priority="175">
      <colorScale>
        <cfvo type="min"/>
        <cfvo type="percentile" val="50"/>
        <cfvo type="max"/>
        <color rgb="FFF8696B"/>
        <color rgb="FFFFEB84"/>
        <color rgb="FF63BE7B"/>
      </colorScale>
    </cfRule>
  </conditionalFormatting>
  <conditionalFormatting sqref="L529:L531">
    <cfRule type="colorScale" priority="176">
      <colorScale>
        <cfvo type="min"/>
        <cfvo type="percentile" val="50"/>
        <cfvo type="max"/>
        <color rgb="FFF8696B"/>
        <color rgb="FFFFEB84"/>
        <color rgb="FF63BE7B"/>
      </colorScale>
    </cfRule>
  </conditionalFormatting>
  <conditionalFormatting sqref="L1043:L1053">
    <cfRule type="colorScale" priority="173">
      <colorScale>
        <cfvo type="min"/>
        <cfvo type="percentile" val="50"/>
        <cfvo type="max"/>
        <color rgb="FFF8696B"/>
        <color rgb="FFFFEB84"/>
        <color rgb="FF63BE7B"/>
      </colorScale>
    </cfRule>
  </conditionalFormatting>
  <conditionalFormatting sqref="L1043:L1053">
    <cfRule type="colorScale" priority="174">
      <colorScale>
        <cfvo type="min"/>
        <cfvo type="percentile" val="50"/>
        <cfvo type="max"/>
        <color rgb="FFF8696B"/>
        <color rgb="FFFFEB84"/>
        <color rgb="FF63BE7B"/>
      </colorScale>
    </cfRule>
  </conditionalFormatting>
  <conditionalFormatting sqref="L1093:L1096 L1091">
    <cfRule type="colorScale" priority="171">
      <colorScale>
        <cfvo type="min"/>
        <cfvo type="percentile" val="50"/>
        <cfvo type="max"/>
        <color rgb="FFF8696B"/>
        <color rgb="FFFFEB84"/>
        <color rgb="FF63BE7B"/>
      </colorScale>
    </cfRule>
  </conditionalFormatting>
  <conditionalFormatting sqref="L1093:L1096">
    <cfRule type="colorScale" priority="172">
      <colorScale>
        <cfvo type="min"/>
        <cfvo type="percentile" val="50"/>
        <cfvo type="max"/>
        <color rgb="FFF8696B"/>
        <color rgb="FFFFEB84"/>
        <color rgb="FF63BE7B"/>
      </colorScale>
    </cfRule>
  </conditionalFormatting>
  <conditionalFormatting sqref="L1231:L1234 L1236:L1238">
    <cfRule type="colorScale" priority="168">
      <colorScale>
        <cfvo type="min"/>
        <cfvo type="percentile" val="50"/>
        <cfvo type="max"/>
        <color rgb="FFF8696B"/>
        <color rgb="FFFFEB84"/>
        <color rgb="FF63BE7B"/>
      </colorScale>
    </cfRule>
  </conditionalFormatting>
  <conditionalFormatting sqref="L1248:L1262">
    <cfRule type="colorScale" priority="167">
      <colorScale>
        <cfvo type="min"/>
        <cfvo type="percentile" val="50"/>
        <cfvo type="max"/>
        <color rgb="FFF8696B"/>
        <color rgb="FFFFEB84"/>
        <color rgb="FF63BE7B"/>
      </colorScale>
    </cfRule>
  </conditionalFormatting>
  <conditionalFormatting sqref="L1283:L1287">
    <cfRule type="colorScale" priority="166">
      <colorScale>
        <cfvo type="min"/>
        <cfvo type="percentile" val="50"/>
        <cfvo type="max"/>
        <color rgb="FFF8696B"/>
        <color rgb="FFFFEB84"/>
        <color rgb="FF63BE7B"/>
      </colorScale>
    </cfRule>
  </conditionalFormatting>
  <conditionalFormatting sqref="L1429:L1430">
    <cfRule type="colorScale" priority="165">
      <colorScale>
        <cfvo type="min"/>
        <cfvo type="percentile" val="50"/>
        <cfvo type="max"/>
        <color rgb="FFF8696B"/>
        <color rgb="FFFFEB84"/>
        <color rgb="FF63BE7B"/>
      </colorScale>
    </cfRule>
  </conditionalFormatting>
  <conditionalFormatting sqref="L1511">
    <cfRule type="colorScale" priority="164">
      <colorScale>
        <cfvo type="min"/>
        <cfvo type="percentile" val="50"/>
        <cfvo type="max"/>
        <color rgb="FFF8696B"/>
        <color rgb="FFFFEB84"/>
        <color rgb="FF63BE7B"/>
      </colorScale>
    </cfRule>
  </conditionalFormatting>
  <conditionalFormatting sqref="L1774:L1776">
    <cfRule type="colorScale" priority="162">
      <colorScale>
        <cfvo type="min"/>
        <cfvo type="percentile" val="50"/>
        <cfvo type="max"/>
        <color rgb="FFF8696B"/>
        <color rgb="FFFFEB84"/>
        <color rgb="FF63BE7B"/>
      </colorScale>
    </cfRule>
  </conditionalFormatting>
  <conditionalFormatting sqref="L1846">
    <cfRule type="colorScale" priority="161">
      <colorScale>
        <cfvo type="min"/>
        <cfvo type="percentile" val="50"/>
        <cfvo type="max"/>
        <color rgb="FFF8696B"/>
        <color rgb="FFFFEB84"/>
        <color rgb="FF63BE7B"/>
      </colorScale>
    </cfRule>
  </conditionalFormatting>
  <conditionalFormatting sqref="L1892:L1895">
    <cfRule type="colorScale" priority="160">
      <colorScale>
        <cfvo type="min"/>
        <cfvo type="percentile" val="50"/>
        <cfvo type="max"/>
        <color rgb="FFF8696B"/>
        <color rgb="FFFFEB84"/>
        <color rgb="FF63BE7B"/>
      </colorScale>
    </cfRule>
  </conditionalFormatting>
  <conditionalFormatting sqref="L3222:L3223 L2912:L3062 L2548:L2758 L2536:L2546 L2525:L2534 L2519:L2522 L2494:L2497 L2499:L2503 L2505:L2510 L2513:L2517 L2123:L2364 L2386:L2492 L3066:L3182 L3184:L3220 L2366:L2384 L2760:L2910">
    <cfRule type="colorScale" priority="157">
      <colorScale>
        <cfvo type="min"/>
        <cfvo type="percentile" val="50"/>
        <cfvo type="max"/>
        <color rgb="FFF8696B"/>
        <color rgb="FFFFEB84"/>
        <color rgb="FF63BE7B"/>
      </colorScale>
    </cfRule>
  </conditionalFormatting>
  <conditionalFormatting sqref="L675">
    <cfRule type="colorScale" priority="155">
      <colorScale>
        <cfvo type="min"/>
        <cfvo type="percentile" val="50"/>
        <cfvo type="max"/>
        <color rgb="FFF8696B"/>
        <color rgb="FFFFEB84"/>
        <color rgb="FF63BE7B"/>
      </colorScale>
    </cfRule>
  </conditionalFormatting>
  <conditionalFormatting sqref="L675">
    <cfRule type="colorScale" priority="156">
      <colorScale>
        <cfvo type="min"/>
        <cfvo type="percentile" val="50"/>
        <cfvo type="max"/>
        <color rgb="FFF8696B"/>
        <color rgb="FFFFEB84"/>
        <color rgb="FF63BE7B"/>
      </colorScale>
    </cfRule>
  </conditionalFormatting>
  <conditionalFormatting sqref="L2911">
    <cfRule type="colorScale" priority="154">
      <colorScale>
        <cfvo type="min"/>
        <cfvo type="percentile" val="50"/>
        <cfvo type="max"/>
        <color rgb="FFF8696B"/>
        <color rgb="FFFFEB84"/>
        <color rgb="FF63BE7B"/>
      </colorScale>
    </cfRule>
  </conditionalFormatting>
  <conditionalFormatting sqref="L1109">
    <cfRule type="colorScale" priority="152">
      <colorScale>
        <cfvo type="min"/>
        <cfvo type="percentile" val="50"/>
        <cfvo type="max"/>
        <color rgb="FFF8696B"/>
        <color rgb="FFFFEB84"/>
        <color rgb="FF63BE7B"/>
      </colorScale>
    </cfRule>
  </conditionalFormatting>
  <conditionalFormatting sqref="L1109">
    <cfRule type="colorScale" priority="153">
      <colorScale>
        <cfvo type="min"/>
        <cfvo type="percentile" val="50"/>
        <cfvo type="max"/>
        <color rgb="FFF8696B"/>
        <color rgb="FFFFEB84"/>
        <color rgb="FF63BE7B"/>
      </colorScale>
    </cfRule>
  </conditionalFormatting>
  <conditionalFormatting sqref="L687">
    <cfRule type="colorScale" priority="150">
      <colorScale>
        <cfvo type="min"/>
        <cfvo type="percentile" val="50"/>
        <cfvo type="max"/>
        <color rgb="FFF8696B"/>
        <color rgb="FFFFEB84"/>
        <color rgb="FF63BE7B"/>
      </colorScale>
    </cfRule>
  </conditionalFormatting>
  <conditionalFormatting sqref="L687">
    <cfRule type="colorScale" priority="151">
      <colorScale>
        <cfvo type="min"/>
        <cfvo type="percentile" val="50"/>
        <cfvo type="max"/>
        <color rgb="FFF8696B"/>
        <color rgb="FFFFEB84"/>
        <color rgb="FF63BE7B"/>
      </colorScale>
    </cfRule>
  </conditionalFormatting>
  <conditionalFormatting sqref="L686">
    <cfRule type="colorScale" priority="148">
      <colorScale>
        <cfvo type="min"/>
        <cfvo type="percentile" val="50"/>
        <cfvo type="max"/>
        <color rgb="FFF8696B"/>
        <color rgb="FFFFEB84"/>
        <color rgb="FF63BE7B"/>
      </colorScale>
    </cfRule>
  </conditionalFormatting>
  <conditionalFormatting sqref="L686">
    <cfRule type="colorScale" priority="149">
      <colorScale>
        <cfvo type="min"/>
        <cfvo type="percentile" val="50"/>
        <cfvo type="max"/>
        <color rgb="FFF8696B"/>
        <color rgb="FFFFEB84"/>
        <color rgb="FF63BE7B"/>
      </colorScale>
    </cfRule>
  </conditionalFormatting>
  <conditionalFormatting sqref="L701">
    <cfRule type="colorScale" priority="146">
      <colorScale>
        <cfvo type="min"/>
        <cfvo type="percentile" val="50"/>
        <cfvo type="max"/>
        <color rgb="FFF8696B"/>
        <color rgb="FFFFEB84"/>
        <color rgb="FF63BE7B"/>
      </colorScale>
    </cfRule>
  </conditionalFormatting>
  <conditionalFormatting sqref="L701">
    <cfRule type="colorScale" priority="147">
      <colorScale>
        <cfvo type="min"/>
        <cfvo type="percentile" val="50"/>
        <cfvo type="max"/>
        <color rgb="FFF8696B"/>
        <color rgb="FFFFEB84"/>
        <color rgb="FF63BE7B"/>
      </colorScale>
    </cfRule>
  </conditionalFormatting>
  <conditionalFormatting sqref="L700">
    <cfRule type="colorScale" priority="144">
      <colorScale>
        <cfvo type="min"/>
        <cfvo type="percentile" val="50"/>
        <cfvo type="max"/>
        <color rgb="FFF8696B"/>
        <color rgb="FFFFEB84"/>
        <color rgb="FF63BE7B"/>
      </colorScale>
    </cfRule>
  </conditionalFormatting>
  <conditionalFormatting sqref="L700">
    <cfRule type="colorScale" priority="145">
      <colorScale>
        <cfvo type="min"/>
        <cfvo type="percentile" val="50"/>
        <cfvo type="max"/>
        <color rgb="FFF8696B"/>
        <color rgb="FFFFEB84"/>
        <color rgb="FF63BE7B"/>
      </colorScale>
    </cfRule>
  </conditionalFormatting>
  <conditionalFormatting sqref="L705">
    <cfRule type="colorScale" priority="142">
      <colorScale>
        <cfvo type="min"/>
        <cfvo type="percentile" val="50"/>
        <cfvo type="max"/>
        <color rgb="FFF8696B"/>
        <color rgb="FFFFEB84"/>
        <color rgb="FF63BE7B"/>
      </colorScale>
    </cfRule>
  </conditionalFormatting>
  <conditionalFormatting sqref="L705">
    <cfRule type="colorScale" priority="143">
      <colorScale>
        <cfvo type="min"/>
        <cfvo type="percentile" val="50"/>
        <cfvo type="max"/>
        <color rgb="FFF8696B"/>
        <color rgb="FFFFEB84"/>
        <color rgb="FF63BE7B"/>
      </colorScale>
    </cfRule>
  </conditionalFormatting>
  <conditionalFormatting sqref="L719">
    <cfRule type="colorScale" priority="140">
      <colorScale>
        <cfvo type="min"/>
        <cfvo type="percentile" val="50"/>
        <cfvo type="max"/>
        <color rgb="FFF8696B"/>
        <color rgb="FFFFEB84"/>
        <color rgb="FF63BE7B"/>
      </colorScale>
    </cfRule>
  </conditionalFormatting>
  <conditionalFormatting sqref="L719">
    <cfRule type="colorScale" priority="141">
      <colorScale>
        <cfvo type="min"/>
        <cfvo type="percentile" val="50"/>
        <cfvo type="max"/>
        <color rgb="FFF8696B"/>
        <color rgb="FFFFEB84"/>
        <color rgb="FF63BE7B"/>
      </colorScale>
    </cfRule>
  </conditionalFormatting>
  <conditionalFormatting sqref="L718">
    <cfRule type="colorScale" priority="138">
      <colorScale>
        <cfvo type="min"/>
        <cfvo type="percentile" val="50"/>
        <cfvo type="max"/>
        <color rgb="FFF8696B"/>
        <color rgb="FFFFEB84"/>
        <color rgb="FF63BE7B"/>
      </colorScale>
    </cfRule>
  </conditionalFormatting>
  <conditionalFormatting sqref="L718">
    <cfRule type="colorScale" priority="139">
      <colorScale>
        <cfvo type="min"/>
        <cfvo type="percentile" val="50"/>
        <cfvo type="max"/>
        <color rgb="FFF8696B"/>
        <color rgb="FFFFEB84"/>
        <color rgb="FF63BE7B"/>
      </colorScale>
    </cfRule>
  </conditionalFormatting>
  <conditionalFormatting sqref="L717">
    <cfRule type="colorScale" priority="136">
      <colorScale>
        <cfvo type="min"/>
        <cfvo type="percentile" val="50"/>
        <cfvo type="max"/>
        <color rgb="FFF8696B"/>
        <color rgb="FFFFEB84"/>
        <color rgb="FF63BE7B"/>
      </colorScale>
    </cfRule>
  </conditionalFormatting>
  <conditionalFormatting sqref="L717">
    <cfRule type="colorScale" priority="137">
      <colorScale>
        <cfvo type="min"/>
        <cfvo type="percentile" val="50"/>
        <cfvo type="max"/>
        <color rgb="FFF8696B"/>
        <color rgb="FFFFEB84"/>
        <color rgb="FF63BE7B"/>
      </colorScale>
    </cfRule>
  </conditionalFormatting>
  <conditionalFormatting sqref="L742">
    <cfRule type="colorScale" priority="134">
      <colorScale>
        <cfvo type="min"/>
        <cfvo type="percentile" val="50"/>
        <cfvo type="max"/>
        <color rgb="FFF8696B"/>
        <color rgb="FFFFEB84"/>
        <color rgb="FF63BE7B"/>
      </colorScale>
    </cfRule>
  </conditionalFormatting>
  <conditionalFormatting sqref="L742">
    <cfRule type="colorScale" priority="135">
      <colorScale>
        <cfvo type="min"/>
        <cfvo type="percentile" val="50"/>
        <cfvo type="max"/>
        <color rgb="FFF8696B"/>
        <color rgb="FFFFEB84"/>
        <color rgb="FF63BE7B"/>
      </colorScale>
    </cfRule>
  </conditionalFormatting>
  <conditionalFormatting sqref="L772">
    <cfRule type="colorScale" priority="132">
      <colorScale>
        <cfvo type="min"/>
        <cfvo type="percentile" val="50"/>
        <cfvo type="max"/>
        <color rgb="FFF8696B"/>
        <color rgb="FFFFEB84"/>
        <color rgb="FF63BE7B"/>
      </colorScale>
    </cfRule>
  </conditionalFormatting>
  <conditionalFormatting sqref="L772">
    <cfRule type="colorScale" priority="133">
      <colorScale>
        <cfvo type="min"/>
        <cfvo type="percentile" val="50"/>
        <cfvo type="max"/>
        <color rgb="FFF8696B"/>
        <color rgb="FFFFEB84"/>
        <color rgb="FF63BE7B"/>
      </colorScale>
    </cfRule>
  </conditionalFormatting>
  <conditionalFormatting sqref="L783">
    <cfRule type="colorScale" priority="130">
      <colorScale>
        <cfvo type="min"/>
        <cfvo type="percentile" val="50"/>
        <cfvo type="max"/>
        <color rgb="FFF8696B"/>
        <color rgb="FFFFEB84"/>
        <color rgb="FF63BE7B"/>
      </colorScale>
    </cfRule>
  </conditionalFormatting>
  <conditionalFormatting sqref="L783">
    <cfRule type="colorScale" priority="131">
      <colorScale>
        <cfvo type="min"/>
        <cfvo type="percentile" val="50"/>
        <cfvo type="max"/>
        <color rgb="FFF8696B"/>
        <color rgb="FFFFEB84"/>
        <color rgb="FF63BE7B"/>
      </colorScale>
    </cfRule>
  </conditionalFormatting>
  <conditionalFormatting sqref="L797">
    <cfRule type="colorScale" priority="128">
      <colorScale>
        <cfvo type="min"/>
        <cfvo type="percentile" val="50"/>
        <cfvo type="max"/>
        <color rgb="FFF8696B"/>
        <color rgb="FFFFEB84"/>
        <color rgb="FF63BE7B"/>
      </colorScale>
    </cfRule>
  </conditionalFormatting>
  <conditionalFormatting sqref="L797">
    <cfRule type="colorScale" priority="129">
      <colorScale>
        <cfvo type="min"/>
        <cfvo type="percentile" val="50"/>
        <cfvo type="max"/>
        <color rgb="FFF8696B"/>
        <color rgb="FFFFEB84"/>
        <color rgb="FF63BE7B"/>
      </colorScale>
    </cfRule>
  </conditionalFormatting>
  <conditionalFormatting sqref="L838">
    <cfRule type="colorScale" priority="126">
      <colorScale>
        <cfvo type="min"/>
        <cfvo type="percentile" val="50"/>
        <cfvo type="max"/>
        <color rgb="FFF8696B"/>
        <color rgb="FFFFEB84"/>
        <color rgb="FF63BE7B"/>
      </colorScale>
    </cfRule>
  </conditionalFormatting>
  <conditionalFormatting sqref="L838">
    <cfRule type="colorScale" priority="127">
      <colorScale>
        <cfvo type="min"/>
        <cfvo type="percentile" val="50"/>
        <cfvo type="max"/>
        <color rgb="FFF8696B"/>
        <color rgb="FFFFEB84"/>
        <color rgb="FF63BE7B"/>
      </colorScale>
    </cfRule>
  </conditionalFormatting>
  <conditionalFormatting sqref="L1087">
    <cfRule type="colorScale" priority="124">
      <colorScale>
        <cfvo type="min"/>
        <cfvo type="percentile" val="50"/>
        <cfvo type="max"/>
        <color rgb="FFF8696B"/>
        <color rgb="FFFFEB84"/>
        <color rgb="FF63BE7B"/>
      </colorScale>
    </cfRule>
  </conditionalFormatting>
  <conditionalFormatting sqref="L1087">
    <cfRule type="colorScale" priority="125">
      <colorScale>
        <cfvo type="min"/>
        <cfvo type="percentile" val="50"/>
        <cfvo type="max"/>
        <color rgb="FFF8696B"/>
        <color rgb="FFFFEB84"/>
        <color rgb="FF63BE7B"/>
      </colorScale>
    </cfRule>
  </conditionalFormatting>
  <conditionalFormatting sqref="L1092">
    <cfRule type="colorScale" priority="122">
      <colorScale>
        <cfvo type="min"/>
        <cfvo type="percentile" val="50"/>
        <cfvo type="max"/>
        <color rgb="FFF8696B"/>
        <color rgb="FFFFEB84"/>
        <color rgb="FF63BE7B"/>
      </colorScale>
    </cfRule>
  </conditionalFormatting>
  <conditionalFormatting sqref="L1092">
    <cfRule type="colorScale" priority="123">
      <colorScale>
        <cfvo type="min"/>
        <cfvo type="percentile" val="50"/>
        <cfvo type="max"/>
        <color rgb="FFF8696B"/>
        <color rgb="FFFFEB84"/>
        <color rgb="FF63BE7B"/>
      </colorScale>
    </cfRule>
  </conditionalFormatting>
  <conditionalFormatting sqref="L1138">
    <cfRule type="colorScale" priority="116">
      <colorScale>
        <cfvo type="min"/>
        <cfvo type="percentile" val="50"/>
        <cfvo type="max"/>
        <color rgb="FFF8696B"/>
        <color rgb="FFFFEB84"/>
        <color rgb="FF63BE7B"/>
      </colorScale>
    </cfRule>
  </conditionalFormatting>
  <conditionalFormatting sqref="L1138">
    <cfRule type="colorScale" priority="117">
      <colorScale>
        <cfvo type="min"/>
        <cfvo type="percentile" val="50"/>
        <cfvo type="max"/>
        <color rgb="FFF8696B"/>
        <color rgb="FFFFEB84"/>
        <color rgb="FF63BE7B"/>
      </colorScale>
    </cfRule>
  </conditionalFormatting>
  <conditionalFormatting sqref="L1472">
    <cfRule type="colorScale" priority="115">
      <colorScale>
        <cfvo type="min"/>
        <cfvo type="percentile" val="50"/>
        <cfvo type="max"/>
        <color rgb="FFF8696B"/>
        <color rgb="FFFFEB84"/>
        <color rgb="FF63BE7B"/>
      </colorScale>
    </cfRule>
  </conditionalFormatting>
  <conditionalFormatting sqref="L1478">
    <cfRule type="colorScale" priority="114">
      <colorScale>
        <cfvo type="min"/>
        <cfvo type="percentile" val="50"/>
        <cfvo type="max"/>
        <color rgb="FFF8696B"/>
        <color rgb="FFFFEB84"/>
        <color rgb="FF63BE7B"/>
      </colorScale>
    </cfRule>
  </conditionalFormatting>
  <conditionalFormatting sqref="L1477">
    <cfRule type="colorScale" priority="113">
      <colorScale>
        <cfvo type="min"/>
        <cfvo type="percentile" val="50"/>
        <cfvo type="max"/>
        <color rgb="FFF8696B"/>
        <color rgb="FFFFEB84"/>
        <color rgb="FF63BE7B"/>
      </colorScale>
    </cfRule>
  </conditionalFormatting>
  <conditionalFormatting sqref="L1482">
    <cfRule type="colorScale" priority="112">
      <colorScale>
        <cfvo type="min"/>
        <cfvo type="percentile" val="50"/>
        <cfvo type="max"/>
        <color rgb="FFF8696B"/>
        <color rgb="FFFFEB84"/>
        <color rgb="FF63BE7B"/>
      </colorScale>
    </cfRule>
  </conditionalFormatting>
  <conditionalFormatting sqref="L1488">
    <cfRule type="colorScale" priority="111">
      <colorScale>
        <cfvo type="min"/>
        <cfvo type="percentile" val="50"/>
        <cfvo type="max"/>
        <color rgb="FFF8696B"/>
        <color rgb="FFFFEB84"/>
        <color rgb="FF63BE7B"/>
      </colorScale>
    </cfRule>
  </conditionalFormatting>
  <conditionalFormatting sqref="L1494">
    <cfRule type="colorScale" priority="110">
      <colorScale>
        <cfvo type="min"/>
        <cfvo type="percentile" val="50"/>
        <cfvo type="max"/>
        <color rgb="FFF8696B"/>
        <color rgb="FFFFEB84"/>
        <color rgb="FF63BE7B"/>
      </colorScale>
    </cfRule>
  </conditionalFormatting>
  <conditionalFormatting sqref="L1498">
    <cfRule type="colorScale" priority="109">
      <colorScale>
        <cfvo type="min"/>
        <cfvo type="percentile" val="50"/>
        <cfvo type="max"/>
        <color rgb="FFF8696B"/>
        <color rgb="FFFFEB84"/>
        <color rgb="FF63BE7B"/>
      </colorScale>
    </cfRule>
  </conditionalFormatting>
  <conditionalFormatting sqref="L1505:L1506">
    <cfRule type="colorScale" priority="210">
      <colorScale>
        <cfvo type="min"/>
        <cfvo type="percentile" val="50"/>
        <cfvo type="max"/>
        <color rgb="FFF8696B"/>
        <color rgb="FFFFEB84"/>
        <color rgb="FF63BE7B"/>
      </colorScale>
    </cfRule>
  </conditionalFormatting>
  <conditionalFormatting sqref="L1548">
    <cfRule type="colorScale" priority="108">
      <colorScale>
        <cfvo type="min"/>
        <cfvo type="percentile" val="50"/>
        <cfvo type="max"/>
        <color rgb="FFF8696B"/>
        <color rgb="FFFFEB84"/>
        <color rgb="FF63BE7B"/>
      </colorScale>
    </cfRule>
  </conditionalFormatting>
  <conditionalFormatting sqref="L1564:L1565">
    <cfRule type="colorScale" priority="107">
      <colorScale>
        <cfvo type="min"/>
        <cfvo type="percentile" val="50"/>
        <cfvo type="max"/>
        <color rgb="FFF8696B"/>
        <color rgb="FFFFEB84"/>
        <color rgb="FF63BE7B"/>
      </colorScale>
    </cfRule>
  </conditionalFormatting>
  <conditionalFormatting sqref="L2547">
    <cfRule type="colorScale" priority="106">
      <colorScale>
        <cfvo type="min"/>
        <cfvo type="percentile" val="50"/>
        <cfvo type="max"/>
        <color rgb="FFF8696B"/>
        <color rgb="FFFFEB84"/>
        <color rgb="FF63BE7B"/>
      </colorScale>
    </cfRule>
  </conditionalFormatting>
  <conditionalFormatting sqref="L2535">
    <cfRule type="colorScale" priority="105">
      <colorScale>
        <cfvo type="min"/>
        <cfvo type="percentile" val="50"/>
        <cfvo type="max"/>
        <color rgb="FFF8696B"/>
        <color rgb="FFFFEB84"/>
        <color rgb="FF63BE7B"/>
      </colorScale>
    </cfRule>
  </conditionalFormatting>
  <conditionalFormatting sqref="L2523:L2524">
    <cfRule type="colorScale" priority="104">
      <colorScale>
        <cfvo type="min"/>
        <cfvo type="percentile" val="50"/>
        <cfvo type="max"/>
        <color rgb="FFF8696B"/>
        <color rgb="FFFFEB84"/>
        <color rgb="FF63BE7B"/>
      </colorScale>
    </cfRule>
  </conditionalFormatting>
  <conditionalFormatting sqref="L2518">
    <cfRule type="colorScale" priority="103">
      <colorScale>
        <cfvo type="min"/>
        <cfvo type="percentile" val="50"/>
        <cfvo type="max"/>
        <color rgb="FFF8696B"/>
        <color rgb="FFFFEB84"/>
        <color rgb="FF63BE7B"/>
      </colorScale>
    </cfRule>
  </conditionalFormatting>
  <conditionalFormatting sqref="L2493">
    <cfRule type="colorScale" priority="102">
      <colorScale>
        <cfvo type="min"/>
        <cfvo type="percentile" val="50"/>
        <cfvo type="max"/>
        <color rgb="FFF8696B"/>
        <color rgb="FFFFEB84"/>
        <color rgb="FF63BE7B"/>
      </colorScale>
    </cfRule>
  </conditionalFormatting>
  <conditionalFormatting sqref="L2498">
    <cfRule type="colorScale" priority="101">
      <colorScale>
        <cfvo type="min"/>
        <cfvo type="percentile" val="50"/>
        <cfvo type="max"/>
        <color rgb="FFF8696B"/>
        <color rgb="FFFFEB84"/>
        <color rgb="FF63BE7B"/>
      </colorScale>
    </cfRule>
  </conditionalFormatting>
  <conditionalFormatting sqref="L2504">
    <cfRule type="colorScale" priority="100">
      <colorScale>
        <cfvo type="min"/>
        <cfvo type="percentile" val="50"/>
        <cfvo type="max"/>
        <color rgb="FFF8696B"/>
        <color rgb="FFFFEB84"/>
        <color rgb="FF63BE7B"/>
      </colorScale>
    </cfRule>
  </conditionalFormatting>
  <conditionalFormatting sqref="L2512">
    <cfRule type="colorScale" priority="99">
      <colorScale>
        <cfvo type="min"/>
        <cfvo type="percentile" val="50"/>
        <cfvo type="max"/>
        <color rgb="FFF8696B"/>
        <color rgb="FFFFEB84"/>
        <color rgb="FF63BE7B"/>
      </colorScale>
    </cfRule>
  </conditionalFormatting>
  <conditionalFormatting sqref="L2511">
    <cfRule type="colorScale" priority="98">
      <colorScale>
        <cfvo type="min"/>
        <cfvo type="percentile" val="50"/>
        <cfvo type="max"/>
        <color rgb="FFF8696B"/>
        <color rgb="FFFFEB84"/>
        <color rgb="FF63BE7B"/>
      </colorScale>
    </cfRule>
  </conditionalFormatting>
  <conditionalFormatting sqref="L3221">
    <cfRule type="colorScale" priority="96">
      <colorScale>
        <cfvo type="min"/>
        <cfvo type="percentile" val="50"/>
        <cfvo type="max"/>
        <color rgb="FFF8696B"/>
        <color rgb="FFFFEB84"/>
        <color rgb="FF63BE7B"/>
      </colorScale>
    </cfRule>
  </conditionalFormatting>
  <conditionalFormatting sqref="L993">
    <cfRule type="colorScale" priority="90">
      <colorScale>
        <cfvo type="min"/>
        <cfvo type="percentile" val="50"/>
        <cfvo type="max"/>
        <color rgb="FFF8696B"/>
        <color rgb="FFFFEB84"/>
        <color rgb="FF63BE7B"/>
      </colorScale>
    </cfRule>
  </conditionalFormatting>
  <conditionalFormatting sqref="L993">
    <cfRule type="colorScale" priority="91">
      <colorScale>
        <cfvo type="min"/>
        <cfvo type="percentile" val="50"/>
        <cfvo type="max"/>
        <color rgb="FFF8696B"/>
        <color rgb="FFFFEB84"/>
        <color rgb="FF63BE7B"/>
      </colorScale>
    </cfRule>
  </conditionalFormatting>
  <conditionalFormatting sqref="L3224">
    <cfRule type="colorScale" priority="89">
      <colorScale>
        <cfvo type="min"/>
        <cfvo type="percentile" val="50"/>
        <cfvo type="max"/>
        <color rgb="FFF8696B"/>
        <color rgb="FFFFEB84"/>
        <color rgb="FF63BE7B"/>
      </colorScale>
    </cfRule>
  </conditionalFormatting>
  <conditionalFormatting sqref="L3225">
    <cfRule type="colorScale" priority="88">
      <colorScale>
        <cfvo type="min"/>
        <cfvo type="percentile" val="50"/>
        <cfvo type="max"/>
        <color rgb="FFF8696B"/>
        <color rgb="FFFFEB84"/>
        <color rgb="FF63BE7B"/>
      </colorScale>
    </cfRule>
  </conditionalFormatting>
  <conditionalFormatting sqref="L3226">
    <cfRule type="colorScale" priority="87">
      <colorScale>
        <cfvo type="min"/>
        <cfvo type="percentile" val="50"/>
        <cfvo type="max"/>
        <color rgb="FFF8696B"/>
        <color rgb="FFFFEB84"/>
        <color rgb="FF63BE7B"/>
      </colorScale>
    </cfRule>
  </conditionalFormatting>
  <conditionalFormatting sqref="L3227">
    <cfRule type="colorScale" priority="86">
      <colorScale>
        <cfvo type="min"/>
        <cfvo type="percentile" val="50"/>
        <cfvo type="max"/>
        <color rgb="FFF8696B"/>
        <color rgb="FFFFEB84"/>
        <color rgb="FF63BE7B"/>
      </colorScale>
    </cfRule>
  </conditionalFormatting>
  <conditionalFormatting sqref="L3228:L3241">
    <cfRule type="colorScale" priority="212">
      <colorScale>
        <cfvo type="min"/>
        <cfvo type="percentile" val="50"/>
        <cfvo type="max"/>
        <color rgb="FFF8696B"/>
        <color rgb="FFFFEB84"/>
        <color rgb="FF63BE7B"/>
      </colorScale>
    </cfRule>
  </conditionalFormatting>
  <conditionalFormatting sqref="L1945">
    <cfRule type="colorScale" priority="84">
      <colorScale>
        <cfvo type="min"/>
        <cfvo type="percentile" val="50"/>
        <cfvo type="max"/>
        <color rgb="FFF8696B"/>
        <color rgb="FFFFEB84"/>
        <color rgb="FF63BE7B"/>
      </colorScale>
    </cfRule>
  </conditionalFormatting>
  <conditionalFormatting sqref="L1942">
    <cfRule type="colorScale" priority="83">
      <colorScale>
        <cfvo type="min"/>
        <cfvo type="percentile" val="50"/>
        <cfvo type="max"/>
        <color rgb="FFF8696B"/>
        <color rgb="FFFFEB84"/>
        <color rgb="FF63BE7B"/>
      </colorScale>
    </cfRule>
  </conditionalFormatting>
  <conditionalFormatting sqref="L1939">
    <cfRule type="colorScale" priority="82">
      <colorScale>
        <cfvo type="min"/>
        <cfvo type="percentile" val="50"/>
        <cfvo type="max"/>
        <color rgb="FFF8696B"/>
        <color rgb="FFFFEB84"/>
        <color rgb="FF63BE7B"/>
      </colorScale>
    </cfRule>
  </conditionalFormatting>
  <conditionalFormatting sqref="L1135">
    <cfRule type="colorScale" priority="80">
      <colorScale>
        <cfvo type="min"/>
        <cfvo type="percentile" val="50"/>
        <cfvo type="max"/>
        <color rgb="FFF8696B"/>
        <color rgb="FFFFEB84"/>
        <color rgb="FF63BE7B"/>
      </colorScale>
    </cfRule>
  </conditionalFormatting>
  <conditionalFormatting sqref="L1135">
    <cfRule type="colorScale" priority="81">
      <colorScale>
        <cfvo type="min"/>
        <cfvo type="percentile" val="50"/>
        <cfvo type="max"/>
        <color rgb="FFF8696B"/>
        <color rgb="FFFFEB84"/>
        <color rgb="FF63BE7B"/>
      </colorScale>
    </cfRule>
  </conditionalFormatting>
  <conditionalFormatting sqref="L1203:L1212">
    <cfRule type="colorScale" priority="512">
      <colorScale>
        <cfvo type="min"/>
        <cfvo type="percentile" val="50"/>
        <cfvo type="max"/>
        <color rgb="FFF8696B"/>
        <color rgb="FFFFEB84"/>
        <color rgb="FF63BE7B"/>
      </colorScale>
    </cfRule>
  </conditionalFormatting>
  <conditionalFormatting sqref="L1213:L1230 L1054:L1086 L192 L308:L314 L329:L361 L371:L405 L416:L421 L443:L481 L483:L484 L489:L508 L511:L514 L517:L528 L532:L674 L676:L685 L688:L699 L702:L704 L706:L716 L720:L741 L743:L771 L773:L782 L784:L796 L798:L837 L839:L871 L1088:L1090 L1097:L1108 L1110:L1134 L1139:L1142 L135:L190 L994:L1042 L1136:L1137 L194:L281 L486 L423:L438 L1144:L1202 L283:L302 L873:L992">
    <cfRule type="colorScale" priority="570">
      <colorScale>
        <cfvo type="min"/>
        <cfvo type="percentile" val="50"/>
        <cfvo type="max"/>
        <color rgb="FFF8696B"/>
        <color rgb="FFFFEB84"/>
        <color rgb="FF63BE7B"/>
      </colorScale>
    </cfRule>
  </conditionalFormatting>
  <conditionalFormatting sqref="L1946:L1955 L1512:L1547 L1213:L1230 L1054:L1086 L192 L308:L314 L329:L361 L371:L405 L416:L421 L443:L481 L483:L484 L489:L508 L511:L514 L517:L528 L532:L674 L1239:L1247 L1263:L1282 L1288:L1421 L1431:L1471 L1698:L1756 L1777:L1845 L1847:L1891 L1896:L1938 L676:L685 L688:L699 L702:L704 L706:L716 L720:L741 L743:L771 L773:L782 L784:L796 L798:L837 L839:L871 L1088:L1090 L1097:L1108 L1110:L1134 L1139:L1142 L1473:L1476 L1479:L1481 L1483:L1487 L1489:L1493 L1495:L1497 L1499:L1504 L1507:L1510 L1549:L1563 L1566:L1609 L135:L190 L994:L1042 L1943:L1944 L1940:L1941 L1136:L1137 L194:L281 L486 L423:L438 L1144:L1202 L1423:L1428 L1758:L1773 L1611:L1674 L283:L302 L873:L992">
    <cfRule type="colorScale" priority="571">
      <colorScale>
        <cfvo type="min"/>
        <cfvo type="percentile" val="50"/>
        <cfvo type="max"/>
        <color rgb="FFF8696B"/>
        <color rgb="FFFFEB84"/>
        <color rgb="FF63BE7B"/>
      </colorScale>
    </cfRule>
  </conditionalFormatting>
  <conditionalFormatting sqref="L2083">
    <cfRule type="colorScale" priority="79">
      <colorScale>
        <cfvo type="min"/>
        <cfvo type="percentile" val="50"/>
        <cfvo type="max"/>
        <color rgb="FFF8696B"/>
        <color rgb="FFFFEB84"/>
        <color rgb="FF63BE7B"/>
      </colorScale>
    </cfRule>
  </conditionalFormatting>
  <conditionalFormatting sqref="L1956:L2082 L1 L2084:L2096 L2098:L2122">
    <cfRule type="colorScale" priority="823">
      <colorScale>
        <cfvo type="min"/>
        <cfvo type="percentile" val="50"/>
        <cfvo type="max"/>
        <color rgb="FFF8696B"/>
        <color rgb="FFFFEB84"/>
        <color rgb="FF63BE7B"/>
      </colorScale>
    </cfRule>
  </conditionalFormatting>
  <conditionalFormatting sqref="L1675:L1695">
    <cfRule type="colorScale" priority="824">
      <colorScale>
        <cfvo type="min"/>
        <cfvo type="percentile" val="50"/>
        <cfvo type="max"/>
        <color rgb="FFF8696B"/>
        <color rgb="FFFFEB84"/>
        <color rgb="FF63BE7B"/>
      </colorScale>
    </cfRule>
  </conditionalFormatting>
  <conditionalFormatting sqref="L1235">
    <cfRule type="colorScale" priority="62">
      <colorScale>
        <cfvo type="min"/>
        <cfvo type="percentile" val="50"/>
        <cfvo type="max"/>
        <color rgb="FFF8696B"/>
        <color rgb="FFFFEB84"/>
        <color rgb="FF63BE7B"/>
      </colorScale>
    </cfRule>
  </conditionalFormatting>
  <conditionalFormatting sqref="L2385">
    <cfRule type="colorScale" priority="59">
      <colorScale>
        <cfvo type="min"/>
        <cfvo type="percentile" val="50"/>
        <cfvo type="max"/>
        <color rgb="FFF8696B"/>
        <color rgb="FFFFEB84"/>
        <color rgb="FF63BE7B"/>
      </colorScale>
    </cfRule>
  </conditionalFormatting>
  <conditionalFormatting sqref="L485">
    <cfRule type="colorScale" priority="51">
      <colorScale>
        <cfvo type="min"/>
        <cfvo type="percentile" val="50"/>
        <cfvo type="max"/>
        <color rgb="FFF8696B"/>
        <color rgb="FFFFEB84"/>
        <color rgb="FF63BE7B"/>
      </colorScale>
    </cfRule>
  </conditionalFormatting>
  <conditionalFormatting sqref="L485">
    <cfRule type="colorScale" priority="52">
      <colorScale>
        <cfvo type="min"/>
        <cfvo type="percentile" val="50"/>
        <cfvo type="max"/>
        <color rgb="FFF8696B"/>
        <color rgb="FFFFEB84"/>
        <color rgb="FF63BE7B"/>
      </colorScale>
    </cfRule>
  </conditionalFormatting>
  <conditionalFormatting sqref="L422">
    <cfRule type="colorScale" priority="41">
      <colorScale>
        <cfvo type="min"/>
        <cfvo type="percentile" val="50"/>
        <cfvo type="max"/>
        <color rgb="FFF8696B"/>
        <color rgb="FFFFEB84"/>
        <color rgb="FF63BE7B"/>
      </colorScale>
    </cfRule>
  </conditionalFormatting>
  <conditionalFormatting sqref="L422">
    <cfRule type="colorScale" priority="42">
      <colorScale>
        <cfvo type="min"/>
        <cfvo type="percentile" val="50"/>
        <cfvo type="max"/>
        <color rgb="FFF8696B"/>
        <color rgb="FFFFEB84"/>
        <color rgb="FF63BE7B"/>
      </colorScale>
    </cfRule>
  </conditionalFormatting>
  <conditionalFormatting sqref="L1143">
    <cfRule type="colorScale" priority="39">
      <colorScale>
        <cfvo type="min"/>
        <cfvo type="percentile" val="50"/>
        <cfvo type="max"/>
        <color rgb="FFF8696B"/>
        <color rgb="FFFFEB84"/>
        <color rgb="FF63BE7B"/>
      </colorScale>
    </cfRule>
  </conditionalFormatting>
  <conditionalFormatting sqref="L1143">
    <cfRule type="colorScale" priority="40">
      <colorScale>
        <cfvo type="min"/>
        <cfvo type="percentile" val="50"/>
        <cfvo type="max"/>
        <color rgb="FFF8696B"/>
        <color rgb="FFFFEB84"/>
        <color rgb="FF63BE7B"/>
      </colorScale>
    </cfRule>
  </conditionalFormatting>
  <conditionalFormatting sqref="L3064">
    <cfRule type="colorScale" priority="38">
      <colorScale>
        <cfvo type="min"/>
        <cfvo type="percentile" val="50"/>
        <cfvo type="max"/>
        <color rgb="FFF8696B"/>
        <color rgb="FFFFEB84"/>
        <color rgb="FF63BE7B"/>
      </colorScale>
    </cfRule>
  </conditionalFormatting>
  <conditionalFormatting sqref="L3063">
    <cfRule type="colorScale" priority="37">
      <colorScale>
        <cfvo type="min"/>
        <cfvo type="percentile" val="50"/>
        <cfvo type="max"/>
        <color rgb="FFF8696B"/>
        <color rgb="FFFFEB84"/>
        <color rgb="FF63BE7B"/>
      </colorScale>
    </cfRule>
  </conditionalFormatting>
  <conditionalFormatting sqref="L3065">
    <cfRule type="colorScale" priority="36">
      <colorScale>
        <cfvo type="min"/>
        <cfvo type="percentile" val="50"/>
        <cfvo type="max"/>
        <color rgb="FFF8696B"/>
        <color rgb="FFFFEB84"/>
        <color rgb="FF63BE7B"/>
      </colorScale>
    </cfRule>
  </conditionalFormatting>
  <conditionalFormatting sqref="L3183">
    <cfRule type="colorScale" priority="33">
      <colorScale>
        <cfvo type="min"/>
        <cfvo type="percentile" val="50"/>
        <cfvo type="max"/>
        <color rgb="FFF8696B"/>
        <color rgb="FFFFEB84"/>
        <color rgb="FF63BE7B"/>
      </colorScale>
    </cfRule>
  </conditionalFormatting>
  <conditionalFormatting sqref="L1697">
    <cfRule type="colorScale" priority="32">
      <colorScale>
        <cfvo type="min"/>
        <cfvo type="percentile" val="50"/>
        <cfvo type="max"/>
        <color rgb="FFF8696B"/>
        <color rgb="FFFFEB84"/>
        <color rgb="FF63BE7B"/>
      </colorScale>
    </cfRule>
  </conditionalFormatting>
  <conditionalFormatting sqref="L1696">
    <cfRule type="colorScale" priority="31">
      <colorScale>
        <cfvo type="min"/>
        <cfvo type="percentile" val="50"/>
        <cfvo type="max"/>
        <color rgb="FFF8696B"/>
        <color rgb="FFFFEB84"/>
        <color rgb="FF63BE7B"/>
      </colorScale>
    </cfRule>
  </conditionalFormatting>
  <conditionalFormatting sqref="L1422">
    <cfRule type="colorScale" priority="30">
      <colorScale>
        <cfvo type="min"/>
        <cfvo type="percentile" val="50"/>
        <cfvo type="max"/>
        <color rgb="FFF8696B"/>
        <color rgb="FFFFEB84"/>
        <color rgb="FF63BE7B"/>
      </colorScale>
    </cfRule>
  </conditionalFormatting>
  <conditionalFormatting sqref="L1757">
    <cfRule type="colorScale" priority="29">
      <colorScale>
        <cfvo type="min"/>
        <cfvo type="percentile" val="50"/>
        <cfvo type="max"/>
        <color rgb="FFF8696B"/>
        <color rgb="FFFFEB84"/>
        <color rgb="FF63BE7B"/>
      </colorScale>
    </cfRule>
  </conditionalFormatting>
  <conditionalFormatting sqref="L2365">
    <cfRule type="colorScale" priority="27">
      <colorScale>
        <cfvo type="min"/>
        <cfvo type="percentile" val="50"/>
        <cfvo type="max"/>
        <color rgb="FFF8696B"/>
        <color rgb="FFFFEB84"/>
        <color rgb="FF63BE7B"/>
      </colorScale>
    </cfRule>
  </conditionalFormatting>
  <conditionalFormatting sqref="L2365">
    <cfRule type="colorScale" priority="26">
      <colorScale>
        <cfvo type="min"/>
        <cfvo type="percentile" val="50"/>
        <cfvo type="max"/>
        <color rgb="FFF8696B"/>
        <color rgb="FFFFEB84"/>
        <color rgb="FF63BE7B"/>
      </colorScale>
    </cfRule>
  </conditionalFormatting>
  <conditionalFormatting sqref="L1610">
    <cfRule type="colorScale" priority="24">
      <colorScale>
        <cfvo type="min"/>
        <cfvo type="percentile" val="50"/>
        <cfvo type="max"/>
        <color rgb="FFF8696B"/>
        <color rgb="FFFFEB84"/>
        <color rgb="FF63BE7B"/>
      </colorScale>
    </cfRule>
  </conditionalFormatting>
  <conditionalFormatting sqref="L1610">
    <cfRule type="colorScale" priority="25">
      <colorScale>
        <cfvo type="min"/>
        <cfvo type="percentile" val="50"/>
        <cfvo type="max"/>
        <color rgb="FFF8696B"/>
        <color rgb="FFFFEB84"/>
        <color rgb="FF63BE7B"/>
      </colorScale>
    </cfRule>
  </conditionalFormatting>
  <conditionalFormatting sqref="M4339:M1048576 M1:M281 M283:M871 M873:M2096 M2760:M3994 M2098:M2758">
    <cfRule type="colorScale" priority="23">
      <colorScale>
        <cfvo type="min"/>
        <cfvo type="max"/>
        <color rgb="FFF8696B"/>
        <color rgb="FFFCFCFF"/>
      </colorScale>
    </cfRule>
  </conditionalFormatting>
  <conditionalFormatting sqref="L2366:L2758 L1611:L2096 L2:L281 L283:L871 L873:L1609 L2760:L3994 L2098:L2364">
    <cfRule type="colorScale" priority="967">
      <colorScale>
        <cfvo type="min"/>
        <cfvo type="percentile" val="50"/>
        <cfvo type="max"/>
        <color rgb="FFF8696B"/>
        <color rgb="FFFFEB84"/>
        <color rgb="FF63BE7B"/>
      </colorScale>
    </cfRule>
  </conditionalFormatting>
  <conditionalFormatting sqref="L282">
    <cfRule type="colorScale" priority="14">
      <colorScale>
        <cfvo type="min"/>
        <cfvo type="percentile" val="50"/>
        <cfvo type="max"/>
        <color rgb="FFF8696B"/>
        <color rgb="FFFFEB84"/>
        <color rgb="FF63BE7B"/>
      </colorScale>
    </cfRule>
  </conditionalFormatting>
  <conditionalFormatting sqref="L282">
    <cfRule type="colorScale" priority="15">
      <colorScale>
        <cfvo type="min"/>
        <cfvo type="percentile" val="50"/>
        <cfvo type="max"/>
        <color rgb="FFF8696B"/>
        <color rgb="FFFFEB84"/>
        <color rgb="FF63BE7B"/>
      </colorScale>
    </cfRule>
  </conditionalFormatting>
  <conditionalFormatting sqref="M282">
    <cfRule type="colorScale" priority="13">
      <colorScale>
        <cfvo type="min"/>
        <cfvo type="max"/>
        <color rgb="FFF8696B"/>
        <color rgb="FFFCFCFF"/>
      </colorScale>
    </cfRule>
  </conditionalFormatting>
  <conditionalFormatting sqref="L282">
    <cfRule type="colorScale" priority="16">
      <colorScale>
        <cfvo type="min"/>
        <cfvo type="percentile" val="50"/>
        <cfvo type="max"/>
        <color rgb="FFF8696B"/>
        <color rgb="FFFFEB84"/>
        <color rgb="FF63BE7B"/>
      </colorScale>
    </cfRule>
  </conditionalFormatting>
  <conditionalFormatting sqref="L872">
    <cfRule type="colorScale" priority="10">
      <colorScale>
        <cfvo type="min"/>
        <cfvo type="percentile" val="50"/>
        <cfvo type="max"/>
        <color rgb="FFF8696B"/>
        <color rgb="FFFFEB84"/>
        <color rgb="FF63BE7B"/>
      </colorScale>
    </cfRule>
  </conditionalFormatting>
  <conditionalFormatting sqref="L872">
    <cfRule type="colorScale" priority="11">
      <colorScale>
        <cfvo type="min"/>
        <cfvo type="percentile" val="50"/>
        <cfvo type="max"/>
        <color rgb="FFF8696B"/>
        <color rgb="FFFFEB84"/>
        <color rgb="FF63BE7B"/>
      </colorScale>
    </cfRule>
  </conditionalFormatting>
  <conditionalFormatting sqref="M872">
    <cfRule type="colorScale" priority="9">
      <colorScale>
        <cfvo type="min"/>
        <cfvo type="max"/>
        <color rgb="FFF8696B"/>
        <color rgb="FFFCFCFF"/>
      </colorScale>
    </cfRule>
  </conditionalFormatting>
  <conditionalFormatting sqref="L872">
    <cfRule type="colorScale" priority="12">
      <colorScale>
        <cfvo type="min"/>
        <cfvo type="percentile" val="50"/>
        <cfvo type="max"/>
        <color rgb="FFF8696B"/>
        <color rgb="FFFFEB84"/>
        <color rgb="FF63BE7B"/>
      </colorScale>
    </cfRule>
  </conditionalFormatting>
  <conditionalFormatting sqref="L2759">
    <cfRule type="colorScale" priority="5">
      <colorScale>
        <cfvo type="min"/>
        <cfvo type="percentile" val="50"/>
        <cfvo type="max"/>
        <color rgb="FFF8696B"/>
        <color rgb="FFFFEB84"/>
        <color rgb="FF63BE7B"/>
      </colorScale>
    </cfRule>
  </conditionalFormatting>
  <conditionalFormatting sqref="M2759">
    <cfRule type="colorScale" priority="4">
      <colorScale>
        <cfvo type="min"/>
        <cfvo type="max"/>
        <color rgb="FFF8696B"/>
        <color rgb="FFFCFCFF"/>
      </colorScale>
    </cfRule>
  </conditionalFormatting>
  <conditionalFormatting sqref="L2759">
    <cfRule type="colorScale" priority="6">
      <colorScale>
        <cfvo type="min"/>
        <cfvo type="percentile" val="50"/>
        <cfvo type="max"/>
        <color rgb="FFF8696B"/>
        <color rgb="FFFFEB84"/>
        <color rgb="FF63BE7B"/>
      </colorScale>
    </cfRule>
  </conditionalFormatting>
  <conditionalFormatting sqref="L2097">
    <cfRule type="colorScale" priority="2">
      <colorScale>
        <cfvo type="min"/>
        <cfvo type="percentile" val="50"/>
        <cfvo type="max"/>
        <color rgb="FFF8696B"/>
        <color rgb="FFFFEB84"/>
        <color rgb="FF63BE7B"/>
      </colorScale>
    </cfRule>
  </conditionalFormatting>
  <conditionalFormatting sqref="M2097">
    <cfRule type="colorScale" priority="1">
      <colorScale>
        <cfvo type="min"/>
        <cfvo type="max"/>
        <color rgb="FFF8696B"/>
        <color rgb="FFFCFCFF"/>
      </colorScale>
    </cfRule>
  </conditionalFormatting>
  <conditionalFormatting sqref="L2097">
    <cfRule type="colorScale" priority="3">
      <colorScale>
        <cfvo type="min"/>
        <cfvo type="percentile" val="50"/>
        <cfvo type="max"/>
        <color rgb="FFF8696B"/>
        <color rgb="FFFFEB84"/>
        <color rgb="FF63BE7B"/>
      </colorScale>
    </cfRule>
  </conditionalFormatting>
  <conditionalFormatting sqref="L2:L134">
    <cfRule type="colorScale" priority="1100">
      <colorScale>
        <cfvo type="min"/>
        <cfvo type="percentile" val="50"/>
        <cfvo type="max"/>
        <color rgb="FFF8696B"/>
        <color rgb="FFFFEB84"/>
        <color rgb="FF63BE7B"/>
      </colorScale>
    </cfRule>
  </conditionalFormatting>
  <conditionalFormatting sqref="M3995:M4338">
    <cfRule type="colorScale" priority="1106">
      <colorScale>
        <cfvo type="min"/>
        <cfvo type="max"/>
        <color rgb="FFF8696B"/>
        <color rgb="FFFCFCFF"/>
      </colorScale>
    </cfRule>
  </conditionalFormatting>
  <conditionalFormatting sqref="L3995:L4338">
    <cfRule type="colorScale" priority="1107">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0EE5A-21C9-4EF4-8C97-EF5C0370FA11}">
  <dimension ref="A1:D26"/>
  <sheetViews>
    <sheetView workbookViewId="0">
      <selection activeCell="A17" sqref="A17:C17"/>
    </sheetView>
  </sheetViews>
  <sheetFormatPr defaultRowHeight="15.6" x14ac:dyDescent="0.3"/>
  <cols>
    <col min="1" max="1" width="53.109375" style="64" customWidth="1"/>
    <col min="2" max="2" width="70.77734375" style="64" customWidth="1"/>
    <col min="3" max="3" width="19.5546875" style="64" bestFit="1" customWidth="1"/>
    <col min="4" max="16384" width="8.88671875" style="64"/>
  </cols>
  <sheetData>
    <row r="1" spans="1:2" x14ac:dyDescent="0.3">
      <c r="A1" s="66" t="s">
        <v>3877</v>
      </c>
      <c r="B1" s="66"/>
    </row>
    <row r="2" spans="1:2" x14ac:dyDescent="0.3">
      <c r="A2" s="66" t="s">
        <v>5229</v>
      </c>
      <c r="B2" s="66"/>
    </row>
    <row r="3" spans="1:2" x14ac:dyDescent="0.3">
      <c r="A3" s="66" t="s">
        <v>3878</v>
      </c>
      <c r="B3" s="66"/>
    </row>
    <row r="4" spans="1:2" x14ac:dyDescent="0.3">
      <c r="A4" s="66" t="s">
        <v>3879</v>
      </c>
      <c r="B4" s="66"/>
    </row>
    <row r="5" spans="1:2" x14ac:dyDescent="0.3">
      <c r="A5" s="66"/>
      <c r="B5" s="66"/>
    </row>
    <row r="6" spans="1:2" ht="67.2" customHeight="1" x14ac:dyDescent="0.3">
      <c r="B6" s="67" t="s">
        <v>3880</v>
      </c>
    </row>
    <row r="7" spans="1:2" ht="78" x14ac:dyDescent="0.3">
      <c r="A7" s="66" t="s">
        <v>3881</v>
      </c>
      <c r="B7" s="66" t="s">
        <v>3882</v>
      </c>
    </row>
    <row r="8" spans="1:2" x14ac:dyDescent="0.3">
      <c r="A8" s="66" t="s">
        <v>3883</v>
      </c>
      <c r="B8" s="67" t="s">
        <v>3884</v>
      </c>
    </row>
    <row r="9" spans="1:2" ht="31.2" x14ac:dyDescent="0.3">
      <c r="A9" s="66" t="s">
        <v>3885</v>
      </c>
      <c r="B9" s="67" t="s">
        <v>3886</v>
      </c>
    </row>
    <row r="10" spans="1:2" x14ac:dyDescent="0.3">
      <c r="A10" s="66"/>
      <c r="B10" s="66"/>
    </row>
    <row r="11" spans="1:2" x14ac:dyDescent="0.3">
      <c r="A11" s="66" t="s">
        <v>3887</v>
      </c>
      <c r="B11" s="67" t="s">
        <v>3888</v>
      </c>
    </row>
    <row r="12" spans="1:2" ht="31.2" x14ac:dyDescent="0.3">
      <c r="A12" s="66" t="s">
        <v>3889</v>
      </c>
      <c r="B12" s="67" t="s">
        <v>3890</v>
      </c>
    </row>
    <row r="13" spans="1:2" x14ac:dyDescent="0.3">
      <c r="A13" s="66" t="s">
        <v>3891</v>
      </c>
      <c r="B13" s="66"/>
    </row>
    <row r="14" spans="1:2" ht="78" x14ac:dyDescent="0.3">
      <c r="A14" s="66" t="s">
        <v>5215</v>
      </c>
      <c r="B14" s="66"/>
    </row>
    <row r="15" spans="1:2" x14ac:dyDescent="0.3">
      <c r="A15" s="66"/>
      <c r="B15" s="67" t="s">
        <v>3892</v>
      </c>
    </row>
    <row r="16" spans="1:2" x14ac:dyDescent="0.3">
      <c r="A16" s="66"/>
      <c r="B16" s="66"/>
    </row>
    <row r="17" spans="1:4" ht="145.19999999999999" customHeight="1" x14ac:dyDescent="0.3">
      <c r="A17" s="203" t="s">
        <v>5227</v>
      </c>
      <c r="B17" s="203"/>
      <c r="C17" s="203"/>
      <c r="D17" s="100"/>
    </row>
    <row r="18" spans="1:4" x14ac:dyDescent="0.3">
      <c r="A18" s="66"/>
      <c r="B18" s="66"/>
    </row>
    <row r="19" spans="1:4" ht="21" x14ac:dyDescent="0.4">
      <c r="A19" s="68" t="s">
        <v>3893</v>
      </c>
      <c r="B19" s="68" t="s">
        <v>3852</v>
      </c>
      <c r="C19" s="69" t="s">
        <v>3894</v>
      </c>
    </row>
    <row r="20" spans="1:4" x14ac:dyDescent="0.3">
      <c r="A20" s="67" t="s">
        <v>4110</v>
      </c>
      <c r="B20" s="66" t="s">
        <v>4484</v>
      </c>
      <c r="C20" s="70">
        <v>44253</v>
      </c>
    </row>
    <row r="21" spans="1:4" ht="31.2" x14ac:dyDescent="0.3">
      <c r="A21" s="66" t="s">
        <v>3895</v>
      </c>
      <c r="B21" s="66" t="s">
        <v>5214</v>
      </c>
      <c r="C21" s="70">
        <v>44253</v>
      </c>
    </row>
    <row r="22" spans="1:4" ht="31.2" x14ac:dyDescent="0.3">
      <c r="A22" s="66" t="s">
        <v>3895</v>
      </c>
      <c r="B22" s="66" t="s">
        <v>5228</v>
      </c>
      <c r="C22" s="70">
        <v>44247</v>
      </c>
    </row>
    <row r="23" spans="1:4" ht="31.2" x14ac:dyDescent="0.3">
      <c r="A23" s="66" t="s">
        <v>3895</v>
      </c>
      <c r="B23" s="66" t="s">
        <v>3896</v>
      </c>
      <c r="C23" s="70">
        <v>42955</v>
      </c>
    </row>
    <row r="24" spans="1:4" x14ac:dyDescent="0.3">
      <c r="A24" s="66" t="s">
        <v>3895</v>
      </c>
      <c r="B24" s="66" t="s">
        <v>3897</v>
      </c>
      <c r="C24" s="70">
        <v>42916</v>
      </c>
    </row>
    <row r="25" spans="1:4" x14ac:dyDescent="0.3">
      <c r="A25" s="66" t="s">
        <v>3895</v>
      </c>
      <c r="B25" s="66" t="s">
        <v>3898</v>
      </c>
      <c r="C25" s="70">
        <v>41777</v>
      </c>
    </row>
    <row r="26" spans="1:4" ht="31.2" x14ac:dyDescent="0.3">
      <c r="A26" s="66" t="s">
        <v>3895</v>
      </c>
      <c r="B26" s="66" t="s">
        <v>3899</v>
      </c>
      <c r="C26" s="70">
        <v>41504</v>
      </c>
    </row>
  </sheetData>
  <sheetProtection algorithmName="SHA-512" hashValue="MG9A/PlM6Eq73ngyu0DIlNh/Xk4zP9q6EM8K/5tnTuf0+ddEDLiZMCyUtGFTceaPaKpHXQva0h/kwUPDvT1oWA==" saltValue="QjZDruny/4shKVl5V51dpg==" spinCount="100000" sheet="1" objects="1" scenarios="1"/>
  <mergeCells count="1">
    <mergeCell ref="A17:C17"/>
  </mergeCells>
  <hyperlinks>
    <hyperlink ref="B11" r:id="rId1" xr:uid="{584B47B6-B79B-460B-9CC5-B0C3D439B7F8}"/>
    <hyperlink ref="B15" r:id="rId2" xr:uid="{65521CDC-33C1-43D8-AE0A-F07894BADFAD}"/>
    <hyperlink ref="B8" r:id="rId3" xr:uid="{621BF501-C570-4A31-B818-52E7DE877C4E}"/>
    <hyperlink ref="B12" r:id="rId4" xr:uid="{F73E3637-3C42-45A0-B089-A26FD93DEAC7}"/>
    <hyperlink ref="A20" r:id="rId5" xr:uid="{1F8BBAC3-E325-4802-B632-5D8BEED2FFAD}"/>
  </hyperlink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25C91-6391-41B4-9725-6847640428CF}">
  <dimension ref="A1:N18"/>
  <sheetViews>
    <sheetView workbookViewId="0">
      <selection activeCell="G4" sqref="G4:G13"/>
    </sheetView>
  </sheetViews>
  <sheetFormatPr defaultRowHeight="14.4" x14ac:dyDescent="0.3"/>
  <cols>
    <col min="2" max="2" width="21.88671875" style="207" customWidth="1"/>
    <col min="3" max="3" width="22.109375" customWidth="1"/>
    <col min="5" max="5" width="10.109375" bestFit="1" customWidth="1"/>
    <col min="6" max="6" width="34.33203125" style="211" customWidth="1"/>
    <col min="14" max="14" width="18" customWidth="1"/>
  </cols>
  <sheetData>
    <row r="1" spans="1:14" ht="84.6" customHeight="1" thickBot="1" x14ac:dyDescent="0.35">
      <c r="A1" s="64"/>
      <c r="B1" s="66"/>
      <c r="C1" s="64"/>
      <c r="D1" s="64"/>
      <c r="E1" s="64"/>
      <c r="F1" s="210" t="s">
        <v>5403</v>
      </c>
      <c r="G1" s="213" t="s">
        <v>5404</v>
      </c>
      <c r="H1" s="212"/>
      <c r="I1" s="212"/>
      <c r="J1" s="212"/>
      <c r="K1" s="212"/>
      <c r="L1" s="212"/>
      <c r="M1" s="212"/>
      <c r="N1" s="214" t="s">
        <v>5412</v>
      </c>
    </row>
    <row r="2" spans="1:14" ht="16.2" customHeight="1" x14ac:dyDescent="0.3">
      <c r="A2" s="64"/>
      <c r="B2" s="204"/>
      <c r="C2" s="120"/>
      <c r="D2" s="120"/>
      <c r="E2" s="121"/>
      <c r="F2" s="210"/>
      <c r="N2" s="217" t="s">
        <v>5416</v>
      </c>
    </row>
    <row r="3" spans="1:14" ht="15.6" customHeight="1" x14ac:dyDescent="0.3">
      <c r="A3" s="64"/>
      <c r="B3" s="205"/>
      <c r="C3" s="149" t="s">
        <v>4486</v>
      </c>
      <c r="D3" s="209"/>
      <c r="E3" s="208" t="s">
        <v>5394</v>
      </c>
      <c r="F3" s="210"/>
      <c r="G3" s="216" t="s">
        <v>5410</v>
      </c>
      <c r="H3" s="216" t="s">
        <v>5411</v>
      </c>
      <c r="I3" s="216" t="s">
        <v>5405</v>
      </c>
      <c r="J3" s="216" t="s">
        <v>5406</v>
      </c>
      <c r="K3" s="216" t="s">
        <v>5407</v>
      </c>
      <c r="L3" s="216" t="s">
        <v>5408</v>
      </c>
      <c r="M3" s="216" t="s">
        <v>5409</v>
      </c>
      <c r="N3" s="218"/>
    </row>
    <row r="4" spans="1:14" ht="48" customHeight="1" x14ac:dyDescent="0.3">
      <c r="A4" s="64"/>
      <c r="B4" s="205"/>
      <c r="C4" s="122" t="s">
        <v>4487</v>
      </c>
      <c r="D4" s="124">
        <v>0.99</v>
      </c>
      <c r="E4" s="123" t="s">
        <v>5395</v>
      </c>
      <c r="F4" s="210" t="s">
        <v>5424</v>
      </c>
      <c r="G4" s="219" t="s">
        <v>5431</v>
      </c>
      <c r="H4" s="216"/>
      <c r="I4" s="219" t="s">
        <v>5429</v>
      </c>
      <c r="J4" s="216"/>
      <c r="K4" s="216"/>
      <c r="L4" s="219" t="s">
        <v>5430</v>
      </c>
      <c r="M4" s="216"/>
      <c r="N4" s="218" t="s">
        <v>5420</v>
      </c>
    </row>
    <row r="5" spans="1:14" ht="48" customHeight="1" x14ac:dyDescent="0.3">
      <c r="A5" s="64"/>
      <c r="B5" s="205" t="s">
        <v>5427</v>
      </c>
      <c r="C5" s="122"/>
      <c r="D5" s="124">
        <v>0.9</v>
      </c>
      <c r="E5" s="123"/>
      <c r="F5" s="210"/>
      <c r="G5" s="220"/>
      <c r="H5" s="216"/>
      <c r="I5" s="220"/>
      <c r="J5" s="216"/>
      <c r="K5" s="216"/>
      <c r="L5" s="220"/>
      <c r="M5" s="216"/>
      <c r="N5" s="218"/>
    </row>
    <row r="6" spans="1:14" ht="48" customHeight="1" x14ac:dyDescent="0.3">
      <c r="A6" s="64"/>
      <c r="B6" s="205"/>
      <c r="C6" s="122"/>
      <c r="D6" s="124">
        <v>0.8</v>
      </c>
      <c r="E6" s="123" t="s">
        <v>5396</v>
      </c>
      <c r="F6" s="210"/>
      <c r="G6" s="220"/>
      <c r="H6" s="216"/>
      <c r="I6" s="220"/>
      <c r="J6" s="216"/>
      <c r="K6" s="216"/>
      <c r="L6" s="220"/>
      <c r="M6" s="216"/>
      <c r="N6" s="218" t="s">
        <v>5421</v>
      </c>
    </row>
    <row r="7" spans="1:14" ht="48" customHeight="1" x14ac:dyDescent="0.3">
      <c r="A7" s="64"/>
      <c r="B7" s="205"/>
      <c r="C7" s="122"/>
      <c r="D7" s="124">
        <v>0.7</v>
      </c>
      <c r="E7" s="123"/>
      <c r="F7" s="210" t="s">
        <v>5425</v>
      </c>
      <c r="G7" s="220"/>
      <c r="H7" s="216"/>
      <c r="I7" s="220"/>
      <c r="J7" s="216"/>
      <c r="K7" s="216"/>
      <c r="L7" s="220"/>
      <c r="M7" s="216"/>
      <c r="N7" s="218"/>
    </row>
    <row r="8" spans="1:14" ht="48" customHeight="1" x14ac:dyDescent="0.3">
      <c r="A8" s="64"/>
      <c r="B8" s="205"/>
      <c r="C8" s="122" t="s">
        <v>5413</v>
      </c>
      <c r="D8" s="124">
        <v>0.6</v>
      </c>
      <c r="E8" s="123" t="s">
        <v>5397</v>
      </c>
      <c r="F8" s="210" t="s">
        <v>5400</v>
      </c>
      <c r="G8" s="220"/>
      <c r="H8" s="216"/>
      <c r="I8" s="220"/>
      <c r="J8" s="216"/>
      <c r="K8" s="216"/>
      <c r="L8" s="220"/>
      <c r="M8" s="216"/>
      <c r="N8" s="218" t="s">
        <v>5419</v>
      </c>
    </row>
    <row r="9" spans="1:14" ht="48" customHeight="1" x14ac:dyDescent="0.3">
      <c r="A9" s="64"/>
      <c r="B9" s="205" t="s">
        <v>5399</v>
      </c>
      <c r="C9" s="122"/>
      <c r="D9" s="124">
        <v>0.5</v>
      </c>
      <c r="E9" s="123"/>
      <c r="F9" s="210"/>
      <c r="G9" s="220"/>
      <c r="H9" s="216"/>
      <c r="I9" s="220"/>
      <c r="J9" s="216"/>
      <c r="K9" s="216"/>
      <c r="L9" s="220"/>
      <c r="M9" s="216"/>
      <c r="N9" s="218"/>
    </row>
    <row r="10" spans="1:14" ht="48" customHeight="1" x14ac:dyDescent="0.3">
      <c r="A10" s="64"/>
      <c r="B10" s="205"/>
      <c r="C10" s="122"/>
      <c r="D10" s="124">
        <v>0.4</v>
      </c>
      <c r="E10" s="123" t="s">
        <v>5398</v>
      </c>
      <c r="F10" s="210" t="s">
        <v>5401</v>
      </c>
      <c r="G10" s="220"/>
      <c r="H10" s="216"/>
      <c r="I10" s="220"/>
      <c r="J10" s="216"/>
      <c r="K10" s="216"/>
      <c r="L10" s="220"/>
      <c r="M10" s="216"/>
      <c r="N10" s="218" t="s">
        <v>5422</v>
      </c>
    </row>
    <row r="11" spans="1:14" ht="48" customHeight="1" x14ac:dyDescent="0.3">
      <c r="A11" s="64"/>
      <c r="B11" s="205"/>
      <c r="C11" s="122" t="s">
        <v>5414</v>
      </c>
      <c r="D11" s="124">
        <v>0.3</v>
      </c>
      <c r="E11" s="123"/>
      <c r="F11" s="210"/>
      <c r="G11" s="220"/>
      <c r="H11" s="216"/>
      <c r="I11" s="220"/>
      <c r="J11" s="216"/>
      <c r="K11" s="216"/>
      <c r="L11" s="220"/>
      <c r="M11" s="216"/>
      <c r="N11" s="218"/>
    </row>
    <row r="12" spans="1:14" ht="48" customHeight="1" x14ac:dyDescent="0.3">
      <c r="A12" s="64"/>
      <c r="B12" s="205"/>
      <c r="C12" s="122"/>
      <c r="D12" s="124">
        <v>0.2</v>
      </c>
      <c r="E12" s="123" t="s">
        <v>5402</v>
      </c>
      <c r="F12" s="210" t="s">
        <v>5426</v>
      </c>
      <c r="G12" s="220"/>
      <c r="H12" s="216"/>
      <c r="I12" s="220"/>
      <c r="J12" s="216"/>
      <c r="K12" s="216"/>
      <c r="L12" s="220"/>
      <c r="M12" s="216"/>
      <c r="N12" s="218" t="s">
        <v>5423</v>
      </c>
    </row>
    <row r="13" spans="1:14" ht="48" customHeight="1" x14ac:dyDescent="0.3">
      <c r="A13" s="64"/>
      <c r="B13" s="205"/>
      <c r="C13" s="148" t="s">
        <v>5415</v>
      </c>
      <c r="D13" s="124">
        <v>0.1</v>
      </c>
      <c r="E13" s="123"/>
      <c r="F13" s="210"/>
      <c r="G13" s="221"/>
      <c r="H13" s="216"/>
      <c r="I13" s="221"/>
      <c r="J13" s="216"/>
      <c r="K13" s="216"/>
      <c r="L13" s="221"/>
      <c r="M13" s="216"/>
      <c r="N13" s="218"/>
    </row>
    <row r="14" spans="1:14" ht="46.8" x14ac:dyDescent="0.3">
      <c r="A14" s="64"/>
      <c r="B14" s="205" t="s">
        <v>5428</v>
      </c>
      <c r="C14" s="122"/>
      <c r="D14" s="124">
        <v>0</v>
      </c>
      <c r="E14" s="123"/>
      <c r="F14" s="210" t="s">
        <v>5417</v>
      </c>
      <c r="N14" s="218" t="s">
        <v>5418</v>
      </c>
    </row>
    <row r="15" spans="1:14" ht="16.2" thickBot="1" x14ac:dyDescent="0.35">
      <c r="A15" s="64"/>
      <c r="B15" s="206"/>
      <c r="C15" s="125"/>
      <c r="D15" s="125"/>
      <c r="E15" s="126"/>
      <c r="F15" s="210"/>
      <c r="N15" s="215"/>
    </row>
    <row r="16" spans="1:14" ht="15.6" x14ac:dyDescent="0.3">
      <c r="A16" s="64"/>
      <c r="B16" s="66"/>
      <c r="C16" s="64"/>
      <c r="D16" s="64"/>
      <c r="E16" s="64"/>
      <c r="F16" s="210"/>
    </row>
    <row r="17" spans="1:6" ht="15.6" x14ac:dyDescent="0.3">
      <c r="A17" s="64"/>
      <c r="B17" s="66"/>
      <c r="C17" s="64"/>
      <c r="D17" s="64"/>
      <c r="E17" s="64"/>
      <c r="F17" s="210"/>
    </row>
    <row r="18" spans="1:6" ht="15.6" x14ac:dyDescent="0.3">
      <c r="A18" s="64"/>
      <c r="B18" s="66"/>
      <c r="C18" s="64"/>
      <c r="D18" s="64"/>
      <c r="E18" s="64"/>
      <c r="F18" s="210"/>
    </row>
  </sheetData>
  <mergeCells count="4">
    <mergeCell ref="G1:M1"/>
    <mergeCell ref="G4:G13"/>
    <mergeCell ref="I4:I13"/>
    <mergeCell ref="L4:L13"/>
  </mergeCells>
  <conditionalFormatting sqref="D4:D13">
    <cfRule type="colorScale" priority="1">
      <colorScale>
        <cfvo type="min"/>
        <cfvo type="percentile" val="50"/>
        <cfvo type="max"/>
        <color rgb="FFF8696B"/>
        <color rgb="FFFFEB84"/>
        <color rgb="FF63BE7B"/>
      </colorScale>
    </cfRule>
    <cfRule type="colorScale" priority="2">
      <colorScale>
        <cfvo type="min"/>
        <cfvo type="max"/>
        <color rgb="FFF8696B"/>
        <color rgb="FFFCFCFF"/>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Key</vt:lpstr>
      <vt:lpstr>Descriptions</vt:lpstr>
      <vt:lpstr>License</vt:lpstr>
      <vt:lpstr>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 Pankratz</dc:creator>
  <cp:lastModifiedBy>Kent Pankratz</cp:lastModifiedBy>
  <dcterms:created xsi:type="dcterms:W3CDTF">2021-02-20T08:37:20Z</dcterms:created>
  <dcterms:modified xsi:type="dcterms:W3CDTF">2021-03-20T04:46:26Z</dcterms:modified>
</cp:coreProperties>
</file>